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drawings/drawing2.xml" ContentType="application/vnd.openxmlformats-officedocument.drawing+xml"/>
  <Override PartName="/xl/charts/chart16.xml" ContentType="application/vnd.openxmlformats-officedocument.drawingml.chart+xml"/>
  <Override PartName="/xl/charts/chart17.xml" ContentType="application/vnd.openxmlformats-officedocument.drawingml.chart+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pivotTables/pivotTable6.xml" ContentType="application/vnd.openxmlformats-officedocument.spreadsheetml.pivotTable+xml"/>
  <Override PartName="/xl/pivotTables/pivotTable7.xml" ContentType="application/vnd.openxmlformats-officedocument.spreadsheetml.pivotTable+xml"/>
  <Override PartName="/xl/pivotTables/pivotTable8.xml" ContentType="application/vnd.openxmlformats-officedocument.spreadsheetml.pivotTable+xml"/>
  <Override PartName="/xl/pivotTables/pivotTable9.xml" ContentType="application/vnd.openxmlformats-officedocument.spreadsheetml.pivotTable+xml"/>
  <Override PartName="/xl/pivotTables/pivotTable10.xml" ContentType="application/vnd.openxmlformats-officedocument.spreadsheetml.pivotTable+xml"/>
  <Override PartName="/xl/pivotTables/pivotTable11.xml" ContentType="application/vnd.openxmlformats-officedocument.spreadsheetml.pivotTable+xml"/>
  <Override PartName="/xl/pivotTables/pivotTable12.xml" ContentType="application/vnd.openxmlformats-officedocument.spreadsheetml.pivotTable+xml"/>
  <Override PartName="/xl/pivotTables/pivotTable13.xml" ContentType="application/vnd.openxmlformats-officedocument.spreadsheetml.pivotTable+xml"/>
  <Override PartName="/xl/pivotTables/pivotTable14.xml" ContentType="application/vnd.openxmlformats-officedocument.spreadsheetml.pivotTable+xml"/>
  <Override PartName="/xl/pivotTables/pivotTable15.xml" ContentType="application/vnd.openxmlformats-officedocument.spreadsheetml.pivotTable+xml"/>
  <Override PartName="/xl/pivotTables/pivotTable16.xml" ContentType="application/vnd.openxmlformats-officedocument.spreadsheetml.pivotTable+xml"/>
  <Override PartName="/xl/pivotTables/pivotTable17.xml" ContentType="application/vnd.openxmlformats-officedocument.spreadsheetml.pivotTable+xml"/>
  <Override PartName="/xl/pivotTables/pivotTable18.xml" ContentType="application/vnd.openxmlformats-officedocument.spreadsheetml.pivotTable+xml"/>
  <Override PartName="/xl/pivotTables/pivotTable19.xml" ContentType="application/vnd.openxmlformats-officedocument.spreadsheetml.pivotTable+xml"/>
  <Override PartName="/xl/pivotTables/pivotTable20.xml" ContentType="application/vnd.openxmlformats-officedocument.spreadsheetml.pivotTable+xml"/>
  <Override PartName="/xl/pivotTables/pivotTable21.xml" ContentType="application/vnd.openxmlformats-officedocument.spreadsheetml.pivotTable+xml"/>
  <Override PartName="/xl/pivotTables/pivotTable22.xml" ContentType="application/vnd.openxmlformats-officedocument.spreadsheetml.pivotTable+xml"/>
  <Override PartName="/xl/pivotTables/pivotTable23.xml" ContentType="application/vnd.openxmlformats-officedocument.spreadsheetml.pivotTable+xml"/>
  <Override PartName="/xl/pivotTables/pivotTable24.xml" ContentType="application/vnd.openxmlformats-officedocument.spreadsheetml.pivotTable+xml"/>
  <Override PartName="/xl/pivotTables/pivotTable25.xml" ContentType="application/vnd.openxmlformats-officedocument.spreadsheetml.pivotTable+xml"/>
  <Override PartName="/xl/pivotTables/pivotTable26.xml" ContentType="application/vnd.openxmlformats-officedocument.spreadsheetml.pivotTable+xml"/>
  <Override PartName="/xl/pivotTables/pivotTable27.xml" ContentType="application/vnd.openxmlformats-officedocument.spreadsheetml.pivot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filterPrivacy="1" codeName="ThisWorkbook"/>
  <xr:revisionPtr revIDLastSave="530" documentId="8_{52003651-B179-4D7F-BE73-E3397A42940C}" xr6:coauthVersionLast="47" xr6:coauthVersionMax="47" xr10:uidLastSave="{0E091E73-8EE9-43EE-A8DB-1474FA8DACCA}"/>
  <bookViews>
    <workbookView xWindow="-120" yWindow="-120" windowWidth="29040" windowHeight="15720" tabRatio="868" xr2:uid="{5505BBD9-F504-42CE-B6AE-DD36DA53F7EA}"/>
  </bookViews>
  <sheets>
    <sheet name="Summary Tables" sheetId="22" r:id="rId1"/>
    <sheet name="Housing Trajectory" sheetId="69" r:id="rId2"/>
    <sheet name="Notes and Key Highlights" sheetId="76" r:id="rId3"/>
    <sheet name="Conventional Supply" sheetId="28" r:id="rId4"/>
    <sheet name="Non-Self-Contained Supply" sheetId="72" r:id="rId5"/>
    <sheet name="Conventional Supply Assumptions" sheetId="74" r:id="rId6"/>
    <sheet name="Non-Self-Contained Assumptions" sheetId="75" r:id="rId7"/>
    <sheet name="Abbreviations" sheetId="67" r:id="rId8"/>
    <sheet name="1a Conv" sheetId="32" state="hidden" r:id="rId9"/>
    <sheet name="1a NSC" sheetId="33" state="hidden" r:id="rId10"/>
    <sheet name="1d" sheetId="34" state="hidden" r:id="rId11"/>
    <sheet name="2 NB" sheetId="35" state="hidden" r:id="rId12"/>
    <sheet name="2 CON" sheetId="36" state="hidden" r:id="rId13"/>
    <sheet name="3" sheetId="37" state="hidden" r:id="rId14"/>
    <sheet name="4" sheetId="38" state="hidden" r:id="rId15"/>
    <sheet name="5 Perm" sheetId="39" state="hidden" r:id="rId16"/>
    <sheet name="5 Star" sheetId="40" state="hidden" r:id="rId17"/>
    <sheet name="6 PeNB" sheetId="42" state="hidden" r:id="rId18"/>
    <sheet name="6 PeCO" sheetId="65" state="hidden" r:id="rId19"/>
    <sheet name="6 StNB" sheetId="43" state="hidden" r:id="rId20"/>
    <sheet name="6 StCO" sheetId="66" state="hidden" r:id="rId21"/>
    <sheet name="7 Perm" sheetId="44" state="hidden" r:id="rId22"/>
    <sheet name="7 Star" sheetId="45" state="hidden" r:id="rId23"/>
    <sheet name="8b and 8c" sheetId="46" state="hidden" r:id="rId24"/>
    <sheet name="8e" sheetId="80" state="hidden" r:id="rId25"/>
    <sheet name="11b" sheetId="77" state="hidden" r:id="rId26"/>
    <sheet name="12" sheetId="49" state="hidden" r:id="rId27"/>
    <sheet name="13" sheetId="50" state="hidden" r:id="rId28"/>
    <sheet name="13 Spatial areas" sheetId="73" state="hidden" r:id="rId29"/>
    <sheet name="14" sheetId="59" state="hidden" r:id="rId30"/>
    <sheet name="15" sheetId="60" state="hidden" r:id="rId31"/>
    <sheet name="16" sheetId="61" state="hidden" r:id="rId32"/>
    <sheet name="17" sheetId="62" state="hidden" r:id="rId33"/>
    <sheet name="18" sheetId="63" state="hidden" r:id="rId34"/>
    <sheet name="19" sheetId="64" state="hidden" r:id="rId35"/>
  </sheets>
  <definedNames>
    <definedName name="_xlnm._FilterDatabase" localSheetId="3" hidden="1">'Conventional Supply'!$A$1:$CO$1040</definedName>
    <definedName name="_xlnm._FilterDatabase" localSheetId="4" hidden="1">'Non-Self-Contained Supply'!$A$1:$BN$33</definedName>
    <definedName name="_xlnm._FilterDatabase" localSheetId="0" hidden="1">'Summary Tables'!$A$302:$E$328</definedName>
    <definedName name="_xlnm.Print_Area" localSheetId="7">Abbreviations!$A$1:$B$92</definedName>
    <definedName name="_xlnm.Print_Area" localSheetId="1">'Housing Trajectory'!$A$1:$U$70</definedName>
    <definedName name="_xlnm.Print_Area" localSheetId="6">'Non-Self-Contained Assumptions'!$A$1:$C$12</definedName>
    <definedName name="_xlnm.Print_Area" localSheetId="0">'Summary Tables'!$A$1:$Q$385</definedName>
    <definedName name="_xlnm.Print_Titles" localSheetId="3">'Conventional Supply'!$A:$C,'Conventional Supply'!$1:$1</definedName>
    <definedName name="_xlnm.Print_Titles" localSheetId="6">'Non-Self-Contained Assumptions'!$3:$3</definedName>
  </definedNames>
  <calcPr calcId="191028"/>
  <pivotCaches>
    <pivotCache cacheId="0" r:id="rId36"/>
    <pivotCache cacheId="1" r:id="rId37"/>
    <pivotCache cacheId="2" r:id="rId38"/>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93" i="22" l="1"/>
  <c r="H193" i="22"/>
  <c r="F193" i="22"/>
  <c r="D193" i="22"/>
  <c r="K193" i="22"/>
  <c r="S273" i="22"/>
  <c r="O273" i="22"/>
  <c r="K273" i="22"/>
  <c r="G273" i="22"/>
  <c r="U273" i="22"/>
  <c r="M273" i="22"/>
  <c r="I273" i="22"/>
  <c r="Q273" i="22"/>
  <c r="E273" i="22"/>
  <c r="T273" i="22"/>
  <c r="I193" i="22"/>
  <c r="G193" i="22"/>
  <c r="E193" i="22"/>
  <c r="C193" i="22"/>
  <c r="R273" i="22"/>
  <c r="P273" i="22"/>
  <c r="N273" i="22"/>
  <c r="L273" i="22"/>
  <c r="J273" i="22"/>
  <c r="H273" i="22"/>
  <c r="F273" i="22"/>
  <c r="D273" i="22"/>
  <c r="G186" i="22" l="1"/>
  <c r="G185" i="22"/>
  <c r="G184" i="22"/>
  <c r="G183" i="22"/>
  <c r="G182" i="22"/>
  <c r="G181" i="22"/>
  <c r="G180" i="22"/>
  <c r="E186" i="22"/>
  <c r="E185" i="22"/>
  <c r="E184" i="22"/>
  <c r="E183" i="22"/>
  <c r="E182" i="22"/>
  <c r="E181" i="22"/>
  <c r="E180" i="22"/>
  <c r="C186" i="22"/>
  <c r="C185" i="22"/>
  <c r="C184" i="22"/>
  <c r="C183" i="22"/>
  <c r="C182" i="22"/>
  <c r="C181" i="22"/>
  <c r="C180" i="22"/>
  <c r="C30" i="22"/>
  <c r="BY695" i="28"/>
  <c r="BX695" i="28"/>
  <c r="BW695" i="28"/>
  <c r="BW313" i="28"/>
  <c r="BV224" i="28"/>
  <c r="BW216" i="28"/>
  <c r="BW223" i="28"/>
  <c r="BW215" i="28"/>
  <c r="BW213" i="28"/>
  <c r="BW222" i="28"/>
  <c r="BW207" i="28"/>
  <c r="H383" i="22"/>
  <c r="G373" i="22"/>
  <c r="H373" i="22"/>
  <c r="Q280" i="22"/>
  <c r="H106" i="22"/>
  <c r="H105" i="22"/>
  <c r="F106" i="22"/>
  <c r="F105" i="22"/>
  <c r="L104" i="22"/>
  <c r="H104" i="22"/>
  <c r="F104" i="22"/>
  <c r="D28" i="22"/>
  <c r="D29" i="22"/>
  <c r="P281" i="22"/>
  <c r="J104" i="22" l="1"/>
  <c r="I104" i="22" s="1"/>
  <c r="J105" i="22"/>
  <c r="I105" i="22" s="1"/>
  <c r="J106" i="22"/>
  <c r="I106" i="22" s="1"/>
  <c r="I182" i="22"/>
  <c r="H182" i="22" s="1"/>
  <c r="K185" i="22"/>
  <c r="I186" i="22"/>
  <c r="H186" i="22" s="1"/>
  <c r="K186" i="22"/>
  <c r="K182" i="22"/>
  <c r="D182" i="22" s="1"/>
  <c r="I183" i="22"/>
  <c r="H183" i="22" s="1"/>
  <c r="K183" i="22"/>
  <c r="D183" i="22" s="1"/>
  <c r="I185" i="22"/>
  <c r="I180" i="22"/>
  <c r="H180" i="22" s="1"/>
  <c r="K181" i="22"/>
  <c r="D181" i="22" s="1"/>
  <c r="K184" i="22"/>
  <c r="D184" i="22" s="1"/>
  <c r="I184" i="22"/>
  <c r="H184" i="22" s="1"/>
  <c r="I181" i="22"/>
  <c r="H181" i="22" s="1"/>
  <c r="K180" i="22"/>
  <c r="D180" i="22" s="1"/>
  <c r="D30" i="22"/>
  <c r="E28" i="22" s="1"/>
  <c r="Q281" i="22"/>
  <c r="G106" i="22" l="1"/>
  <c r="G105" i="22"/>
  <c r="G104" i="22"/>
  <c r="J185" i="22"/>
  <c r="F182" i="22"/>
  <c r="J186" i="22"/>
  <c r="F185" i="22"/>
  <c r="J182" i="22"/>
  <c r="F180" i="22"/>
  <c r="F183" i="22"/>
  <c r="H185" i="22"/>
  <c r="J183" i="22"/>
  <c r="F184" i="22"/>
  <c r="J180" i="22"/>
  <c r="J181" i="22"/>
  <c r="J184" i="22"/>
  <c r="F181" i="22"/>
  <c r="E29" i="22"/>
  <c r="E30" i="22" s="1"/>
  <c r="I173" i="22"/>
  <c r="H173" i="22" s="1"/>
  <c r="K173" i="22"/>
  <c r="I160" i="22"/>
  <c r="H160" i="22" s="1"/>
  <c r="K160" i="22"/>
  <c r="P282" i="22"/>
  <c r="P284" i="22"/>
  <c r="P283" i="22"/>
  <c r="I9" i="22"/>
  <c r="Q283" i="22" l="1"/>
  <c r="Q284" i="22"/>
  <c r="Q282" i="22"/>
  <c r="P285" i="22"/>
  <c r="J173" i="22"/>
  <c r="J160" i="22"/>
  <c r="I14" i="22"/>
  <c r="CO3" i="28" l="1"/>
  <c r="CO4" i="28"/>
  <c r="CO5" i="28"/>
  <c r="CO6" i="28"/>
  <c r="CO7" i="28"/>
  <c r="CO8" i="28"/>
  <c r="CO9" i="28"/>
  <c r="CO10" i="28"/>
  <c r="CO11" i="28"/>
  <c r="CO12" i="28"/>
  <c r="CO13" i="28"/>
  <c r="CO14" i="28"/>
  <c r="CO15" i="28"/>
  <c r="CO16" i="28"/>
  <c r="CO17" i="28"/>
  <c r="CO18" i="28"/>
  <c r="CO19" i="28"/>
  <c r="CO20" i="28"/>
  <c r="CO21" i="28"/>
  <c r="CO22" i="28"/>
  <c r="CO23" i="28"/>
  <c r="CO24" i="28"/>
  <c r="CO25" i="28"/>
  <c r="CO26" i="28"/>
  <c r="CO27" i="28"/>
  <c r="CO28" i="28"/>
  <c r="CO29" i="28"/>
  <c r="CO30" i="28"/>
  <c r="CO31" i="28"/>
  <c r="CO32" i="28"/>
  <c r="CO33" i="28"/>
  <c r="CO34" i="28"/>
  <c r="CO35" i="28"/>
  <c r="CO36" i="28"/>
  <c r="CO37" i="28"/>
  <c r="CO38" i="28"/>
  <c r="CO39" i="28"/>
  <c r="CO40" i="28"/>
  <c r="CO41" i="28"/>
  <c r="CO42" i="28"/>
  <c r="CO43" i="28"/>
  <c r="CO44" i="28"/>
  <c r="CO45" i="28"/>
  <c r="CO46" i="28"/>
  <c r="CO47" i="28"/>
  <c r="CO48" i="28"/>
  <c r="CO49" i="28"/>
  <c r="CO50" i="28"/>
  <c r="CO51" i="28"/>
  <c r="CO52" i="28"/>
  <c r="CO53" i="28"/>
  <c r="CO54" i="28"/>
  <c r="CO55" i="28"/>
  <c r="CO56" i="28"/>
  <c r="CO57" i="28"/>
  <c r="CO58" i="28"/>
  <c r="CO59" i="28"/>
  <c r="CO60" i="28"/>
  <c r="CO61" i="28"/>
  <c r="CO62" i="28"/>
  <c r="CO63" i="28"/>
  <c r="CO64" i="28"/>
  <c r="CO65" i="28"/>
  <c r="CO66" i="28"/>
  <c r="CO67" i="28"/>
  <c r="CO68" i="28"/>
  <c r="CO69" i="28"/>
  <c r="CO70" i="28"/>
  <c r="CO71" i="28"/>
  <c r="CO72" i="28"/>
  <c r="CO73" i="28"/>
  <c r="CO74" i="28"/>
  <c r="CO75" i="28"/>
  <c r="CO76" i="28"/>
  <c r="CO77" i="28"/>
  <c r="CO78" i="28"/>
  <c r="CO79" i="28"/>
  <c r="CO80" i="28"/>
  <c r="CO81" i="28"/>
  <c r="CO82" i="28"/>
  <c r="CO83" i="28"/>
  <c r="CO84" i="28"/>
  <c r="CO85" i="28"/>
  <c r="CO86" i="28"/>
  <c r="CO87" i="28"/>
  <c r="CO88" i="28"/>
  <c r="CO89" i="28"/>
  <c r="CO90" i="28"/>
  <c r="CO91" i="28"/>
  <c r="CO92" i="28"/>
  <c r="CO93" i="28"/>
  <c r="CO94" i="28"/>
  <c r="CO95" i="28"/>
  <c r="CO96" i="28"/>
  <c r="CO97" i="28"/>
  <c r="CO98" i="28"/>
  <c r="CO99" i="28"/>
  <c r="CO100" i="28"/>
  <c r="CO101" i="28"/>
  <c r="CO102" i="28"/>
  <c r="CO103" i="28"/>
  <c r="CO104" i="28"/>
  <c r="CO105" i="28"/>
  <c r="CO106" i="28"/>
  <c r="CO107" i="28"/>
  <c r="CO108" i="28"/>
  <c r="CO109" i="28"/>
  <c r="CO110" i="28"/>
  <c r="CO111" i="28"/>
  <c r="CO112" i="28"/>
  <c r="CO113" i="28"/>
  <c r="CO114" i="28"/>
  <c r="CO115" i="28"/>
  <c r="CO116" i="28"/>
  <c r="CO117" i="28"/>
  <c r="CO118" i="28"/>
  <c r="CO119" i="28"/>
  <c r="CO120" i="28"/>
  <c r="CO121" i="28"/>
  <c r="CO122" i="28"/>
  <c r="CO123" i="28"/>
  <c r="CO124" i="28"/>
  <c r="CO125" i="28"/>
  <c r="CO126" i="28"/>
  <c r="CO127" i="28"/>
  <c r="CO128" i="28"/>
  <c r="CO129" i="28"/>
  <c r="CO130" i="28"/>
  <c r="CO131" i="28"/>
  <c r="CO132" i="28"/>
  <c r="CO133" i="28"/>
  <c r="CO134" i="28"/>
  <c r="CO135" i="28"/>
  <c r="CO136" i="28"/>
  <c r="CO137" i="28"/>
  <c r="CO138" i="28"/>
  <c r="CO139" i="28"/>
  <c r="CO140" i="28"/>
  <c r="CO141" i="28"/>
  <c r="CO142" i="28"/>
  <c r="CO143" i="28"/>
  <c r="CO144" i="28"/>
  <c r="CO145" i="28"/>
  <c r="CO146" i="28"/>
  <c r="CO147" i="28"/>
  <c r="CO148" i="28"/>
  <c r="CO149" i="28"/>
  <c r="CO150" i="28"/>
  <c r="CO151" i="28"/>
  <c r="CO152" i="28"/>
  <c r="CO153" i="28"/>
  <c r="CO154" i="28"/>
  <c r="CO155" i="28"/>
  <c r="CO156" i="28"/>
  <c r="CO157" i="28"/>
  <c r="CO158" i="28"/>
  <c r="CO159" i="28"/>
  <c r="CO160" i="28"/>
  <c r="CO161" i="28"/>
  <c r="CO162" i="28"/>
  <c r="CO163" i="28"/>
  <c r="CO164" i="28"/>
  <c r="CO165" i="28"/>
  <c r="CO166" i="28"/>
  <c r="CO167" i="28"/>
  <c r="CO168" i="28"/>
  <c r="CO169" i="28"/>
  <c r="CO170" i="28"/>
  <c r="CO171" i="28"/>
  <c r="CO172" i="28"/>
  <c r="CO173" i="28"/>
  <c r="CO174" i="28"/>
  <c r="CO175" i="28"/>
  <c r="CO176" i="28"/>
  <c r="CO177" i="28"/>
  <c r="CO178" i="28"/>
  <c r="CO179" i="28"/>
  <c r="CO180" i="28"/>
  <c r="CO181" i="28"/>
  <c r="CO182" i="28"/>
  <c r="CO183" i="28"/>
  <c r="CO184" i="28"/>
  <c r="CO185" i="28"/>
  <c r="CO186" i="28"/>
  <c r="CO187" i="28"/>
  <c r="CO188" i="28"/>
  <c r="CO189" i="28"/>
  <c r="CO190" i="28"/>
  <c r="CO191" i="28"/>
  <c r="CO192" i="28"/>
  <c r="CO193" i="28"/>
  <c r="CO194" i="28"/>
  <c r="CO195" i="28"/>
  <c r="CO196" i="28"/>
  <c r="CO197" i="28"/>
  <c r="CO198" i="28"/>
  <c r="CO199" i="28"/>
  <c r="CO200" i="28"/>
  <c r="CO201" i="28"/>
  <c r="CO971" i="28"/>
  <c r="CO972" i="28"/>
  <c r="CO973" i="28"/>
  <c r="CO974" i="28"/>
  <c r="CO975" i="28"/>
  <c r="CO976" i="28"/>
  <c r="CO990" i="28"/>
  <c r="CO998" i="28"/>
  <c r="CO1040" i="28"/>
  <c r="CO2" i="28"/>
  <c r="CN3" i="28"/>
  <c r="CN4" i="28"/>
  <c r="CN5" i="28"/>
  <c r="CN6" i="28"/>
  <c r="CN7" i="28"/>
  <c r="CN8" i="28"/>
  <c r="CN9" i="28"/>
  <c r="CN10" i="28"/>
  <c r="CN11" i="28"/>
  <c r="CN12" i="28"/>
  <c r="CN13" i="28"/>
  <c r="CN14" i="28"/>
  <c r="CN15" i="28"/>
  <c r="CN16" i="28"/>
  <c r="CN17" i="28"/>
  <c r="CN18" i="28"/>
  <c r="CN19" i="28"/>
  <c r="CN20" i="28"/>
  <c r="CN21" i="28"/>
  <c r="CN22" i="28"/>
  <c r="CN23" i="28"/>
  <c r="CN24" i="28"/>
  <c r="CN25" i="28"/>
  <c r="CN26" i="28"/>
  <c r="CN27" i="28"/>
  <c r="CN28" i="28"/>
  <c r="CN29" i="28"/>
  <c r="CN30" i="28"/>
  <c r="CN31" i="28"/>
  <c r="CN32" i="28"/>
  <c r="CN33" i="28"/>
  <c r="CN34" i="28"/>
  <c r="CN35" i="28"/>
  <c r="CN36" i="28"/>
  <c r="CN37" i="28"/>
  <c r="CN38" i="28"/>
  <c r="CN39" i="28"/>
  <c r="CN40" i="28"/>
  <c r="CN41" i="28"/>
  <c r="CN42" i="28"/>
  <c r="CN43" i="28"/>
  <c r="CN44" i="28"/>
  <c r="CN45" i="28"/>
  <c r="CN46" i="28"/>
  <c r="CN47" i="28"/>
  <c r="CN48" i="28"/>
  <c r="CN49" i="28"/>
  <c r="CN50" i="28"/>
  <c r="CN51" i="28"/>
  <c r="CN52" i="28"/>
  <c r="CN53" i="28"/>
  <c r="CN54" i="28"/>
  <c r="CN55" i="28"/>
  <c r="CN56" i="28"/>
  <c r="CN57" i="28"/>
  <c r="CN58" i="28"/>
  <c r="CN59" i="28"/>
  <c r="CN60" i="28"/>
  <c r="CN61" i="28"/>
  <c r="CN62" i="28"/>
  <c r="CN63" i="28"/>
  <c r="CN64" i="28"/>
  <c r="CN65" i="28"/>
  <c r="CN66" i="28"/>
  <c r="CN67" i="28"/>
  <c r="CN68" i="28"/>
  <c r="CN69" i="28"/>
  <c r="CN70" i="28"/>
  <c r="CN71" i="28"/>
  <c r="CN72" i="28"/>
  <c r="CN73" i="28"/>
  <c r="CN74" i="28"/>
  <c r="CN75" i="28"/>
  <c r="CN76" i="28"/>
  <c r="CN77" i="28"/>
  <c r="CN78" i="28"/>
  <c r="CN79" i="28"/>
  <c r="CN80" i="28"/>
  <c r="CN81" i="28"/>
  <c r="CN82" i="28"/>
  <c r="CN83" i="28"/>
  <c r="CN84" i="28"/>
  <c r="CN85" i="28"/>
  <c r="CN86" i="28"/>
  <c r="CN87" i="28"/>
  <c r="CN88" i="28"/>
  <c r="CN89" i="28"/>
  <c r="CN90" i="28"/>
  <c r="CN91" i="28"/>
  <c r="CN92" i="28"/>
  <c r="CN93" i="28"/>
  <c r="CN94" i="28"/>
  <c r="CN95" i="28"/>
  <c r="CN96" i="28"/>
  <c r="CN97" i="28"/>
  <c r="CN98" i="28"/>
  <c r="CN99" i="28"/>
  <c r="CN100" i="28"/>
  <c r="CN101" i="28"/>
  <c r="CN102" i="28"/>
  <c r="CN103" i="28"/>
  <c r="CN104" i="28"/>
  <c r="CN105" i="28"/>
  <c r="CN106" i="28"/>
  <c r="CN107" i="28"/>
  <c r="CN108" i="28"/>
  <c r="CN109" i="28"/>
  <c r="CN110" i="28"/>
  <c r="CN111" i="28"/>
  <c r="CN112" i="28"/>
  <c r="CN113" i="28"/>
  <c r="CN114" i="28"/>
  <c r="CN115" i="28"/>
  <c r="CN116" i="28"/>
  <c r="CN117" i="28"/>
  <c r="CN118" i="28"/>
  <c r="CN119" i="28"/>
  <c r="CN120" i="28"/>
  <c r="CN121" i="28"/>
  <c r="CN122" i="28"/>
  <c r="CN123" i="28"/>
  <c r="CN124" i="28"/>
  <c r="CN125" i="28"/>
  <c r="CN126" i="28"/>
  <c r="CN127" i="28"/>
  <c r="CN128" i="28"/>
  <c r="CN129" i="28"/>
  <c r="CN130" i="28"/>
  <c r="CN131" i="28"/>
  <c r="CN132" i="28"/>
  <c r="CN133" i="28"/>
  <c r="CN134" i="28"/>
  <c r="CN135" i="28"/>
  <c r="CN136" i="28"/>
  <c r="CN137" i="28"/>
  <c r="CN138" i="28"/>
  <c r="CN139" i="28"/>
  <c r="CN140" i="28"/>
  <c r="CN141" i="28"/>
  <c r="CN142" i="28"/>
  <c r="CN143" i="28"/>
  <c r="CN144" i="28"/>
  <c r="CN145" i="28"/>
  <c r="CN146" i="28"/>
  <c r="CN147" i="28"/>
  <c r="CN148" i="28"/>
  <c r="CN149" i="28"/>
  <c r="CN150" i="28"/>
  <c r="CN151" i="28"/>
  <c r="CN152" i="28"/>
  <c r="CN153" i="28"/>
  <c r="CN154" i="28"/>
  <c r="CN155" i="28"/>
  <c r="CN156" i="28"/>
  <c r="CN157" i="28"/>
  <c r="CN158" i="28"/>
  <c r="CN159" i="28"/>
  <c r="CN160" i="28"/>
  <c r="CN161" i="28"/>
  <c r="CN162" i="28"/>
  <c r="CN163" i="28"/>
  <c r="CN164" i="28"/>
  <c r="CN165" i="28"/>
  <c r="CN166" i="28"/>
  <c r="CN167" i="28"/>
  <c r="CN168" i="28"/>
  <c r="CN169" i="28"/>
  <c r="CN170" i="28"/>
  <c r="CN171" i="28"/>
  <c r="CN172" i="28"/>
  <c r="CN173" i="28"/>
  <c r="CN174" i="28"/>
  <c r="CN175" i="28"/>
  <c r="CN176" i="28"/>
  <c r="CN177" i="28"/>
  <c r="CN178" i="28"/>
  <c r="CN179" i="28"/>
  <c r="CN180" i="28"/>
  <c r="CN181" i="28"/>
  <c r="CN182" i="28"/>
  <c r="CN183" i="28"/>
  <c r="CN184" i="28"/>
  <c r="CN185" i="28"/>
  <c r="CN186" i="28"/>
  <c r="CN187" i="28"/>
  <c r="CN188" i="28"/>
  <c r="CN189" i="28"/>
  <c r="CN190" i="28"/>
  <c r="CN191" i="28"/>
  <c r="CN192" i="28"/>
  <c r="CN193" i="28"/>
  <c r="CN194" i="28"/>
  <c r="CN195" i="28"/>
  <c r="CN196" i="28"/>
  <c r="CN197" i="28"/>
  <c r="CN198" i="28"/>
  <c r="CN199" i="28"/>
  <c r="CN200" i="28"/>
  <c r="CN201" i="28"/>
  <c r="CN206" i="28"/>
  <c r="CN464" i="28"/>
  <c r="CN465" i="28"/>
  <c r="CN466" i="28"/>
  <c r="CN467" i="28"/>
  <c r="CN468" i="28"/>
  <c r="CN469" i="28"/>
  <c r="CN470" i="28"/>
  <c r="CN471" i="28"/>
  <c r="CN472" i="28"/>
  <c r="CN473" i="28"/>
  <c r="CN474" i="28"/>
  <c r="CN475" i="28"/>
  <c r="CN476" i="28"/>
  <c r="CN477" i="28"/>
  <c r="CN478" i="28"/>
  <c r="CN479" i="28"/>
  <c r="CN480" i="28"/>
  <c r="CN482" i="28"/>
  <c r="CN483" i="28"/>
  <c r="CN882" i="28"/>
  <c r="CN883" i="28"/>
  <c r="CN884" i="28"/>
  <c r="CN885" i="28"/>
  <c r="CN886" i="28"/>
  <c r="CN887" i="28"/>
  <c r="CN899" i="28"/>
  <c r="CN900" i="28"/>
  <c r="CN901" i="28"/>
  <c r="CN907" i="28"/>
  <c r="CN908" i="28"/>
  <c r="CN909" i="28"/>
  <c r="CN910" i="28"/>
  <c r="CN918" i="28"/>
  <c r="CN919" i="28"/>
  <c r="CN920" i="28"/>
  <c r="CN944" i="28"/>
  <c r="CN945" i="28"/>
  <c r="CN946" i="28"/>
  <c r="CN947" i="28"/>
  <c r="CN954" i="28"/>
  <c r="CN955" i="28"/>
  <c r="CN956" i="28"/>
  <c r="CN966" i="28"/>
  <c r="CN971" i="28"/>
  <c r="CN972" i="28"/>
  <c r="CN973" i="28"/>
  <c r="CN974" i="28"/>
  <c r="CN975" i="28"/>
  <c r="CN976" i="28"/>
  <c r="CN978" i="28"/>
  <c r="CN979" i="28"/>
  <c r="CN980" i="28"/>
  <c r="CN981" i="28"/>
  <c r="CN982" i="28"/>
  <c r="CN983" i="28"/>
  <c r="CN990" i="28"/>
  <c r="CN995" i="28"/>
  <c r="CN996" i="28"/>
  <c r="CN997" i="28"/>
  <c r="CN998" i="28"/>
  <c r="CN1000" i="28"/>
  <c r="CN1001" i="28"/>
  <c r="CN1002" i="28"/>
  <c r="CN1006" i="28"/>
  <c r="CN1009" i="28"/>
  <c r="CN1010" i="28"/>
  <c r="CN1011" i="28"/>
  <c r="CN1012" i="28"/>
  <c r="CN1023" i="28"/>
  <c r="CN1027" i="28"/>
  <c r="CN1028" i="28"/>
  <c r="CN1029" i="28"/>
  <c r="CN1030" i="28"/>
  <c r="CN1040" i="28"/>
  <c r="CN2" i="28"/>
  <c r="BN3" i="72"/>
  <c r="BN4" i="72"/>
  <c r="BN5" i="72"/>
  <c r="BN6" i="72"/>
  <c r="BN7" i="72"/>
  <c r="BN8" i="72"/>
  <c r="BN9" i="72"/>
  <c r="BN10" i="72"/>
  <c r="BN11" i="72"/>
  <c r="BN12" i="72"/>
  <c r="BN13" i="72"/>
  <c r="BN14" i="72"/>
  <c r="BN15" i="72"/>
  <c r="BN16" i="72"/>
  <c r="BN17" i="72"/>
  <c r="BN18" i="72"/>
  <c r="BN19" i="72"/>
  <c r="BN20" i="72"/>
  <c r="BN21" i="72"/>
  <c r="BN22" i="72"/>
  <c r="BN23" i="72"/>
  <c r="BN24" i="72"/>
  <c r="BN25" i="72"/>
  <c r="BN2" i="72"/>
  <c r="BM3" i="72"/>
  <c r="BM4" i="72"/>
  <c r="BM5" i="72"/>
  <c r="BM6" i="72"/>
  <c r="BM7" i="72"/>
  <c r="BM8" i="72"/>
  <c r="BM9" i="72"/>
  <c r="BM10" i="72"/>
  <c r="BM11" i="72"/>
  <c r="BM12" i="72"/>
  <c r="BM13" i="72"/>
  <c r="BM14" i="72"/>
  <c r="BM15" i="72"/>
  <c r="BM16" i="72"/>
  <c r="BM17" i="72"/>
  <c r="BM18" i="72"/>
  <c r="BM19" i="72"/>
  <c r="BM20" i="72"/>
  <c r="BM21" i="72"/>
  <c r="BM22" i="72"/>
  <c r="BM23" i="72"/>
  <c r="BM24" i="72"/>
  <c r="BM25" i="72"/>
  <c r="BM2" i="72"/>
  <c r="BT201" i="28" l="1"/>
  <c r="BT200" i="28"/>
  <c r="BT199" i="28"/>
  <c r="BX881" i="28"/>
  <c r="BW881" i="28"/>
  <c r="BV881" i="28"/>
  <c r="BU881" i="28"/>
  <c r="BX880" i="28"/>
  <c r="BW880" i="28"/>
  <c r="BV880" i="28"/>
  <c r="BU880" i="28"/>
  <c r="BX879" i="28"/>
  <c r="BW879" i="28"/>
  <c r="BV879" i="28"/>
  <c r="BU879" i="28"/>
  <c r="BX878" i="28"/>
  <c r="BW878" i="28"/>
  <c r="BV878" i="28"/>
  <c r="BU878" i="28"/>
  <c r="BT198" i="28"/>
  <c r="CB887" i="28"/>
  <c r="CA887" i="28"/>
  <c r="BZ887" i="28"/>
  <c r="BU458" i="28"/>
  <c r="BX877" i="28"/>
  <c r="BW877" i="28"/>
  <c r="BV877" i="28"/>
  <c r="BU877" i="28"/>
  <c r="BT197" i="28"/>
  <c r="BT196" i="28"/>
  <c r="BX876" i="28"/>
  <c r="BW876" i="28"/>
  <c r="BV876" i="28"/>
  <c r="BU876" i="28"/>
  <c r="BT195" i="28"/>
  <c r="BY875" i="28"/>
  <c r="BX875" i="28"/>
  <c r="BW875" i="28"/>
  <c r="BV875" i="28"/>
  <c r="BV457" i="28"/>
  <c r="BU457" i="28"/>
  <c r="BX874" i="28"/>
  <c r="BW874" i="28"/>
  <c r="BV874" i="28"/>
  <c r="BU874" i="28"/>
  <c r="BX873" i="28"/>
  <c r="BW873" i="28"/>
  <c r="BV873" i="28"/>
  <c r="BU873" i="28"/>
  <c r="BX872" i="28"/>
  <c r="BY871" i="28"/>
  <c r="BX871" i="28"/>
  <c r="BW871" i="28"/>
  <c r="BV871" i="28"/>
  <c r="BX870" i="28"/>
  <c r="BW870" i="28"/>
  <c r="BV870" i="28"/>
  <c r="BU870" i="28"/>
  <c r="BX869" i="28"/>
  <c r="BW869" i="28"/>
  <c r="BV869" i="28"/>
  <c r="BU869" i="28"/>
  <c r="BX868" i="28"/>
  <c r="BW868" i="28"/>
  <c r="BV868" i="28"/>
  <c r="BU868" i="28"/>
  <c r="BT194" i="28"/>
  <c r="BX867" i="28"/>
  <c r="BW867" i="28"/>
  <c r="BV867" i="28"/>
  <c r="BU867" i="28"/>
  <c r="BU456" i="28"/>
  <c r="BW866" i="28"/>
  <c r="BX865" i="28"/>
  <c r="BX864" i="28"/>
  <c r="BV455" i="28"/>
  <c r="BX863" i="28"/>
  <c r="BV862" i="28"/>
  <c r="BX861" i="28"/>
  <c r="BW861" i="28"/>
  <c r="BV861" i="28"/>
  <c r="BU861" i="28"/>
  <c r="BX860" i="28"/>
  <c r="BW860" i="28"/>
  <c r="BV860" i="28"/>
  <c r="BU860" i="28"/>
  <c r="BX859" i="28"/>
  <c r="BW859" i="28"/>
  <c r="BV859" i="28"/>
  <c r="BU859" i="28"/>
  <c r="BX858" i="28"/>
  <c r="BW858" i="28"/>
  <c r="BV858" i="28"/>
  <c r="BU858" i="28"/>
  <c r="BX857" i="28"/>
  <c r="BW857" i="28"/>
  <c r="BV857" i="28"/>
  <c r="BU857" i="28"/>
  <c r="BV454" i="28"/>
  <c r="BX856" i="28"/>
  <c r="BW856" i="28"/>
  <c r="BV856" i="28"/>
  <c r="BU856" i="28"/>
  <c r="BU453" i="28"/>
  <c r="BX855" i="28"/>
  <c r="BW855" i="28"/>
  <c r="BV855" i="28"/>
  <c r="BU855" i="28"/>
  <c r="BX854" i="28"/>
  <c r="BW854" i="28"/>
  <c r="BV854" i="28"/>
  <c r="BU854" i="28"/>
  <c r="BT193" i="28"/>
  <c r="BT192" i="28"/>
  <c r="BX853" i="28"/>
  <c r="BW853" i="28"/>
  <c r="BV853" i="28"/>
  <c r="BU853" i="28"/>
  <c r="BT191" i="28"/>
  <c r="BX852" i="28"/>
  <c r="BW852" i="28"/>
  <c r="BV852" i="28"/>
  <c r="BU852" i="28"/>
  <c r="BX851" i="28"/>
  <c r="BW851" i="28"/>
  <c r="BV851" i="28"/>
  <c r="BU851" i="28"/>
  <c r="BV452" i="28"/>
  <c r="BU452" i="28"/>
  <c r="BY850" i="28"/>
  <c r="BX850" i="28"/>
  <c r="BW850" i="28"/>
  <c r="BV850" i="28"/>
  <c r="BZ849" i="28"/>
  <c r="BY849" i="28"/>
  <c r="BX849" i="28"/>
  <c r="BV451" i="28"/>
  <c r="BU451" i="28"/>
  <c r="BX848" i="28"/>
  <c r="BW848" i="28"/>
  <c r="BV848" i="28"/>
  <c r="BU848" i="28"/>
  <c r="BX847" i="28"/>
  <c r="BW847" i="28"/>
  <c r="BV847" i="28"/>
  <c r="BU847" i="28"/>
  <c r="BX846" i="28"/>
  <c r="BW846" i="28"/>
  <c r="BV846" i="28"/>
  <c r="BU846" i="28"/>
  <c r="BX845" i="28"/>
  <c r="BW845" i="28"/>
  <c r="BV845" i="28"/>
  <c r="BU845" i="28"/>
  <c r="BV450" i="28"/>
  <c r="BU450" i="28"/>
  <c r="BY844" i="28"/>
  <c r="BX844" i="28"/>
  <c r="BW844" i="28"/>
  <c r="BV844" i="28"/>
  <c r="BV449" i="28"/>
  <c r="BU449" i="28"/>
  <c r="BT190" i="28"/>
  <c r="BX843" i="28"/>
  <c r="BW843" i="28"/>
  <c r="BV843" i="28"/>
  <c r="BU843" i="28"/>
  <c r="BT189" i="28"/>
  <c r="BX842" i="28"/>
  <c r="BW842" i="28"/>
  <c r="BV842" i="28"/>
  <c r="BU842" i="28"/>
  <c r="BV448" i="28"/>
  <c r="BU448" i="28"/>
  <c r="BX841" i="28"/>
  <c r="BW841" i="28"/>
  <c r="BV841" i="28"/>
  <c r="BU841" i="28"/>
  <c r="BV447" i="28"/>
  <c r="BU447" i="28"/>
  <c r="BV446" i="28"/>
  <c r="BU446" i="28"/>
  <c r="BV840" i="28"/>
  <c r="BX839" i="28"/>
  <c r="BW839" i="28"/>
  <c r="BV839" i="28"/>
  <c r="BU839" i="28"/>
  <c r="BY838" i="28"/>
  <c r="BX838" i="28"/>
  <c r="BW838" i="28"/>
  <c r="BV838" i="28"/>
  <c r="BX837" i="28"/>
  <c r="BW837" i="28"/>
  <c r="BV837" i="28"/>
  <c r="BU837" i="28"/>
  <c r="BV836" i="28"/>
  <c r="BX835" i="28"/>
  <c r="BW835" i="28"/>
  <c r="BV835" i="28"/>
  <c r="BU835" i="28"/>
  <c r="BX834" i="28"/>
  <c r="BW834" i="28"/>
  <c r="BV834" i="28"/>
  <c r="BU834" i="28"/>
  <c r="BU445" i="28"/>
  <c r="BT188" i="28"/>
  <c r="BT187" i="28"/>
  <c r="BY833" i="28"/>
  <c r="BX833" i="28"/>
  <c r="BW833" i="28"/>
  <c r="BV833" i="28"/>
  <c r="BV444" i="28"/>
  <c r="BU444" i="28"/>
  <c r="BX832" i="28"/>
  <c r="BW832" i="28"/>
  <c r="BV832" i="28"/>
  <c r="BU832" i="28"/>
  <c r="BY831" i="28"/>
  <c r="BX831" i="28"/>
  <c r="BW831" i="28"/>
  <c r="BV831" i="28"/>
  <c r="BX830" i="28"/>
  <c r="BW830" i="28"/>
  <c r="BV830" i="28"/>
  <c r="BU830" i="28"/>
  <c r="BX829" i="28"/>
  <c r="BW829" i="28"/>
  <c r="BV829" i="28"/>
  <c r="BU829" i="28"/>
  <c r="BX828" i="28"/>
  <c r="BW828" i="28"/>
  <c r="BV828" i="28"/>
  <c r="BU828" i="28"/>
  <c r="BX827" i="28"/>
  <c r="BW827" i="28"/>
  <c r="BV827" i="28"/>
  <c r="BU827" i="28"/>
  <c r="BT186" i="28"/>
  <c r="BT185" i="28"/>
  <c r="BV443" i="28"/>
  <c r="BU443" i="28"/>
  <c r="BX826" i="28"/>
  <c r="BW826" i="28"/>
  <c r="BV826" i="28"/>
  <c r="BU826" i="28"/>
  <c r="BX825" i="28"/>
  <c r="BW825" i="28"/>
  <c r="BV825" i="28"/>
  <c r="BU825" i="28"/>
  <c r="BV442" i="28"/>
  <c r="BU442" i="28"/>
  <c r="BY824" i="28"/>
  <c r="BX824" i="28"/>
  <c r="BW824" i="28"/>
  <c r="BV824" i="28"/>
  <c r="BX823" i="28"/>
  <c r="BW823" i="28"/>
  <c r="BV823" i="28"/>
  <c r="BU823" i="28"/>
  <c r="BT184" i="28"/>
  <c r="BV441" i="28"/>
  <c r="BU441" i="28"/>
  <c r="BX822" i="28"/>
  <c r="BW822" i="28"/>
  <c r="BV822" i="28"/>
  <c r="BU822" i="28"/>
  <c r="BX821" i="28"/>
  <c r="BW821" i="28"/>
  <c r="BV821" i="28"/>
  <c r="BU821" i="28"/>
  <c r="BT183" i="28"/>
  <c r="BX820" i="28"/>
  <c r="BW820" i="28"/>
  <c r="BV820" i="28"/>
  <c r="BU820" i="28"/>
  <c r="BX819" i="28"/>
  <c r="BW819" i="28"/>
  <c r="BV819" i="28"/>
  <c r="BU819" i="28"/>
  <c r="BU440" i="28"/>
  <c r="BV818" i="28"/>
  <c r="BV817" i="28"/>
  <c r="BV712" i="28"/>
  <c r="BV711" i="28"/>
  <c r="BV710" i="28"/>
  <c r="BT182" i="28"/>
  <c r="BZ816" i="28"/>
  <c r="BY816" i="28"/>
  <c r="BX816" i="28"/>
  <c r="BT181" i="28"/>
  <c r="BT180" i="28"/>
  <c r="BY815" i="28"/>
  <c r="BX815" i="28"/>
  <c r="BW815" i="28"/>
  <c r="BV815" i="28"/>
  <c r="BU436" i="28"/>
  <c r="BZ814" i="28"/>
  <c r="BY814" i="28"/>
  <c r="BX814" i="28"/>
  <c r="BV435" i="28"/>
  <c r="BU435" i="28"/>
  <c r="BT179" i="28"/>
  <c r="BT178" i="28"/>
  <c r="BT177" i="28"/>
  <c r="BX813" i="28"/>
  <c r="BW813" i="28"/>
  <c r="BV813" i="28"/>
  <c r="BU813" i="28"/>
  <c r="BT176" i="28"/>
  <c r="BV434" i="28"/>
  <c r="BU434" i="28"/>
  <c r="BZ812" i="28"/>
  <c r="BY812" i="28"/>
  <c r="BX812" i="28"/>
  <c r="BX811" i="28"/>
  <c r="BW811" i="28"/>
  <c r="BV811" i="28"/>
  <c r="BU811" i="28"/>
  <c r="BT175" i="28"/>
  <c r="BY810" i="28"/>
  <c r="BX810" i="28"/>
  <c r="BW810" i="28"/>
  <c r="BV810" i="28"/>
  <c r="BT174" i="28"/>
  <c r="BX809" i="28"/>
  <c r="BW809" i="28"/>
  <c r="BV809" i="28"/>
  <c r="BU809" i="28"/>
  <c r="CB886" i="28"/>
  <c r="CA886" i="28"/>
  <c r="BZ886" i="28"/>
  <c r="CB885" i="28"/>
  <c r="CA885" i="28"/>
  <c r="BZ885" i="28"/>
  <c r="CB884" i="28"/>
  <c r="CA884" i="28"/>
  <c r="BZ884" i="28"/>
  <c r="BX808" i="28"/>
  <c r="BW808" i="28"/>
  <c r="BV808" i="28"/>
  <c r="BU808" i="28"/>
  <c r="BT173" i="28"/>
  <c r="BV709" i="28"/>
  <c r="BU432" i="28"/>
  <c r="BX807" i="28"/>
  <c r="BW807" i="28"/>
  <c r="BV807" i="28"/>
  <c r="BU807" i="28"/>
  <c r="BV431" i="28"/>
  <c r="BU431" i="28"/>
  <c r="BX806" i="28"/>
  <c r="BW806" i="28"/>
  <c r="BV806" i="28"/>
  <c r="BU806" i="28"/>
  <c r="BV430" i="28"/>
  <c r="BU430" i="28"/>
  <c r="BX805" i="28"/>
  <c r="BW805" i="28"/>
  <c r="BV805" i="28"/>
  <c r="BU805" i="28"/>
  <c r="BT172" i="28"/>
  <c r="BV429" i="28"/>
  <c r="BU429" i="28"/>
  <c r="BX804" i="28"/>
  <c r="BW804" i="28"/>
  <c r="BV804" i="28"/>
  <c r="BU804" i="28"/>
  <c r="BX803" i="28"/>
  <c r="BW803" i="28"/>
  <c r="BV803" i="28"/>
  <c r="BU803" i="28"/>
  <c r="BX802" i="28"/>
  <c r="BW802" i="28"/>
  <c r="BV802" i="28"/>
  <c r="BU802" i="28"/>
  <c r="BX801" i="28"/>
  <c r="BW801" i="28"/>
  <c r="BV801" i="28"/>
  <c r="BU801" i="28"/>
  <c r="BV428" i="28"/>
  <c r="BU428" i="28"/>
  <c r="BV427" i="28"/>
  <c r="BU427" i="28"/>
  <c r="BX800" i="28"/>
  <c r="BW800" i="28"/>
  <c r="BV800" i="28"/>
  <c r="BU800" i="28"/>
  <c r="BU426" i="28"/>
  <c r="BX799" i="28"/>
  <c r="BW799" i="28"/>
  <c r="BV799" i="28"/>
  <c r="BU799" i="28"/>
  <c r="BV425" i="28"/>
  <c r="BU425" i="28"/>
  <c r="BV424" i="28"/>
  <c r="BU424" i="28"/>
  <c r="BU423" i="28"/>
  <c r="BX798" i="28"/>
  <c r="BW798" i="28"/>
  <c r="BV798" i="28"/>
  <c r="BU798" i="28"/>
  <c r="BX797" i="28"/>
  <c r="BW797" i="28"/>
  <c r="BV797" i="28"/>
  <c r="BU797" i="28"/>
  <c r="BX796" i="28"/>
  <c r="BW796" i="28"/>
  <c r="BV796" i="28"/>
  <c r="BU796" i="28"/>
  <c r="BU661" i="28"/>
  <c r="BU660" i="28"/>
  <c r="BU439" i="28"/>
  <c r="BU438" i="28"/>
  <c r="BX795" i="28"/>
  <c r="BW795" i="28"/>
  <c r="BV795" i="28"/>
  <c r="BU795" i="28"/>
  <c r="BV418" i="28"/>
  <c r="BU418" i="28"/>
  <c r="BU437" i="28"/>
  <c r="BU433" i="28"/>
  <c r="BV415" i="28"/>
  <c r="BY794" i="28"/>
  <c r="BX794" i="28"/>
  <c r="BW794" i="28"/>
  <c r="BV794" i="28"/>
  <c r="BX793" i="28"/>
  <c r="BW793" i="28"/>
  <c r="BV793" i="28"/>
  <c r="BU793" i="28"/>
  <c r="BY792" i="28"/>
  <c r="BX792" i="28"/>
  <c r="BW792" i="28"/>
  <c r="BV792" i="28"/>
  <c r="BX791" i="28"/>
  <c r="BW791" i="28"/>
  <c r="BV791" i="28"/>
  <c r="BU791" i="28"/>
  <c r="BT171" i="28"/>
  <c r="BT170" i="28"/>
  <c r="BX790" i="28"/>
  <c r="BW790" i="28"/>
  <c r="BV790" i="28"/>
  <c r="BU790" i="28"/>
  <c r="BU414" i="28"/>
  <c r="BX789" i="28"/>
  <c r="BW789" i="28"/>
  <c r="BV789" i="28"/>
  <c r="BU789" i="28"/>
  <c r="BT169" i="28"/>
  <c r="BV405" i="28"/>
  <c r="BU405" i="28"/>
  <c r="BX788" i="28"/>
  <c r="BW788" i="28"/>
  <c r="BV788" i="28"/>
  <c r="BU788" i="28"/>
  <c r="BT168" i="28"/>
  <c r="BX787" i="28"/>
  <c r="BU404" i="28"/>
  <c r="BY786" i="28"/>
  <c r="BX786" i="28"/>
  <c r="BW786" i="28"/>
  <c r="BV786" i="28"/>
  <c r="BY785" i="28"/>
  <c r="BX785" i="28"/>
  <c r="BW785" i="28"/>
  <c r="BV785" i="28"/>
  <c r="BT167" i="28"/>
  <c r="BX784" i="28"/>
  <c r="BX783" i="28"/>
  <c r="BW783" i="28"/>
  <c r="BV783" i="28"/>
  <c r="BU783" i="28"/>
  <c r="BX782" i="28"/>
  <c r="BW782" i="28"/>
  <c r="BV782" i="28"/>
  <c r="BU782" i="28"/>
  <c r="BY781" i="28"/>
  <c r="BX781" i="28"/>
  <c r="BW781" i="28"/>
  <c r="BV781" i="28"/>
  <c r="BX780" i="28"/>
  <c r="BW780" i="28"/>
  <c r="BV780" i="28"/>
  <c r="BU780" i="28"/>
  <c r="BU403" i="28"/>
  <c r="BT166" i="28"/>
  <c r="BU402" i="28"/>
  <c r="BX779" i="28"/>
  <c r="BU401" i="28"/>
  <c r="BV400" i="28"/>
  <c r="BU399" i="28"/>
  <c r="BV398" i="28"/>
  <c r="BU422" i="28"/>
  <c r="BU421" i="28"/>
  <c r="CB883" i="28"/>
  <c r="CA883" i="28"/>
  <c r="BZ883" i="28"/>
  <c r="BX778" i="28"/>
  <c r="BW778" i="28"/>
  <c r="BV778" i="28"/>
  <c r="BU778" i="28"/>
  <c r="BU395" i="28"/>
  <c r="BV394" i="28"/>
  <c r="BU394" i="28"/>
  <c r="BT165" i="28"/>
  <c r="BY777" i="28"/>
  <c r="BX777" i="28"/>
  <c r="BW777" i="28"/>
  <c r="BV777" i="28"/>
  <c r="BV393" i="28"/>
  <c r="BU393" i="28"/>
  <c r="BV392" i="28"/>
  <c r="BU392" i="28"/>
  <c r="BX776" i="28"/>
  <c r="BW776" i="28"/>
  <c r="BV776" i="28"/>
  <c r="BU776" i="28"/>
  <c r="BX775" i="28"/>
  <c r="BW775" i="28"/>
  <c r="BV775" i="28"/>
  <c r="BU775" i="28"/>
  <c r="BY774" i="28"/>
  <c r="BX774" i="28"/>
  <c r="BW774" i="28"/>
  <c r="BV774" i="28"/>
  <c r="BV391" i="28"/>
  <c r="BU391" i="28"/>
  <c r="BU390" i="28"/>
  <c r="BX773" i="28"/>
  <c r="BW773" i="28"/>
  <c r="BV773" i="28"/>
  <c r="BU773" i="28"/>
  <c r="BU420" i="28"/>
  <c r="BT164" i="28"/>
  <c r="BT163" i="28"/>
  <c r="BX772" i="28"/>
  <c r="BW772" i="28"/>
  <c r="BV772" i="28"/>
  <c r="BU772" i="28"/>
  <c r="BX771" i="28"/>
  <c r="BW771" i="28"/>
  <c r="BV771" i="28"/>
  <c r="BU771" i="28"/>
  <c r="BX770" i="28"/>
  <c r="BW770" i="28"/>
  <c r="BV770" i="28"/>
  <c r="BU770" i="28"/>
  <c r="BY769" i="28"/>
  <c r="BX769" i="28"/>
  <c r="BW769" i="28"/>
  <c r="BV769" i="28"/>
  <c r="BX768" i="28"/>
  <c r="BW768" i="28"/>
  <c r="BV768" i="28"/>
  <c r="BU768" i="28"/>
  <c r="BZ767" i="28"/>
  <c r="BY767" i="28"/>
  <c r="BX767" i="28"/>
  <c r="BX766" i="28"/>
  <c r="BW766" i="28"/>
  <c r="BV766" i="28"/>
  <c r="BU766" i="28"/>
  <c r="BU388" i="28"/>
  <c r="BU387" i="28"/>
  <c r="BU386" i="28"/>
  <c r="BY765" i="28"/>
  <c r="BX765" i="28"/>
  <c r="BW765" i="28"/>
  <c r="BV765" i="28"/>
  <c r="BV385" i="28"/>
  <c r="BU385" i="28"/>
  <c r="BY764" i="28"/>
  <c r="BX764" i="28"/>
  <c r="BW764" i="28"/>
  <c r="BV764" i="28"/>
  <c r="BV384" i="28"/>
  <c r="BU384" i="28"/>
  <c r="BZ763" i="28"/>
  <c r="BY763" i="28"/>
  <c r="BX763" i="28"/>
  <c r="BX762" i="28"/>
  <c r="BW762" i="28"/>
  <c r="BV762" i="28"/>
  <c r="BU762" i="28"/>
  <c r="BX761" i="28"/>
  <c r="BW761" i="28"/>
  <c r="BV761" i="28"/>
  <c r="BU761" i="28"/>
  <c r="BT162" i="28"/>
  <c r="BY760" i="28"/>
  <c r="BX760" i="28"/>
  <c r="BW760" i="28"/>
  <c r="BV760" i="28"/>
  <c r="BT161" i="28"/>
  <c r="BX759" i="28"/>
  <c r="BW759" i="28"/>
  <c r="BV759" i="28"/>
  <c r="BU759" i="28"/>
  <c r="BT160" i="28"/>
  <c r="BU383" i="28"/>
  <c r="BX758" i="28"/>
  <c r="BW758" i="28"/>
  <c r="BV758" i="28"/>
  <c r="BU758" i="28"/>
  <c r="BT159" i="28"/>
  <c r="BX757" i="28"/>
  <c r="BW757" i="28"/>
  <c r="BV757" i="28"/>
  <c r="BU757" i="28"/>
  <c r="BT158" i="28"/>
  <c r="BX756" i="28"/>
  <c r="BW756" i="28"/>
  <c r="BV756" i="28"/>
  <c r="BU756" i="28"/>
  <c r="BX755" i="28"/>
  <c r="BW755" i="28"/>
  <c r="BV755" i="28"/>
  <c r="BU755" i="28"/>
  <c r="BX754" i="28"/>
  <c r="BW754" i="28"/>
  <c r="BV754" i="28"/>
  <c r="BU754" i="28"/>
  <c r="BX753" i="28"/>
  <c r="BW753" i="28"/>
  <c r="BV753" i="28"/>
  <c r="BU753" i="28"/>
  <c r="BU382" i="28"/>
  <c r="BU381" i="28"/>
  <c r="BX752" i="28"/>
  <c r="BW752" i="28"/>
  <c r="BV752" i="28"/>
  <c r="BU752" i="28"/>
  <c r="BV380" i="28"/>
  <c r="BU380" i="28"/>
  <c r="BV379" i="28"/>
  <c r="BU379" i="28"/>
  <c r="BX751" i="28"/>
  <c r="BW751" i="28"/>
  <c r="BV751" i="28"/>
  <c r="BU751" i="28"/>
  <c r="BV378" i="28"/>
  <c r="BU378" i="28"/>
  <c r="BY750" i="28"/>
  <c r="BX750" i="28"/>
  <c r="BW750" i="28"/>
  <c r="BV750" i="28"/>
  <c r="BU377" i="28"/>
  <c r="BU376" i="28"/>
  <c r="BX749" i="28"/>
  <c r="BW749" i="28"/>
  <c r="BV749" i="28"/>
  <c r="BU749" i="28"/>
  <c r="BY748" i="28"/>
  <c r="BX748" i="28"/>
  <c r="BW748" i="28"/>
  <c r="BV748" i="28"/>
  <c r="BX747" i="28"/>
  <c r="BW747" i="28"/>
  <c r="BV747" i="28"/>
  <c r="BU747" i="28"/>
  <c r="BX746" i="28"/>
  <c r="BW746" i="28"/>
  <c r="BV746" i="28"/>
  <c r="BU746" i="28"/>
  <c r="BX745" i="28"/>
  <c r="BW745" i="28"/>
  <c r="BV745" i="28"/>
  <c r="BU745" i="28"/>
  <c r="BX744" i="28"/>
  <c r="BW744" i="28"/>
  <c r="BV744" i="28"/>
  <c r="BU744" i="28"/>
  <c r="BY743" i="28"/>
  <c r="BX743" i="28"/>
  <c r="BW743" i="28"/>
  <c r="BV743" i="28"/>
  <c r="BU375" i="28"/>
  <c r="BT157" i="28"/>
  <c r="BY742" i="28"/>
  <c r="BX742" i="28"/>
  <c r="BW742" i="28"/>
  <c r="BV742" i="28"/>
  <c r="BY741" i="28"/>
  <c r="BX741" i="28"/>
  <c r="BW741" i="28"/>
  <c r="BV741" i="28"/>
  <c r="BY740" i="28"/>
  <c r="BX740" i="28"/>
  <c r="BW740" i="28"/>
  <c r="BV740" i="28"/>
  <c r="BX739" i="28"/>
  <c r="BW739" i="28"/>
  <c r="BV739" i="28"/>
  <c r="BU739" i="28"/>
  <c r="BX738" i="28"/>
  <c r="BW738" i="28"/>
  <c r="BV738" i="28"/>
  <c r="BU738" i="28"/>
  <c r="BU419" i="28"/>
  <c r="BU417" i="28"/>
  <c r="BY737" i="28"/>
  <c r="BX737" i="28"/>
  <c r="BW737" i="28"/>
  <c r="BV737" i="28"/>
  <c r="BX736" i="28"/>
  <c r="BW736" i="28"/>
  <c r="BV736" i="28"/>
  <c r="BU736" i="28"/>
  <c r="BX735" i="28"/>
  <c r="BW735" i="28"/>
  <c r="BV735" i="28"/>
  <c r="BU735" i="28"/>
  <c r="BX734" i="28"/>
  <c r="BW734" i="28"/>
  <c r="BV734" i="28"/>
  <c r="BU734" i="28"/>
  <c r="BX733" i="28"/>
  <c r="BW733" i="28"/>
  <c r="BV733" i="28"/>
  <c r="BU733" i="28"/>
  <c r="BX732" i="28"/>
  <c r="BW732" i="28"/>
  <c r="BV732" i="28"/>
  <c r="BU732" i="28"/>
  <c r="BX731" i="28"/>
  <c r="BW731" i="28"/>
  <c r="BV731" i="28"/>
  <c r="BU731" i="28"/>
  <c r="BY730" i="28"/>
  <c r="BX730" i="28"/>
  <c r="BW730" i="28"/>
  <c r="BV730" i="28"/>
  <c r="BX729" i="28"/>
  <c r="BW729" i="28"/>
  <c r="BV729" i="28"/>
  <c r="BU729" i="28"/>
  <c r="BY728" i="28"/>
  <c r="BX728" i="28"/>
  <c r="BW728" i="28"/>
  <c r="BV728" i="28"/>
  <c r="BU372" i="28"/>
  <c r="BV371" i="28"/>
  <c r="BU371" i="28"/>
  <c r="BX727" i="28"/>
  <c r="BW727" i="28"/>
  <c r="BV727" i="28"/>
  <c r="BU727" i="28"/>
  <c r="BX726" i="28"/>
  <c r="BW726" i="28"/>
  <c r="BV726" i="28"/>
  <c r="BU726" i="28"/>
  <c r="BU370" i="28"/>
  <c r="BX725" i="28"/>
  <c r="BW725" i="28"/>
  <c r="BV725" i="28"/>
  <c r="BU725" i="28"/>
  <c r="BT156" i="28"/>
  <c r="BU369" i="28"/>
  <c r="BU368" i="28"/>
  <c r="BX724" i="28"/>
  <c r="BW724" i="28"/>
  <c r="BV724" i="28"/>
  <c r="BU724" i="28"/>
  <c r="BU367" i="28"/>
  <c r="BT155" i="28"/>
  <c r="BU416" i="28"/>
  <c r="BX723" i="28"/>
  <c r="BW723" i="28"/>
  <c r="BV723" i="28"/>
  <c r="BU723" i="28"/>
  <c r="BT154" i="28"/>
  <c r="BX722" i="28"/>
  <c r="BW722" i="28"/>
  <c r="BV722" i="28"/>
  <c r="BU722" i="28"/>
  <c r="BU365" i="28"/>
  <c r="BX721" i="28"/>
  <c r="BW721" i="28"/>
  <c r="BV721" i="28"/>
  <c r="BU721" i="28"/>
  <c r="BX720" i="28"/>
  <c r="BW720" i="28"/>
  <c r="BV720" i="28"/>
  <c r="BU720" i="28"/>
  <c r="BX719" i="28"/>
  <c r="BW719" i="28"/>
  <c r="BV719" i="28"/>
  <c r="BU719" i="28"/>
  <c r="BU364" i="28"/>
  <c r="BX718" i="28"/>
  <c r="BW718" i="28"/>
  <c r="BV718" i="28"/>
  <c r="BU718" i="28"/>
  <c r="BX717" i="28"/>
  <c r="BW717" i="28"/>
  <c r="BV717" i="28"/>
  <c r="BU717" i="28"/>
  <c r="BX716" i="28"/>
  <c r="BW716" i="28"/>
  <c r="BV716" i="28"/>
  <c r="BU716" i="28"/>
  <c r="BU413" i="28"/>
  <c r="BU412" i="28"/>
  <c r="BU411" i="28"/>
  <c r="BU410" i="28"/>
  <c r="BU359" i="28"/>
  <c r="BU358" i="28"/>
  <c r="BZ715" i="28"/>
  <c r="BY715" i="28"/>
  <c r="BX715" i="28"/>
  <c r="BZ714" i="28"/>
  <c r="BY714" i="28"/>
  <c r="BX714" i="28"/>
  <c r="BT153" i="28"/>
  <c r="BU357" i="28"/>
  <c r="BX713" i="28"/>
  <c r="BW713" i="28"/>
  <c r="BV713" i="28"/>
  <c r="BU713" i="28"/>
  <c r="BT152" i="28"/>
  <c r="BT151" i="28"/>
  <c r="BX396" i="28"/>
  <c r="BW396" i="28"/>
  <c r="BV396" i="28"/>
  <c r="BU396" i="28"/>
  <c r="BX389" i="28"/>
  <c r="BW389" i="28"/>
  <c r="BV389" i="28"/>
  <c r="BU389" i="28"/>
  <c r="BX374" i="28"/>
  <c r="BW374" i="28"/>
  <c r="BV374" i="28"/>
  <c r="BU374" i="28"/>
  <c r="BX373" i="28"/>
  <c r="BW373" i="28"/>
  <c r="BV373" i="28"/>
  <c r="BU373" i="28"/>
  <c r="BU356" i="28"/>
  <c r="BT150" i="28"/>
  <c r="BX708" i="28"/>
  <c r="BW708" i="28"/>
  <c r="BV708" i="28"/>
  <c r="BU708" i="28"/>
  <c r="BY707" i="28"/>
  <c r="BX707" i="28"/>
  <c r="BW707" i="28"/>
  <c r="BV707" i="28"/>
  <c r="BU355" i="28"/>
  <c r="BU354" i="28"/>
  <c r="BT149" i="28"/>
  <c r="BT148" i="28"/>
  <c r="BU353" i="28"/>
  <c r="BY706" i="28"/>
  <c r="BX706" i="28"/>
  <c r="BW706" i="28"/>
  <c r="BV706" i="28"/>
  <c r="BT147" i="28"/>
  <c r="BY705" i="28"/>
  <c r="BX705" i="28"/>
  <c r="BW705" i="28"/>
  <c r="BV705" i="28"/>
  <c r="BY704" i="28"/>
  <c r="BX704" i="28"/>
  <c r="BW704" i="28"/>
  <c r="BV704" i="28"/>
  <c r="BY703" i="28"/>
  <c r="BX703" i="28"/>
  <c r="BW703" i="28"/>
  <c r="BV703" i="28"/>
  <c r="BY702" i="28"/>
  <c r="BX702" i="28"/>
  <c r="BW702" i="28"/>
  <c r="BV702" i="28"/>
  <c r="BY701" i="28"/>
  <c r="BX701" i="28"/>
  <c r="BW701" i="28"/>
  <c r="BV701" i="28"/>
  <c r="BX700" i="28"/>
  <c r="BW700" i="28"/>
  <c r="BV700" i="28"/>
  <c r="BU700" i="28"/>
  <c r="BU352" i="28"/>
  <c r="BX699" i="28"/>
  <c r="BW699" i="28"/>
  <c r="BV699" i="28"/>
  <c r="BU699" i="28"/>
  <c r="BT146" i="28"/>
  <c r="BU351" i="28"/>
  <c r="BU350" i="28"/>
  <c r="BY698" i="28"/>
  <c r="BX698" i="28"/>
  <c r="BW698" i="28"/>
  <c r="BV698" i="28"/>
  <c r="BT145" i="28"/>
  <c r="BY697" i="28"/>
  <c r="BX697" i="28"/>
  <c r="BW697" i="28"/>
  <c r="BV697" i="28"/>
  <c r="BT144" i="28"/>
  <c r="BT143" i="28"/>
  <c r="BV349" i="28"/>
  <c r="BU349" i="28"/>
  <c r="BX696" i="28"/>
  <c r="BW696" i="28"/>
  <c r="BV696" i="28"/>
  <c r="BU696" i="28"/>
  <c r="CC882" i="28"/>
  <c r="CB882" i="28"/>
  <c r="CA882" i="28"/>
  <c r="BZ882" i="28"/>
  <c r="BY348" i="28"/>
  <c r="BX348" i="28"/>
  <c r="BW348" i="28"/>
  <c r="BV348" i="28"/>
  <c r="BY347" i="28"/>
  <c r="BX347" i="28"/>
  <c r="BW347" i="28"/>
  <c r="BV347" i="28"/>
  <c r="BT142" i="28"/>
  <c r="BU346" i="28"/>
  <c r="BT141" i="28"/>
  <c r="BT140" i="28"/>
  <c r="BU345" i="28"/>
  <c r="BT139" i="28"/>
  <c r="BZ694" i="28"/>
  <c r="BY694" i="28"/>
  <c r="BX694" i="28"/>
  <c r="BZ693" i="28"/>
  <c r="BY693" i="28"/>
  <c r="BX693" i="28"/>
  <c r="BZ692" i="28"/>
  <c r="BY692" i="28"/>
  <c r="BX692" i="28"/>
  <c r="BT138" i="28"/>
  <c r="BX691" i="28"/>
  <c r="BW691" i="28"/>
  <c r="BV691" i="28"/>
  <c r="BU691" i="28"/>
  <c r="BX690" i="28"/>
  <c r="BW690" i="28"/>
  <c r="BV690" i="28"/>
  <c r="BU690" i="28"/>
  <c r="BT137" i="28"/>
  <c r="BV344" i="28"/>
  <c r="BU344" i="28"/>
  <c r="BY689" i="28"/>
  <c r="BX689" i="28"/>
  <c r="BW689" i="28"/>
  <c r="BV689" i="28"/>
  <c r="BX688" i="28"/>
  <c r="BW688" i="28"/>
  <c r="BV688" i="28"/>
  <c r="BU688" i="28"/>
  <c r="BY687" i="28"/>
  <c r="BX687" i="28"/>
  <c r="BW687" i="28"/>
  <c r="BV687" i="28"/>
  <c r="BX686" i="28"/>
  <c r="BW686" i="28"/>
  <c r="BV686" i="28"/>
  <c r="BU686" i="28"/>
  <c r="BU343" i="28"/>
  <c r="BX685" i="28"/>
  <c r="BW685" i="28"/>
  <c r="BV685" i="28"/>
  <c r="BU685" i="28"/>
  <c r="BT136" i="28"/>
  <c r="BU342" i="28"/>
  <c r="BT135" i="28"/>
  <c r="BZ684" i="28"/>
  <c r="BY684" i="28"/>
  <c r="BX684" i="28"/>
  <c r="BZ683" i="28"/>
  <c r="BY683" i="28"/>
  <c r="BX683" i="28"/>
  <c r="BZ682" i="28"/>
  <c r="BY682" i="28"/>
  <c r="BX682" i="28"/>
  <c r="BZ681" i="28"/>
  <c r="BY681" i="28"/>
  <c r="BX681" i="28"/>
  <c r="BZ680" i="28"/>
  <c r="BY680" i="28"/>
  <c r="BX680" i="28"/>
  <c r="BZ679" i="28"/>
  <c r="BY679" i="28"/>
  <c r="BX679" i="28"/>
  <c r="BZ678" i="28"/>
  <c r="BY678" i="28"/>
  <c r="BX678" i="28"/>
  <c r="BZ677" i="28"/>
  <c r="BY677" i="28"/>
  <c r="BX677" i="28"/>
  <c r="BU341" i="28"/>
  <c r="BU340" i="28"/>
  <c r="BX676" i="28"/>
  <c r="BW676" i="28"/>
  <c r="BV676" i="28"/>
  <c r="BU676" i="28"/>
  <c r="BU339" i="28"/>
  <c r="BX675" i="28"/>
  <c r="BW675" i="28"/>
  <c r="BV675" i="28"/>
  <c r="BU675" i="28"/>
  <c r="BU338" i="28"/>
  <c r="BT134" i="28"/>
  <c r="BX674" i="28"/>
  <c r="BW674" i="28"/>
  <c r="BV674" i="28"/>
  <c r="BU674" i="28"/>
  <c r="BT133" i="28"/>
  <c r="BX673" i="28"/>
  <c r="BW673" i="28"/>
  <c r="BV673" i="28"/>
  <c r="BU673" i="28"/>
  <c r="BU337" i="28"/>
  <c r="BV336" i="28"/>
  <c r="BU336" i="28"/>
  <c r="BV335" i="28"/>
  <c r="BU335" i="28"/>
  <c r="BX672" i="28"/>
  <c r="BW672" i="28"/>
  <c r="BV672" i="28"/>
  <c r="BU672" i="28"/>
  <c r="BU334" i="28"/>
  <c r="BT132" i="28"/>
  <c r="BT131" i="28"/>
  <c r="BT130" i="28"/>
  <c r="BU333" i="28"/>
  <c r="BU332" i="28"/>
  <c r="BU331" i="28"/>
  <c r="BV330" i="28"/>
  <c r="BU330" i="28"/>
  <c r="BV329" i="28"/>
  <c r="BU329" i="28"/>
  <c r="BT129" i="28"/>
  <c r="BX671" i="28"/>
  <c r="BW671" i="28"/>
  <c r="BV671" i="28"/>
  <c r="BU671" i="28"/>
  <c r="BT128" i="28"/>
  <c r="BX670" i="28"/>
  <c r="BW670" i="28"/>
  <c r="BV670" i="28"/>
  <c r="BU670" i="28"/>
  <c r="BT127" i="28"/>
  <c r="BX669" i="28"/>
  <c r="BW669" i="28"/>
  <c r="BV669" i="28"/>
  <c r="BU669" i="28"/>
  <c r="BT126" i="28"/>
  <c r="BT125" i="28"/>
  <c r="BX668" i="28"/>
  <c r="BW668" i="28"/>
  <c r="BV668" i="28"/>
  <c r="BU668" i="28"/>
  <c r="BU328" i="28"/>
  <c r="BY667" i="28"/>
  <c r="BX667" i="28"/>
  <c r="BW667" i="28"/>
  <c r="BV667" i="28"/>
  <c r="BX666" i="28"/>
  <c r="BW666" i="28"/>
  <c r="BV666" i="28"/>
  <c r="BU666" i="28"/>
  <c r="BX665" i="28"/>
  <c r="BW665" i="28"/>
  <c r="BV665" i="28"/>
  <c r="BU665" i="28"/>
  <c r="BX664" i="28"/>
  <c r="BW664" i="28"/>
  <c r="BV664" i="28"/>
  <c r="BU664" i="28"/>
  <c r="BX663" i="28"/>
  <c r="BW663" i="28"/>
  <c r="BV663" i="28"/>
  <c r="BU663" i="28"/>
  <c r="BT124" i="28"/>
  <c r="BU327" i="28"/>
  <c r="BX662" i="28"/>
  <c r="BW662" i="28"/>
  <c r="BV662" i="28"/>
  <c r="BU662" i="28"/>
  <c r="BZ366" i="28"/>
  <c r="BY366" i="28"/>
  <c r="BX366" i="28"/>
  <c r="BZ363" i="28"/>
  <c r="BY363" i="28"/>
  <c r="BX363" i="28"/>
  <c r="BX659" i="28"/>
  <c r="BW659" i="28"/>
  <c r="BV659" i="28"/>
  <c r="BU659" i="28"/>
  <c r="BX658" i="28"/>
  <c r="BW658" i="28"/>
  <c r="BV658" i="28"/>
  <c r="BU658" i="28"/>
  <c r="BX657" i="28"/>
  <c r="BW657" i="28"/>
  <c r="BV657" i="28"/>
  <c r="BU657" i="28"/>
  <c r="BU326" i="28"/>
  <c r="BT123" i="28"/>
  <c r="BT122" i="28"/>
  <c r="BY325" i="28"/>
  <c r="BX325" i="28"/>
  <c r="BW325" i="28"/>
  <c r="BV325" i="28"/>
  <c r="BY324" i="28"/>
  <c r="BX324" i="28"/>
  <c r="BW324" i="28"/>
  <c r="BV324" i="28"/>
  <c r="BV323" i="28"/>
  <c r="BU323" i="28"/>
  <c r="BT121" i="28"/>
  <c r="BT120" i="28"/>
  <c r="BX656" i="28"/>
  <c r="BW656" i="28"/>
  <c r="BV656" i="28"/>
  <c r="BU656" i="28"/>
  <c r="BU322" i="28"/>
  <c r="BT119" i="28"/>
  <c r="BX655" i="28"/>
  <c r="BW655" i="28"/>
  <c r="BV655" i="28"/>
  <c r="BU655" i="28"/>
  <c r="BT118" i="28"/>
  <c r="BU321" i="28"/>
  <c r="BU320" i="28"/>
  <c r="BV319" i="28"/>
  <c r="BU319" i="28"/>
  <c r="BV318" i="28"/>
  <c r="BU318" i="28"/>
  <c r="BY409" i="28"/>
  <c r="BY408" i="28"/>
  <c r="BY407" i="28"/>
  <c r="BY406" i="28"/>
  <c r="BY397" i="28"/>
  <c r="BW312" i="28"/>
  <c r="BX654" i="28"/>
  <c r="BW654" i="28"/>
  <c r="BV654" i="28"/>
  <c r="BU654" i="28"/>
  <c r="BX653" i="28"/>
  <c r="BW653" i="28"/>
  <c r="BV653" i="28"/>
  <c r="BU653" i="28"/>
  <c r="BY652" i="28"/>
  <c r="BX652" i="28"/>
  <c r="BW652" i="28"/>
  <c r="BV652" i="28"/>
  <c r="BZ651" i="28"/>
  <c r="BY651" i="28"/>
  <c r="BX651" i="28"/>
  <c r="BX650" i="28"/>
  <c r="BW650" i="28"/>
  <c r="BV650" i="28"/>
  <c r="BU650" i="28"/>
  <c r="BY649" i="28"/>
  <c r="BX649" i="28"/>
  <c r="BW649" i="28"/>
  <c r="BV649" i="28"/>
  <c r="BY648" i="28"/>
  <c r="BX648" i="28"/>
  <c r="BW648" i="28"/>
  <c r="BV648" i="28"/>
  <c r="BX647" i="28"/>
  <c r="BW647" i="28"/>
  <c r="BV647" i="28"/>
  <c r="BU647" i="28"/>
  <c r="BX646" i="28"/>
  <c r="BW646" i="28"/>
  <c r="BV646" i="28"/>
  <c r="BU646" i="28"/>
  <c r="BX645" i="28"/>
  <c r="BW645" i="28"/>
  <c r="BV645" i="28"/>
  <c r="BU645" i="28"/>
  <c r="BY644" i="28"/>
  <c r="BX644" i="28"/>
  <c r="BW644" i="28"/>
  <c r="BV644" i="28"/>
  <c r="BW311" i="28"/>
  <c r="BT117" i="28"/>
  <c r="BY643" i="28"/>
  <c r="BX643" i="28"/>
  <c r="BW643" i="28"/>
  <c r="BV643" i="28"/>
  <c r="BT116" i="28"/>
  <c r="BX642" i="28"/>
  <c r="BW642" i="28"/>
  <c r="BV642" i="28"/>
  <c r="BU642" i="28"/>
  <c r="BX641" i="28"/>
  <c r="BW641" i="28"/>
  <c r="BV641" i="28"/>
  <c r="BU641" i="28"/>
  <c r="BY640" i="28"/>
  <c r="BX640" i="28"/>
  <c r="BW640" i="28"/>
  <c r="BV640" i="28"/>
  <c r="BV310" i="28"/>
  <c r="BU309" i="28"/>
  <c r="BU308" i="28"/>
  <c r="BU307" i="28"/>
  <c r="BU306" i="28"/>
  <c r="BU305" i="28"/>
  <c r="BU304" i="28"/>
  <c r="BX639" i="28"/>
  <c r="BW639" i="28"/>
  <c r="BV639" i="28"/>
  <c r="BU639" i="28"/>
  <c r="BT115" i="28"/>
  <c r="BY638" i="28"/>
  <c r="BX638" i="28"/>
  <c r="BW638" i="28"/>
  <c r="BV638" i="28"/>
  <c r="BX637" i="28"/>
  <c r="BW637" i="28"/>
  <c r="BV637" i="28"/>
  <c r="BU637" i="28"/>
  <c r="BU303" i="28"/>
  <c r="BU302" i="28"/>
  <c r="BZ636" i="28"/>
  <c r="BY636" i="28"/>
  <c r="BX636" i="28"/>
  <c r="BY301" i="28"/>
  <c r="BX301" i="28"/>
  <c r="BW301" i="28"/>
  <c r="BV301" i="28"/>
  <c r="BY635" i="28"/>
  <c r="BT114" i="28"/>
  <c r="BV300" i="28"/>
  <c r="BU300" i="28"/>
  <c r="BT113" i="28"/>
  <c r="BU299" i="28"/>
  <c r="BY634" i="28"/>
  <c r="BX634" i="28"/>
  <c r="BW634" i="28"/>
  <c r="BV634" i="28"/>
  <c r="BY633" i="28"/>
  <c r="BV298" i="28"/>
  <c r="BX632" i="28"/>
  <c r="BW632" i="28"/>
  <c r="BV632" i="28"/>
  <c r="BU632" i="28"/>
  <c r="BT112" i="28"/>
  <c r="BT111" i="28"/>
  <c r="BX631" i="28"/>
  <c r="BW631" i="28"/>
  <c r="BV631" i="28"/>
  <c r="BU631" i="28"/>
  <c r="BT110" i="28"/>
  <c r="BT109" i="28"/>
  <c r="BX630" i="28"/>
  <c r="BW630" i="28"/>
  <c r="BV630" i="28"/>
  <c r="BU630" i="28"/>
  <c r="BT108" i="28"/>
  <c r="BX629" i="28"/>
  <c r="BW629" i="28"/>
  <c r="BV629" i="28"/>
  <c r="BU629" i="28"/>
  <c r="BX628" i="28"/>
  <c r="BW628" i="28"/>
  <c r="BV628" i="28"/>
  <c r="BU628" i="28"/>
  <c r="BT107" i="28"/>
  <c r="BX627" i="28"/>
  <c r="BW627" i="28"/>
  <c r="BV627" i="28"/>
  <c r="BU627" i="28"/>
  <c r="BX626" i="28"/>
  <c r="BW626" i="28"/>
  <c r="BV626" i="28"/>
  <c r="BU626" i="28"/>
  <c r="BT106" i="28"/>
  <c r="BT105" i="28"/>
  <c r="BV297" i="28"/>
  <c r="BU297" i="28"/>
  <c r="BX625" i="28"/>
  <c r="BW625" i="28"/>
  <c r="BV625" i="28"/>
  <c r="BU625" i="28"/>
  <c r="BX624" i="28"/>
  <c r="BW624" i="28"/>
  <c r="BV624" i="28"/>
  <c r="BU624" i="28"/>
  <c r="BX623" i="28"/>
  <c r="BW623" i="28"/>
  <c r="BV623" i="28"/>
  <c r="BU623" i="28"/>
  <c r="BV296" i="28"/>
  <c r="BU296" i="28"/>
  <c r="BV295" i="28"/>
  <c r="BU295" i="28"/>
  <c r="BV294" i="28"/>
  <c r="BU294" i="28"/>
  <c r="BX622" i="28"/>
  <c r="BW622" i="28"/>
  <c r="BV622" i="28"/>
  <c r="BU622" i="28"/>
  <c r="BT104" i="28"/>
  <c r="BT103" i="28"/>
  <c r="BT102" i="28"/>
  <c r="BT101" i="28"/>
  <c r="BU293" i="28"/>
  <c r="BT100" i="28"/>
  <c r="BX621" i="28"/>
  <c r="BW621" i="28"/>
  <c r="BV621" i="28"/>
  <c r="BU621" i="28"/>
  <c r="BV292" i="28"/>
  <c r="BU292" i="28"/>
  <c r="BT99" i="28"/>
  <c r="BT98" i="28"/>
  <c r="BV291" i="28"/>
  <c r="BU291" i="28"/>
  <c r="BV290" i="28"/>
  <c r="BU290" i="28"/>
  <c r="BX620" i="28"/>
  <c r="BW620" i="28"/>
  <c r="BV620" i="28"/>
  <c r="BU620" i="28"/>
  <c r="BY619" i="28"/>
  <c r="BX619" i="28"/>
  <c r="BW619" i="28"/>
  <c r="BV619" i="28"/>
  <c r="BU289" i="28"/>
  <c r="BU288" i="28"/>
  <c r="BX618" i="28"/>
  <c r="BW618" i="28"/>
  <c r="BV618" i="28"/>
  <c r="BU618" i="28"/>
  <c r="BX617" i="28"/>
  <c r="BW617" i="28"/>
  <c r="BV617" i="28"/>
  <c r="BU617" i="28"/>
  <c r="BX616" i="28"/>
  <c r="BW616" i="28"/>
  <c r="BV616" i="28"/>
  <c r="BU616" i="28"/>
  <c r="BU287" i="28"/>
  <c r="BU286" i="28"/>
  <c r="BU285" i="28"/>
  <c r="BX615" i="28"/>
  <c r="BW615" i="28"/>
  <c r="BV615" i="28"/>
  <c r="BU615" i="28"/>
  <c r="BX614" i="28"/>
  <c r="BW614" i="28"/>
  <c r="BV614" i="28"/>
  <c r="BU614" i="28"/>
  <c r="BU284" i="28"/>
  <c r="BU283" i="28"/>
  <c r="BU282" i="28"/>
  <c r="BU281" i="28"/>
  <c r="BU280" i="28"/>
  <c r="BT97" i="28"/>
  <c r="BT96" i="28"/>
  <c r="BU279" i="28"/>
  <c r="BT95" i="28"/>
  <c r="BX613" i="28"/>
  <c r="BW613" i="28"/>
  <c r="BV613" i="28"/>
  <c r="BU613" i="28"/>
  <c r="BX612" i="28"/>
  <c r="BW612" i="28"/>
  <c r="BV612" i="28"/>
  <c r="BU612" i="28"/>
  <c r="BU278" i="28"/>
  <c r="BT94" i="28"/>
  <c r="BT93" i="28"/>
  <c r="BT92" i="28"/>
  <c r="BX611" i="28"/>
  <c r="BW611" i="28"/>
  <c r="BV611" i="28"/>
  <c r="BU611" i="28"/>
  <c r="BX610" i="28"/>
  <c r="BW610" i="28"/>
  <c r="BV610" i="28"/>
  <c r="BU610" i="28"/>
  <c r="BX609" i="28"/>
  <c r="BW609" i="28"/>
  <c r="BV609" i="28"/>
  <c r="BU609" i="28"/>
  <c r="BX608" i="28"/>
  <c r="BW608" i="28"/>
  <c r="BV608" i="28"/>
  <c r="BU608" i="28"/>
  <c r="BU277" i="28"/>
  <c r="BX607" i="28"/>
  <c r="BW607" i="28"/>
  <c r="BV607" i="28"/>
  <c r="BU607" i="28"/>
  <c r="BX606" i="28"/>
  <c r="BW606" i="28"/>
  <c r="BV606" i="28"/>
  <c r="BU606" i="28"/>
  <c r="BT91" i="28"/>
  <c r="BT90" i="28"/>
  <c r="BT89" i="28"/>
  <c r="BT88" i="28"/>
  <c r="BT87" i="28"/>
  <c r="BT86" i="28"/>
  <c r="BT85" i="28"/>
  <c r="BT84" i="28"/>
  <c r="BT83" i="28"/>
  <c r="BT82" i="28"/>
  <c r="BT81" i="28"/>
  <c r="BT80" i="28"/>
  <c r="BT79" i="28"/>
  <c r="BT78" i="28"/>
  <c r="BT77" i="28"/>
  <c r="BT76" i="28"/>
  <c r="BT75" i="28"/>
  <c r="BT74" i="28"/>
  <c r="BT73" i="28"/>
  <c r="BT72" i="28"/>
  <c r="BT71" i="28"/>
  <c r="BU276" i="28"/>
  <c r="BZ605" i="28"/>
  <c r="BY605" i="28"/>
  <c r="BX605" i="28"/>
  <c r="BZ604" i="28"/>
  <c r="BY604" i="28"/>
  <c r="BX604" i="28"/>
  <c r="BZ603" i="28"/>
  <c r="BY603" i="28"/>
  <c r="BX603" i="28"/>
  <c r="BT70" i="28"/>
  <c r="BT69" i="28"/>
  <c r="BT68" i="28"/>
  <c r="BU275" i="28"/>
  <c r="BT67" i="28"/>
  <c r="BT66" i="28"/>
  <c r="BT65" i="28"/>
  <c r="BX602" i="28"/>
  <c r="BW602" i="28"/>
  <c r="BV602" i="28"/>
  <c r="BU602" i="28"/>
  <c r="BX601" i="28"/>
  <c r="BW601" i="28"/>
  <c r="BV601" i="28"/>
  <c r="BU601" i="28"/>
  <c r="BU274" i="28"/>
  <c r="BY600" i="28"/>
  <c r="BX600" i="28"/>
  <c r="BW600" i="28"/>
  <c r="BV600" i="28"/>
  <c r="BU273" i="28"/>
  <c r="BY599" i="28"/>
  <c r="BX599" i="28"/>
  <c r="BW599" i="28"/>
  <c r="BV599" i="28"/>
  <c r="BT64" i="28"/>
  <c r="BX598" i="28"/>
  <c r="BW598" i="28"/>
  <c r="BV598" i="28"/>
  <c r="BU598" i="28"/>
  <c r="BX597" i="28"/>
  <c r="BW597" i="28"/>
  <c r="BV597" i="28"/>
  <c r="BU597" i="28"/>
  <c r="BU272" i="28"/>
  <c r="BX596" i="28"/>
  <c r="BW596" i="28"/>
  <c r="BV596" i="28"/>
  <c r="BU596" i="28"/>
  <c r="BX595" i="28"/>
  <c r="BW595" i="28"/>
  <c r="BV595" i="28"/>
  <c r="BU595" i="28"/>
  <c r="BX594" i="28"/>
  <c r="BW594" i="28"/>
  <c r="BV594" i="28"/>
  <c r="BU594" i="28"/>
  <c r="BX593" i="28"/>
  <c r="BW593" i="28"/>
  <c r="BV593" i="28"/>
  <c r="BU593" i="28"/>
  <c r="BX592" i="28"/>
  <c r="BW592" i="28"/>
  <c r="BV592" i="28"/>
  <c r="BU592" i="28"/>
  <c r="BX591" i="28"/>
  <c r="BW591" i="28"/>
  <c r="BV591" i="28"/>
  <c r="BU591" i="28"/>
  <c r="BX590" i="28"/>
  <c r="BW590" i="28"/>
  <c r="BV590" i="28"/>
  <c r="BU590" i="28"/>
  <c r="BT63" i="28"/>
  <c r="BT62" i="28"/>
  <c r="BX589" i="28"/>
  <c r="BW589" i="28"/>
  <c r="BV589" i="28"/>
  <c r="BU589" i="28"/>
  <c r="BX588" i="28"/>
  <c r="BW588" i="28"/>
  <c r="BV588" i="28"/>
  <c r="BU588" i="28"/>
  <c r="BX587" i="28"/>
  <c r="BW587" i="28"/>
  <c r="BV587" i="28"/>
  <c r="BU587" i="28"/>
  <c r="BT61" i="28"/>
  <c r="BT60" i="28"/>
  <c r="BT59" i="28"/>
  <c r="BU271" i="28"/>
  <c r="BU270" i="28"/>
  <c r="BX586" i="28"/>
  <c r="BW586" i="28"/>
  <c r="BV586" i="28"/>
  <c r="BU586" i="28"/>
  <c r="BT58" i="28"/>
  <c r="BX585" i="28"/>
  <c r="BW585" i="28"/>
  <c r="BV585" i="28"/>
  <c r="BU585" i="28"/>
  <c r="BX584" i="28"/>
  <c r="BW584" i="28"/>
  <c r="BV584" i="28"/>
  <c r="BU584" i="28"/>
  <c r="BT57" i="28"/>
  <c r="BX583" i="28"/>
  <c r="BW583" i="28"/>
  <c r="BV583" i="28"/>
  <c r="BU583" i="28"/>
  <c r="BT56" i="28"/>
  <c r="BT55" i="28"/>
  <c r="BT54" i="28"/>
  <c r="BT53" i="28"/>
  <c r="BU269" i="28"/>
  <c r="BU268" i="28"/>
  <c r="BU267" i="28"/>
  <c r="BU266" i="28"/>
  <c r="BU265" i="28"/>
  <c r="BY582" i="28"/>
  <c r="BX582" i="28"/>
  <c r="BW582" i="28"/>
  <c r="BV582" i="28"/>
  <c r="BY581" i="28"/>
  <c r="BX581" i="28"/>
  <c r="BW581" i="28"/>
  <c r="BV581" i="28"/>
  <c r="BY580" i="28"/>
  <c r="BX580" i="28"/>
  <c r="BW580" i="28"/>
  <c r="BV580" i="28"/>
  <c r="BY579" i="28"/>
  <c r="BX579" i="28"/>
  <c r="BW579" i="28"/>
  <c r="BV579" i="28"/>
  <c r="BX578" i="28"/>
  <c r="BW578" i="28"/>
  <c r="BV578" i="28"/>
  <c r="BU578" i="28"/>
  <c r="BX577" i="28"/>
  <c r="BW577" i="28"/>
  <c r="BV577" i="28"/>
  <c r="BU577" i="28"/>
  <c r="BU264" i="28"/>
  <c r="BY576" i="28"/>
  <c r="BX576" i="28"/>
  <c r="BW576" i="28"/>
  <c r="BV576" i="28"/>
  <c r="BV263" i="28"/>
  <c r="BU263" i="28"/>
  <c r="BX575" i="28"/>
  <c r="BW575" i="28"/>
  <c r="BV575" i="28"/>
  <c r="BU575" i="28"/>
  <c r="BX574" i="28"/>
  <c r="BW574" i="28"/>
  <c r="BV574" i="28"/>
  <c r="BU574" i="28"/>
  <c r="BX573" i="28"/>
  <c r="BW573" i="28"/>
  <c r="BV573" i="28"/>
  <c r="BU573" i="28"/>
  <c r="BU262" i="28"/>
  <c r="BU261" i="28"/>
  <c r="BZ572" i="28"/>
  <c r="BY572" i="28"/>
  <c r="BX572" i="28"/>
  <c r="BZ571" i="28"/>
  <c r="BY571" i="28"/>
  <c r="BX571" i="28"/>
  <c r="BT52" i="28"/>
  <c r="BT51" i="28"/>
  <c r="BU260" i="28"/>
  <c r="BU259" i="28"/>
  <c r="BU258" i="28"/>
  <c r="BT50" i="28"/>
  <c r="BT49" i="28"/>
  <c r="BT48" i="28"/>
  <c r="BT47" i="28"/>
  <c r="BT46" i="28"/>
  <c r="BT45" i="28"/>
  <c r="BT44" i="28"/>
  <c r="BT43" i="28"/>
  <c r="BT42" i="28"/>
  <c r="BT41" i="28"/>
  <c r="BT40" i="28"/>
  <c r="BX570" i="28"/>
  <c r="BW570" i="28"/>
  <c r="BV570" i="28"/>
  <c r="BU570" i="28"/>
  <c r="BX569" i="28"/>
  <c r="BW569" i="28"/>
  <c r="BV569" i="28"/>
  <c r="BU569" i="28"/>
  <c r="BV257" i="28"/>
  <c r="BT39" i="28"/>
  <c r="BT38" i="28"/>
  <c r="BX568" i="28"/>
  <c r="BW568" i="28"/>
  <c r="BV568" i="28"/>
  <c r="BU568" i="28"/>
  <c r="BX567" i="28"/>
  <c r="BW567" i="28"/>
  <c r="BV567" i="28"/>
  <c r="BU567" i="28"/>
  <c r="BU256" i="28"/>
  <c r="BU255" i="28"/>
  <c r="BX566" i="28"/>
  <c r="BW566" i="28"/>
  <c r="BV566" i="28"/>
  <c r="BU566" i="28"/>
  <c r="BT37" i="28"/>
  <c r="BX565" i="28"/>
  <c r="BW565" i="28"/>
  <c r="BV565" i="28"/>
  <c r="BU565" i="28"/>
  <c r="BX564" i="28"/>
  <c r="BW564" i="28"/>
  <c r="BV564" i="28"/>
  <c r="BU564" i="28"/>
  <c r="BU254" i="28"/>
  <c r="BU253" i="28"/>
  <c r="BT36" i="28"/>
  <c r="BT35" i="28"/>
  <c r="BX563" i="28"/>
  <c r="BW563" i="28"/>
  <c r="BV563" i="28"/>
  <c r="BU563" i="28"/>
  <c r="BV252" i="28"/>
  <c r="BU252" i="28"/>
  <c r="BU251" i="28"/>
  <c r="BY562" i="28"/>
  <c r="BX562" i="28"/>
  <c r="BW562" i="28"/>
  <c r="BV562" i="28"/>
  <c r="BU250" i="28"/>
  <c r="BX561" i="28"/>
  <c r="BW561" i="28"/>
  <c r="BV561" i="28"/>
  <c r="BU561" i="28"/>
  <c r="BX560" i="28"/>
  <c r="BW560" i="28"/>
  <c r="BV560" i="28"/>
  <c r="BU560" i="28"/>
  <c r="BX559" i="28"/>
  <c r="BW559" i="28"/>
  <c r="BV559" i="28"/>
  <c r="BU559" i="28"/>
  <c r="BZ558" i="28"/>
  <c r="BY558" i="28"/>
  <c r="BX558" i="28"/>
  <c r="BZ557" i="28"/>
  <c r="BY557" i="28"/>
  <c r="BX557" i="28"/>
  <c r="BZ556" i="28"/>
  <c r="BY556" i="28"/>
  <c r="BX556" i="28"/>
  <c r="BZ555" i="28"/>
  <c r="BY555" i="28"/>
  <c r="BX555" i="28"/>
  <c r="BZ554" i="28"/>
  <c r="BY554" i="28"/>
  <c r="BX554" i="28"/>
  <c r="BZ553" i="28"/>
  <c r="BY553" i="28"/>
  <c r="BX553" i="28"/>
  <c r="BZ552" i="28"/>
  <c r="BY552" i="28"/>
  <c r="BX552" i="28"/>
  <c r="BZ551" i="28"/>
  <c r="BY551" i="28"/>
  <c r="BX551" i="28"/>
  <c r="BZ550" i="28"/>
  <c r="BY550" i="28"/>
  <c r="BX550" i="28"/>
  <c r="BZ549" i="28"/>
  <c r="BY549" i="28"/>
  <c r="BX549" i="28"/>
  <c r="BZ548" i="28"/>
  <c r="BY548" i="28"/>
  <c r="BX548" i="28"/>
  <c r="BZ547" i="28"/>
  <c r="BY547" i="28"/>
  <c r="BX547" i="28"/>
  <c r="BX546" i="28"/>
  <c r="BW546" i="28"/>
  <c r="BV546" i="28"/>
  <c r="BU546" i="28"/>
  <c r="BX545" i="28"/>
  <c r="BW545" i="28"/>
  <c r="BV545" i="28"/>
  <c r="BU545" i="28"/>
  <c r="BV249" i="28"/>
  <c r="BV248" i="28"/>
  <c r="BU248" i="28"/>
  <c r="BV247" i="28"/>
  <c r="BW246" i="28"/>
  <c r="BW245" i="28"/>
  <c r="BX544" i="28"/>
  <c r="BX543" i="28"/>
  <c r="BW543" i="28"/>
  <c r="BV543" i="28"/>
  <c r="BU543" i="28"/>
  <c r="BX542" i="28"/>
  <c r="BW542" i="28"/>
  <c r="BV542" i="28"/>
  <c r="BU542" i="28"/>
  <c r="BT34" i="28"/>
  <c r="BT33" i="28"/>
  <c r="BX541" i="28"/>
  <c r="BW541" i="28"/>
  <c r="BV541" i="28"/>
  <c r="BU541" i="28"/>
  <c r="BY540" i="28"/>
  <c r="BX540" i="28"/>
  <c r="BW540" i="28"/>
  <c r="BV540" i="28"/>
  <c r="BX539" i="28"/>
  <c r="BU244" i="28"/>
  <c r="BX538" i="28"/>
  <c r="BW538" i="28"/>
  <c r="BV538" i="28"/>
  <c r="BU538" i="28"/>
  <c r="BX537" i="28"/>
  <c r="BW537" i="28"/>
  <c r="BV537" i="28"/>
  <c r="BU537" i="28"/>
  <c r="BX536" i="28"/>
  <c r="BW536" i="28"/>
  <c r="BV536" i="28"/>
  <c r="BU536" i="28"/>
  <c r="BX535" i="28"/>
  <c r="BW535" i="28"/>
  <c r="BV535" i="28"/>
  <c r="BU535" i="28"/>
  <c r="BX534" i="28"/>
  <c r="BW534" i="28"/>
  <c r="BV534" i="28"/>
  <c r="BU534" i="28"/>
  <c r="BX533" i="28"/>
  <c r="BW533" i="28"/>
  <c r="BV533" i="28"/>
  <c r="BU533" i="28"/>
  <c r="BX532" i="28"/>
  <c r="BW532" i="28"/>
  <c r="BV532" i="28"/>
  <c r="BU532" i="28"/>
  <c r="BX531" i="28"/>
  <c r="BW531" i="28"/>
  <c r="BV531" i="28"/>
  <c r="BU531" i="28"/>
  <c r="BX530" i="28"/>
  <c r="BW530" i="28"/>
  <c r="BV530" i="28"/>
  <c r="BU530" i="28"/>
  <c r="BT32" i="28"/>
  <c r="BT31" i="28"/>
  <c r="BU243" i="28"/>
  <c r="BU242" i="28"/>
  <c r="BU241" i="28"/>
  <c r="BV240" i="28"/>
  <c r="BU240" i="28"/>
  <c r="BX529" i="28"/>
  <c r="BW529" i="28"/>
  <c r="BV529" i="28"/>
  <c r="BU529" i="28"/>
  <c r="BT30" i="28"/>
  <c r="BX528" i="28"/>
  <c r="BW528" i="28"/>
  <c r="BV528" i="28"/>
  <c r="BU528" i="28"/>
  <c r="BX527" i="28"/>
  <c r="BW527" i="28"/>
  <c r="BV527" i="28"/>
  <c r="BU527" i="28"/>
  <c r="BU239" i="28"/>
  <c r="BU238" i="28"/>
  <c r="BU237" i="28"/>
  <c r="BX526" i="28"/>
  <c r="BW526" i="28"/>
  <c r="BV526" i="28"/>
  <c r="BU526" i="28"/>
  <c r="BU236" i="28"/>
  <c r="BZ525" i="28"/>
  <c r="BY525" i="28"/>
  <c r="BX525" i="28"/>
  <c r="BZ524" i="28"/>
  <c r="BY524" i="28"/>
  <c r="BX524" i="28"/>
  <c r="BZ523" i="28"/>
  <c r="BY523" i="28"/>
  <c r="BX523" i="28"/>
  <c r="BZ522" i="28"/>
  <c r="BY522" i="28"/>
  <c r="BX522" i="28"/>
  <c r="BZ521" i="28"/>
  <c r="BY521" i="28"/>
  <c r="BX521" i="28"/>
  <c r="BZ520" i="28"/>
  <c r="BY520" i="28"/>
  <c r="BX520" i="28"/>
  <c r="BZ519" i="28"/>
  <c r="BY519" i="28"/>
  <c r="BX519" i="28"/>
  <c r="BZ518" i="28"/>
  <c r="BY518" i="28"/>
  <c r="BX518" i="28"/>
  <c r="BZ517" i="28"/>
  <c r="BY517" i="28"/>
  <c r="BX517" i="28"/>
  <c r="BZ516" i="28"/>
  <c r="BY516" i="28"/>
  <c r="BX516" i="28"/>
  <c r="BZ515" i="28"/>
  <c r="BY515" i="28"/>
  <c r="BX515" i="28"/>
  <c r="BZ514" i="28"/>
  <c r="BY514" i="28"/>
  <c r="BX514" i="28"/>
  <c r="BU235" i="28"/>
  <c r="BT29" i="28"/>
  <c r="BY513" i="28"/>
  <c r="BT28" i="28"/>
  <c r="BY512" i="28"/>
  <c r="BY511" i="28"/>
  <c r="BY510" i="28"/>
  <c r="BW509" i="28"/>
  <c r="BU234" i="28"/>
  <c r="BY508" i="28"/>
  <c r="BX508" i="28"/>
  <c r="BW508" i="28"/>
  <c r="BV508" i="28"/>
  <c r="BX507" i="28"/>
  <c r="BW507" i="28"/>
  <c r="BV507" i="28"/>
  <c r="BU507" i="28"/>
  <c r="BZ506" i="28"/>
  <c r="BY506" i="28"/>
  <c r="BX506" i="28"/>
  <c r="BU233" i="28"/>
  <c r="BU232" i="28"/>
  <c r="BT27" i="28"/>
  <c r="BZ505" i="28"/>
  <c r="BY505" i="28"/>
  <c r="BX505" i="28"/>
  <c r="BU231" i="28"/>
  <c r="BT26" i="28"/>
  <c r="BT25" i="28"/>
  <c r="BT24" i="28"/>
  <c r="BT23" i="28"/>
  <c r="BU230" i="28"/>
  <c r="BU229" i="28"/>
  <c r="BX504" i="28"/>
  <c r="BW504" i="28"/>
  <c r="BV504" i="28"/>
  <c r="BU504" i="28"/>
  <c r="BX503" i="28"/>
  <c r="BW503" i="28"/>
  <c r="BV503" i="28"/>
  <c r="BU503" i="28"/>
  <c r="BY502" i="28"/>
  <c r="BX502" i="28"/>
  <c r="BW502" i="28"/>
  <c r="BV502" i="28"/>
  <c r="BU228" i="28"/>
  <c r="BU227" i="28"/>
  <c r="BU226" i="28"/>
  <c r="BT22" i="28"/>
  <c r="BU225" i="28"/>
  <c r="BX362" i="28"/>
  <c r="BX361" i="28"/>
  <c r="BX360" i="28"/>
  <c r="BT21" i="28"/>
  <c r="BT20" i="28"/>
  <c r="BT19" i="28"/>
  <c r="BT18" i="28"/>
  <c r="BU221" i="28"/>
  <c r="BU220" i="28"/>
  <c r="BT17" i="28"/>
  <c r="BT16" i="28"/>
  <c r="BT15" i="28"/>
  <c r="BT14" i="28"/>
  <c r="BT13" i="28"/>
  <c r="BT12" i="28"/>
  <c r="BU219" i="28"/>
  <c r="BU218" i="28"/>
  <c r="BU217" i="28"/>
  <c r="BZ501" i="28"/>
  <c r="BY501" i="28"/>
  <c r="BX501" i="28"/>
  <c r="BZ500" i="28"/>
  <c r="BY500" i="28"/>
  <c r="BX500" i="28"/>
  <c r="BZ499" i="28"/>
  <c r="BY499" i="28"/>
  <c r="BX499" i="28"/>
  <c r="BZ498" i="28"/>
  <c r="BY498" i="28"/>
  <c r="BX498" i="28"/>
  <c r="BT11" i="28"/>
  <c r="BX317" i="28"/>
  <c r="BX316" i="28"/>
  <c r="BT10" i="28"/>
  <c r="BZ497" i="28"/>
  <c r="BY497" i="28"/>
  <c r="BX497" i="28"/>
  <c r="BZ496" i="28"/>
  <c r="BY496" i="28"/>
  <c r="BX496" i="28"/>
  <c r="BU214" i="28"/>
  <c r="BY315" i="28"/>
  <c r="BT9" i="28"/>
  <c r="BZ495" i="28"/>
  <c r="BY495" i="28"/>
  <c r="BX495" i="28"/>
  <c r="BT8" i="28"/>
  <c r="BT7" i="28"/>
  <c r="BU212" i="28"/>
  <c r="BU211" i="28"/>
  <c r="BZ494" i="28"/>
  <c r="BY494" i="28"/>
  <c r="BX494" i="28"/>
  <c r="BZ493" i="28"/>
  <c r="BY493" i="28"/>
  <c r="BX493" i="28"/>
  <c r="BY492" i="28"/>
  <c r="BX492" i="28"/>
  <c r="BW492" i="28"/>
  <c r="BV492" i="28"/>
  <c r="BX491" i="28"/>
  <c r="BW491" i="28"/>
  <c r="BV491" i="28"/>
  <c r="BU491" i="28"/>
  <c r="BZ490" i="28"/>
  <c r="BY490" i="28"/>
  <c r="BX490" i="28"/>
  <c r="BZ489" i="28"/>
  <c r="BY489" i="28"/>
  <c r="BX489" i="28"/>
  <c r="BZ488" i="28"/>
  <c r="BY488" i="28"/>
  <c r="BX488" i="28"/>
  <c r="BZ487" i="28"/>
  <c r="BY487" i="28"/>
  <c r="BX487" i="28"/>
  <c r="BZ486" i="28"/>
  <c r="BY486" i="28"/>
  <c r="BX486" i="28"/>
  <c r="BZ485" i="28"/>
  <c r="BY485" i="28"/>
  <c r="BX485" i="28"/>
  <c r="BZ484" i="28"/>
  <c r="BY484" i="28"/>
  <c r="BX484" i="28"/>
  <c r="BT6" i="28"/>
  <c r="BU210" i="28"/>
  <c r="BT5" i="28"/>
  <c r="BU209" i="28"/>
  <c r="BU208" i="28"/>
  <c r="BT4" i="28"/>
  <c r="BT3" i="28"/>
  <c r="BT2" i="28"/>
  <c r="BY314" i="28"/>
  <c r="BZ483" i="28"/>
  <c r="CO483" i="28" s="1"/>
  <c r="BZ482" i="28"/>
  <c r="CO482" i="28" s="1"/>
  <c r="BX481" i="28"/>
  <c r="BW481" i="28"/>
  <c r="BV481" i="28"/>
  <c r="BU481" i="28"/>
  <c r="BZ206" i="28"/>
  <c r="CO206" i="28" s="1"/>
  <c r="CB480" i="28"/>
  <c r="CO480" i="28" s="1"/>
  <c r="CB479" i="28"/>
  <c r="CO479" i="28" s="1"/>
  <c r="CB478" i="28"/>
  <c r="CO478" i="28" s="1"/>
  <c r="CB477" i="28"/>
  <c r="CO477" i="28" s="1"/>
  <c r="CB476" i="28"/>
  <c r="CO476" i="28" s="1"/>
  <c r="CB475" i="28"/>
  <c r="CO475" i="28" s="1"/>
  <c r="CB474" i="28"/>
  <c r="CO474" i="28" s="1"/>
  <c r="CB473" i="28"/>
  <c r="CO473" i="28" s="1"/>
  <c r="CB472" i="28"/>
  <c r="CO472" i="28" s="1"/>
  <c r="CB471" i="28"/>
  <c r="CO471" i="28" s="1"/>
  <c r="CB470" i="28"/>
  <c r="CO470" i="28" s="1"/>
  <c r="CC469" i="28"/>
  <c r="CO469" i="28" s="1"/>
  <c r="CC468" i="28"/>
  <c r="CO468" i="28" s="1"/>
  <c r="CC467" i="28"/>
  <c r="CO467" i="28" s="1"/>
  <c r="CC466" i="28"/>
  <c r="CO466" i="28" s="1"/>
  <c r="CC465" i="28"/>
  <c r="CO465" i="28" s="1"/>
  <c r="CD464" i="28"/>
  <c r="CO464" i="28" s="1"/>
  <c r="BU205" i="28"/>
  <c r="BU204" i="28"/>
  <c r="BU203" i="28"/>
  <c r="BY463" i="28"/>
  <c r="BX463" i="28"/>
  <c r="BW463" i="28"/>
  <c r="BV463" i="28"/>
  <c r="BW462" i="28"/>
  <c r="BV462" i="28"/>
  <c r="BU462" i="28"/>
  <c r="BZ461" i="28"/>
  <c r="BY461" i="28"/>
  <c r="BZ460" i="28"/>
  <c r="BY460" i="28"/>
  <c r="BZ459" i="28"/>
  <c r="BY459" i="28"/>
  <c r="BV202" i="28"/>
  <c r="J9" i="22"/>
  <c r="CB946" i="28"/>
  <c r="CB947" i="28"/>
  <c r="CA946" i="28"/>
  <c r="CA947" i="28"/>
  <c r="BZ946" i="28"/>
  <c r="BZ947" i="28"/>
  <c r="CB945" i="28"/>
  <c r="CA945" i="28"/>
  <c r="BZ945" i="28"/>
  <c r="J6" i="69" l="1"/>
  <c r="CO882" i="28"/>
  <c r="CO887" i="28"/>
  <c r="CO947" i="28"/>
  <c r="CO946" i="28"/>
  <c r="CO885" i="28"/>
  <c r="CO886" i="28"/>
  <c r="CO881" i="28"/>
  <c r="CN881" i="28"/>
  <c r="CO559" i="28"/>
  <c r="CN559" i="28"/>
  <c r="CO252" i="28"/>
  <c r="CN252" i="28"/>
  <c r="CO259" i="28"/>
  <c r="CN259" i="28"/>
  <c r="CO263" i="28"/>
  <c r="CN263" i="28"/>
  <c r="CO583" i="28"/>
  <c r="CN583" i="28"/>
  <c r="CO611" i="28"/>
  <c r="CN611" i="28"/>
  <c r="CO288" i="28"/>
  <c r="CN288" i="28"/>
  <c r="CO630" i="28"/>
  <c r="CN630" i="28"/>
  <c r="CO636" i="28"/>
  <c r="CN636" i="28"/>
  <c r="CO310" i="28"/>
  <c r="CN310" i="28"/>
  <c r="CO651" i="28"/>
  <c r="CN651" i="28"/>
  <c r="CO397" i="28"/>
  <c r="CN397" i="28"/>
  <c r="CO323" i="28"/>
  <c r="CN323" i="28"/>
  <c r="CO669" i="28"/>
  <c r="CN669" i="28"/>
  <c r="CO336" i="28"/>
  <c r="CN336" i="28"/>
  <c r="CO674" i="28"/>
  <c r="CN674" i="28"/>
  <c r="CO341" i="28"/>
  <c r="CN341" i="28"/>
  <c r="CO682" i="28"/>
  <c r="CN682" i="28"/>
  <c r="CO343" i="28"/>
  <c r="CN343" i="28"/>
  <c r="CO691" i="28"/>
  <c r="CN691" i="28"/>
  <c r="CO693" i="28"/>
  <c r="CN693" i="28"/>
  <c r="CO698" i="28"/>
  <c r="CN698" i="28"/>
  <c r="CO701" i="28"/>
  <c r="CN701" i="28"/>
  <c r="CO703" i="28"/>
  <c r="CN703" i="28"/>
  <c r="CO705" i="28"/>
  <c r="CN705" i="28"/>
  <c r="CO373" i="28"/>
  <c r="CN373" i="28"/>
  <c r="CO389" i="28"/>
  <c r="CN389" i="28"/>
  <c r="CO714" i="28"/>
  <c r="CN714" i="28"/>
  <c r="CO410" i="28"/>
  <c r="CN410" i="28"/>
  <c r="CO717" i="28"/>
  <c r="CN717" i="28"/>
  <c r="CO364" i="28"/>
  <c r="CN364" i="28"/>
  <c r="CO372" i="28"/>
  <c r="CN372" i="28"/>
  <c r="CO375" i="28"/>
  <c r="CN375" i="28"/>
  <c r="CO386" i="28"/>
  <c r="CN386" i="28"/>
  <c r="CO420" i="28"/>
  <c r="CN420" i="28"/>
  <c r="CO774" i="28"/>
  <c r="CN774" i="28"/>
  <c r="CO776" i="28"/>
  <c r="CN776" i="28"/>
  <c r="CO777" i="28"/>
  <c r="CN777" i="28"/>
  <c r="CO778" i="28"/>
  <c r="CN778" i="28"/>
  <c r="CO422" i="28"/>
  <c r="CN422" i="28"/>
  <c r="CO403" i="28"/>
  <c r="CN403" i="28"/>
  <c r="CO791" i="28"/>
  <c r="CN791" i="28"/>
  <c r="CO793" i="28"/>
  <c r="CN793" i="28"/>
  <c r="CO415" i="28"/>
  <c r="CN415" i="28"/>
  <c r="CO431" i="28"/>
  <c r="CN431" i="28"/>
  <c r="CO811" i="28"/>
  <c r="CN811" i="28"/>
  <c r="CO821" i="28"/>
  <c r="CN821" i="28"/>
  <c r="CN441" i="28"/>
  <c r="CO441" i="28"/>
  <c r="CO446" i="28"/>
  <c r="CN446" i="28"/>
  <c r="CO448" i="28"/>
  <c r="CN448" i="28"/>
  <c r="CO846" i="28"/>
  <c r="CN846" i="28"/>
  <c r="CO848" i="28"/>
  <c r="CN848" i="28"/>
  <c r="CO853" i="28"/>
  <c r="CN853" i="28"/>
  <c r="CO858" i="28"/>
  <c r="CN858" i="28"/>
  <c r="CO860" i="28"/>
  <c r="CN860" i="28"/>
  <c r="CO862" i="28"/>
  <c r="CN862" i="28"/>
  <c r="CO869" i="28"/>
  <c r="CN869" i="28"/>
  <c r="CO871" i="28"/>
  <c r="CN871" i="28"/>
  <c r="CO513" i="28"/>
  <c r="CN513" i="28"/>
  <c r="CO521" i="28"/>
  <c r="CN521" i="28"/>
  <c r="CO526" i="28"/>
  <c r="CN526" i="28"/>
  <c r="CO243" i="28"/>
  <c r="CN243" i="28"/>
  <c r="CO539" i="28"/>
  <c r="CN539" i="28"/>
  <c r="CO490" i="28"/>
  <c r="CN490" i="28"/>
  <c r="CO499" i="28"/>
  <c r="CN499" i="28"/>
  <c r="CO504" i="28"/>
  <c r="CN504" i="28"/>
  <c r="CO233" i="28"/>
  <c r="CN233" i="28"/>
  <c r="CO515" i="28"/>
  <c r="CN515" i="28"/>
  <c r="CO239" i="28"/>
  <c r="CN239" i="28"/>
  <c r="CO546" i="28"/>
  <c r="CN546" i="28"/>
  <c r="CN561" i="28"/>
  <c r="CO561" i="28"/>
  <c r="CO565" i="28"/>
  <c r="CN565" i="28"/>
  <c r="CO620" i="28"/>
  <c r="CN620" i="28"/>
  <c r="CN626" i="28"/>
  <c r="CO626" i="28"/>
  <c r="CO299" i="28"/>
  <c r="CN299" i="28"/>
  <c r="CO308" i="28"/>
  <c r="CN308" i="28"/>
  <c r="CO335" i="28"/>
  <c r="CN335" i="28"/>
  <c r="CO675" i="28"/>
  <c r="CN675" i="28"/>
  <c r="CO368" i="28"/>
  <c r="CN368" i="28"/>
  <c r="CO764" i="28"/>
  <c r="CN764" i="28"/>
  <c r="CO769" i="28"/>
  <c r="CN769" i="28"/>
  <c r="CO788" i="28"/>
  <c r="CN788" i="28"/>
  <c r="CO436" i="28"/>
  <c r="CN436" i="28"/>
  <c r="CO854" i="28"/>
  <c r="CN854" i="28"/>
  <c r="CO456" i="28"/>
  <c r="CN456" i="28"/>
  <c r="CO461" i="28"/>
  <c r="CN461" i="28"/>
  <c r="CO485" i="28"/>
  <c r="CN485" i="28"/>
  <c r="CN217" i="28"/>
  <c r="CO217" i="28"/>
  <c r="CO518" i="28"/>
  <c r="CN518" i="28"/>
  <c r="CO236" i="28"/>
  <c r="CN236" i="28"/>
  <c r="CO242" i="28"/>
  <c r="CN242" i="28"/>
  <c r="CO535" i="28"/>
  <c r="CN535" i="28"/>
  <c r="CO248" i="28"/>
  <c r="CN248" i="28"/>
  <c r="CO554" i="28"/>
  <c r="CN554" i="28"/>
  <c r="CO251" i="28"/>
  <c r="CN251" i="28"/>
  <c r="CO258" i="28"/>
  <c r="CN258" i="28"/>
  <c r="CO581" i="28"/>
  <c r="CN581" i="28"/>
  <c r="CO587" i="28"/>
  <c r="CN587" i="28"/>
  <c r="CO273" i="28"/>
  <c r="CN273" i="28"/>
  <c r="CO604" i="28"/>
  <c r="CN604" i="28"/>
  <c r="CO283" i="28"/>
  <c r="CN283" i="28"/>
  <c r="CO293" i="28"/>
  <c r="CN293" i="28"/>
  <c r="CO628" i="28"/>
  <c r="CN628" i="28"/>
  <c r="CO653" i="28"/>
  <c r="CN653" i="28"/>
  <c r="CO319" i="28"/>
  <c r="CN319" i="28"/>
  <c r="CO679" i="28"/>
  <c r="CN679" i="28"/>
  <c r="CO356" i="28"/>
  <c r="CN356" i="28"/>
  <c r="CN369" i="28"/>
  <c r="CO369" i="28"/>
  <c r="CO741" i="28"/>
  <c r="CN741" i="28"/>
  <c r="CO804" i="28"/>
  <c r="CN804" i="28"/>
  <c r="CO815" i="28"/>
  <c r="CN815" i="28"/>
  <c r="CO819" i="28"/>
  <c r="CN819" i="28"/>
  <c r="CO838" i="28"/>
  <c r="CN838" i="28"/>
  <c r="CO879" i="28"/>
  <c r="CN879" i="28"/>
  <c r="CO220" i="28"/>
  <c r="CN220" i="28"/>
  <c r="CO253" i="28"/>
  <c r="CN253" i="28"/>
  <c r="CO256" i="28"/>
  <c r="CN256" i="28"/>
  <c r="CO275" i="28"/>
  <c r="CN275" i="28"/>
  <c r="CO612" i="28"/>
  <c r="CN612" i="28"/>
  <c r="CO284" i="28"/>
  <c r="CN284" i="28"/>
  <c r="CO617" i="28"/>
  <c r="CN617" i="28"/>
  <c r="CO294" i="28"/>
  <c r="CN294" i="28"/>
  <c r="CO300" i="28"/>
  <c r="CN300" i="28"/>
  <c r="CO645" i="28"/>
  <c r="CN645" i="28"/>
  <c r="CO649" i="28"/>
  <c r="CN649" i="28"/>
  <c r="CO491" i="28"/>
  <c r="CN491" i="28"/>
  <c r="CO317" i="28"/>
  <c r="CN317" i="28"/>
  <c r="CO219" i="28"/>
  <c r="CN219" i="28"/>
  <c r="CO225" i="28"/>
  <c r="CN225" i="28"/>
  <c r="CO505" i="28"/>
  <c r="CN505" i="28"/>
  <c r="CO249" i="28"/>
  <c r="CN249" i="28"/>
  <c r="CO567" i="28"/>
  <c r="CN567" i="28"/>
  <c r="CO260" i="28"/>
  <c r="CN260" i="28"/>
  <c r="CO267" i="28"/>
  <c r="CN267" i="28"/>
  <c r="CN593" i="28"/>
  <c r="CO593" i="28"/>
  <c r="CO272" i="28"/>
  <c r="CN272" i="28"/>
  <c r="CO602" i="28"/>
  <c r="CN602" i="28"/>
  <c r="CO279" i="28"/>
  <c r="CN279" i="28"/>
  <c r="CO285" i="28"/>
  <c r="CN285" i="28"/>
  <c r="CN289" i="28"/>
  <c r="CO289" i="28"/>
  <c r="CO633" i="28"/>
  <c r="CN633" i="28"/>
  <c r="CO638" i="28"/>
  <c r="CN638" i="28"/>
  <c r="CO640" i="28"/>
  <c r="CN640" i="28"/>
  <c r="CN406" i="28"/>
  <c r="CO406" i="28"/>
  <c r="CO322" i="28"/>
  <c r="CN322" i="28"/>
  <c r="CO363" i="28"/>
  <c r="CN363" i="28"/>
  <c r="CN666" i="28"/>
  <c r="CO666" i="28"/>
  <c r="CN330" i="28"/>
  <c r="CO330" i="28"/>
  <c r="CO344" i="28"/>
  <c r="CN344" i="28"/>
  <c r="CO721" i="28"/>
  <c r="CN721" i="28"/>
  <c r="CO732" i="28"/>
  <c r="CN732" i="28"/>
  <c r="CN736" i="28"/>
  <c r="CO736" i="28"/>
  <c r="CO749" i="28"/>
  <c r="CN749" i="28"/>
  <c r="CO763" i="28"/>
  <c r="CN763" i="28"/>
  <c r="CO782" i="28"/>
  <c r="CN782" i="28"/>
  <c r="CO215" i="28"/>
  <c r="CN215" i="28"/>
  <c r="CO414" i="28"/>
  <c r="CN414" i="28"/>
  <c r="CO438" i="28"/>
  <c r="CN438" i="28"/>
  <c r="CN808" i="28"/>
  <c r="CO808" i="28"/>
  <c r="CO710" i="28"/>
  <c r="CN710" i="28"/>
  <c r="CO826" i="28"/>
  <c r="CN826" i="28"/>
  <c r="CO831" i="28"/>
  <c r="CN831" i="28"/>
  <c r="CO874" i="28"/>
  <c r="CN874" i="28"/>
  <c r="CN202" i="28"/>
  <c r="CO202" i="28"/>
  <c r="CO486" i="28"/>
  <c r="CN486" i="28"/>
  <c r="CO235" i="28"/>
  <c r="CN235" i="28"/>
  <c r="CO519" i="28"/>
  <c r="CN519" i="28"/>
  <c r="CO545" i="28"/>
  <c r="CN545" i="28"/>
  <c r="CO560" i="28"/>
  <c r="CN560" i="28"/>
  <c r="CO597" i="28"/>
  <c r="CN597" i="28"/>
  <c r="CO621" i="28"/>
  <c r="CN621" i="28"/>
  <c r="CO295" i="28"/>
  <c r="CN295" i="28"/>
  <c r="CO627" i="28"/>
  <c r="CN627" i="28"/>
  <c r="CN634" i="28"/>
  <c r="CO634" i="28"/>
  <c r="CO304" i="28"/>
  <c r="CN304" i="28"/>
  <c r="CO407" i="28"/>
  <c r="CN407" i="28"/>
  <c r="CO324" i="28"/>
  <c r="CN324" i="28"/>
  <c r="CO671" i="28"/>
  <c r="CN671" i="28"/>
  <c r="CO337" i="28"/>
  <c r="CN337" i="28"/>
  <c r="CO342" i="28"/>
  <c r="CN342" i="28"/>
  <c r="CO708" i="28"/>
  <c r="CN708" i="28"/>
  <c r="CO713" i="28"/>
  <c r="CN713" i="28"/>
  <c r="CO382" i="28"/>
  <c r="CN382" i="28"/>
  <c r="CO385" i="28"/>
  <c r="CN385" i="28"/>
  <c r="CO770" i="28"/>
  <c r="CN770" i="28"/>
  <c r="CO399" i="28"/>
  <c r="CN399" i="28"/>
  <c r="CO790" i="28"/>
  <c r="CN790" i="28"/>
  <c r="CN437" i="28"/>
  <c r="CO437" i="28"/>
  <c r="CO807" i="28"/>
  <c r="CN807" i="28"/>
  <c r="CO711" i="28"/>
  <c r="CN711" i="28"/>
  <c r="CO834" i="28"/>
  <c r="CN834" i="28"/>
  <c r="CO836" i="28"/>
  <c r="CN836" i="28"/>
  <c r="CO447" i="28"/>
  <c r="CN447" i="28"/>
  <c r="CO842" i="28"/>
  <c r="CN842" i="28"/>
  <c r="CO450" i="28"/>
  <c r="CN450" i="28"/>
  <c r="CO855" i="28"/>
  <c r="CN855" i="28"/>
  <c r="CO455" i="28"/>
  <c r="CN455" i="28"/>
  <c r="CO877" i="28"/>
  <c r="CN877" i="28"/>
  <c r="CO459" i="28"/>
  <c r="CN459" i="28"/>
  <c r="CO314" i="28"/>
  <c r="CN314" i="28"/>
  <c r="CO489" i="28"/>
  <c r="CN489" i="28"/>
  <c r="CO495" i="28"/>
  <c r="CN495" i="28"/>
  <c r="CN498" i="28"/>
  <c r="CO498" i="28"/>
  <c r="CO226" i="28"/>
  <c r="CN226" i="28"/>
  <c r="CO230" i="28"/>
  <c r="CN230" i="28"/>
  <c r="CO509" i="28"/>
  <c r="CN509" i="28"/>
  <c r="CO514" i="28"/>
  <c r="CN514" i="28"/>
  <c r="CN522" i="28"/>
  <c r="CO522" i="28"/>
  <c r="CN528" i="28"/>
  <c r="CO528" i="28"/>
  <c r="CO530" i="28"/>
  <c r="CN530" i="28"/>
  <c r="CO532" i="28"/>
  <c r="CN532" i="28"/>
  <c r="CO534" i="28"/>
  <c r="CN534" i="28"/>
  <c r="CO536" i="28"/>
  <c r="CN536" i="28"/>
  <c r="CN538" i="28"/>
  <c r="CO538" i="28"/>
  <c r="CO542" i="28"/>
  <c r="CN542" i="28"/>
  <c r="CN544" i="28"/>
  <c r="CO544" i="28"/>
  <c r="CO550" i="28"/>
  <c r="CN550" i="28"/>
  <c r="CO558" i="28"/>
  <c r="CN558" i="28"/>
  <c r="CN562" i="28"/>
  <c r="CO562" i="28"/>
  <c r="CO566" i="28"/>
  <c r="CN566" i="28"/>
  <c r="CO257" i="28"/>
  <c r="CN257" i="28"/>
  <c r="CO262" i="28"/>
  <c r="CN262" i="28"/>
  <c r="CO578" i="28"/>
  <c r="CN578" i="28"/>
  <c r="CO580" i="28"/>
  <c r="CN580" i="28"/>
  <c r="CO582" i="28"/>
  <c r="CN582" i="28"/>
  <c r="CO269" i="28"/>
  <c r="CN269" i="28"/>
  <c r="CO271" i="28"/>
  <c r="CN271" i="28"/>
  <c r="CO588" i="28"/>
  <c r="CN588" i="28"/>
  <c r="CO599" i="28"/>
  <c r="CN599" i="28"/>
  <c r="CO606" i="28"/>
  <c r="CN606" i="28"/>
  <c r="CO277" i="28"/>
  <c r="CN277" i="28"/>
  <c r="CO287" i="28"/>
  <c r="CN287" i="28"/>
  <c r="CO629" i="28"/>
  <c r="CN629" i="28"/>
  <c r="CO635" i="28"/>
  <c r="CN635" i="28"/>
  <c r="CO302" i="28"/>
  <c r="CN302" i="28"/>
  <c r="CO305" i="28"/>
  <c r="CN305" i="28"/>
  <c r="CO311" i="28"/>
  <c r="CN311" i="28"/>
  <c r="CO652" i="28"/>
  <c r="CN652" i="28"/>
  <c r="CO654" i="28"/>
  <c r="CN654" i="28"/>
  <c r="CO408" i="28"/>
  <c r="CN408" i="28"/>
  <c r="CO327" i="28"/>
  <c r="CN327" i="28"/>
  <c r="CO331" i="28"/>
  <c r="CN331" i="28"/>
  <c r="CO673" i="28"/>
  <c r="CN673" i="28"/>
  <c r="CO676" i="28"/>
  <c r="CN676" i="28"/>
  <c r="CO683" i="28"/>
  <c r="CN683" i="28"/>
  <c r="CO694" i="28"/>
  <c r="CN694" i="28"/>
  <c r="CN696" i="28"/>
  <c r="CO696" i="28"/>
  <c r="CO697" i="28"/>
  <c r="CN697" i="28"/>
  <c r="CO352" i="28"/>
  <c r="CN352" i="28"/>
  <c r="CO715" i="28"/>
  <c r="CN715" i="28"/>
  <c r="CO413" i="28"/>
  <c r="CN413" i="28"/>
  <c r="CO723" i="28"/>
  <c r="CN723" i="28"/>
  <c r="CO738" i="28"/>
  <c r="CN738" i="28"/>
  <c r="CO740" i="28"/>
  <c r="CN740" i="28"/>
  <c r="CO742" i="28"/>
  <c r="CN742" i="28"/>
  <c r="CN378" i="28"/>
  <c r="CO378" i="28"/>
  <c r="CO380" i="28"/>
  <c r="CN380" i="28"/>
  <c r="CO753" i="28"/>
  <c r="CN753" i="28"/>
  <c r="CO755" i="28"/>
  <c r="CN755" i="28"/>
  <c r="CO766" i="28"/>
  <c r="CN766" i="28"/>
  <c r="CO400" i="28"/>
  <c r="CN400" i="28"/>
  <c r="CO785" i="28"/>
  <c r="CN785" i="28"/>
  <c r="CO404" i="28"/>
  <c r="CN404" i="28"/>
  <c r="CO418" i="28"/>
  <c r="CN418" i="28"/>
  <c r="CO660" i="28"/>
  <c r="CN660" i="28"/>
  <c r="CN800" i="28"/>
  <c r="CO800" i="28"/>
  <c r="CO801" i="28"/>
  <c r="CN801" i="28"/>
  <c r="CO803" i="28"/>
  <c r="CN803" i="28"/>
  <c r="CO429" i="28"/>
  <c r="CN429" i="28"/>
  <c r="CO810" i="28"/>
  <c r="CN810" i="28"/>
  <c r="CO814" i="28"/>
  <c r="CN814" i="28"/>
  <c r="CO712" i="28"/>
  <c r="CN712" i="28"/>
  <c r="CO820" i="28"/>
  <c r="CN820" i="28"/>
  <c r="CO823" i="28"/>
  <c r="CN823" i="28"/>
  <c r="CN442" i="28"/>
  <c r="CO442" i="28"/>
  <c r="CO833" i="28"/>
  <c r="CN833" i="28"/>
  <c r="CO837" i="28"/>
  <c r="CN837" i="28"/>
  <c r="CN839" i="28"/>
  <c r="CO839" i="28"/>
  <c r="CO852" i="28"/>
  <c r="CN852" i="28"/>
  <c r="CO454" i="28"/>
  <c r="CN454" i="28"/>
  <c r="CO864" i="28"/>
  <c r="CN864" i="28"/>
  <c r="CO878" i="28"/>
  <c r="CN878" i="28"/>
  <c r="CO880" i="28"/>
  <c r="CN880" i="28"/>
  <c r="CO360" i="28"/>
  <c r="CN360" i="28"/>
  <c r="CO508" i="28"/>
  <c r="CN508" i="28"/>
  <c r="CO247" i="28"/>
  <c r="CN247" i="28"/>
  <c r="CO551" i="28"/>
  <c r="CN551" i="28"/>
  <c r="CO586" i="28"/>
  <c r="CN586" i="28"/>
  <c r="CO623" i="28"/>
  <c r="CN623" i="28"/>
  <c r="CO631" i="28"/>
  <c r="CN631" i="28"/>
  <c r="CO639" i="28"/>
  <c r="CN639" i="28"/>
  <c r="CO643" i="28"/>
  <c r="CN643" i="28"/>
  <c r="CO325" i="28"/>
  <c r="CN325" i="28"/>
  <c r="CO684" i="28"/>
  <c r="CN684" i="28"/>
  <c r="CO707" i="28"/>
  <c r="CN707" i="28"/>
  <c r="CO358" i="28"/>
  <c r="CN358" i="28"/>
  <c r="CO371" i="28"/>
  <c r="CN371" i="28"/>
  <c r="CO377" i="28"/>
  <c r="CN377" i="28"/>
  <c r="CO771" i="28"/>
  <c r="CN771" i="28"/>
  <c r="CO391" i="28"/>
  <c r="CN391" i="28"/>
  <c r="CO402" i="28"/>
  <c r="CN402" i="28"/>
  <c r="CO799" i="28"/>
  <c r="CN799" i="28"/>
  <c r="CO432" i="28"/>
  <c r="CN432" i="28"/>
  <c r="CO809" i="28"/>
  <c r="CN809" i="28"/>
  <c r="CO835" i="28"/>
  <c r="CN835" i="28"/>
  <c r="CO844" i="28"/>
  <c r="CN844" i="28"/>
  <c r="CO849" i="28"/>
  <c r="CN849" i="28"/>
  <c r="CO315" i="28"/>
  <c r="CN315" i="28"/>
  <c r="CN506" i="28"/>
  <c r="CO506" i="28"/>
  <c r="CO533" i="28"/>
  <c r="CN533" i="28"/>
  <c r="CN537" i="28"/>
  <c r="CO537" i="28"/>
  <c r="CO543" i="28"/>
  <c r="CN543" i="28"/>
  <c r="CO255" i="28"/>
  <c r="CN255" i="28"/>
  <c r="CO572" i="28"/>
  <c r="CN572" i="28"/>
  <c r="CO579" i="28"/>
  <c r="CN579" i="28"/>
  <c r="CO265" i="28"/>
  <c r="CN265" i="28"/>
  <c r="CO589" i="28"/>
  <c r="CN589" i="28"/>
  <c r="CO607" i="28"/>
  <c r="CN607" i="28"/>
  <c r="CO312" i="28"/>
  <c r="CN312" i="28"/>
  <c r="CN329" i="28"/>
  <c r="CO329" i="28"/>
  <c r="CO699" i="28"/>
  <c r="CN699" i="28"/>
  <c r="CO359" i="28"/>
  <c r="CN359" i="28"/>
  <c r="CO739" i="28"/>
  <c r="CN739" i="28"/>
  <c r="CO756" i="28"/>
  <c r="CN756" i="28"/>
  <c r="CO759" i="28"/>
  <c r="CN759" i="28"/>
  <c r="CO767" i="28"/>
  <c r="CN767" i="28"/>
  <c r="CO421" i="28"/>
  <c r="CN421" i="28"/>
  <c r="CO802" i="28"/>
  <c r="CN802" i="28"/>
  <c r="CN709" i="28"/>
  <c r="CO709" i="28"/>
  <c r="CO824" i="28"/>
  <c r="CN824" i="28"/>
  <c r="CN840" i="28"/>
  <c r="CO840" i="28"/>
  <c r="CO843" i="28"/>
  <c r="CN843" i="28"/>
  <c r="CO851" i="28"/>
  <c r="CN851" i="28"/>
  <c r="CO856" i="28"/>
  <c r="CN856" i="28"/>
  <c r="CO867" i="28"/>
  <c r="CN867" i="28"/>
  <c r="CO875" i="28"/>
  <c r="CN875" i="28"/>
  <c r="CO203" i="28"/>
  <c r="CN203" i="28"/>
  <c r="CO212" i="28"/>
  <c r="CN212" i="28"/>
  <c r="CO214" i="28"/>
  <c r="CN214" i="28"/>
  <c r="CO362" i="28"/>
  <c r="CN362" i="28"/>
  <c r="CO231" i="28"/>
  <c r="CN231" i="28"/>
  <c r="CO677" i="28"/>
  <c r="CN677" i="28"/>
  <c r="CN688" i="28"/>
  <c r="CO688" i="28"/>
  <c r="CO411" i="28"/>
  <c r="CN411" i="28"/>
  <c r="CO719" i="28"/>
  <c r="CN719" i="28"/>
  <c r="CO367" i="28"/>
  <c r="CN367" i="28"/>
  <c r="CO730" i="28"/>
  <c r="CN730" i="28"/>
  <c r="CO417" i="28"/>
  <c r="CN417" i="28"/>
  <c r="CO743" i="28"/>
  <c r="CN743" i="28"/>
  <c r="CO747" i="28"/>
  <c r="CN747" i="28"/>
  <c r="CO381" i="28"/>
  <c r="CN381" i="28"/>
  <c r="CN761" i="28"/>
  <c r="CO761" i="28"/>
  <c r="CN387" i="28"/>
  <c r="CO387" i="28"/>
  <c r="CO780" i="28"/>
  <c r="CN780" i="28"/>
  <c r="CN223" i="28"/>
  <c r="CO223" i="28"/>
  <c r="CO433" i="28"/>
  <c r="CN433" i="28"/>
  <c r="CO797" i="28"/>
  <c r="CN797" i="28"/>
  <c r="CO428" i="28"/>
  <c r="CN428" i="28"/>
  <c r="CO435" i="28"/>
  <c r="CN435" i="28"/>
  <c r="CO829" i="28"/>
  <c r="CN829" i="28"/>
  <c r="CO445" i="28"/>
  <c r="CN445" i="28"/>
  <c r="CO850" i="28"/>
  <c r="CN850" i="28"/>
  <c r="CO210" i="28"/>
  <c r="CN210" i="28"/>
  <c r="CO229" i="28"/>
  <c r="CN229" i="28"/>
  <c r="CO507" i="28"/>
  <c r="CN507" i="28"/>
  <c r="CN250" i="28"/>
  <c r="CO250" i="28"/>
  <c r="CO564" i="28"/>
  <c r="CN564" i="28"/>
  <c r="CO261" i="28"/>
  <c r="CN261" i="28"/>
  <c r="CO576" i="28"/>
  <c r="CN576" i="28"/>
  <c r="CO605" i="28"/>
  <c r="CN605" i="28"/>
  <c r="CO619" i="28"/>
  <c r="CN619" i="28"/>
  <c r="CO290" i="28"/>
  <c r="CN290" i="28"/>
  <c r="CN624" i="28"/>
  <c r="CO624" i="28"/>
  <c r="CO321" i="28"/>
  <c r="CN321" i="28"/>
  <c r="CO668" i="28"/>
  <c r="CN668" i="28"/>
  <c r="CN680" i="28"/>
  <c r="CO680" i="28"/>
  <c r="CO724" i="28"/>
  <c r="CN724" i="28"/>
  <c r="CO388" i="28"/>
  <c r="CN388" i="28"/>
  <c r="CO772" i="28"/>
  <c r="CN772" i="28"/>
  <c r="CO405" i="28"/>
  <c r="CN405" i="28"/>
  <c r="CO424" i="28"/>
  <c r="CN424" i="28"/>
  <c r="CO430" i="28"/>
  <c r="CN430" i="28"/>
  <c r="CO813" i="28"/>
  <c r="CN813" i="28"/>
  <c r="CO463" i="28"/>
  <c r="CN463" i="28"/>
  <c r="CO484" i="28"/>
  <c r="CN484" i="28"/>
  <c r="CO494" i="28"/>
  <c r="CN494" i="28"/>
  <c r="CN497" i="28"/>
  <c r="CO497" i="28"/>
  <c r="CO501" i="28"/>
  <c r="CN501" i="28"/>
  <c r="CO227" i="28"/>
  <c r="CN227" i="28"/>
  <c r="CO510" i="28"/>
  <c r="CN510" i="28"/>
  <c r="CO517" i="28"/>
  <c r="CN517" i="28"/>
  <c r="CO525" i="28"/>
  <c r="CN525" i="28"/>
  <c r="CO237" i="28"/>
  <c r="CN237" i="28"/>
  <c r="CO240" i="28"/>
  <c r="CN240" i="28"/>
  <c r="CO245" i="28"/>
  <c r="CN245" i="28"/>
  <c r="CO553" i="28"/>
  <c r="CN553" i="28"/>
  <c r="CN569" i="28"/>
  <c r="CO569" i="28"/>
  <c r="CO571" i="28"/>
  <c r="CN571" i="28"/>
  <c r="CO573" i="28"/>
  <c r="CN573" i="28"/>
  <c r="CO575" i="28"/>
  <c r="CN575" i="28"/>
  <c r="CO274" i="28"/>
  <c r="CN274" i="28"/>
  <c r="CO603" i="28"/>
  <c r="CN603" i="28"/>
  <c r="CO608" i="28"/>
  <c r="CN608" i="28"/>
  <c r="CN610" i="28"/>
  <c r="CO610" i="28"/>
  <c r="CO613" i="28"/>
  <c r="CN613" i="28"/>
  <c r="CO280" i="28"/>
  <c r="CN280" i="28"/>
  <c r="CN616" i="28"/>
  <c r="CO616" i="28"/>
  <c r="CO618" i="28"/>
  <c r="CN618" i="28"/>
  <c r="CO291" i="28"/>
  <c r="CN291" i="28"/>
  <c r="CO622" i="28"/>
  <c r="CN622" i="28"/>
  <c r="CO296" i="28"/>
  <c r="CN296" i="28"/>
  <c r="CO632" i="28"/>
  <c r="CN632" i="28"/>
  <c r="CO301" i="28"/>
  <c r="CN301" i="28"/>
  <c r="CO303" i="28"/>
  <c r="CN303" i="28"/>
  <c r="CO306" i="28"/>
  <c r="CN306" i="28"/>
  <c r="CO644" i="28"/>
  <c r="CN644" i="28"/>
  <c r="CO646" i="28"/>
  <c r="CN646" i="28"/>
  <c r="CO648" i="28"/>
  <c r="CN648" i="28"/>
  <c r="CO650" i="28"/>
  <c r="CN650" i="28"/>
  <c r="CO409" i="28"/>
  <c r="CN409" i="28"/>
  <c r="CO655" i="28"/>
  <c r="CN655" i="28"/>
  <c r="CO326" i="28"/>
  <c r="CN326" i="28"/>
  <c r="CO366" i="28"/>
  <c r="CN366" i="28"/>
  <c r="CO332" i="28"/>
  <c r="CN332" i="28"/>
  <c r="CO678" i="28"/>
  <c r="CN678" i="28"/>
  <c r="CO685" i="28"/>
  <c r="CN685" i="28"/>
  <c r="CO690" i="28"/>
  <c r="CN690" i="28"/>
  <c r="CO347" i="28"/>
  <c r="CN347" i="28"/>
  <c r="CO695" i="28"/>
  <c r="CN695" i="28"/>
  <c r="CO350" i="28"/>
  <c r="CN350" i="28"/>
  <c r="CO700" i="28"/>
  <c r="CN700" i="28"/>
  <c r="CO702" i="28"/>
  <c r="CN702" i="28"/>
  <c r="CO704" i="28"/>
  <c r="CN704" i="28"/>
  <c r="CN354" i="28"/>
  <c r="CO354" i="28"/>
  <c r="CO374" i="28"/>
  <c r="CN374" i="28"/>
  <c r="CN396" i="28"/>
  <c r="CO396" i="28"/>
  <c r="CO716" i="28"/>
  <c r="CN716" i="28"/>
  <c r="CO718" i="28"/>
  <c r="CN718" i="28"/>
  <c r="CO757" i="28"/>
  <c r="CN757" i="28"/>
  <c r="CO760" i="28"/>
  <c r="CN760" i="28"/>
  <c r="CO384" i="28"/>
  <c r="CN384" i="28"/>
  <c r="CO765" i="28"/>
  <c r="CN765" i="28"/>
  <c r="CO775" i="28"/>
  <c r="CN775" i="28"/>
  <c r="CO392" i="28"/>
  <c r="CN392" i="28"/>
  <c r="CO883" i="28"/>
  <c r="CN401" i="28"/>
  <c r="CO401" i="28"/>
  <c r="CO787" i="28"/>
  <c r="CN787" i="28"/>
  <c r="CO792" i="28"/>
  <c r="CN792" i="28"/>
  <c r="CN794" i="28"/>
  <c r="CO794" i="28"/>
  <c r="CO661" i="28"/>
  <c r="CN661" i="28"/>
  <c r="CO425" i="28"/>
  <c r="CN425" i="28"/>
  <c r="CO806" i="28"/>
  <c r="CN806" i="28"/>
  <c r="CO812" i="28"/>
  <c r="CN812" i="28"/>
  <c r="CO817" i="28"/>
  <c r="CN817" i="28"/>
  <c r="CO822" i="28"/>
  <c r="CN822" i="28"/>
  <c r="CO841" i="28"/>
  <c r="CN841" i="28"/>
  <c r="CO449" i="28"/>
  <c r="CN449" i="28"/>
  <c r="CO845" i="28"/>
  <c r="CN845" i="28"/>
  <c r="CO847" i="28"/>
  <c r="CN847" i="28"/>
  <c r="CO451" i="28"/>
  <c r="CN451" i="28"/>
  <c r="CO857" i="28"/>
  <c r="CN857" i="28"/>
  <c r="CO859" i="28"/>
  <c r="CN859" i="28"/>
  <c r="CO861" i="28"/>
  <c r="CN861" i="28"/>
  <c r="CO865" i="28"/>
  <c r="CN865" i="28"/>
  <c r="CO868" i="28"/>
  <c r="CN868" i="28"/>
  <c r="CO870" i="28"/>
  <c r="CN870" i="28"/>
  <c r="CN872" i="28"/>
  <c r="CO872" i="28"/>
  <c r="CO876" i="28"/>
  <c r="CN876" i="28"/>
  <c r="CO502" i="28"/>
  <c r="CN502" i="28"/>
  <c r="CO512" i="28"/>
  <c r="CN512" i="28"/>
  <c r="CO523" i="28"/>
  <c r="CN523" i="28"/>
  <c r="CO241" i="28"/>
  <c r="CN241" i="28"/>
  <c r="CO264" i="28"/>
  <c r="CN264" i="28"/>
  <c r="CO598" i="28"/>
  <c r="CN598" i="28"/>
  <c r="CN282" i="28"/>
  <c r="CO282" i="28"/>
  <c r="CN625" i="28"/>
  <c r="CO625" i="28"/>
  <c r="CO357" i="28"/>
  <c r="CN357" i="28"/>
  <c r="CO722" i="28"/>
  <c r="CN722" i="28"/>
  <c r="CO726" i="28"/>
  <c r="CN726" i="28"/>
  <c r="CO393" i="28"/>
  <c r="CN393" i="28"/>
  <c r="CO805" i="28"/>
  <c r="CN805" i="28"/>
  <c r="CO440" i="28"/>
  <c r="CN440" i="28"/>
  <c r="CO453" i="28"/>
  <c r="CN453" i="28"/>
  <c r="CN458" i="28"/>
  <c r="CO458" i="28"/>
  <c r="CO208" i="28"/>
  <c r="CN208" i="28"/>
  <c r="CO211" i="28"/>
  <c r="CN211" i="28"/>
  <c r="CO361" i="28"/>
  <c r="CN361" i="28"/>
  <c r="CO527" i="28"/>
  <c r="CN527" i="28"/>
  <c r="CO531" i="28"/>
  <c r="CN531" i="28"/>
  <c r="CO244" i="28"/>
  <c r="CN244" i="28"/>
  <c r="CO577" i="28"/>
  <c r="CN577" i="28"/>
  <c r="CO278" i="28"/>
  <c r="CN278" i="28"/>
  <c r="CO309" i="28"/>
  <c r="CN309" i="28"/>
  <c r="CO662" i="28"/>
  <c r="CN662" i="28"/>
  <c r="CO340" i="28"/>
  <c r="CN340" i="28"/>
  <c r="CN345" i="28"/>
  <c r="CO345" i="28"/>
  <c r="CO349" i="28"/>
  <c r="CN349" i="28"/>
  <c r="CO416" i="28"/>
  <c r="CN416" i="28"/>
  <c r="CO750" i="28"/>
  <c r="CN750" i="28"/>
  <c r="CN754" i="28"/>
  <c r="CO754" i="28"/>
  <c r="CO395" i="28"/>
  <c r="CN395" i="28"/>
  <c r="CO786" i="28"/>
  <c r="CN786" i="28"/>
  <c r="CO427" i="28"/>
  <c r="CN427" i="28"/>
  <c r="CO434" i="28"/>
  <c r="CN434" i="28"/>
  <c r="CO209" i="28"/>
  <c r="CN209" i="28"/>
  <c r="CO488" i="28"/>
  <c r="CN488" i="28"/>
  <c r="CO316" i="28"/>
  <c r="CN316" i="28"/>
  <c r="CO218" i="28"/>
  <c r="CN218" i="28"/>
  <c r="CO529" i="28"/>
  <c r="CN529" i="28"/>
  <c r="CO549" i="28"/>
  <c r="CN549" i="28"/>
  <c r="CO557" i="28"/>
  <c r="CN557" i="28"/>
  <c r="CO570" i="28"/>
  <c r="CN570" i="28"/>
  <c r="CO574" i="28"/>
  <c r="CN574" i="28"/>
  <c r="CN266" i="28"/>
  <c r="CO266" i="28"/>
  <c r="CO600" i="28"/>
  <c r="CN600" i="28"/>
  <c r="CO609" i="28"/>
  <c r="CN609" i="28"/>
  <c r="CO292" i="28"/>
  <c r="CN292" i="28"/>
  <c r="CO298" i="28"/>
  <c r="CN298" i="28"/>
  <c r="CO647" i="28"/>
  <c r="CN647" i="28"/>
  <c r="CO348" i="28"/>
  <c r="CN348" i="28"/>
  <c r="CO462" i="28"/>
  <c r="CN462" i="28"/>
  <c r="CO204" i="28"/>
  <c r="CN204" i="28"/>
  <c r="CO493" i="28"/>
  <c r="CN493" i="28"/>
  <c r="CO496" i="28"/>
  <c r="CN496" i="28"/>
  <c r="CO500" i="28"/>
  <c r="CN500" i="28"/>
  <c r="CO221" i="28"/>
  <c r="CN221" i="28"/>
  <c r="CO516" i="28"/>
  <c r="CN516" i="28"/>
  <c r="CO524" i="28"/>
  <c r="CN524" i="28"/>
  <c r="CO540" i="28"/>
  <c r="CN540" i="28"/>
  <c r="CN552" i="28"/>
  <c r="CO552" i="28"/>
  <c r="CO254" i="28"/>
  <c r="CN254" i="28"/>
  <c r="CO585" i="28"/>
  <c r="CN585" i="28"/>
  <c r="CO591" i="28"/>
  <c r="CN591" i="28"/>
  <c r="CO595" i="28"/>
  <c r="CN595" i="28"/>
  <c r="CO614" i="28"/>
  <c r="CN614" i="28"/>
  <c r="CO642" i="28"/>
  <c r="CN642" i="28"/>
  <c r="CO320" i="28"/>
  <c r="CN320" i="28"/>
  <c r="CO658" i="28"/>
  <c r="CN658" i="28"/>
  <c r="CO664" i="28"/>
  <c r="CN664" i="28"/>
  <c r="CO328" i="28"/>
  <c r="CN328" i="28"/>
  <c r="CO334" i="28"/>
  <c r="CN334" i="28"/>
  <c r="CO686" i="28"/>
  <c r="CN686" i="28"/>
  <c r="CO353" i="28"/>
  <c r="CN353" i="28"/>
  <c r="CO725" i="28"/>
  <c r="CN725" i="28"/>
  <c r="CO728" i="28"/>
  <c r="CN728" i="28"/>
  <c r="CO734" i="28"/>
  <c r="CN734" i="28"/>
  <c r="CO745" i="28"/>
  <c r="CN745" i="28"/>
  <c r="CN379" i="28"/>
  <c r="CO379" i="28"/>
  <c r="CO758" i="28"/>
  <c r="CN758" i="28"/>
  <c r="CO773" i="28"/>
  <c r="CN773" i="28"/>
  <c r="CO398" i="28"/>
  <c r="CN398" i="28"/>
  <c r="CN784" i="28"/>
  <c r="CO784" i="28"/>
  <c r="CO213" i="28"/>
  <c r="CN213" i="28"/>
  <c r="CO313" i="28"/>
  <c r="CN313" i="28"/>
  <c r="CO423" i="28"/>
  <c r="CN423" i="28"/>
  <c r="CO827" i="28"/>
  <c r="CN827" i="28"/>
  <c r="CO444" i="28"/>
  <c r="CN444" i="28"/>
  <c r="CO863" i="28"/>
  <c r="CN863" i="28"/>
  <c r="CO205" i="28"/>
  <c r="CN205" i="28"/>
  <c r="CO503" i="28"/>
  <c r="CN503" i="28"/>
  <c r="CO234" i="28"/>
  <c r="CN234" i="28"/>
  <c r="CO547" i="28"/>
  <c r="CN547" i="28"/>
  <c r="CO555" i="28"/>
  <c r="CN555" i="28"/>
  <c r="CO563" i="28"/>
  <c r="CN563" i="28"/>
  <c r="CO268" i="28"/>
  <c r="CN268" i="28"/>
  <c r="CO270" i="28"/>
  <c r="CN270" i="28"/>
  <c r="CO286" i="28"/>
  <c r="CN286" i="28"/>
  <c r="CO297" i="28"/>
  <c r="CN297" i="28"/>
  <c r="CN656" i="28"/>
  <c r="CO656" i="28"/>
  <c r="CN672" i="28"/>
  <c r="CO672" i="28"/>
  <c r="CO339" i="28"/>
  <c r="CN339" i="28"/>
  <c r="CO346" i="28"/>
  <c r="CN346" i="28"/>
  <c r="CO412" i="28"/>
  <c r="CN412" i="28"/>
  <c r="CO727" i="28"/>
  <c r="CN727" i="28"/>
  <c r="CO419" i="28"/>
  <c r="CN419" i="28"/>
  <c r="CO768" i="28"/>
  <c r="CN768" i="28"/>
  <c r="CO439" i="28"/>
  <c r="CN439" i="28"/>
  <c r="CO426" i="28"/>
  <c r="CN426" i="28"/>
  <c r="CO460" i="28"/>
  <c r="CN460" i="28"/>
  <c r="CN481" i="28"/>
  <c r="CO481" i="28"/>
  <c r="CO487" i="28"/>
  <c r="CN487" i="28"/>
  <c r="CO492" i="28"/>
  <c r="CN492" i="28"/>
  <c r="CO228" i="28"/>
  <c r="CN228" i="28"/>
  <c r="CO232" i="28"/>
  <c r="CN232" i="28"/>
  <c r="CO511" i="28"/>
  <c r="CN511" i="28"/>
  <c r="CO520" i="28"/>
  <c r="CN520" i="28"/>
  <c r="CO238" i="28"/>
  <c r="CN238" i="28"/>
  <c r="CO541" i="28"/>
  <c r="CN541" i="28"/>
  <c r="CO246" i="28"/>
  <c r="CN246" i="28"/>
  <c r="CO548" i="28"/>
  <c r="CN548" i="28"/>
  <c r="CO556" i="28"/>
  <c r="CN556" i="28"/>
  <c r="CN568" i="28"/>
  <c r="CO568" i="28"/>
  <c r="CN584" i="28"/>
  <c r="CO584" i="28"/>
  <c r="CO590" i="28"/>
  <c r="CN590" i="28"/>
  <c r="CO592" i="28"/>
  <c r="CN592" i="28"/>
  <c r="CO594" i="28"/>
  <c r="CN594" i="28"/>
  <c r="CO596" i="28"/>
  <c r="CN596" i="28"/>
  <c r="CO601" i="28"/>
  <c r="CN601" i="28"/>
  <c r="CO276" i="28"/>
  <c r="CN276" i="28"/>
  <c r="CN281" i="28"/>
  <c r="CO281" i="28"/>
  <c r="CO615" i="28"/>
  <c r="CN615" i="28"/>
  <c r="CO637" i="28"/>
  <c r="CN637" i="28"/>
  <c r="CO307" i="28"/>
  <c r="CN307" i="28"/>
  <c r="CO641" i="28"/>
  <c r="CN641" i="28"/>
  <c r="CO318" i="28"/>
  <c r="CN318" i="28"/>
  <c r="CO657" i="28"/>
  <c r="CN657" i="28"/>
  <c r="CO659" i="28"/>
  <c r="CN659" i="28"/>
  <c r="CO663" i="28"/>
  <c r="CN663" i="28"/>
  <c r="CO665" i="28"/>
  <c r="CN665" i="28"/>
  <c r="CO667" i="28"/>
  <c r="CN667" i="28"/>
  <c r="CO670" i="28"/>
  <c r="CN670" i="28"/>
  <c r="CO333" i="28"/>
  <c r="CN333" i="28"/>
  <c r="CO338" i="28"/>
  <c r="CN338" i="28"/>
  <c r="CO681" i="28"/>
  <c r="CN681" i="28"/>
  <c r="CO687" i="28"/>
  <c r="CN687" i="28"/>
  <c r="CO689" i="28"/>
  <c r="CN689" i="28"/>
  <c r="CO692" i="28"/>
  <c r="CN692" i="28"/>
  <c r="CO351" i="28"/>
  <c r="CN351" i="28"/>
  <c r="CN706" i="28"/>
  <c r="CO706" i="28"/>
  <c r="CO355" i="28"/>
  <c r="CN355" i="28"/>
  <c r="CO720" i="28"/>
  <c r="CN720" i="28"/>
  <c r="CO365" i="28"/>
  <c r="CN365" i="28"/>
  <c r="CO370" i="28"/>
  <c r="CN370" i="28"/>
  <c r="CO729" i="28"/>
  <c r="CN729" i="28"/>
  <c r="CO731" i="28"/>
  <c r="CN731" i="28"/>
  <c r="CO733" i="28"/>
  <c r="CN733" i="28"/>
  <c r="CO735" i="28"/>
  <c r="CN735" i="28"/>
  <c r="CO737" i="28"/>
  <c r="CN737" i="28"/>
  <c r="CO744" i="28"/>
  <c r="CN744" i="28"/>
  <c r="CO746" i="28"/>
  <c r="CN746" i="28"/>
  <c r="CO748" i="28"/>
  <c r="CN748" i="28"/>
  <c r="CO376" i="28"/>
  <c r="CN376" i="28"/>
  <c r="CO751" i="28"/>
  <c r="CN751" i="28"/>
  <c r="CO752" i="28"/>
  <c r="CN752" i="28"/>
  <c r="CO383" i="28"/>
  <c r="CN383" i="28"/>
  <c r="CO762" i="28"/>
  <c r="CN762" i="28"/>
  <c r="CO390" i="28"/>
  <c r="CN390" i="28"/>
  <c r="CN394" i="28"/>
  <c r="CO394" i="28"/>
  <c r="CO779" i="28"/>
  <c r="CN779" i="28"/>
  <c r="CO781" i="28"/>
  <c r="CN781" i="28"/>
  <c r="CO783" i="28"/>
  <c r="CN783" i="28"/>
  <c r="CO207" i="28"/>
  <c r="CN207" i="28"/>
  <c r="CO222" i="28"/>
  <c r="CN222" i="28"/>
  <c r="CN216" i="28"/>
  <c r="CO216" i="28"/>
  <c r="CO224" i="28"/>
  <c r="CN224" i="28"/>
  <c r="CO789" i="28"/>
  <c r="CN789" i="28"/>
  <c r="CO795" i="28"/>
  <c r="CN795" i="28"/>
  <c r="CO796" i="28"/>
  <c r="CN796" i="28"/>
  <c r="CO798" i="28"/>
  <c r="CN798" i="28"/>
  <c r="CO884" i="28"/>
  <c r="CO816" i="28"/>
  <c r="CN816" i="28"/>
  <c r="CO818" i="28"/>
  <c r="CN818" i="28"/>
  <c r="CO825" i="28"/>
  <c r="CN825" i="28"/>
  <c r="CN443" i="28"/>
  <c r="CO443" i="28"/>
  <c r="CO828" i="28"/>
  <c r="CN828" i="28"/>
  <c r="CO830" i="28"/>
  <c r="CN830" i="28"/>
  <c r="CO832" i="28"/>
  <c r="CN832" i="28"/>
  <c r="CO452" i="28"/>
  <c r="CN452" i="28"/>
  <c r="CO866" i="28"/>
  <c r="CN866" i="28"/>
  <c r="CO873" i="28"/>
  <c r="CN873" i="28"/>
  <c r="CO457" i="28"/>
  <c r="CN457" i="28"/>
  <c r="CO945" i="28"/>
  <c r="N285" i="22"/>
  <c r="I172" i="22"/>
  <c r="K172" i="22"/>
  <c r="I159" i="22"/>
  <c r="K159" i="22"/>
  <c r="G316" i="22"/>
  <c r="I367" i="22"/>
  <c r="G315" i="22"/>
  <c r="D320" i="22"/>
  <c r="G307" i="22"/>
  <c r="G320" i="22"/>
  <c r="I368" i="22"/>
  <c r="E315" i="22"/>
  <c r="E311" i="22"/>
  <c r="G318" i="22"/>
  <c r="G306" i="22"/>
  <c r="E320" i="22"/>
  <c r="D321" i="22"/>
  <c r="D306" i="22"/>
  <c r="E323" i="22"/>
  <c r="G326" i="22"/>
  <c r="D316" i="22"/>
  <c r="G325" i="22"/>
  <c r="G321" i="22"/>
  <c r="D324" i="22"/>
  <c r="G314" i="22"/>
  <c r="E318" i="22"/>
  <c r="E312" i="22"/>
  <c r="D317" i="22"/>
  <c r="I371" i="22"/>
  <c r="D319" i="22"/>
  <c r="D322" i="22"/>
  <c r="D323" i="22"/>
  <c r="I372" i="22"/>
  <c r="G319" i="22"/>
  <c r="D310" i="22"/>
  <c r="E319" i="22"/>
  <c r="D307" i="22"/>
  <c r="D312" i="22"/>
  <c r="G309" i="22"/>
  <c r="D327" i="22"/>
  <c r="G317" i="22"/>
  <c r="D308" i="22"/>
  <c r="E306" i="22"/>
  <c r="E317" i="22"/>
  <c r="G323" i="22"/>
  <c r="D318" i="22"/>
  <c r="E327" i="22"/>
  <c r="G327" i="22"/>
  <c r="E326" i="22"/>
  <c r="E309" i="22"/>
  <c r="E322" i="22"/>
  <c r="G312" i="22"/>
  <c r="D315" i="22"/>
  <c r="E308" i="22"/>
  <c r="G313" i="22"/>
  <c r="E325" i="22"/>
  <c r="D313" i="22"/>
  <c r="D325" i="22"/>
  <c r="E314" i="22"/>
  <c r="G310" i="22"/>
  <c r="D311" i="22"/>
  <c r="E324" i="22"/>
  <c r="D326" i="22"/>
  <c r="E310" i="22"/>
  <c r="G308" i="22"/>
  <c r="D314" i="22"/>
  <c r="G161" i="22"/>
  <c r="E321" i="22"/>
  <c r="I369" i="22"/>
  <c r="G322" i="22"/>
  <c r="E313" i="22"/>
  <c r="E307" i="22"/>
  <c r="I370" i="22"/>
  <c r="D309" i="22"/>
  <c r="G311" i="22"/>
  <c r="G324" i="22"/>
  <c r="E316" i="22"/>
  <c r="J159" i="22" l="1"/>
  <c r="J172" i="22"/>
  <c r="H172" i="22"/>
  <c r="F172" i="22"/>
  <c r="D328" i="22"/>
  <c r="H159" i="22"/>
  <c r="J70" i="22" l="1"/>
  <c r="F383" i="22" l="1"/>
  <c r="F373" i="22"/>
  <c r="M285" i="22"/>
  <c r="I238" i="22"/>
  <c r="G238" i="22"/>
  <c r="E238" i="22"/>
  <c r="C238" i="22"/>
  <c r="I171" i="22"/>
  <c r="F171" i="22" s="1"/>
  <c r="K171" i="22"/>
  <c r="D171" i="22" s="1"/>
  <c r="K158" i="22"/>
  <c r="D158" i="22" s="1"/>
  <c r="I158" i="22"/>
  <c r="I128" i="22"/>
  <c r="G128" i="22"/>
  <c r="E128" i="22"/>
  <c r="C128" i="22"/>
  <c r="F294" i="22"/>
  <c r="J158" i="22" l="1"/>
  <c r="H171" i="22"/>
  <c r="J171" i="22"/>
  <c r="H158" i="22"/>
  <c r="F158" i="22"/>
  <c r="K9" i="22" l="1"/>
  <c r="BW896" i="28"/>
  <c r="BW897" i="28"/>
  <c r="BW895" i="28"/>
  <c r="BY1018" i="28"/>
  <c r="BY1019" i="28"/>
  <c r="BX1018" i="28"/>
  <c r="BX1019" i="28"/>
  <c r="BW1018" i="28"/>
  <c r="BW1019" i="28"/>
  <c r="BY1017" i="28"/>
  <c r="BX1017" i="28"/>
  <c r="BW1017" i="28"/>
  <c r="BY1015" i="28"/>
  <c r="BY1014" i="28"/>
  <c r="BY1013" i="28"/>
  <c r="BX989" i="28"/>
  <c r="BX988" i="28"/>
  <c r="BX987" i="28"/>
  <c r="BY933" i="28"/>
  <c r="BY934" i="28"/>
  <c r="BY932" i="28"/>
  <c r="BW889" i="28"/>
  <c r="BW890" i="28"/>
  <c r="BW888" i="28"/>
  <c r="BW894" i="28"/>
  <c r="BW893" i="28"/>
  <c r="BW892" i="28"/>
  <c r="BW891" i="28"/>
  <c r="F299" i="22"/>
  <c r="CN1019" i="28" l="1"/>
  <c r="CN1018" i="28"/>
  <c r="CN1017" i="28"/>
  <c r="CN1015" i="28"/>
  <c r="CO1015" i="28"/>
  <c r="CN1014" i="28"/>
  <c r="CO1014" i="28"/>
  <c r="CN1013" i="28"/>
  <c r="CO1013" i="28"/>
  <c r="CO989" i="28"/>
  <c r="CN989" i="28"/>
  <c r="CO988" i="28"/>
  <c r="CN988" i="28"/>
  <c r="CO987" i="28"/>
  <c r="CN987" i="28"/>
  <c r="CN934" i="28"/>
  <c r="CO934" i="28"/>
  <c r="CN933" i="28"/>
  <c r="CO933" i="28"/>
  <c r="CN932" i="28"/>
  <c r="CO932" i="28"/>
  <c r="CO897" i="28"/>
  <c r="CN897" i="28"/>
  <c r="CO896" i="28"/>
  <c r="CN896" i="28"/>
  <c r="CO895" i="28"/>
  <c r="CN895" i="28"/>
  <c r="CO894" i="28"/>
  <c r="CN894" i="28"/>
  <c r="CN893" i="28"/>
  <c r="CO893" i="28"/>
  <c r="CN892" i="28"/>
  <c r="CO892" i="28"/>
  <c r="CN891" i="28"/>
  <c r="CO891" i="28"/>
  <c r="CN890" i="28"/>
  <c r="CO890" i="28"/>
  <c r="CN889" i="28"/>
  <c r="CO889" i="28"/>
  <c r="CN888" i="28"/>
  <c r="CO888" i="28"/>
  <c r="BY1035" i="28"/>
  <c r="BY1036" i="28"/>
  <c r="BY1034" i="28"/>
  <c r="BX1032" i="28"/>
  <c r="BX1033" i="28"/>
  <c r="BX1031" i="28"/>
  <c r="CC1030" i="28"/>
  <c r="CC1028" i="28"/>
  <c r="CC1029" i="28"/>
  <c r="CC1027" i="28"/>
  <c r="BY1025" i="28"/>
  <c r="BY1026" i="28"/>
  <c r="BY1024" i="28"/>
  <c r="CD1023" i="28"/>
  <c r="CC1023" i="28"/>
  <c r="BY1021" i="28"/>
  <c r="BY1022" i="28"/>
  <c r="BY1020" i="28"/>
  <c r="BY1016" i="28"/>
  <c r="CC1012" i="28"/>
  <c r="CC1010" i="28"/>
  <c r="CC1011" i="28"/>
  <c r="CC1009" i="28"/>
  <c r="BY1008" i="28"/>
  <c r="BY1007" i="28"/>
  <c r="BY1004" i="28"/>
  <c r="BY1005" i="28"/>
  <c r="BY1003" i="28"/>
  <c r="CB1001" i="28"/>
  <c r="CB1002" i="28"/>
  <c r="CB1000" i="28"/>
  <c r="BY999" i="28"/>
  <c r="CM998" i="28"/>
  <c r="BY994" i="28"/>
  <c r="BX992" i="28"/>
  <c r="BX993" i="28"/>
  <c r="BX991" i="28"/>
  <c r="BY985" i="28"/>
  <c r="BY986" i="28"/>
  <c r="BY984" i="28"/>
  <c r="CC982" i="28"/>
  <c r="CC983" i="28"/>
  <c r="CC981" i="28"/>
  <c r="CC979" i="28"/>
  <c r="CC980" i="28"/>
  <c r="CC978" i="28"/>
  <c r="BY977" i="28"/>
  <c r="CH975" i="28"/>
  <c r="CH976" i="28"/>
  <c r="CH974" i="28"/>
  <c r="CH972" i="28"/>
  <c r="CH973" i="28"/>
  <c r="CH971" i="28"/>
  <c r="BY970" i="28"/>
  <c r="BY968" i="28"/>
  <c r="BY969" i="28"/>
  <c r="BY967" i="28"/>
  <c r="CC966" i="28"/>
  <c r="BW964" i="28"/>
  <c r="BW965" i="28"/>
  <c r="BW963" i="28"/>
  <c r="BY961" i="28"/>
  <c r="BY962" i="28"/>
  <c r="BY960" i="28"/>
  <c r="BY958" i="28"/>
  <c r="BY959" i="28"/>
  <c r="BY957" i="28"/>
  <c r="CC955" i="28"/>
  <c r="CC956" i="28"/>
  <c r="CC954" i="28"/>
  <c r="BY952" i="28"/>
  <c r="BY953" i="28"/>
  <c r="BY951" i="28"/>
  <c r="BY942" i="28"/>
  <c r="BY943" i="28"/>
  <c r="BY941" i="28"/>
  <c r="BY939" i="28"/>
  <c r="BY940" i="28"/>
  <c r="BY938" i="28"/>
  <c r="BX928" i="28"/>
  <c r="BY923" i="28"/>
  <c r="BY924" i="28"/>
  <c r="BY922" i="28"/>
  <c r="BY921" i="28"/>
  <c r="CC919" i="28"/>
  <c r="CC920" i="28"/>
  <c r="CC918" i="28"/>
  <c r="BY917" i="28"/>
  <c r="BY915" i="28"/>
  <c r="BY916" i="28"/>
  <c r="BY914" i="28"/>
  <c r="BX912" i="28"/>
  <c r="BX913" i="28"/>
  <c r="BX911" i="28"/>
  <c r="CC910" i="28"/>
  <c r="CD908" i="28"/>
  <c r="CD909" i="28"/>
  <c r="CD907" i="28"/>
  <c r="CC908" i="28"/>
  <c r="CC909" i="28"/>
  <c r="CB908" i="28"/>
  <c r="CB909" i="28"/>
  <c r="CA908" i="28"/>
  <c r="CA909" i="28"/>
  <c r="CC907" i="28"/>
  <c r="CB907" i="28"/>
  <c r="CA907" i="28"/>
  <c r="BX906" i="28"/>
  <c r="BY904" i="28"/>
  <c r="BY905" i="28"/>
  <c r="BY903" i="28"/>
  <c r="BY902" i="28"/>
  <c r="CC900" i="28"/>
  <c r="CC901" i="28"/>
  <c r="CC899" i="28"/>
  <c r="BY898" i="28"/>
  <c r="CO909" i="28" l="1"/>
  <c r="CO907" i="28"/>
  <c r="CO908" i="28"/>
  <c r="CN1036" i="28"/>
  <c r="CO1036" i="28"/>
  <c r="CO1035" i="28"/>
  <c r="CN1035" i="28"/>
  <c r="CO1034" i="28"/>
  <c r="CN1034" i="28"/>
  <c r="CN1026" i="28"/>
  <c r="CN1025" i="28"/>
  <c r="CN1024" i="28"/>
  <c r="CO1023" i="28"/>
  <c r="CN1022" i="28"/>
  <c r="CN1021" i="28"/>
  <c r="CN1020" i="28"/>
  <c r="CN1016" i="28"/>
  <c r="CO1016" i="28"/>
  <c r="CN1008" i="28"/>
  <c r="CO1008" i="28"/>
  <c r="CO1007" i="28"/>
  <c r="CN1007" i="28"/>
  <c r="CO1005" i="28"/>
  <c r="CN1005" i="28"/>
  <c r="CN1004" i="28"/>
  <c r="CO1004" i="28"/>
  <c r="CN1003" i="28"/>
  <c r="CO1003" i="28"/>
  <c r="CN999" i="28"/>
  <c r="CN994" i="28"/>
  <c r="CN986" i="28"/>
  <c r="CN985" i="28"/>
  <c r="CN984" i="28"/>
  <c r="CN977" i="28"/>
  <c r="CO977" i="28"/>
  <c r="CO970" i="28"/>
  <c r="CN970" i="28"/>
  <c r="CN969" i="28"/>
  <c r="CN968" i="28"/>
  <c r="CN967" i="28"/>
  <c r="CN962" i="28"/>
  <c r="CN961" i="28"/>
  <c r="CN960" i="28"/>
  <c r="CN959" i="28"/>
  <c r="CN958" i="28"/>
  <c r="CN957" i="28"/>
  <c r="CN953" i="28"/>
  <c r="CN952" i="28"/>
  <c r="CN951" i="28"/>
  <c r="CN943" i="28"/>
  <c r="CN942" i="28"/>
  <c r="CN941" i="28"/>
  <c r="CN940" i="28"/>
  <c r="CN939" i="28"/>
  <c r="CN938" i="28"/>
  <c r="CN924" i="28"/>
  <c r="CN923" i="28"/>
  <c r="CN922" i="28"/>
  <c r="CO921" i="28"/>
  <c r="CN921" i="28"/>
  <c r="CN917" i="28"/>
  <c r="CO917" i="28"/>
  <c r="CN916" i="28"/>
  <c r="CN915" i="28"/>
  <c r="CN914" i="28"/>
  <c r="CN913" i="28"/>
  <c r="CO913" i="28"/>
  <c r="CN912" i="28"/>
  <c r="CO912" i="28"/>
  <c r="CO911" i="28"/>
  <c r="CN911" i="28"/>
  <c r="CN905" i="28"/>
  <c r="CN904" i="28"/>
  <c r="CN903" i="28"/>
  <c r="CN902" i="28"/>
  <c r="CO902" i="28"/>
  <c r="CN898" i="28"/>
  <c r="CO898" i="28"/>
  <c r="BZ1006" i="28"/>
  <c r="CO1006" i="28" s="1"/>
  <c r="CH990" i="28"/>
  <c r="BX949" i="28"/>
  <c r="BX950" i="28"/>
  <c r="BX948" i="28"/>
  <c r="BZ944" i="28"/>
  <c r="CO944" i="28" s="1"/>
  <c r="BY930" i="28"/>
  <c r="BY931" i="28"/>
  <c r="BY929" i="28"/>
  <c r="BX926" i="28"/>
  <c r="BX927" i="28"/>
  <c r="BX925" i="28"/>
  <c r="BX936" i="28"/>
  <c r="BX937" i="28"/>
  <c r="BX935" i="28"/>
  <c r="BZ996" i="28"/>
  <c r="CO996" i="28" s="1"/>
  <c r="BZ997" i="28"/>
  <c r="CO997" i="28" s="1"/>
  <c r="BZ995" i="28"/>
  <c r="CO995" i="28" s="1"/>
  <c r="CN937" i="28" l="1"/>
  <c r="CO937" i="28"/>
  <c r="CN936" i="28"/>
  <c r="CO936" i="28"/>
  <c r="CN935" i="28"/>
  <c r="CO935" i="28"/>
  <c r="CO931" i="28"/>
  <c r="CN931" i="28"/>
  <c r="CN930" i="28"/>
  <c r="CO930" i="28"/>
  <c r="CN929" i="28"/>
  <c r="CO929" i="28"/>
  <c r="K7" i="69"/>
  <c r="V10" i="69"/>
  <c r="W10" i="69"/>
  <c r="X10" i="69"/>
  <c r="H8" i="69" l="1"/>
  <c r="H12" i="69"/>
  <c r="L285" i="22" l="1"/>
  <c r="K285" i="22"/>
  <c r="J285" i="22"/>
  <c r="I285" i="22"/>
  <c r="H285" i="22"/>
  <c r="G285" i="22"/>
  <c r="F285" i="22"/>
  <c r="E285" i="22"/>
  <c r="G52" i="22"/>
  <c r="F38" i="22"/>
  <c r="G66" i="22"/>
  <c r="D52" i="22"/>
  <c r="K52" i="22"/>
  <c r="J52" i="22"/>
  <c r="D66" i="22"/>
  <c r="G38" i="22"/>
  <c r="F52" i="22"/>
  <c r="E66" i="22"/>
  <c r="H66" i="22"/>
  <c r="F66" i="22"/>
  <c r="D38" i="22"/>
  <c r="I52" i="22"/>
  <c r="E52" i="22"/>
  <c r="E38" i="22"/>
  <c r="H52" i="22"/>
  <c r="I66" i="22"/>
  <c r="CL1038" i="28" l="1"/>
  <c r="CK1038" i="28"/>
  <c r="CJ1038" i="28"/>
  <c r="CI1038" i="28"/>
  <c r="CH1038" i="28"/>
  <c r="CG1038" i="28"/>
  <c r="CF1038" i="28"/>
  <c r="CE1038" i="28"/>
  <c r="CD1038" i="28"/>
  <c r="CC1038" i="28"/>
  <c r="CB1038" i="28"/>
  <c r="CA1038" i="28"/>
  <c r="BZ1038" i="28"/>
  <c r="BY1038" i="28"/>
  <c r="CL1039" i="28"/>
  <c r="CK1039" i="28"/>
  <c r="CJ1039" i="28"/>
  <c r="CI1039" i="28"/>
  <c r="CH1039" i="28"/>
  <c r="CG1039" i="28"/>
  <c r="CF1039" i="28"/>
  <c r="CE1039" i="28"/>
  <c r="CD1039" i="28"/>
  <c r="CC1039" i="28"/>
  <c r="CB1039" i="28"/>
  <c r="CA1039" i="28"/>
  <c r="BZ1039" i="28"/>
  <c r="BY1039" i="28"/>
  <c r="CL1037" i="28"/>
  <c r="CK1037" i="28"/>
  <c r="CJ1037" i="28"/>
  <c r="CI1037" i="28"/>
  <c r="CH1037" i="28"/>
  <c r="CG1037" i="28"/>
  <c r="CF1037" i="28"/>
  <c r="CE1037" i="28"/>
  <c r="CD1037" i="28"/>
  <c r="CC1037" i="28"/>
  <c r="CB1037" i="28"/>
  <c r="CA1037" i="28"/>
  <c r="BZ1037" i="28"/>
  <c r="BY1037" i="28"/>
  <c r="CF1017" i="28"/>
  <c r="CE1017" i="28"/>
  <c r="CD1017" i="28"/>
  <c r="CC1017" i="28"/>
  <c r="CB1017" i="28"/>
  <c r="CA1017" i="28"/>
  <c r="BZ1017" i="28"/>
  <c r="CF1018" i="28"/>
  <c r="CE1018" i="28"/>
  <c r="CD1018" i="28"/>
  <c r="CC1018" i="28"/>
  <c r="CB1018" i="28"/>
  <c r="CA1018" i="28"/>
  <c r="BZ1018" i="28"/>
  <c r="CF1019" i="28"/>
  <c r="CE1019" i="28"/>
  <c r="CD1019" i="28"/>
  <c r="CC1019" i="28"/>
  <c r="CB1019" i="28"/>
  <c r="CA1019" i="28"/>
  <c r="BZ1019" i="28"/>
  <c r="CG1033" i="28"/>
  <c r="CF1033" i="28"/>
  <c r="CE1033" i="28"/>
  <c r="CD1033" i="28"/>
  <c r="CC1033" i="28"/>
  <c r="CB1033" i="28"/>
  <c r="CA1033" i="28"/>
  <c r="BZ1033" i="28"/>
  <c r="BY1033" i="28"/>
  <c r="CG1032" i="28"/>
  <c r="CF1032" i="28"/>
  <c r="CE1032" i="28"/>
  <c r="CD1032" i="28"/>
  <c r="CC1032" i="28"/>
  <c r="CB1032" i="28"/>
  <c r="CA1032" i="28"/>
  <c r="BZ1032" i="28"/>
  <c r="BY1032" i="28"/>
  <c r="CG1031" i="28"/>
  <c r="CF1031" i="28"/>
  <c r="CE1031" i="28"/>
  <c r="CD1031" i="28"/>
  <c r="CC1031" i="28"/>
  <c r="CB1031" i="28"/>
  <c r="CA1031" i="28"/>
  <c r="BZ1031" i="28"/>
  <c r="BY1031" i="28"/>
  <c r="CM990" i="28"/>
  <c r="CL990" i="28"/>
  <c r="CK990" i="28"/>
  <c r="CJ990" i="28"/>
  <c r="CI990" i="28"/>
  <c r="CB906" i="28"/>
  <c r="CA906" i="28"/>
  <c r="BZ906" i="28"/>
  <c r="BY906" i="28"/>
  <c r="CH942" i="28"/>
  <c r="CG942" i="28"/>
  <c r="CF942" i="28"/>
  <c r="CE942" i="28"/>
  <c r="CD942" i="28"/>
  <c r="CC942" i="28"/>
  <c r="CB942" i="28"/>
  <c r="CA942" i="28"/>
  <c r="BZ942" i="28"/>
  <c r="CH941" i="28"/>
  <c r="CG941" i="28"/>
  <c r="CF941" i="28"/>
  <c r="CE941" i="28"/>
  <c r="CD941" i="28"/>
  <c r="CC941" i="28"/>
  <c r="CB941" i="28"/>
  <c r="CA941" i="28"/>
  <c r="BZ941" i="28"/>
  <c r="CH943" i="28"/>
  <c r="CG943" i="28"/>
  <c r="CF943" i="28"/>
  <c r="CE943" i="28"/>
  <c r="CD943" i="28"/>
  <c r="CC943" i="28"/>
  <c r="CB943" i="28"/>
  <c r="CA943" i="28"/>
  <c r="BZ943" i="28"/>
  <c r="CM910" i="28"/>
  <c r="CL910" i="28"/>
  <c r="CK910" i="28"/>
  <c r="CJ910" i="28"/>
  <c r="CI910" i="28"/>
  <c r="CH910" i="28"/>
  <c r="CG910" i="28"/>
  <c r="CF910" i="28"/>
  <c r="CE910" i="28"/>
  <c r="CD910" i="28"/>
  <c r="CO910" i="28" s="1"/>
  <c r="CC940" i="28"/>
  <c r="CB940" i="28"/>
  <c r="CA940" i="28"/>
  <c r="BZ940" i="28"/>
  <c r="CC939" i="28"/>
  <c r="CB939" i="28"/>
  <c r="CA939" i="28"/>
  <c r="BZ939" i="28"/>
  <c r="CC938" i="28"/>
  <c r="CB938" i="28"/>
  <c r="CA938" i="28"/>
  <c r="BZ938" i="28"/>
  <c r="CM999" i="28"/>
  <c r="CL999" i="28"/>
  <c r="CK999" i="28"/>
  <c r="CJ999" i="28"/>
  <c r="CI999" i="28"/>
  <c r="CH999" i="28"/>
  <c r="CG999" i="28"/>
  <c r="CF999" i="28"/>
  <c r="CE999" i="28"/>
  <c r="CD999" i="28"/>
  <c r="CC999" i="28"/>
  <c r="CB999" i="28"/>
  <c r="CA999" i="28"/>
  <c r="BZ999" i="28"/>
  <c r="CM966" i="28"/>
  <c r="CL966" i="28"/>
  <c r="CK966" i="28"/>
  <c r="CJ966" i="28"/>
  <c r="CI966" i="28"/>
  <c r="CH966" i="28"/>
  <c r="CG966" i="28"/>
  <c r="CF966" i="28"/>
  <c r="CE966" i="28"/>
  <c r="CD966" i="28"/>
  <c r="CO966" i="28" s="1"/>
  <c r="CM920" i="28"/>
  <c r="CL920" i="28"/>
  <c r="CK920" i="28"/>
  <c r="CJ920" i="28"/>
  <c r="CI920" i="28"/>
  <c r="CH920" i="28"/>
  <c r="CG920" i="28"/>
  <c r="CF920" i="28"/>
  <c r="CE920" i="28"/>
  <c r="CD920" i="28"/>
  <c r="CO920" i="28" s="1"/>
  <c r="CM919" i="28"/>
  <c r="CL919" i="28"/>
  <c r="CK919" i="28"/>
  <c r="CJ919" i="28"/>
  <c r="CI919" i="28"/>
  <c r="CH919" i="28"/>
  <c r="CG919" i="28"/>
  <c r="CF919" i="28"/>
  <c r="CE919" i="28"/>
  <c r="CD919" i="28"/>
  <c r="CO919" i="28" s="1"/>
  <c r="CF963" i="28"/>
  <c r="CE963" i="28"/>
  <c r="CD963" i="28"/>
  <c r="CC963" i="28"/>
  <c r="CB963" i="28"/>
  <c r="CA963" i="28"/>
  <c r="BZ963" i="28"/>
  <c r="BY963" i="28"/>
  <c r="BX963" i="28"/>
  <c r="CF965" i="28"/>
  <c r="CE965" i="28"/>
  <c r="CD965" i="28"/>
  <c r="CC965" i="28"/>
  <c r="CB965" i="28"/>
  <c r="CA965" i="28"/>
  <c r="BZ965" i="28"/>
  <c r="BY965" i="28"/>
  <c r="BX965" i="28"/>
  <c r="CF964" i="28"/>
  <c r="CE964" i="28"/>
  <c r="CD964" i="28"/>
  <c r="CC964" i="28"/>
  <c r="CB964" i="28"/>
  <c r="CA964" i="28"/>
  <c r="BZ964" i="28"/>
  <c r="BY964" i="28"/>
  <c r="BX964" i="28"/>
  <c r="CM918" i="28"/>
  <c r="CL918" i="28"/>
  <c r="CK918" i="28"/>
  <c r="CJ918" i="28"/>
  <c r="CI918" i="28"/>
  <c r="CH918" i="28"/>
  <c r="CG918" i="28"/>
  <c r="CF918" i="28"/>
  <c r="CE918" i="28"/>
  <c r="CD918" i="28"/>
  <c r="CO918" i="28" s="1"/>
  <c r="CH994" i="28"/>
  <c r="CG994" i="28"/>
  <c r="CF994" i="28"/>
  <c r="CE994" i="28"/>
  <c r="CD994" i="28"/>
  <c r="CC994" i="28"/>
  <c r="CB994" i="28"/>
  <c r="CA994" i="28"/>
  <c r="BZ994" i="28"/>
  <c r="CM1011" i="28"/>
  <c r="CL1011" i="28"/>
  <c r="CK1011" i="28"/>
  <c r="CJ1011" i="28"/>
  <c r="CI1011" i="28"/>
  <c r="CH1011" i="28"/>
  <c r="CG1011" i="28"/>
  <c r="CF1011" i="28"/>
  <c r="CE1011" i="28"/>
  <c r="CD1011" i="28"/>
  <c r="CO1011" i="28" s="1"/>
  <c r="CM1010" i="28"/>
  <c r="CL1010" i="28"/>
  <c r="CK1010" i="28"/>
  <c r="CJ1010" i="28"/>
  <c r="CI1010" i="28"/>
  <c r="CH1010" i="28"/>
  <c r="CG1010" i="28"/>
  <c r="CF1010" i="28"/>
  <c r="CE1010" i="28"/>
  <c r="CD1010" i="28"/>
  <c r="CO1010" i="28" s="1"/>
  <c r="CM1009" i="28"/>
  <c r="CL1009" i="28"/>
  <c r="CK1009" i="28"/>
  <c r="CJ1009" i="28"/>
  <c r="CI1009" i="28"/>
  <c r="CH1009" i="28"/>
  <c r="CG1009" i="28"/>
  <c r="CF1009" i="28"/>
  <c r="CE1009" i="28"/>
  <c r="CD1009" i="28"/>
  <c r="CO1009" i="28" s="1"/>
  <c r="CM978" i="28"/>
  <c r="CL978" i="28"/>
  <c r="CK978" i="28"/>
  <c r="CJ978" i="28"/>
  <c r="CI978" i="28"/>
  <c r="CH978" i="28"/>
  <c r="CG978" i="28"/>
  <c r="CF978" i="28"/>
  <c r="CE978" i="28"/>
  <c r="CD978" i="28"/>
  <c r="CO978" i="28" s="1"/>
  <c r="CM1023" i="28"/>
  <c r="CL1023" i="28"/>
  <c r="CK1023" i="28"/>
  <c r="CJ1023" i="28"/>
  <c r="CI1023" i="28"/>
  <c r="CH1023" i="28"/>
  <c r="CG1023" i="28"/>
  <c r="CF1023" i="28"/>
  <c r="CE1023" i="28"/>
  <c r="CM1000" i="28"/>
  <c r="CL1000" i="28"/>
  <c r="CK1000" i="28"/>
  <c r="CJ1000" i="28"/>
  <c r="CI1000" i="28"/>
  <c r="CH1000" i="28"/>
  <c r="CG1000" i="28"/>
  <c r="CF1000" i="28"/>
  <c r="CE1000" i="28"/>
  <c r="CD1000" i="28"/>
  <c r="CC1000" i="28"/>
  <c r="CM1002" i="28"/>
  <c r="CL1002" i="28"/>
  <c r="CK1002" i="28"/>
  <c r="CJ1002" i="28"/>
  <c r="CI1002" i="28"/>
  <c r="CH1002" i="28"/>
  <c r="CG1002" i="28"/>
  <c r="CF1002" i="28"/>
  <c r="CE1002" i="28"/>
  <c r="CD1002" i="28"/>
  <c r="CC1002" i="28"/>
  <c r="CM1001" i="28"/>
  <c r="CL1001" i="28"/>
  <c r="CK1001" i="28"/>
  <c r="CJ1001" i="28"/>
  <c r="CI1001" i="28"/>
  <c r="CH1001" i="28"/>
  <c r="CG1001" i="28"/>
  <c r="CF1001" i="28"/>
  <c r="CE1001" i="28"/>
  <c r="CD1001" i="28"/>
  <c r="CC1001" i="28"/>
  <c r="CM980" i="28"/>
  <c r="CL980" i="28"/>
  <c r="CK980" i="28"/>
  <c r="CJ980" i="28"/>
  <c r="CI980" i="28"/>
  <c r="CH980" i="28"/>
  <c r="CG980" i="28"/>
  <c r="CF980" i="28"/>
  <c r="CE980" i="28"/>
  <c r="CD980" i="28"/>
  <c r="CO980" i="28" s="1"/>
  <c r="CM951" i="28"/>
  <c r="CL951" i="28"/>
  <c r="CK951" i="28"/>
  <c r="CJ951" i="28"/>
  <c r="CI951" i="28"/>
  <c r="CH951" i="28"/>
  <c r="CG951" i="28"/>
  <c r="CF951" i="28"/>
  <c r="CE951" i="28"/>
  <c r="CD951" i="28"/>
  <c r="CC951" i="28"/>
  <c r="CB951" i="28"/>
  <c r="CA951" i="28"/>
  <c r="BZ951" i="28"/>
  <c r="CM953" i="28"/>
  <c r="CL953" i="28"/>
  <c r="CK953" i="28"/>
  <c r="CJ953" i="28"/>
  <c r="CI953" i="28"/>
  <c r="CH953" i="28"/>
  <c r="CG953" i="28"/>
  <c r="CF953" i="28"/>
  <c r="CE953" i="28"/>
  <c r="CD953" i="28"/>
  <c r="CC953" i="28"/>
  <c r="CB953" i="28"/>
  <c r="CA953" i="28"/>
  <c r="BZ953" i="28"/>
  <c r="CM952" i="28"/>
  <c r="CL952" i="28"/>
  <c r="CK952" i="28"/>
  <c r="CJ952" i="28"/>
  <c r="CI952" i="28"/>
  <c r="CH952" i="28"/>
  <c r="CG952" i="28"/>
  <c r="CF952" i="28"/>
  <c r="CE952" i="28"/>
  <c r="CD952" i="28"/>
  <c r="CC952" i="28"/>
  <c r="CB952" i="28"/>
  <c r="CA952" i="28"/>
  <c r="BZ952" i="28"/>
  <c r="CM979" i="28"/>
  <c r="CL979" i="28"/>
  <c r="CK979" i="28"/>
  <c r="CJ979" i="28"/>
  <c r="CI979" i="28"/>
  <c r="CH979" i="28"/>
  <c r="CG979" i="28"/>
  <c r="CF979" i="28"/>
  <c r="CE979" i="28"/>
  <c r="CD979" i="28"/>
  <c r="CO979" i="28" s="1"/>
  <c r="CM1026" i="28"/>
  <c r="CL1026" i="28"/>
  <c r="CK1026" i="28"/>
  <c r="CJ1026" i="28"/>
  <c r="CI1026" i="28"/>
  <c r="CH1026" i="28"/>
  <c r="CG1026" i="28"/>
  <c r="CF1026" i="28"/>
  <c r="CE1026" i="28"/>
  <c r="CD1026" i="28"/>
  <c r="CC1026" i="28"/>
  <c r="CB1026" i="28"/>
  <c r="CA1026" i="28"/>
  <c r="BZ1026" i="28"/>
  <c r="CM1024" i="28"/>
  <c r="CL1024" i="28"/>
  <c r="CK1024" i="28"/>
  <c r="CJ1024" i="28"/>
  <c r="CI1024" i="28"/>
  <c r="CH1024" i="28"/>
  <c r="CG1024" i="28"/>
  <c r="CF1024" i="28"/>
  <c r="CE1024" i="28"/>
  <c r="CD1024" i="28"/>
  <c r="CC1024" i="28"/>
  <c r="CB1024" i="28"/>
  <c r="CA1024" i="28"/>
  <c r="BZ1024" i="28"/>
  <c r="CM1025" i="28"/>
  <c r="CL1025" i="28"/>
  <c r="CK1025" i="28"/>
  <c r="CJ1025" i="28"/>
  <c r="CI1025" i="28"/>
  <c r="CH1025" i="28"/>
  <c r="CG1025" i="28"/>
  <c r="CF1025" i="28"/>
  <c r="CE1025" i="28"/>
  <c r="CD1025" i="28"/>
  <c r="CC1025" i="28"/>
  <c r="CB1025" i="28"/>
  <c r="CA1025" i="28"/>
  <c r="BZ1025" i="28"/>
  <c r="CM985" i="28"/>
  <c r="CL985" i="28"/>
  <c r="CK985" i="28"/>
  <c r="CJ985" i="28"/>
  <c r="CI985" i="28"/>
  <c r="CH985" i="28"/>
  <c r="CG985" i="28"/>
  <c r="CF985" i="28"/>
  <c r="CE985" i="28"/>
  <c r="CD985" i="28"/>
  <c r="CC985" i="28"/>
  <c r="CB985" i="28"/>
  <c r="CA985" i="28"/>
  <c r="BZ985" i="28"/>
  <c r="CM984" i="28"/>
  <c r="CL984" i="28"/>
  <c r="CK984" i="28"/>
  <c r="CJ984" i="28"/>
  <c r="CI984" i="28"/>
  <c r="CH984" i="28"/>
  <c r="CG984" i="28"/>
  <c r="CF984" i="28"/>
  <c r="CE984" i="28"/>
  <c r="CD984" i="28"/>
  <c r="CC984" i="28"/>
  <c r="CB984" i="28"/>
  <c r="CA984" i="28"/>
  <c r="BZ984" i="28"/>
  <c r="CM986" i="28"/>
  <c r="CL986" i="28"/>
  <c r="CK986" i="28"/>
  <c r="CJ986" i="28"/>
  <c r="CI986" i="28"/>
  <c r="CH986" i="28"/>
  <c r="CG986" i="28"/>
  <c r="CF986" i="28"/>
  <c r="CE986" i="28"/>
  <c r="CD986" i="28"/>
  <c r="CC986" i="28"/>
  <c r="CB986" i="28"/>
  <c r="CA986" i="28"/>
  <c r="BZ986" i="28"/>
  <c r="CH959" i="28"/>
  <c r="CG959" i="28"/>
  <c r="CF959" i="28"/>
  <c r="CE959" i="28"/>
  <c r="CD959" i="28"/>
  <c r="CC959" i="28"/>
  <c r="CB959" i="28"/>
  <c r="CA959" i="28"/>
  <c r="BZ959" i="28"/>
  <c r="CH957" i="28"/>
  <c r="CG957" i="28"/>
  <c r="CF957" i="28"/>
  <c r="CE957" i="28"/>
  <c r="CD957" i="28"/>
  <c r="CC957" i="28"/>
  <c r="CB957" i="28"/>
  <c r="CA957" i="28"/>
  <c r="BZ957" i="28"/>
  <c r="CH958" i="28"/>
  <c r="CG958" i="28"/>
  <c r="CF958" i="28"/>
  <c r="CE958" i="28"/>
  <c r="CD958" i="28"/>
  <c r="CC958" i="28"/>
  <c r="CB958" i="28"/>
  <c r="CA958" i="28"/>
  <c r="BZ958" i="28"/>
  <c r="CB927" i="28"/>
  <c r="CA927" i="28"/>
  <c r="BZ927" i="28"/>
  <c r="BY927" i="28"/>
  <c r="CB926" i="28"/>
  <c r="CA926" i="28"/>
  <c r="BZ926" i="28"/>
  <c r="BY926" i="28"/>
  <c r="CB925" i="28"/>
  <c r="CA925" i="28"/>
  <c r="BZ925" i="28"/>
  <c r="BY925" i="28"/>
  <c r="CM955" i="28"/>
  <c r="CL955" i="28"/>
  <c r="CK955" i="28"/>
  <c r="CJ955" i="28"/>
  <c r="CI955" i="28"/>
  <c r="CH955" i="28"/>
  <c r="CG955" i="28"/>
  <c r="CF955" i="28"/>
  <c r="CE955" i="28"/>
  <c r="CD955" i="28"/>
  <c r="CO955" i="28" s="1"/>
  <c r="CM956" i="28"/>
  <c r="CL956" i="28"/>
  <c r="CK956" i="28"/>
  <c r="CJ956" i="28"/>
  <c r="CI956" i="28"/>
  <c r="CH956" i="28"/>
  <c r="CG956" i="28"/>
  <c r="CF956" i="28"/>
  <c r="CE956" i="28"/>
  <c r="CD956" i="28"/>
  <c r="CO956" i="28" s="1"/>
  <c r="CM954" i="28"/>
  <c r="CL954" i="28"/>
  <c r="CK954" i="28"/>
  <c r="CJ954" i="28"/>
  <c r="CI954" i="28"/>
  <c r="CH954" i="28"/>
  <c r="CG954" i="28"/>
  <c r="CF954" i="28"/>
  <c r="CE954" i="28"/>
  <c r="CD954" i="28"/>
  <c r="CO954" i="28" s="1"/>
  <c r="CM993" i="28"/>
  <c r="CL993" i="28"/>
  <c r="CK993" i="28"/>
  <c r="CJ993" i="28"/>
  <c r="CI993" i="28"/>
  <c r="CH993" i="28"/>
  <c r="CG993" i="28"/>
  <c r="CF993" i="28"/>
  <c r="CE993" i="28"/>
  <c r="CD993" i="28"/>
  <c r="CC993" i="28"/>
  <c r="CB993" i="28"/>
  <c r="CA993" i="28"/>
  <c r="BZ993" i="28"/>
  <c r="BY993" i="28"/>
  <c r="CM992" i="28"/>
  <c r="CL992" i="28"/>
  <c r="CK992" i="28"/>
  <c r="CJ992" i="28"/>
  <c r="CI992" i="28"/>
  <c r="CH992" i="28"/>
  <c r="CG992" i="28"/>
  <c r="CF992" i="28"/>
  <c r="CE992" i="28"/>
  <c r="CD992" i="28"/>
  <c r="CC992" i="28"/>
  <c r="CB992" i="28"/>
  <c r="CA992" i="28"/>
  <c r="BZ992" i="28"/>
  <c r="BY992" i="28"/>
  <c r="CM991" i="28"/>
  <c r="CL991" i="28"/>
  <c r="CK991" i="28"/>
  <c r="CJ991" i="28"/>
  <c r="CI991" i="28"/>
  <c r="CH991" i="28"/>
  <c r="CG991" i="28"/>
  <c r="CF991" i="28"/>
  <c r="CE991" i="28"/>
  <c r="CD991" i="28"/>
  <c r="CC991" i="28"/>
  <c r="CB991" i="28"/>
  <c r="CA991" i="28"/>
  <c r="BZ991" i="28"/>
  <c r="BY991" i="28"/>
  <c r="CM1022" i="28"/>
  <c r="CL1022" i="28"/>
  <c r="CK1022" i="28"/>
  <c r="CJ1022" i="28"/>
  <c r="CI1022" i="28"/>
  <c r="CH1022" i="28"/>
  <c r="CG1022" i="28"/>
  <c r="CF1022" i="28"/>
  <c r="CE1022" i="28"/>
  <c r="CD1022" i="28"/>
  <c r="CC1022" i="28"/>
  <c r="CB1022" i="28"/>
  <c r="CA1022" i="28"/>
  <c r="BZ1022" i="28"/>
  <c r="CM1021" i="28"/>
  <c r="CL1021" i="28"/>
  <c r="CK1021" i="28"/>
  <c r="CJ1021" i="28"/>
  <c r="CI1021" i="28"/>
  <c r="CH1021" i="28"/>
  <c r="CG1021" i="28"/>
  <c r="CF1021" i="28"/>
  <c r="CE1021" i="28"/>
  <c r="CD1021" i="28"/>
  <c r="CC1021" i="28"/>
  <c r="CB1021" i="28"/>
  <c r="CA1021" i="28"/>
  <c r="BZ1021" i="28"/>
  <c r="CM1020" i="28"/>
  <c r="CL1020" i="28"/>
  <c r="CK1020" i="28"/>
  <c r="CJ1020" i="28"/>
  <c r="CI1020" i="28"/>
  <c r="CH1020" i="28"/>
  <c r="CG1020" i="28"/>
  <c r="CF1020" i="28"/>
  <c r="CE1020" i="28"/>
  <c r="CD1020" i="28"/>
  <c r="CC1020" i="28"/>
  <c r="CB1020" i="28"/>
  <c r="CA1020" i="28"/>
  <c r="BZ1020" i="28"/>
  <c r="CG928" i="28"/>
  <c r="CF928" i="28"/>
  <c r="CE928" i="28"/>
  <c r="CD928" i="28"/>
  <c r="CC928" i="28"/>
  <c r="CB928" i="28"/>
  <c r="CA928" i="28"/>
  <c r="BZ928" i="28"/>
  <c r="BY928" i="28"/>
  <c r="CM1030" i="28"/>
  <c r="CL1030" i="28"/>
  <c r="CK1030" i="28"/>
  <c r="CJ1030" i="28"/>
  <c r="CI1030" i="28"/>
  <c r="CH1030" i="28"/>
  <c r="CG1030" i="28"/>
  <c r="CF1030" i="28"/>
  <c r="CE1030" i="28"/>
  <c r="CD1030" i="28"/>
  <c r="CO1030" i="28" s="1"/>
  <c r="CM971" i="28"/>
  <c r="CL971" i="28"/>
  <c r="CK971" i="28"/>
  <c r="CJ971" i="28"/>
  <c r="CI971" i="28"/>
  <c r="CM973" i="28"/>
  <c r="CL973" i="28"/>
  <c r="CK973" i="28"/>
  <c r="CJ973" i="28"/>
  <c r="CI973" i="28"/>
  <c r="CM972" i="28"/>
  <c r="CL972" i="28"/>
  <c r="CK972" i="28"/>
  <c r="CJ972" i="28"/>
  <c r="CI972" i="28"/>
  <c r="CM1012" i="28"/>
  <c r="CL1012" i="28"/>
  <c r="CK1012" i="28"/>
  <c r="CJ1012" i="28"/>
  <c r="CI1012" i="28"/>
  <c r="CH1012" i="28"/>
  <c r="CG1012" i="28"/>
  <c r="CF1012" i="28"/>
  <c r="CE1012" i="28"/>
  <c r="CD1012" i="28"/>
  <c r="CO1012" i="28" s="1"/>
  <c r="CM962" i="28"/>
  <c r="CL962" i="28"/>
  <c r="CK962" i="28"/>
  <c r="CJ962" i="28"/>
  <c r="CI962" i="28"/>
  <c r="CH962" i="28"/>
  <c r="CG962" i="28"/>
  <c r="CF962" i="28"/>
  <c r="CE962" i="28"/>
  <c r="CD962" i="28"/>
  <c r="CC962" i="28"/>
  <c r="CB962" i="28"/>
  <c r="CA962" i="28"/>
  <c r="BZ962" i="28"/>
  <c r="CM961" i="28"/>
  <c r="CL961" i="28"/>
  <c r="CK961" i="28"/>
  <c r="CJ961" i="28"/>
  <c r="CI961" i="28"/>
  <c r="CH961" i="28"/>
  <c r="CG961" i="28"/>
  <c r="CF961" i="28"/>
  <c r="CE961" i="28"/>
  <c r="CD961" i="28"/>
  <c r="CC961" i="28"/>
  <c r="CB961" i="28"/>
  <c r="CA961" i="28"/>
  <c r="BZ961" i="28"/>
  <c r="CM960" i="28"/>
  <c r="CL960" i="28"/>
  <c r="CK960" i="28"/>
  <c r="CJ960" i="28"/>
  <c r="CI960" i="28"/>
  <c r="CH960" i="28"/>
  <c r="CG960" i="28"/>
  <c r="CF960" i="28"/>
  <c r="CE960" i="28"/>
  <c r="CD960" i="28"/>
  <c r="CC960" i="28"/>
  <c r="CB960" i="28"/>
  <c r="CA960" i="28"/>
  <c r="BZ960" i="28"/>
  <c r="CM916" i="28"/>
  <c r="CL916" i="28"/>
  <c r="CK916" i="28"/>
  <c r="CJ916" i="28"/>
  <c r="CI916" i="28"/>
  <c r="CH916" i="28"/>
  <c r="CG916" i="28"/>
  <c r="CF916" i="28"/>
  <c r="CE916" i="28"/>
  <c r="CD916" i="28"/>
  <c r="CC916" i="28"/>
  <c r="CB916" i="28"/>
  <c r="CA916" i="28"/>
  <c r="BZ916" i="28"/>
  <c r="CM915" i="28"/>
  <c r="CL915" i="28"/>
  <c r="CK915" i="28"/>
  <c r="CJ915" i="28"/>
  <c r="CI915" i="28"/>
  <c r="CH915" i="28"/>
  <c r="CG915" i="28"/>
  <c r="CF915" i="28"/>
  <c r="CE915" i="28"/>
  <c r="CD915" i="28"/>
  <c r="CC915" i="28"/>
  <c r="CB915" i="28"/>
  <c r="CA915" i="28"/>
  <c r="BZ915" i="28"/>
  <c r="CM914" i="28"/>
  <c r="CL914" i="28"/>
  <c r="CK914" i="28"/>
  <c r="CJ914" i="28"/>
  <c r="CI914" i="28"/>
  <c r="CH914" i="28"/>
  <c r="CG914" i="28"/>
  <c r="CF914" i="28"/>
  <c r="CE914" i="28"/>
  <c r="CD914" i="28"/>
  <c r="CC914" i="28"/>
  <c r="CB914" i="28"/>
  <c r="CA914" i="28"/>
  <c r="BZ914" i="28"/>
  <c r="CM905" i="28"/>
  <c r="CL905" i="28"/>
  <c r="CK905" i="28"/>
  <c r="CJ905" i="28"/>
  <c r="CI905" i="28"/>
  <c r="CH905" i="28"/>
  <c r="CG905" i="28"/>
  <c r="CF905" i="28"/>
  <c r="CE905" i="28"/>
  <c r="CD905" i="28"/>
  <c r="CC905" i="28"/>
  <c r="CB905" i="28"/>
  <c r="CA905" i="28"/>
  <c r="BZ905" i="28"/>
  <c r="CM904" i="28"/>
  <c r="CL904" i="28"/>
  <c r="CK904" i="28"/>
  <c r="CJ904" i="28"/>
  <c r="CI904" i="28"/>
  <c r="CH904" i="28"/>
  <c r="CG904" i="28"/>
  <c r="CF904" i="28"/>
  <c r="CE904" i="28"/>
  <c r="CD904" i="28"/>
  <c r="CC904" i="28"/>
  <c r="CB904" i="28"/>
  <c r="CA904" i="28"/>
  <c r="BZ904" i="28"/>
  <c r="CM903" i="28"/>
  <c r="CL903" i="28"/>
  <c r="CK903" i="28"/>
  <c r="CJ903" i="28"/>
  <c r="CI903" i="28"/>
  <c r="CH903" i="28"/>
  <c r="CG903" i="28"/>
  <c r="CF903" i="28"/>
  <c r="CE903" i="28"/>
  <c r="CD903" i="28"/>
  <c r="CC903" i="28"/>
  <c r="CB903" i="28"/>
  <c r="CA903" i="28"/>
  <c r="BZ903" i="28"/>
  <c r="CM922" i="28"/>
  <c r="CL922" i="28"/>
  <c r="CK922" i="28"/>
  <c r="CJ922" i="28"/>
  <c r="CI922" i="28"/>
  <c r="CH922" i="28"/>
  <c r="CG922" i="28"/>
  <c r="CF922" i="28"/>
  <c r="CE922" i="28"/>
  <c r="CD922" i="28"/>
  <c r="CC922" i="28"/>
  <c r="CB922" i="28"/>
  <c r="CA922" i="28"/>
  <c r="BZ922" i="28"/>
  <c r="CM923" i="28"/>
  <c r="CL923" i="28"/>
  <c r="CK923" i="28"/>
  <c r="CJ923" i="28"/>
  <c r="CI923" i="28"/>
  <c r="CH923" i="28"/>
  <c r="CG923" i="28"/>
  <c r="CF923" i="28"/>
  <c r="CE923" i="28"/>
  <c r="CD923" i="28"/>
  <c r="CC923" i="28"/>
  <c r="CB923" i="28"/>
  <c r="CA923" i="28"/>
  <c r="BZ923" i="28"/>
  <c r="CM924" i="28"/>
  <c r="CL924" i="28"/>
  <c r="CK924" i="28"/>
  <c r="CJ924" i="28"/>
  <c r="CI924" i="28"/>
  <c r="CH924" i="28"/>
  <c r="CG924" i="28"/>
  <c r="CF924" i="28"/>
  <c r="CE924" i="28"/>
  <c r="CD924" i="28"/>
  <c r="CC924" i="28"/>
  <c r="CB924" i="28"/>
  <c r="CA924" i="28"/>
  <c r="BZ924" i="28"/>
  <c r="CM976" i="28"/>
  <c r="CL976" i="28"/>
  <c r="CK976" i="28"/>
  <c r="CJ976" i="28"/>
  <c r="CI976" i="28"/>
  <c r="CM975" i="28"/>
  <c r="CL975" i="28"/>
  <c r="CK975" i="28"/>
  <c r="CJ975" i="28"/>
  <c r="CI975" i="28"/>
  <c r="CM974" i="28"/>
  <c r="CL974" i="28"/>
  <c r="CK974" i="28"/>
  <c r="CJ974" i="28"/>
  <c r="CI974" i="28"/>
  <c r="CM969" i="28"/>
  <c r="CL969" i="28"/>
  <c r="CK969" i="28"/>
  <c r="CJ969" i="28"/>
  <c r="CI969" i="28"/>
  <c r="CH969" i="28"/>
  <c r="CG969" i="28"/>
  <c r="CF969" i="28"/>
  <c r="CE969" i="28"/>
  <c r="CD969" i="28"/>
  <c r="CC969" i="28"/>
  <c r="CB969" i="28"/>
  <c r="CA969" i="28"/>
  <c r="BZ969" i="28"/>
  <c r="CM968" i="28"/>
  <c r="CL968" i="28"/>
  <c r="CK968" i="28"/>
  <c r="CJ968" i="28"/>
  <c r="CI968" i="28"/>
  <c r="CH968" i="28"/>
  <c r="CG968" i="28"/>
  <c r="CF968" i="28"/>
  <c r="CE968" i="28"/>
  <c r="CD968" i="28"/>
  <c r="CC968" i="28"/>
  <c r="CB968" i="28"/>
  <c r="CA968" i="28"/>
  <c r="BZ968" i="28"/>
  <c r="CM967" i="28"/>
  <c r="CL967" i="28"/>
  <c r="CK967" i="28"/>
  <c r="CJ967" i="28"/>
  <c r="CI967" i="28"/>
  <c r="CH967" i="28"/>
  <c r="CG967" i="28"/>
  <c r="CF967" i="28"/>
  <c r="CE967" i="28"/>
  <c r="CD967" i="28"/>
  <c r="CC967" i="28"/>
  <c r="CB967" i="28"/>
  <c r="CA967" i="28"/>
  <c r="BZ967" i="28"/>
  <c r="CB950" i="28"/>
  <c r="CA950" i="28"/>
  <c r="BZ950" i="28"/>
  <c r="BY950" i="28"/>
  <c r="CB949" i="28"/>
  <c r="CA949" i="28"/>
  <c r="BZ949" i="28"/>
  <c r="BY949" i="28"/>
  <c r="CB948" i="28"/>
  <c r="CA948" i="28"/>
  <c r="BZ948" i="28"/>
  <c r="BY948" i="28"/>
  <c r="CM1029" i="28"/>
  <c r="CL1029" i="28"/>
  <c r="CK1029" i="28"/>
  <c r="CJ1029" i="28"/>
  <c r="CI1029" i="28"/>
  <c r="CH1029" i="28"/>
  <c r="CG1029" i="28"/>
  <c r="CF1029" i="28"/>
  <c r="CE1029" i="28"/>
  <c r="CD1029" i="28"/>
  <c r="CO1029" i="28" s="1"/>
  <c r="CM1028" i="28"/>
  <c r="CL1028" i="28"/>
  <c r="CK1028" i="28"/>
  <c r="CJ1028" i="28"/>
  <c r="CI1028" i="28"/>
  <c r="CH1028" i="28"/>
  <c r="CG1028" i="28"/>
  <c r="CF1028" i="28"/>
  <c r="CE1028" i="28"/>
  <c r="CD1028" i="28"/>
  <c r="CO1028" i="28" s="1"/>
  <c r="CM1027" i="28"/>
  <c r="CL1027" i="28"/>
  <c r="CK1027" i="28"/>
  <c r="CJ1027" i="28"/>
  <c r="CI1027" i="28"/>
  <c r="CH1027" i="28"/>
  <c r="CG1027" i="28"/>
  <c r="CF1027" i="28"/>
  <c r="CE1027" i="28"/>
  <c r="CD1027" i="28"/>
  <c r="CO1027" i="28" s="1"/>
  <c r="CM901" i="28"/>
  <c r="CL901" i="28"/>
  <c r="CK901" i="28"/>
  <c r="CJ901" i="28"/>
  <c r="CI901" i="28"/>
  <c r="CH901" i="28"/>
  <c r="CG901" i="28"/>
  <c r="CF901" i="28"/>
  <c r="CE901" i="28"/>
  <c r="CD901" i="28"/>
  <c r="CO901" i="28" s="1"/>
  <c r="CM900" i="28"/>
  <c r="CL900" i="28"/>
  <c r="CK900" i="28"/>
  <c r="CJ900" i="28"/>
  <c r="CI900" i="28"/>
  <c r="CH900" i="28"/>
  <c r="CG900" i="28"/>
  <c r="CF900" i="28"/>
  <c r="CE900" i="28"/>
  <c r="CD900" i="28"/>
  <c r="CO900" i="28" s="1"/>
  <c r="CM899" i="28"/>
  <c r="CL899" i="28"/>
  <c r="CK899" i="28"/>
  <c r="CJ899" i="28"/>
  <c r="CI899" i="28"/>
  <c r="CH899" i="28"/>
  <c r="CG899" i="28"/>
  <c r="CF899" i="28"/>
  <c r="CE899" i="28"/>
  <c r="CD899" i="28"/>
  <c r="CO899" i="28" s="1"/>
  <c r="CM983" i="28"/>
  <c r="CL983" i="28"/>
  <c r="CK983" i="28"/>
  <c r="CJ983" i="28"/>
  <c r="CI983" i="28"/>
  <c r="CH983" i="28"/>
  <c r="CG983" i="28"/>
  <c r="CF983" i="28"/>
  <c r="CE983" i="28"/>
  <c r="CD983" i="28"/>
  <c r="CO983" i="28" s="1"/>
  <c r="CM982" i="28"/>
  <c r="CL982" i="28"/>
  <c r="CK982" i="28"/>
  <c r="CJ982" i="28"/>
  <c r="CI982" i="28"/>
  <c r="CH982" i="28"/>
  <c r="CG982" i="28"/>
  <c r="CF982" i="28"/>
  <c r="CE982" i="28"/>
  <c r="CD982" i="28"/>
  <c r="CO982" i="28" s="1"/>
  <c r="CM981" i="28"/>
  <c r="CL981" i="28"/>
  <c r="CK981" i="28"/>
  <c r="CJ981" i="28"/>
  <c r="CI981" i="28"/>
  <c r="CH981" i="28"/>
  <c r="CG981" i="28"/>
  <c r="CF981" i="28"/>
  <c r="CE981" i="28"/>
  <c r="CD981" i="28"/>
  <c r="CO981" i="28" s="1"/>
  <c r="D54" i="22"/>
  <c r="H68" i="22"/>
  <c r="D68" i="22"/>
  <c r="F293" i="22"/>
  <c r="G68" i="22"/>
  <c r="E68" i="22"/>
  <c r="K54" i="22"/>
  <c r="F297" i="22"/>
  <c r="C161" i="22"/>
  <c r="I54" i="22"/>
  <c r="F295" i="22"/>
  <c r="G54" i="22"/>
  <c r="J54" i="22"/>
  <c r="F68" i="22"/>
  <c r="F291" i="22"/>
  <c r="I382" i="22"/>
  <c r="F296" i="22"/>
  <c r="E40" i="22"/>
  <c r="F54" i="22"/>
  <c r="H54" i="22"/>
  <c r="D40" i="22"/>
  <c r="I379" i="22"/>
  <c r="I68" i="22"/>
  <c r="F292" i="22"/>
  <c r="E54" i="22"/>
  <c r="CO915" i="28" l="1"/>
  <c r="CO1002" i="28"/>
  <c r="CO939" i="28"/>
  <c r="CO969" i="28"/>
  <c r="CO1019" i="28"/>
  <c r="CO922" i="28"/>
  <c r="CO961" i="28"/>
  <c r="CO905" i="28"/>
  <c r="CO940" i="28"/>
  <c r="CO986" i="28"/>
  <c r="CO1000" i="28"/>
  <c r="CO1039" i="28"/>
  <c r="CN1039" i="28"/>
  <c r="CN1038" i="28"/>
  <c r="CO1038" i="28"/>
  <c r="CO1037" i="28"/>
  <c r="CN1037" i="28"/>
  <c r="CN1033" i="28"/>
  <c r="CO1033" i="28"/>
  <c r="CO1032" i="28"/>
  <c r="CN1032" i="28"/>
  <c r="CN1031" i="28"/>
  <c r="CO1031" i="28"/>
  <c r="CO1026" i="28"/>
  <c r="CO1025" i="28"/>
  <c r="CO1024" i="28"/>
  <c r="CO1022" i="28"/>
  <c r="CO1021" i="28"/>
  <c r="CO1020" i="28"/>
  <c r="CO1018" i="28"/>
  <c r="CO1017" i="28"/>
  <c r="CO1001" i="28"/>
  <c r="CO999" i="28"/>
  <c r="CO994" i="28"/>
  <c r="CN993" i="28"/>
  <c r="CO993" i="28"/>
  <c r="CN992" i="28"/>
  <c r="CO992" i="28"/>
  <c r="CN991" i="28"/>
  <c r="CO991" i="28"/>
  <c r="CO985" i="28"/>
  <c r="CO984" i="28"/>
  <c r="CO968" i="28"/>
  <c r="CO967" i="28"/>
  <c r="CO965" i="28"/>
  <c r="CN965" i="28"/>
  <c r="CO964" i="28"/>
  <c r="CN964" i="28"/>
  <c r="CO963" i="28"/>
  <c r="CN963" i="28"/>
  <c r="CO962" i="28"/>
  <c r="CO960" i="28"/>
  <c r="CO959" i="28"/>
  <c r="CO958" i="28"/>
  <c r="CO957" i="28"/>
  <c r="CO953" i="28"/>
  <c r="CO952" i="28"/>
  <c r="CO951" i="28"/>
  <c r="CO950" i="28"/>
  <c r="CN950" i="28"/>
  <c r="CO949" i="28"/>
  <c r="CN949" i="28"/>
  <c r="CN948" i="28"/>
  <c r="CO948" i="28"/>
  <c r="CO943" i="28"/>
  <c r="CO942" i="28"/>
  <c r="CO941" i="28"/>
  <c r="CO938" i="28"/>
  <c r="CO928" i="28"/>
  <c r="CN928" i="28"/>
  <c r="CO927" i="28"/>
  <c r="CN927" i="28"/>
  <c r="CO926" i="28"/>
  <c r="CN926" i="28"/>
  <c r="CN925" i="28"/>
  <c r="CO925" i="28"/>
  <c r="CO924" i="28"/>
  <c r="CO923" i="28"/>
  <c r="CO916" i="28"/>
  <c r="CO914" i="28"/>
  <c r="CO906" i="28"/>
  <c r="CN906" i="28"/>
  <c r="CO904" i="28"/>
  <c r="CO903" i="28"/>
  <c r="O7" i="69"/>
  <c r="U7" i="69"/>
  <c r="P7" i="69"/>
  <c r="L7" i="69"/>
  <c r="Q7" i="69"/>
  <c r="V7" i="69"/>
  <c r="M7" i="69"/>
  <c r="R7" i="69"/>
  <c r="W7" i="69"/>
  <c r="S7" i="69"/>
  <c r="X7" i="69"/>
  <c r="T7" i="69"/>
  <c r="N7" i="69"/>
  <c r="F300" i="22"/>
  <c r="I20" i="22" l="1"/>
  <c r="D285" i="22"/>
  <c r="J237" i="22"/>
  <c r="E237" i="22" s="1"/>
  <c r="I170" i="22"/>
  <c r="F170" i="22" s="1"/>
  <c r="K170" i="22"/>
  <c r="D170" i="22" s="1"/>
  <c r="I157" i="22"/>
  <c r="F157" i="22" s="1"/>
  <c r="K157" i="22"/>
  <c r="D157" i="22" s="1"/>
  <c r="J127" i="22"/>
  <c r="I127" i="22" s="1"/>
  <c r="C237" i="22" l="1"/>
  <c r="G237" i="22"/>
  <c r="I237" i="22"/>
  <c r="J157" i="22"/>
  <c r="G127" i="22"/>
  <c r="H157" i="22"/>
  <c r="J170" i="22"/>
  <c r="C127" i="22"/>
  <c r="E127" i="22"/>
  <c r="H170" i="22"/>
  <c r="F9" i="22"/>
  <c r="F39" i="22"/>
  <c r="G39" i="22"/>
  <c r="I12" i="69" l="1"/>
  <c r="H236" i="22" l="1"/>
  <c r="J236" i="22" s="1"/>
  <c r="G236" i="22" s="1"/>
  <c r="K169" i="22"/>
  <c r="D169" i="22" s="1"/>
  <c r="I169" i="22"/>
  <c r="F169" i="22" s="1"/>
  <c r="K156" i="22"/>
  <c r="D156" i="22" s="1"/>
  <c r="I156" i="22"/>
  <c r="F156" i="22" s="1"/>
  <c r="B131" i="22"/>
  <c r="D131" i="22"/>
  <c r="F131" i="22"/>
  <c r="E383" i="22" l="1"/>
  <c r="E373" i="22"/>
  <c r="C236" i="22"/>
  <c r="E236" i="22"/>
  <c r="I236" i="22"/>
  <c r="J169" i="22"/>
  <c r="H169" i="22"/>
  <c r="J156" i="22"/>
  <c r="H156" i="22"/>
  <c r="H131" i="22"/>
  <c r="J131" i="22"/>
  <c r="F132" i="22"/>
  <c r="D132" i="22"/>
  <c r="B132" i="22"/>
  <c r="G131" i="22" l="1"/>
  <c r="E131" i="22"/>
  <c r="C131" i="22"/>
  <c r="I131" i="22"/>
  <c r="E342" i="22"/>
  <c r="F346" i="22"/>
  <c r="H356" i="22"/>
  <c r="G344" i="22"/>
  <c r="F356" i="22"/>
  <c r="J335" i="22"/>
  <c r="I354" i="22"/>
  <c r="D342" i="22"/>
  <c r="D344" i="22"/>
  <c r="H342" i="22"/>
  <c r="J334" i="22"/>
  <c r="I358" i="22"/>
  <c r="D356" i="22"/>
  <c r="I346" i="22"/>
  <c r="C334" i="22"/>
  <c r="H344" i="22"/>
  <c r="I378" i="22"/>
  <c r="G356" i="22"/>
  <c r="I377" i="22"/>
  <c r="E354" i="22"/>
  <c r="G358" i="22"/>
  <c r="G346" i="22"/>
  <c r="C346" i="22"/>
  <c r="I342" i="22"/>
  <c r="G354" i="22"/>
  <c r="F344" i="22"/>
  <c r="I381" i="22"/>
  <c r="I380" i="22"/>
  <c r="F335" i="22"/>
  <c r="C354" i="22"/>
  <c r="I344" i="22"/>
  <c r="I335" i="22"/>
  <c r="E344" i="22"/>
  <c r="H358" i="22"/>
  <c r="D335" i="22"/>
  <c r="G342" i="22"/>
  <c r="H346" i="22"/>
  <c r="C342" i="22"/>
  <c r="E346" i="22"/>
  <c r="D354" i="22"/>
  <c r="F354" i="22"/>
  <c r="D358" i="22"/>
  <c r="C358" i="22"/>
  <c r="H354" i="22"/>
  <c r="G334" i="22"/>
  <c r="F334" i="22"/>
  <c r="I356" i="22"/>
  <c r="C344" i="22"/>
  <c r="E358" i="22"/>
  <c r="F342" i="22"/>
  <c r="D334" i="22"/>
  <c r="D35" i="22"/>
  <c r="I334" i="22"/>
  <c r="G335" i="22"/>
  <c r="C335" i="22"/>
  <c r="C356" i="22"/>
  <c r="F358" i="22"/>
  <c r="E356" i="22"/>
  <c r="D346" i="22"/>
  <c r="J367" i="22" l="1"/>
  <c r="J380" i="22"/>
  <c r="J378" i="22"/>
  <c r="J379" i="22"/>
  <c r="J381" i="22"/>
  <c r="I383" i="22"/>
  <c r="J377" i="22"/>
  <c r="J382" i="22"/>
  <c r="J369" i="22"/>
  <c r="I373" i="22"/>
  <c r="J371" i="22"/>
  <c r="J370" i="22"/>
  <c r="J368" i="22"/>
  <c r="J372" i="22"/>
  <c r="I168" i="22"/>
  <c r="D216" i="22"/>
  <c r="F241" i="22"/>
  <c r="C266" i="22"/>
  <c r="C216" i="22"/>
  <c r="E174" i="22"/>
  <c r="C174" i="22"/>
  <c r="D241" i="22"/>
  <c r="D266" i="22"/>
  <c r="E266" i="22"/>
  <c r="B266" i="22"/>
  <c r="E216" i="22"/>
  <c r="B216" i="22"/>
  <c r="G174" i="22"/>
  <c r="B241" i="22"/>
  <c r="G187" i="22" l="1"/>
  <c r="C187" i="22"/>
  <c r="B267" i="22"/>
  <c r="C267" i="22"/>
  <c r="O285" i="22"/>
  <c r="Q285" i="22" s="1"/>
  <c r="D267" i="22"/>
  <c r="E267" i="22"/>
  <c r="F266" i="22"/>
  <c r="F267" i="22" s="1"/>
  <c r="B242" i="22"/>
  <c r="D242" i="22"/>
  <c r="G266" i="22"/>
  <c r="G267" i="22" s="1"/>
  <c r="F242" i="22"/>
  <c r="H241" i="22"/>
  <c r="B217" i="22"/>
  <c r="F216" i="22"/>
  <c r="F217" i="22" s="1"/>
  <c r="C217" i="22"/>
  <c r="G216" i="22"/>
  <c r="G217" i="22" s="1"/>
  <c r="D217" i="22"/>
  <c r="E217" i="22"/>
  <c r="K174" i="22"/>
  <c r="D174" i="22" s="1"/>
  <c r="I174" i="22"/>
  <c r="G175" i="22"/>
  <c r="E175" i="22"/>
  <c r="C175" i="22"/>
  <c r="H125" i="22"/>
  <c r="G65" i="22"/>
  <c r="K51" i="22"/>
  <c r="G64" i="22"/>
  <c r="E49" i="22"/>
  <c r="D97" i="22"/>
  <c r="D105" i="22"/>
  <c r="J51" i="22"/>
  <c r="H53" i="22"/>
  <c r="D104" i="22"/>
  <c r="E55" i="22"/>
  <c r="I63" i="22"/>
  <c r="F37" i="22"/>
  <c r="D50" i="22"/>
  <c r="J50" i="22"/>
  <c r="F55" i="22"/>
  <c r="E50" i="22"/>
  <c r="G50" i="22"/>
  <c r="F51" i="22"/>
  <c r="J49" i="22"/>
  <c r="E96" i="22"/>
  <c r="D106" i="22"/>
  <c r="F50" i="22"/>
  <c r="I55" i="22"/>
  <c r="D55" i="22"/>
  <c r="C96" i="22"/>
  <c r="F65" i="22"/>
  <c r="D96" i="22"/>
  <c r="H51" i="22"/>
  <c r="F64" i="22"/>
  <c r="K50" i="22"/>
  <c r="G37" i="22"/>
  <c r="D37" i="22"/>
  <c r="D63" i="22"/>
  <c r="I51" i="22"/>
  <c r="E53" i="22"/>
  <c r="I67" i="22"/>
  <c r="H67" i="22"/>
  <c r="C97" i="22"/>
  <c r="E51" i="22"/>
  <c r="H65" i="22"/>
  <c r="G67" i="22"/>
  <c r="H55" i="22"/>
  <c r="E97" i="22"/>
  <c r="D67" i="22"/>
  <c r="J55" i="22"/>
  <c r="E63" i="22"/>
  <c r="G53" i="22"/>
  <c r="C92" i="22"/>
  <c r="K53" i="22"/>
  <c r="B92" i="22"/>
  <c r="I65" i="22"/>
  <c r="K55" i="22"/>
  <c r="E37" i="22"/>
  <c r="E65" i="22"/>
  <c r="H63" i="22"/>
  <c r="E64" i="22"/>
  <c r="H49" i="22"/>
  <c r="F67" i="22"/>
  <c r="H50" i="22"/>
  <c r="D64" i="22"/>
  <c r="G51" i="22"/>
  <c r="D65" i="22"/>
  <c r="E67" i="22"/>
  <c r="D51" i="22"/>
  <c r="G49" i="22"/>
  <c r="F49" i="22"/>
  <c r="G63" i="22"/>
  <c r="I50" i="22"/>
  <c r="F53" i="22"/>
  <c r="F63" i="22"/>
  <c r="D92" i="22"/>
  <c r="D49" i="22"/>
  <c r="E161" i="22"/>
  <c r="I49" i="22"/>
  <c r="G55" i="22"/>
  <c r="K49" i="22"/>
  <c r="J53" i="22"/>
  <c r="I64" i="22"/>
  <c r="D53" i="22"/>
  <c r="H64" i="22"/>
  <c r="I53" i="22"/>
  <c r="N106" i="22" l="1"/>
  <c r="E106" i="22" s="1"/>
  <c r="N104" i="22"/>
  <c r="N105" i="22"/>
  <c r="E105" i="22" s="1"/>
  <c r="E187" i="22"/>
  <c r="K187" i="22" s="1"/>
  <c r="K188" i="22" s="1"/>
  <c r="C188" i="22"/>
  <c r="G188" i="22"/>
  <c r="I70" i="22"/>
  <c r="I161" i="22"/>
  <c r="L51" i="22"/>
  <c r="P51" i="22" s="1"/>
  <c r="M51" i="22"/>
  <c r="Q51" i="22" s="1"/>
  <c r="J241" i="22"/>
  <c r="I241" i="22" s="1"/>
  <c r="J174" i="22"/>
  <c r="F174" i="22"/>
  <c r="H174" i="22"/>
  <c r="K161" i="22"/>
  <c r="C162" i="22"/>
  <c r="E162" i="22"/>
  <c r="G162" i="22"/>
  <c r="J126" i="22"/>
  <c r="H126" i="22"/>
  <c r="H132" i="22" s="1"/>
  <c r="D56" i="22"/>
  <c r="G41" i="22"/>
  <c r="F41" i="22"/>
  <c r="E39" i="22"/>
  <c r="D39" i="22"/>
  <c r="M106" i="22" l="1"/>
  <c r="K106" i="22"/>
  <c r="M105" i="22"/>
  <c r="K105" i="22"/>
  <c r="E104" i="22"/>
  <c r="M104" i="22"/>
  <c r="K104" i="22"/>
  <c r="D188" i="22"/>
  <c r="D187" i="22"/>
  <c r="I187" i="22"/>
  <c r="F187" i="22" s="1"/>
  <c r="E188" i="22"/>
  <c r="J161" i="22"/>
  <c r="F161" i="22"/>
  <c r="H161" i="22"/>
  <c r="E126" i="22"/>
  <c r="E241" i="22"/>
  <c r="C241" i="22"/>
  <c r="G241" i="22"/>
  <c r="D161" i="22"/>
  <c r="I126" i="22"/>
  <c r="G126" i="22"/>
  <c r="C126" i="22"/>
  <c r="H40" i="22"/>
  <c r="I40" i="22"/>
  <c r="H41" i="22"/>
  <c r="I41" i="22"/>
  <c r="F35" i="22"/>
  <c r="E35" i="22"/>
  <c r="G35" i="22"/>
  <c r="F36" i="22"/>
  <c r="E36" i="22"/>
  <c r="G36" i="22"/>
  <c r="D36" i="22"/>
  <c r="I188" i="22" l="1"/>
  <c r="J187" i="22"/>
  <c r="H187" i="22"/>
  <c r="D42" i="22"/>
  <c r="E42" i="22"/>
  <c r="F42" i="22"/>
  <c r="G42" i="22"/>
  <c r="J188" i="22" l="1"/>
  <c r="H188" i="22"/>
  <c r="F188" i="22"/>
  <c r="C12" i="69"/>
  <c r="C10" i="69"/>
  <c r="D10" i="69" s="1"/>
  <c r="E10" i="69" s="1"/>
  <c r="F10" i="69" s="1"/>
  <c r="G10" i="69" s="1"/>
  <c r="I10" i="69" s="1"/>
  <c r="J10" i="69" s="1"/>
  <c r="K10" i="69" s="1"/>
  <c r="L10" i="69" s="1"/>
  <c r="M10" i="69" s="1"/>
  <c r="N10" i="69" s="1"/>
  <c r="O10" i="69" s="1"/>
  <c r="P10" i="69" s="1"/>
  <c r="Q10" i="69" s="1"/>
  <c r="R10" i="69" s="1"/>
  <c r="S10" i="69" s="1"/>
  <c r="T10" i="69" s="1"/>
  <c r="U10" i="69" s="1"/>
  <c r="G5" i="69"/>
  <c r="C383" i="22" l="1"/>
  <c r="C373" i="22"/>
  <c r="D383" i="22" l="1"/>
  <c r="J383" i="22" s="1"/>
  <c r="D373" i="22" l="1"/>
  <c r="J373" i="22" s="1"/>
  <c r="I154" i="22"/>
  <c r="K70" i="22" l="1"/>
  <c r="M69" i="22"/>
  <c r="L69" i="22"/>
  <c r="P69" i="22" s="1"/>
  <c r="Q69" i="22" l="1"/>
  <c r="J56" i="22"/>
  <c r="K56" i="22"/>
  <c r="C8" i="69" l="1"/>
  <c r="E334" i="22"/>
  <c r="L68" i="22"/>
  <c r="P68" i="22" s="1"/>
  <c r="N68" i="22" s="1"/>
  <c r="H36" i="22"/>
  <c r="I35" i="22"/>
  <c r="H35" i="22"/>
  <c r="K155" i="22"/>
  <c r="D155" i="22" s="1"/>
  <c r="L54" i="22"/>
  <c r="P54" i="22" s="1"/>
  <c r="M66" i="22"/>
  <c r="Q66" i="22" s="1"/>
  <c r="O66" i="22" s="1"/>
  <c r="E56" i="22"/>
  <c r="G56" i="22"/>
  <c r="F70" i="22"/>
  <c r="H39" i="22"/>
  <c r="G328" i="22"/>
  <c r="M55" i="22"/>
  <c r="Q55" i="22" s="1"/>
  <c r="L67" i="22"/>
  <c r="P67" i="22" s="1"/>
  <c r="N67" i="22" s="1"/>
  <c r="L66" i="22"/>
  <c r="P66" i="22" s="1"/>
  <c r="N66" i="22" s="1"/>
  <c r="M68" i="22"/>
  <c r="Q68" i="22" s="1"/>
  <c r="O68" i="22" s="1"/>
  <c r="H56" i="22"/>
  <c r="L50" i="22"/>
  <c r="P50" i="22" s="1"/>
  <c r="H334" i="22"/>
  <c r="H335" i="22"/>
  <c r="E328" i="22"/>
  <c r="L55" i="22"/>
  <c r="P55" i="22" s="1"/>
  <c r="K334" i="22"/>
  <c r="L65" i="22"/>
  <c r="P65" i="22" s="1"/>
  <c r="N65" i="22" s="1"/>
  <c r="L53" i="22"/>
  <c r="P53" i="22" s="1"/>
  <c r="L52" i="22"/>
  <c r="P52" i="22" s="1"/>
  <c r="M53" i="22"/>
  <c r="Q53" i="22" s="1"/>
  <c r="M52" i="22"/>
  <c r="Q52" i="22" s="1"/>
  <c r="I56" i="22"/>
  <c r="M50" i="22"/>
  <c r="Q50" i="22" s="1"/>
  <c r="G70" i="22"/>
  <c r="M67" i="22"/>
  <c r="Q67" i="22" s="1"/>
  <c r="O67" i="22" s="1"/>
  <c r="L64" i="22"/>
  <c r="H70" i="22"/>
  <c r="M54" i="22"/>
  <c r="Q54" i="22" s="1"/>
  <c r="M65" i="22"/>
  <c r="Q65" i="22" s="1"/>
  <c r="O65" i="22" s="1"/>
  <c r="M64" i="22"/>
  <c r="I39" i="22"/>
  <c r="I36" i="22"/>
  <c r="H38" i="22"/>
  <c r="I37" i="22"/>
  <c r="H37" i="22"/>
  <c r="K335" i="22"/>
  <c r="K168" i="22"/>
  <c r="E335" i="22"/>
  <c r="I155" i="22"/>
  <c r="I38" i="22"/>
  <c r="I162" i="22" l="1"/>
  <c r="D12" i="69"/>
  <c r="D168" i="22"/>
  <c r="C11" i="69"/>
  <c r="H155" i="22"/>
  <c r="J155" i="22"/>
  <c r="L70" i="22"/>
  <c r="P64" i="22"/>
  <c r="N64" i="22" s="1"/>
  <c r="F168" i="22"/>
  <c r="J168" i="22"/>
  <c r="H168" i="22"/>
  <c r="F155" i="22"/>
  <c r="Q64" i="22"/>
  <c r="O64" i="22" s="1"/>
  <c r="M70" i="22"/>
  <c r="H235" i="22"/>
  <c r="H242" i="22" s="1"/>
  <c r="J125" i="22"/>
  <c r="J132" i="22" s="1"/>
  <c r="K167" i="22"/>
  <c r="D167" i="22" s="1"/>
  <c r="I167" i="22"/>
  <c r="I175" i="22" s="1"/>
  <c r="K154" i="22"/>
  <c r="D154" i="22" s="1"/>
  <c r="E125" i="22" l="1"/>
  <c r="K175" i="22"/>
  <c r="D175" i="22" s="1"/>
  <c r="H175" i="22"/>
  <c r="F175" i="22"/>
  <c r="K162" i="22"/>
  <c r="D162" i="22" s="1"/>
  <c r="C125" i="22"/>
  <c r="G125" i="22"/>
  <c r="J235" i="22"/>
  <c r="J242" i="22" s="1"/>
  <c r="J167" i="22"/>
  <c r="J154" i="22"/>
  <c r="H167" i="22"/>
  <c r="F167" i="22"/>
  <c r="H154" i="22"/>
  <c r="F154" i="22"/>
  <c r="J175" i="22" l="1"/>
  <c r="J162" i="22"/>
  <c r="G235" i="22"/>
  <c r="C235" i="22"/>
  <c r="E235" i="22"/>
  <c r="I235" i="22"/>
  <c r="H162" i="22"/>
  <c r="F162" i="22"/>
  <c r="O54" i="22" l="1"/>
  <c r="N54" i="22"/>
  <c r="D8" i="69" l="1"/>
  <c r="E8" i="69" s="1"/>
  <c r="F8" i="69" s="1"/>
  <c r="G8" i="69" s="1"/>
  <c r="I8" i="69" s="1"/>
  <c r="I15" i="22" s="1"/>
  <c r="I16" i="22" s="1"/>
  <c r="I17" i="22" l="1"/>
  <c r="I22" i="22"/>
  <c r="J8" i="69"/>
  <c r="J12" i="69"/>
  <c r="K8" i="69" l="1"/>
  <c r="K12" i="69"/>
  <c r="F12" i="69"/>
  <c r="D11" i="69"/>
  <c r="E12" i="69"/>
  <c r="E11" i="69"/>
  <c r="L12" i="69" l="1"/>
  <c r="L8" i="69"/>
  <c r="M8" i="69" s="1"/>
  <c r="G12" i="69"/>
  <c r="F11" i="69"/>
  <c r="G11" i="69"/>
  <c r="H348" i="22"/>
  <c r="D360" i="22"/>
  <c r="O51" i="22"/>
  <c r="H360" i="22"/>
  <c r="I336" i="22"/>
  <c r="E348" i="22"/>
  <c r="C348" i="22"/>
  <c r="L49" i="22"/>
  <c r="P49" i="22" s="1"/>
  <c r="E70" i="22"/>
  <c r="Q70" i="22" s="1"/>
  <c r="O70" i="22" s="1"/>
  <c r="O53" i="22"/>
  <c r="G336" i="22"/>
  <c r="F336" i="22"/>
  <c r="D336" i="22"/>
  <c r="C336" i="22"/>
  <c r="D98" i="22"/>
  <c r="J336" i="22"/>
  <c r="D348" i="22"/>
  <c r="G360" i="22"/>
  <c r="E98" i="22"/>
  <c r="D70" i="22"/>
  <c r="P70" i="22" s="1"/>
  <c r="N70" i="22" s="1"/>
  <c r="F56" i="22"/>
  <c r="M63" i="22"/>
  <c r="F360" i="22"/>
  <c r="I360" i="22"/>
  <c r="L63" i="22"/>
  <c r="P63" i="22" s="1"/>
  <c r="N63" i="22" s="1"/>
  <c r="E336" i="22"/>
  <c r="F348" i="22"/>
  <c r="M49" i="22"/>
  <c r="C360" i="22"/>
  <c r="G348" i="22"/>
  <c r="I348" i="22"/>
  <c r="E360" i="22"/>
  <c r="C98" i="22"/>
  <c r="M12" i="69" l="1"/>
  <c r="N12" i="69"/>
  <c r="N8" i="69"/>
  <c r="Q49" i="22"/>
  <c r="O49" i="22" s="1"/>
  <c r="H11" i="69"/>
  <c r="Q63" i="22"/>
  <c r="O63" i="22" s="1"/>
  <c r="H42" i="22"/>
  <c r="I42" i="22"/>
  <c r="N50" i="22"/>
  <c r="L56" i="22"/>
  <c r="P56" i="22" s="1"/>
  <c r="O52" i="22"/>
  <c r="M56" i="22"/>
  <c r="Q56" i="22" s="1"/>
  <c r="O50" i="22"/>
  <c r="N53" i="22"/>
  <c r="N52" i="22"/>
  <c r="N51" i="22"/>
  <c r="I18" i="22"/>
  <c r="I19" i="22" s="1"/>
  <c r="I21" i="22"/>
  <c r="K336" i="22"/>
  <c r="N49" i="22"/>
  <c r="J360" i="22"/>
  <c r="H336" i="22"/>
  <c r="J348" i="22"/>
  <c r="G242" i="22"/>
  <c r="J358" i="22"/>
  <c r="C359" i="22" s="1"/>
  <c r="J344" i="22"/>
  <c r="O12" i="69" l="1"/>
  <c r="O8" i="69"/>
  <c r="P8" i="69" s="1"/>
  <c r="Q8" i="69" s="1"/>
  <c r="R8" i="69" s="1"/>
  <c r="S8" i="69" s="1"/>
  <c r="T8" i="69" s="1"/>
  <c r="U8" i="69" s="1"/>
  <c r="V8" i="69" s="1"/>
  <c r="I11" i="69"/>
  <c r="I125" i="22"/>
  <c r="H361" i="22"/>
  <c r="C361" i="22"/>
  <c r="D361" i="22"/>
  <c r="I361" i="22"/>
  <c r="G361" i="22"/>
  <c r="F361" i="22"/>
  <c r="O56" i="22"/>
  <c r="G349" i="22"/>
  <c r="E349" i="22"/>
  <c r="F349" i="22"/>
  <c r="C349" i="22"/>
  <c r="I349" i="22"/>
  <c r="D349" i="22"/>
  <c r="J346" i="22" s="1"/>
  <c r="H349" i="22"/>
  <c r="N56" i="22"/>
  <c r="E361" i="22"/>
  <c r="I242" i="22"/>
  <c r="E242" i="22"/>
  <c r="C242" i="22"/>
  <c r="C345" i="22"/>
  <c r="I345" i="22"/>
  <c r="D345" i="22"/>
  <c r="H345" i="22"/>
  <c r="G345" i="22"/>
  <c r="E345" i="22"/>
  <c r="F345" i="22"/>
  <c r="I359" i="22"/>
  <c r="F359" i="22"/>
  <c r="D359" i="22"/>
  <c r="E359" i="22"/>
  <c r="G359" i="22"/>
  <c r="J356" i="22"/>
  <c r="H359" i="22"/>
  <c r="V11" i="69" l="1"/>
  <c r="W8" i="69"/>
  <c r="J11" i="69"/>
  <c r="C132" i="22"/>
  <c r="I132" i="22"/>
  <c r="E132" i="22"/>
  <c r="G132" i="22"/>
  <c r="J361" i="22"/>
  <c r="I347" i="22"/>
  <c r="F347" i="22"/>
  <c r="D347" i="22"/>
  <c r="H347" i="22"/>
  <c r="C347" i="22"/>
  <c r="E347" i="22"/>
  <c r="G347" i="22"/>
  <c r="J349" i="22"/>
  <c r="J345" i="22"/>
  <c r="F357" i="22"/>
  <c r="I357" i="22"/>
  <c r="C357" i="22"/>
  <c r="G357" i="22"/>
  <c r="H357" i="22"/>
  <c r="E357" i="22"/>
  <c r="D357" i="22"/>
  <c r="J342" i="22"/>
  <c r="W11" i="69" l="1"/>
  <c r="X8" i="69"/>
  <c r="X11" i="69" s="1"/>
  <c r="K11" i="69"/>
  <c r="J347" i="22"/>
  <c r="J357" i="22"/>
  <c r="E343" i="22"/>
  <c r="F343" i="22"/>
  <c r="D343" i="22"/>
  <c r="G343" i="22"/>
  <c r="I343" i="22"/>
  <c r="C343" i="22"/>
  <c r="H343" i="22"/>
  <c r="J354" i="22"/>
  <c r="L11" i="69" l="1"/>
  <c r="J343" i="22"/>
  <c r="D355" i="22"/>
  <c r="F355" i="22"/>
  <c r="I355" i="22"/>
  <c r="H355" i="22"/>
  <c r="E355" i="22"/>
  <c r="C355" i="22"/>
  <c r="G355" i="22"/>
  <c r="M11" i="69" l="1"/>
  <c r="J355" i="22"/>
  <c r="N11" i="69" l="1"/>
  <c r="O11" i="69" l="1"/>
  <c r="P11" i="69" l="1"/>
  <c r="Q11" i="69" l="1"/>
  <c r="R11" i="69" l="1"/>
  <c r="S11" i="69" l="1"/>
  <c r="T11" i="69" l="1"/>
  <c r="U11" i="69"/>
</calcChain>
</file>

<file path=xl/sharedStrings.xml><?xml version="1.0" encoding="utf-8"?>
<sst xmlns="http://schemas.openxmlformats.org/spreadsheetml/2006/main" count="19011" uniqueCount="2879">
  <si>
    <t>Wandsworth Local Plan – Authority Monitoring Report 2023/24
Housing Policy Performance Report – Summary Tables</t>
  </si>
  <si>
    <t>Housing Supply</t>
  </si>
  <si>
    <t>Table 1a</t>
  </si>
  <si>
    <t>Performance against 2021 London Plan target</t>
  </si>
  <si>
    <t>Net Additional Dwellings</t>
  </si>
  <si>
    <t>2021 London Plan Target</t>
  </si>
  <si>
    <t>Annual Target</t>
  </si>
  <si>
    <t>Provision - 20% of Plan period</t>
  </si>
  <si>
    <t>Total Provision</t>
  </si>
  <si>
    <t>% of 10-Year Target</t>
  </si>
  <si>
    <t>2021/22</t>
  </si>
  <si>
    <t>2022/23</t>
  </si>
  <si>
    <t>2023/24</t>
  </si>
  <si>
    <t>Conventional Supply and Non-Self-Contained Supply</t>
  </si>
  <si>
    <t>Table 1b</t>
  </si>
  <si>
    <t>Five year housing land supply calculation</t>
  </si>
  <si>
    <t>a</t>
  </si>
  <si>
    <t>2021 London Plan 10-year target</t>
  </si>
  <si>
    <t>b</t>
  </si>
  <si>
    <t>Net Completions 1 April 2021 to 31 March 2024</t>
  </si>
  <si>
    <t>c</t>
  </si>
  <si>
    <t>Remaining London Plan Requirement</t>
  </si>
  <si>
    <t>a - b</t>
  </si>
  <si>
    <t>d</t>
  </si>
  <si>
    <t>Average per year</t>
  </si>
  <si>
    <t>c ÷ 7</t>
  </si>
  <si>
    <t>e</t>
  </si>
  <si>
    <t>Five year requirement</t>
  </si>
  <si>
    <t>d x 5</t>
  </si>
  <si>
    <t>f</t>
  </si>
  <si>
    <t>Five percent buffer</t>
  </si>
  <si>
    <t>e × 0.05</t>
  </si>
  <si>
    <t>g</t>
  </si>
  <si>
    <t>Five year requirement including 5% buffer</t>
  </si>
  <si>
    <t>e + f</t>
  </si>
  <si>
    <t>h</t>
  </si>
  <si>
    <t>Estimated supply over five year period</t>
  </si>
  <si>
    <t>i</t>
  </si>
  <si>
    <t>Five year land supply as a percentage of requirement (excluding 5% buffer)</t>
  </si>
  <si>
    <t>(h ÷ e) x 100</t>
  </si>
  <si>
    <t>j</t>
  </si>
  <si>
    <t>Five year land supply expressed in years (excluding 5% buffer)</t>
  </si>
  <si>
    <t>h ÷ d</t>
  </si>
  <si>
    <t>Note: All dwelling counts in the following tables, Tables 1c–19, are of conventional supply.</t>
  </si>
  <si>
    <t>Table 1c</t>
  </si>
  <si>
    <t>Net affordable housing completions against Local Plan tenure split targets</t>
  </si>
  <si>
    <t>Local Plan target</t>
  </si>
  <si>
    <t>2023/24 completions</t>
  </si>
  <si>
    <t>Intermediate</t>
  </si>
  <si>
    <t>Social/Affordable Rent</t>
  </si>
  <si>
    <t>Total</t>
  </si>
  <si>
    <t>Table 2</t>
  </si>
  <si>
    <t>Housing land capacity by development type at 31 March 2024</t>
  </si>
  <si>
    <t>Housing Capacity</t>
  </si>
  <si>
    <t>New Build</t>
  </si>
  <si>
    <t>Conversions</t>
  </si>
  <si>
    <t xml:space="preserve">Gross </t>
  </si>
  <si>
    <t>Net</t>
  </si>
  <si>
    <t>Completed 2023/24</t>
  </si>
  <si>
    <t>Under Construction</t>
  </si>
  <si>
    <t>Planning Permissions</t>
  </si>
  <si>
    <t>Applications Subject to Legal Agreement</t>
  </si>
  <si>
    <t>Identified Sites</t>
  </si>
  <si>
    <t>Potential Sites</t>
  </si>
  <si>
    <t>Small Sites Allowance</t>
  </si>
  <si>
    <t>Total Pipeline at 31 March 2024</t>
  </si>
  <si>
    <t>Note: Pipeline includes some dwellings expected to be completed beyond the phasing shown in the housing trajectory</t>
  </si>
  <si>
    <t>Table 3</t>
  </si>
  <si>
    <t>Housing land capacity at 31 March 2024, by tenure</t>
  </si>
  <si>
    <t>Status</t>
  </si>
  <si>
    <t>Open Market</t>
  </si>
  <si>
    <t>Affordable</t>
  </si>
  <si>
    <t>Unknown</t>
  </si>
  <si>
    <t>Total Affordable</t>
  </si>
  <si>
    <t>% Affordable</t>
  </si>
  <si>
    <t>Gross</t>
  </si>
  <si>
    <t>Table 4</t>
  </si>
  <si>
    <t>Housing land capacity at 31 March 2024, by tenure (new build only)</t>
  </si>
  <si>
    <t>Table 5</t>
  </si>
  <si>
    <t>Net units granted planning permission, started and completed in 2006/07 - 2023/24</t>
  </si>
  <si>
    <t>Year</t>
  </si>
  <si>
    <t xml:space="preserve"> Permissions</t>
  </si>
  <si>
    <t xml:space="preserve"> Starts</t>
  </si>
  <si>
    <t xml:space="preserve"> Completions</t>
  </si>
  <si>
    <t>2006/07</t>
  </si>
  <si>
    <t>2007/08</t>
  </si>
  <si>
    <t>2008/09</t>
  </si>
  <si>
    <t>2009/10</t>
  </si>
  <si>
    <t>2010/11</t>
  </si>
  <si>
    <t>2011/12</t>
  </si>
  <si>
    <t>2012/13</t>
  </si>
  <si>
    <t>2013/14</t>
  </si>
  <si>
    <t>2014/15</t>
  </si>
  <si>
    <t>2015/16</t>
  </si>
  <si>
    <t>2016/17</t>
  </si>
  <si>
    <t>2017/18</t>
  </si>
  <si>
    <t>2018/19</t>
  </si>
  <si>
    <t>2019/20</t>
  </si>
  <si>
    <t>2020/21</t>
  </si>
  <si>
    <t>Table 6</t>
  </si>
  <si>
    <t>Net units granted planning permission, started and completed in 2023/24 by development type</t>
  </si>
  <si>
    <t>Development Type</t>
  </si>
  <si>
    <t>Permissions</t>
  </si>
  <si>
    <t>Starts</t>
  </si>
  <si>
    <t>Completions</t>
  </si>
  <si>
    <t>Table 7</t>
  </si>
  <si>
    <t>Net units granted planning permission, started or completed in 2023/24 by tenure</t>
  </si>
  <si>
    <t>All Developments by Tenure</t>
  </si>
  <si>
    <t>Table 8a</t>
  </si>
  <si>
    <t>Net completions by tenure and financial year in 2006/07 - 2023/24</t>
  </si>
  <si>
    <t xml:space="preserve"> Open Market</t>
  </si>
  <si>
    <t xml:space="preserve"> Intermediate</t>
  </si>
  <si>
    <t xml:space="preserve"> Social/Affordable Rent</t>
  </si>
  <si>
    <t>Units</t>
  </si>
  <si>
    <t>%</t>
  </si>
  <si>
    <t>Major Developments by Tenure</t>
  </si>
  <si>
    <t>Table 8b</t>
  </si>
  <si>
    <t>Net completions on VNEB sites with developments of 10 or more dwellings in 2016/17 - 2023/24</t>
  </si>
  <si>
    <t>Table 8c</t>
  </si>
  <si>
    <t>Net completions on sites outside VNEB with developments of 10 or more dwellings in 2016/17 - 2023/24</t>
  </si>
  <si>
    <t>Table 8d</t>
  </si>
  <si>
    <t>Net completions on developments of 10 or more dwellings in 2016/17 - 2023/24</t>
  </si>
  <si>
    <t>Conversions/New Build</t>
  </si>
  <si>
    <t>Table 9</t>
  </si>
  <si>
    <t>Net completions by development type in 2006/07 - 2023/24</t>
  </si>
  <si>
    <t>Table 10</t>
  </si>
  <si>
    <t>Net units commenced per financial year by tenure in 2006/07 - 2023/24</t>
  </si>
  <si>
    <t>New Permissions</t>
  </si>
  <si>
    <t>Table 11a</t>
  </si>
  <si>
    <t>Net units with new planning permission by development type in 2006/07 - 2023/24</t>
  </si>
  <si>
    <t xml:space="preserve"> New Build</t>
  </si>
  <si>
    <t xml:space="preserve"> Conversions</t>
  </si>
  <si>
    <t>Table 11b</t>
  </si>
  <si>
    <t>Tenure</t>
  </si>
  <si>
    <t>Spatial Areas</t>
  </si>
  <si>
    <t>Town Centres</t>
  </si>
  <si>
    <t>Table 12</t>
  </si>
  <si>
    <t>Net completions in town centres in 2011/12 - 2023/24</t>
  </si>
  <si>
    <t>Town Centre</t>
  </si>
  <si>
    <t>Balham</t>
  </si>
  <si>
    <t>Clapham Junction</t>
  </si>
  <si>
    <t>Putney</t>
  </si>
  <si>
    <t>Tooting</t>
  </si>
  <si>
    <t>Wandsworth</t>
  </si>
  <si>
    <t>Policy Areas</t>
  </si>
  <si>
    <t>Table 13</t>
  </si>
  <si>
    <t>Net completions by policy areas</t>
  </si>
  <si>
    <t>Policy Area</t>
  </si>
  <si>
    <t>Clapham Junction and York Road / Winstanley Regeneration Area</t>
  </si>
  <si>
    <t>Nine Elms</t>
  </si>
  <si>
    <t>Roehampton and Alton Estate Regeneration Area</t>
  </si>
  <si>
    <t>Wandle Valley</t>
  </si>
  <si>
    <t>Wandsworth's Riverside</t>
  </si>
  <si>
    <t>Wandsworth Town, excl. Wandle Delta Masterplan Area</t>
  </si>
  <si>
    <t>Wandsworth Town, inc. Wandle Delta Masterplan Area</t>
  </si>
  <si>
    <t>Wards</t>
  </si>
  <si>
    <t>Table 14</t>
  </si>
  <si>
    <t>Net units by ward with planning permission not started or under construction as at 31 March 2023 or completed in 2023/24</t>
  </si>
  <si>
    <t>Ward</t>
  </si>
  <si>
    <t>Not Started</t>
  </si>
  <si>
    <t>Battersea Park</t>
  </si>
  <si>
    <t>East Putney</t>
  </si>
  <si>
    <t>Falconbrook</t>
  </si>
  <si>
    <t>Furzedown</t>
  </si>
  <si>
    <t>Lavender</t>
  </si>
  <si>
    <t>Northcote</t>
  </si>
  <si>
    <t>Roehampton</t>
  </si>
  <si>
    <t>Shaftesbury &amp; Queenstown</t>
  </si>
  <si>
    <t>South Balham</t>
  </si>
  <si>
    <t>Southfields</t>
  </si>
  <si>
    <t>St Mary's</t>
  </si>
  <si>
    <t>Thamesfield</t>
  </si>
  <si>
    <t>Tooting Bec</t>
  </si>
  <si>
    <t>Tooting Broadway</t>
  </si>
  <si>
    <t>Trinity</t>
  </si>
  <si>
    <t>Wandle</t>
  </si>
  <si>
    <t>Wandsworth Common</t>
  </si>
  <si>
    <t>Wandsworth Town</t>
  </si>
  <si>
    <t>West Hill</t>
  </si>
  <si>
    <t>West Putney</t>
  </si>
  <si>
    <t>Vauxhall, Nine Elms, Battersea Opportunity Area (VNEB)</t>
  </si>
  <si>
    <t>Table 15</t>
  </si>
  <si>
    <t>Net units in VNEB by tenure with planning permissions not started or under construction as at 31 March 2024 or completed in 2023/24</t>
  </si>
  <si>
    <t>Market</t>
  </si>
  <si>
    <t>VNEB</t>
  </si>
  <si>
    <t>Rest of Wandsworth</t>
  </si>
  <si>
    <t>Dwelling Mix</t>
  </si>
  <si>
    <t>Table 16</t>
  </si>
  <si>
    <t>Net new build units completed by unit size and tenure</t>
  </si>
  <si>
    <t>Studio</t>
  </si>
  <si>
    <t>1 bed</t>
  </si>
  <si>
    <t>2 bed</t>
  </si>
  <si>
    <t>3 bed</t>
  </si>
  <si>
    <t>4 bed</t>
  </si>
  <si>
    <t>5+ bed</t>
  </si>
  <si>
    <t>Not Known</t>
  </si>
  <si>
    <t>Table 17</t>
  </si>
  <si>
    <t>Net new build units with planning permission by unit size and tenure</t>
  </si>
  <si>
    <t>Table 18</t>
  </si>
  <si>
    <t>Completed conversions (gross units) in 2017/18 - 2023/24</t>
  </si>
  <si>
    <t>House &gt; Flats</t>
  </si>
  <si>
    <t>Flats &gt; House</t>
  </si>
  <si>
    <t>Flats &gt; Flats</t>
  </si>
  <si>
    <t>Houses &gt; Houses</t>
  </si>
  <si>
    <t>Change of Use</t>
  </si>
  <si>
    <t>Vertical Extension</t>
  </si>
  <si>
    <t>Table 19</t>
  </si>
  <si>
    <t>Conversions with planning permission (gross units) in 2017/18 - 2023/24</t>
  </si>
  <si>
    <t>For more information email planninginformation@wandsworth.gov.uk or call Planning Information on 020 8871 5830</t>
  </si>
  <si>
    <t>Housing Trajectory</t>
  </si>
  <si>
    <t>London Plan Period</t>
  </si>
  <si>
    <t>2016 London Plan</t>
  </si>
  <si>
    <t>2021 London Plan</t>
  </si>
  <si>
    <t>Further Alterations to the London Plan (Local Plan target applied)</t>
  </si>
  <si>
    <t>2024/25</t>
  </si>
  <si>
    <t>2025/26</t>
  </si>
  <si>
    <t>2026/27</t>
  </si>
  <si>
    <t>2027/28</t>
  </si>
  <si>
    <t>2028/29</t>
  </si>
  <si>
    <t>2029/30</t>
  </si>
  <si>
    <t>2030/31</t>
  </si>
  <si>
    <t>2031/32</t>
  </si>
  <si>
    <t>2032/33</t>
  </si>
  <si>
    <t>2033/34</t>
  </si>
  <si>
    <t>2034/35</t>
  </si>
  <si>
    <t>2035/36</t>
  </si>
  <si>
    <t>2036/37</t>
  </si>
  <si>
    <t>2037/38</t>
  </si>
  <si>
    <t>Years of Plan Remaining</t>
  </si>
  <si>
    <t>Past Completions</t>
  </si>
  <si>
    <t>Projected Completions</t>
  </si>
  <si>
    <t>Cumulative Completions over Plan Period</t>
  </si>
  <si>
    <t>Target</t>
  </si>
  <si>
    <t>Cumulative Target over Plan Period</t>
  </si>
  <si>
    <t>Delivery against London Plan Target</t>
  </si>
  <si>
    <t>Cumulative Completions above Cumulative Target</t>
  </si>
  <si>
    <t>Managed Annual Target Taking Account of Past and Projected Completions</t>
  </si>
  <si>
    <t>Notes and Key Highlights</t>
  </si>
  <si>
    <t>1.</t>
  </si>
  <si>
    <t>This report covers 2023/24 financial year data, from 1 April 2023 to 31 March 2024.</t>
  </si>
  <si>
    <t>2.</t>
  </si>
  <si>
    <t>The data used in this report is extracted from Wandsworth's Development Monitoring Database, which has 
recorded data on proposed residential developments since 2001. Data is up to 1st April 2024 and includes information collected through the Starts and Completions annual survey and the 2024 Developer Survey.</t>
  </si>
  <si>
    <t>3.</t>
  </si>
  <si>
    <t>Analysis by location and against housing targets is based on adopted policies as of 31 March 2024.</t>
  </si>
  <si>
    <t>4.</t>
  </si>
  <si>
    <t>5.</t>
  </si>
  <si>
    <t>The Council remains committed to delivering affordable housing and is undertaking a Partial Review of the Local Plan to enhance the delivery of genuinely affordable homes for residents. This includes an expectation for new housing developments in the borough to provide at least 50% of dwellings as affordable homes delivered on site.</t>
  </si>
  <si>
    <t>6.</t>
  </si>
  <si>
    <t>The Council is on track to meet the London Plan's 10-year housing target. Over the next five years, an estimated 12,612 units will be supplied, which is 142% of Wandsworth's five-year housing land requirement.</t>
  </si>
  <si>
    <t>7.</t>
  </si>
  <si>
    <t>Site</t>
  </si>
  <si>
    <t>Application</t>
  </si>
  <si>
    <t>Address</t>
  </si>
  <si>
    <t>Phase</t>
  </si>
  <si>
    <t>Easting</t>
  </si>
  <si>
    <t>Northing</t>
  </si>
  <si>
    <t>Ward (2022)</t>
  </si>
  <si>
    <t>Site Construction Date</t>
  </si>
  <si>
    <t>Site Completion Date</t>
  </si>
  <si>
    <t>Phase Existing Units</t>
  </si>
  <si>
    <t>Phase Proposed Units</t>
  </si>
  <si>
    <t>Phase Net Units</t>
  </si>
  <si>
    <t>Application Proposed Units</t>
  </si>
  <si>
    <t>Application Net Units</t>
  </si>
  <si>
    <t>Scheme of 10 or More Proposed Units</t>
  </si>
  <si>
    <t>Proposal</t>
  </si>
  <si>
    <t>Application Status</t>
  </si>
  <si>
    <t>Application Received Date</t>
  </si>
  <si>
    <t>Application Decision Date</t>
  </si>
  <si>
    <t>Reporting Year Decision</t>
  </si>
  <si>
    <t>Appeal Status</t>
  </si>
  <si>
    <t>Appeal Decision Date</t>
  </si>
  <si>
    <t>Land Type</t>
  </si>
  <si>
    <t>Large Residential Development Type</t>
  </si>
  <si>
    <t>Minor Residential Development Type</t>
  </si>
  <si>
    <t>Phase Residential Site Area (ha)</t>
  </si>
  <si>
    <t>Phase Construction Date</t>
  </si>
  <si>
    <t>Reporting Year Start</t>
  </si>
  <si>
    <t>Phase Completion Date</t>
  </si>
  <si>
    <t>Tenure Code</t>
  </si>
  <si>
    <t>Site Specific Allocations Document Reference</t>
  </si>
  <si>
    <t>London SHLAA 2017 Reference</t>
  </si>
  <si>
    <t>Lifetime Homes</t>
  </si>
  <si>
    <t>M4(2) Dwellings</t>
  </si>
  <si>
    <t>Wheelchair Accessible Homes</t>
  </si>
  <si>
    <t>M4(3) Dwellings</t>
  </si>
  <si>
    <t>Net Studio Units</t>
  </si>
  <si>
    <t>Net 1 Bed Units</t>
  </si>
  <si>
    <t>Net 2 Bed Units</t>
  </si>
  <si>
    <t>Net 3 Bed Units</t>
  </si>
  <si>
    <t>Net 4 Bed Units</t>
  </si>
  <si>
    <t>Net 5+ Bed Units</t>
  </si>
  <si>
    <t>Net Not Known Bed Units</t>
  </si>
  <si>
    <t>Net Studio Flats</t>
  </si>
  <si>
    <t>Net 1 Bed Flats</t>
  </si>
  <si>
    <t>Net 2 Bed Flats</t>
  </si>
  <si>
    <t>Net 3 Bed Flats</t>
  </si>
  <si>
    <t>Net 4 Bed Flats</t>
  </si>
  <si>
    <t>Net 5+ Bed Flats</t>
  </si>
  <si>
    <t>Net Not Known Bed Flats</t>
  </si>
  <si>
    <t>Net Studio Houses</t>
  </si>
  <si>
    <t>Net 1 Bed Houses</t>
  </si>
  <si>
    <t>Net 2 Bed Houses</t>
  </si>
  <si>
    <t>Net 3 Bed Houses</t>
  </si>
  <si>
    <t>Net 4 Bed Houses</t>
  </si>
  <si>
    <t>Net 5+ Bed Houses</t>
  </si>
  <si>
    <t>Net Not Known Bed Houses</t>
  </si>
  <si>
    <t>Net Studio Live Work</t>
  </si>
  <si>
    <t>Net 1 Bed Live Work</t>
  </si>
  <si>
    <t>Net 2 Bed Live Work</t>
  </si>
  <si>
    <t>Net 3 Bed Live Work</t>
  </si>
  <si>
    <t>Net 4 Bed Live Work</t>
  </si>
  <si>
    <t>Net 5+ Bed Live Work</t>
  </si>
  <si>
    <t>Net Not Known Live Work</t>
  </si>
  <si>
    <t>Spatial area</t>
  </si>
  <si>
    <t>Phasing Assumption</t>
  </si>
  <si>
    <t>2038/39</t>
  </si>
  <si>
    <t>2039/40</t>
  </si>
  <si>
    <t>2040/41</t>
  </si>
  <si>
    <t>2041/42</t>
  </si>
  <si>
    <t>2042/43</t>
  </si>
  <si>
    <t>Delivery in 5 Years</t>
  </si>
  <si>
    <t>Delivery in 10 Years</t>
  </si>
  <si>
    <t>01 Completion</t>
  </si>
  <si>
    <t>2014/5383</t>
  </si>
  <si>
    <t>19-21 Mitcham Road</t>
  </si>
  <si>
    <t/>
  </si>
  <si>
    <t>Y</t>
  </si>
  <si>
    <t>Conversion of existing building at first, second, and third floor levels into 19 self contained apartments.</t>
  </si>
  <si>
    <t>PFLA</t>
  </si>
  <si>
    <t>Nil</t>
  </si>
  <si>
    <t>BF</t>
  </si>
  <si>
    <t>COU</t>
  </si>
  <si>
    <t>OTC</t>
  </si>
  <si>
    <t>n/a</t>
  </si>
  <si>
    <t>IR</t>
  </si>
  <si>
    <t>5.2</t>
  </si>
  <si>
    <t>MR</t>
  </si>
  <si>
    <t>2014/5786</t>
  </si>
  <si>
    <t>Market Towers, 1 Nine Elms Lane (One Nine Elms)</t>
  </si>
  <si>
    <t>City Tower</t>
  </si>
  <si>
    <t>Non material amendment to planning application 2014/0871 dated 26 August 2014 (for demolition of existing buildings and structures. Erection of two new buildings of  58 storeys (up to 200m above ground) and 43 storeys (up to 161m above ground) high to provide up to 491 residential units, retail uses (classes A1-A4); office space (class B1); a hotel (class C1) together with a high level viewing space; provision of private and public open spaces; vehicular access and reconfigured vehicular access routes; provision of cycle, motorcycle and car parking, servicing and energy centre within the two level basement; landscaping; excavation works; and other associated works) to allow internal changes to affordable housing units at levels 1-6 of the City Tower increasing the number of affordable units from 52 to 57.</t>
  </si>
  <si>
    <t>S96A</t>
  </si>
  <si>
    <t>NB</t>
  </si>
  <si>
    <t>ISO</t>
  </si>
  <si>
    <t>2.1.12</t>
  </si>
  <si>
    <t>2015/0599</t>
  </si>
  <si>
    <t>31 &amp; 32 Centurion Building, 376 Queenstown Road (Chelsea Bridge Wharf)</t>
  </si>
  <si>
    <t>Internal alterations to convert apartments 31 and 32 into one self contained unit (Class Use C3).</t>
  </si>
  <si>
    <t>PF</t>
  </si>
  <si>
    <t>CON</t>
  </si>
  <si>
    <t>c-</t>
  </si>
  <si>
    <t>M</t>
  </si>
  <si>
    <t>2015/5942</t>
  </si>
  <si>
    <t>Non Material Amendment to planning application 2014/0871 dated 26 August 2014 "for demolition of existing buildings and structures. Erection of two new buildings of  58 storeys (up to 200m above ground) and 43 storeys (up to 161m above ground) high to provide up to 491 residential units, retail uses (classes A1-A4); office space (class B1); a hotel (class C1) together with a high level viewing space; provision of private and public open spaces; vehicular access and reconfigured vehicular access routes; provision of cycle, motorcycle and car parking, servicing and energy centre within the two level basement; landscaping; excavation works; and other associated works" to allow: changes to hotel internal layout including reconfiguration of mezzanine levels, alteration to residential layouts and mix, adjustment to structural slab height, alteration to viewing level and associated spaces, basement and ground level internal amendments together with adjustment to proposed façades.</t>
  </si>
  <si>
    <t>2016/4543</t>
  </si>
  <si>
    <t>131 Lower Richmond Road</t>
  </si>
  <si>
    <t>Proposed use of the first and second floors as two residential flats.</t>
  </si>
  <si>
    <t>LDC Prop</t>
  </si>
  <si>
    <t>Rest of Borough</t>
  </si>
  <si>
    <t>2016/4655</t>
  </si>
  <si>
    <t>16 Roehampton Gate</t>
  </si>
  <si>
    <t>Demolition of existing building and erection of a two-storey (plus basement and roof levels) house.</t>
  </si>
  <si>
    <t>n</t>
  </si>
  <si>
    <t>2016/5341</t>
  </si>
  <si>
    <t>1 Withycombe Road</t>
  </si>
  <si>
    <t>demolition</t>
  </si>
  <si>
    <t>Demolition of existing house and erection of two, two-storey (plus basement) 3 -bedroom semi-detached houses including new boundary treatment.</t>
  </si>
  <si>
    <t>2017/1159</t>
  </si>
  <si>
    <t>6 Leacroft Avenue</t>
  </si>
  <si>
    <t>Demolition of existing building and erection of a three storey (plus basement with rear lightwell) 5-bedroom detached house.</t>
  </si>
  <si>
    <t>2017/1573</t>
  </si>
  <si>
    <t>8 Akehurst Street</t>
  </si>
  <si>
    <t>Erection of 2 x 5-bedroom three storey detached houses with associated landscaping, parking and cycle store.</t>
  </si>
  <si>
    <t>2017/4326</t>
  </si>
  <si>
    <t>14 Valonia Gardens</t>
  </si>
  <si>
    <t>Demolition of existing detached dwellinghouse and the erection of a replacement two-storey (plus roof accomodation) 4-bedroom detached dwellinghouse.</t>
  </si>
  <si>
    <t>2017/5837</t>
  </si>
  <si>
    <t>Peabody Estate, St Johns Hill</t>
  </si>
  <si>
    <t>Phase 3</t>
  </si>
  <si>
    <t>Variation of condition 15 (in accordance with approved drawings) pursuant to planning permission dated 18/10/2012 ref 2012/1258 (Demolition of all existing buildings. Erection of five buildings of 4-12, 4-8, 7, 5-7 and 4-6 storeys to provide 527 residential units (135 x 1 bed, 261 x 2 bed,105 x 3 bed and 26 x 4 bed), with approx. 7800 square metres of private, communal and public space and public routes. Car parking (121 spaces within basement and 15 spaces at grade), 687 cycle parking spaces plus approximately 530 square metres of community space in the centre of the site and approximately 569 square metres of commercial space (classes A1-A5 (retail, financial and professional services, cafe/restaurant, take away, pub/bar and/or B1 office use) at the northern end of the site. Vehicular accesses from Comyn Road and Eckstein Road and emergency access from St John's Hill and Strath Terrace.) to allow:
Plot 2: two storey increase allowing an additional 23 flats and change in tenure to older persons social rent only, removal of basement carparking;
Plot 3: two story increase to the centre tower allowing an additional 11 flats and change in tenure to private rent only;
Plot 6: one storey increase allowing three additional flats;
Plot 7: four additional flats (through internal reconfigurations);
Plot 8: loss of one flat;
Plot 9: One storey increase to the western section, extension of southern section facing Comyn Road to close the building gap and removal of corner feature to Comyn Road to allow 31 additional flats, inclusion of parking below podium level;
General alterations to fenestration and finishes to accommodate changes and reconfiguration of carparking resulting in a loss of 28 spaces. Overall reconfiguration results in 599 residential units across the site.</t>
  </si>
  <si>
    <t>S73</t>
  </si>
  <si>
    <t>4.1.5</t>
  </si>
  <si>
    <t>AS</t>
  </si>
  <si>
    <t>2017/6764</t>
  </si>
  <si>
    <t>Royal Mail Group Site, Ponton Road (Nine Elms Park)</t>
  </si>
  <si>
    <t>Plots B and D2/D3</t>
  </si>
  <si>
    <t>Reserved Matters application for scale, layout, access, external appearance and landscaping pursuant to Condition 3 of planning application 2017/6762 for "Minor Material Amendment pursuant to conditions 1, 2, 9, 11, 15, 32 and 41 of part outline and part detailed planning permission 2016/2424, dated 23rd January 2017 for Minor Material Amendment pursuant to conditions 3 , 9 , 10 , 13 , 18 , 32 and 41 of part outline/part detailed planning permission 2011/2462, dated 30/03/12 for demolition of all existing buildings and construction of mixed use redevelopment comprising 7 building plots with buildings up to 23 storeys to provide residential units; commercial and community floorspace; associated basement parking and part of the 'Nine Elms Linear Park'. All matters reserved apart from appearance and scale of Blocks B1, D1 &amp; G and two new access points from Nine Elms Lane."</t>
  </si>
  <si>
    <t>DT</t>
  </si>
  <si>
    <t>IRD</t>
  </si>
  <si>
    <t>2.1.18</t>
  </si>
  <si>
    <t>2017/6846</t>
  </si>
  <si>
    <t>Garages north of Fordyce House, Colson way</t>
  </si>
  <si>
    <t>Demolition of 2 rows of existing lock-up garages and construction of a three-storey building designed specifically for wheelchair and ambulant users (8 no. 1-bedroom residential units). Landscaping and street improvement works with the construction of a new refuse store for Fordyce House.</t>
  </si>
  <si>
    <t>AC</t>
  </si>
  <si>
    <t>2018/0195</t>
  </si>
  <si>
    <t>22 Trinity Road</t>
  </si>
  <si>
    <t>Alterations including demolition of rear elevation, replacement shopfront, erection of mansard roof extension to create an additional storey of residential accommodation, erection of part single, part two storey rear extension, insertion of mezzanine floors, excavation of basement and conversion of ground floor shop from Sui Generis (mini-cab office) to part Class A1 (shop) and part Class C3 (residential) to create 2 x 1-bedroom flats and a studio flat.</t>
  </si>
  <si>
    <t>MIX</t>
  </si>
  <si>
    <t>c+</t>
  </si>
  <si>
    <t>2018/0210</t>
  </si>
  <si>
    <t>Land rear of 4-24, Thrale Road (Land rear of Mitcham Lane)</t>
  </si>
  <si>
    <t>Block A</t>
  </si>
  <si>
    <t>Erection of 22 residential units (6x1bedroom, 10x2-bedroom and 6x3-bedroom) within three two/three-storey buildings accessed from Thrale Road (between Nos. 16 and 18 Thrale Road) with associated car and cycle parking, refuse storage and landscaping.</t>
  </si>
  <si>
    <t>2018/0816</t>
  </si>
  <si>
    <t>Unit 11-12 Ransomes Dock Business Centre, 35-37 Parkgate Road (Ransomes Dock Business Centre)</t>
  </si>
  <si>
    <t>Determination as to whether prior approval is required for change of use of office at second floor level (Use Class B1(a) to residential (Use Class 3) to provide 1 x 2 bedroom flat.</t>
  </si>
  <si>
    <t>PANR</t>
  </si>
  <si>
    <t>Wandsworth riverside</t>
  </si>
  <si>
    <t>2018/3390</t>
  </si>
  <si>
    <t>29 Wimbledon Park Road</t>
  </si>
  <si>
    <t>First Floor</t>
  </si>
  <si>
    <t>Alterations including; replacement of garage door with windows on front elevation; altered lightwell and new fenestration at lower ground floor level on front elevation; new windows to ground and first floor levels of rear elevation; formation of first floor level rear balcony; erection of first floor level side east extension; removal of window on south-west facing side elevation; erection of refuse and cycle storage in front/side garden. All works in connection with conversion from four flats to 2 x 1-bedroom, 4 x 2-bedroom, 2 x 3 bedroom flats.</t>
  </si>
  <si>
    <t>k</t>
  </si>
  <si>
    <t>Lower Ground</t>
  </si>
  <si>
    <t>Second Floor</t>
  </si>
  <si>
    <t>Upper Ground</t>
  </si>
  <si>
    <t>2018/4022</t>
  </si>
  <si>
    <t>13 Rookstone Road</t>
  </si>
  <si>
    <t>Erection of mansard roof extension to main rear roof and extension above two-storey back addition; erection of single storey rear/side extension in connection with conversion of property from 2 x 2 bedroom flats to 1 x 2 bedroom and 2 x 1 bedroom flats.</t>
  </si>
  <si>
    <t>2018/5833</t>
  </si>
  <si>
    <t>The Northcote Library, Chatham Hall and garages west of Chatham Hall, 155e Northcote Road</t>
  </si>
  <si>
    <t>Chatham Hall</t>
  </si>
  <si>
    <t>The demolition of the two storey library, the single storey plus two storey roof Chatham Hall and the 8 vehicular garages (single storey) and the erection of a four storey building plus the excavation of a basement at the existing library site comprising two commercial units (Use Class A1) split over basement and ground floor levels (approximately 388sq.m) and nine (9) residential units at upper floor levels; the erection of a part one/two/three storey library (Use Class D1) (approximately 848sq.m) fronting onto Northcote Road; the erection of a part two/ three storey building behind the proposed library comprising a community hall (Use Class D1) at ground floor (approximately 301sq.m) and seven (7) residential flats at upper floor levels; 2 car parking spaces and 20 cycle parking spaces; and associated landscaping and infrastructure works.</t>
  </si>
  <si>
    <t>2018/5949</t>
  </si>
  <si>
    <t>900 Garratt Lane</t>
  </si>
  <si>
    <t>Determination as to whether prior approval is required for change of use from office (Class B1) to residential (Class C3).</t>
  </si>
  <si>
    <t>PAG</t>
  </si>
  <si>
    <t>2019/1043</t>
  </si>
  <si>
    <t>61 Longfield Street</t>
  </si>
  <si>
    <t>Demolition of existing dwelling house and erection of a three-storey (plus basement) building to provide 2 x 1-bedroom and 1 x 3-bedroom flats(Use Class C3) together with associated landscaping, cycle and refuse storage.</t>
  </si>
  <si>
    <t>2019/1427</t>
  </si>
  <si>
    <t>150a-170 &amp; 2-8 Thornsett Road, Penwith Road</t>
  </si>
  <si>
    <t>Level 2/3</t>
  </si>
  <si>
    <t>Demolition of existing buildings and erection of a part three, part four-storey plus basement level building to provide 1,246 sq.m. of retail (Class A1); 316 sq.m. of office (Class B1a); 617 sq.m. of light industrial (Class B1c), 827 sq.m. of storage and distribution (Class B8) floorspace, and 17 residential units of both private and affordable tenure, with associated balconies and terraces, cycle parking provision and a new sub-station.</t>
  </si>
  <si>
    <t>RP</t>
  </si>
  <si>
    <t>APG</t>
  </si>
  <si>
    <t>2019/1498</t>
  </si>
  <si>
    <t>26 Upper Richmond Road</t>
  </si>
  <si>
    <t>Change of use from Restaurants and Cafes/ Drinking Establishments (A3/A4) to residential (Class C3) to provide 1 x 1-bedroom flat.</t>
  </si>
  <si>
    <t>2019/2251</t>
  </si>
  <si>
    <t>22 Carlton Drive</t>
  </si>
  <si>
    <t>Existing</t>
  </si>
  <si>
    <t>Alterations including erection of pitch roof to first floor front extension in connection with conversion of property 1 x1 bedroom flat, 6 x2 bedroom flats and 1 x3 bedroom flat. Erection of front boundary wall to 1.8m high</t>
  </si>
  <si>
    <t>AU</t>
  </si>
  <si>
    <t>Proposed</t>
  </si>
  <si>
    <t>2019/3275</t>
  </si>
  <si>
    <t>153-159 Putney High Street</t>
  </si>
  <si>
    <t>Alterations including erection of rear extensions at lower ground, first, second and third floors, and fourth storey roof top extension; use of part lower ground, ground and first floors for offices (Class B1a); enlargement of some existing residential units at first, second and third floor level, and provision of 9 new residential units (Class C3) at second, third and fourth floor levels, including change of use of some existing Class A2 (financial and professional services) floorspace, with provision of associated roof terraces, refuse and cycle storage.</t>
  </si>
  <si>
    <t>2019/3539</t>
  </si>
  <si>
    <t>95-97 Putney High Street</t>
  </si>
  <si>
    <t>Erection of single to three-storey rear and side extensions and formation of roof terraces at first and  third floor levels in connection with use of the upper floors as a 19 person HMO (Sui Generis) with refuse and cycle storage at the rear; restoration of the facade of No. 95.</t>
  </si>
  <si>
    <t>2019/4024</t>
  </si>
  <si>
    <t>92 East Hill</t>
  </si>
  <si>
    <t>Alterations including erection of a rear mansard roof extension to main rear roof; Removal of chimney stack and formation of a rear roof terrace with brick surround above 3 storey rear addition; Removal of rear access staircase to upper ground floor in connection with change of use of first and second floors from office (Class A2) to residential (Class C3) to provide 1 x 3-bed flat.</t>
  </si>
  <si>
    <t>2019/4158</t>
  </si>
  <si>
    <t>335a Garratt Lane</t>
  </si>
  <si>
    <t>Alterations including erection of a mansard roof extension (with French doors and safety railings) to main rear roof and extension above part of two storey back addition; Formation of a roof terrace above two-storey back addition with 1.7m high screen surround in connection with creation of 2 x 1 bed flats.</t>
  </si>
  <si>
    <t>2019/4583</t>
  </si>
  <si>
    <t>B and Q Depot, Smugglers Way</t>
  </si>
  <si>
    <t>BLOCK A1</t>
  </si>
  <si>
    <t>Variation of conditions 2 (in accordance with approved drawings), 3 (Environmental Impact Assessment - EIA), 4 (Flood Risk Assessment) and removal of condition 13 (No residential units shall be occupied within the inner or middle zones of the HSE consultation distance around the Wandsworth Gas Holder Station) pursuant to planning permission dated 29/03/2019 ref 2017/0580 [Demolition of existing retail buildings and phased construction of 13 residential blocks (with 3 podiums) ranging from 8 to 15 storeys to provide a mixed use scheme including 517 residential units (Class C3), 5160 sqm GIA of business (Class B1) and 2969 sqm GIA flexible business/retail/restaurant and cafe (Class B1, A1, A2, A3 and A4) with car/cycle parking, associated combined heat and power (CHP), plant and associated works, landscaping, new accesses onto Smugglers Way, and offsite highways works including a new pedestrian crossing of Swandon Way) to allow the following changes: 
An increase in unit numbers from 517 to 554 (37 units additional units), increase in affordable housing units from 184 to 197, change to housing mix, reduction in car parking from 60 parking spaces to 22 blue badge spaces, 1 commercial blue badge space and 1 car club space. Introduction of D1 and D2 uses into the flexible floorspace and reduction in ground floor flexible commercial floorspace from 2969m² to 1960m² (GIA), reduction in Class B1(a) commercial floorspace at the mezzanine level from 5160m² to 1054m² (GIA) with the provision of 2,548m² (GIA) residential facilities associated with the 'Build to Rent' model. Associated changes to the level of cycle storage, amenity with outdoor swimming pool, private amenity, public open space and playspace across the site, increase in size of energy centre and other associated changes as a result of the revised development.  A revised EIA and associated mitigation, change to finished floor levels and removal of condition 13 (see planning statement on Council website). A revised Environmental Statement has been submitted under the Town and Country Planning (Environmental Impact Assessment) Regulations 2017 as amended.</t>
  </si>
  <si>
    <t>3.7</t>
  </si>
  <si>
    <t>Wandsworth Town, including the Wandle Delta Masterplan Area</t>
  </si>
  <si>
    <t>BLOCK A2</t>
  </si>
  <si>
    <t>BLOCK A3</t>
  </si>
  <si>
    <t>BLOCK A4</t>
  </si>
  <si>
    <t>BLOCK B1</t>
  </si>
  <si>
    <t>BLOCK B2</t>
  </si>
  <si>
    <t>BLOCK B3</t>
  </si>
  <si>
    <t>AA</t>
  </si>
  <si>
    <t>BLOCK B4</t>
  </si>
  <si>
    <t>BLOCK B5</t>
  </si>
  <si>
    <t>BLOCK B6</t>
  </si>
  <si>
    <t>2019/4665</t>
  </si>
  <si>
    <t>2 Replingham Road</t>
  </si>
  <si>
    <t>Alterations in connection with change of use of ground floor from office (Class A2) to retail (Class A1). Alterations including erection of rear roof extension, extensions at all levels - lower ground floor, ground floor, first and second floor and formation of roof terraces in connection with change of use of rear ground, first and second floors from office (Class A2) to residential (Class C3) to create 1 x 3-bedroom, 2 x 2-bedroom, 1 x 1-bedroom and 1 x studio flats with associated cycle and refuse storage (AMENDED DESCRIPTION)</t>
  </si>
  <si>
    <t>2020/0011</t>
  </si>
  <si>
    <t>Homebase, Swandon Way</t>
  </si>
  <si>
    <t>Block D (Affordable Housing)</t>
  </si>
  <si>
    <t>Variation of conditions 2 (in accordance with approved drawings), removal of condition 3 (HSE consultation distance), removal of condition 4 (restriction on use of residents facilities); condition 12 (finished floor levels); condition 21 (compliance with energy strategy); condition 22 (accessible homes); removal of condition 23 (air quality - boilers and CHP); removal of condition 25 (restriction on site clearance); condition 26 (biodiversity enhancement plan); condition 36 (wind mitigation); condition 42 (Retention of scheme architects) condition 44 (residential unit numbers); condition 45 (non-residential floorspace); condition 46 (car parking); removal of condition 47 (basement) pursuant to planning permission dated 31 July 2018 ref: 2016/7356 (Demolition of existing retail warehouse building and erection of three buildings ranging from 8 to 17 storeys with basement to provide a mixed use scheme including 385 residential units (Class C3), 563 sq.m. GIA of retail units (Class A1 and/or A2 and/or A3 uses) 165 sq.m. of leisure use (Class D1) and 1,620 sq.m. GIA of studio/offices (Class B1), with associated cycle parking spaces and 89 car parking spaces, playspace, landscaping and public realm improvements (including contribution towards the new entrance to Wandsworth Town Station) to allow the following changes: 
Increase in unit numbers from 385 to 480, increase in affordable units from 131 to 159, change to housing mix, amended basement area and reduction from 89 car parking spaces to 15 spaces (plus 6 blue badge spaces), inclusion of A4 and D2 uses within flexible commercial floorspace, reduction in flexible floorspace from 2348sqm to 1618sqm, provision of residential facilities in connection with 'Build to Rent', design/elevational changes to all buildings including Station Building, changes to layout and associated amendments to S106. Revised associated amenity space and cycle storage. A revised Environmental Statement has been submitted under the Town and Country Planning (Environmental Impact Assessment) Regulations 2017 as amended. (RECONSULTATION - AMENDED DESCRIPTION, SEE WEBSITE FOR FULL DETAILS)</t>
  </si>
  <si>
    <t>AL</t>
  </si>
  <si>
    <t>3.6</t>
  </si>
  <si>
    <t>Block D (Intermediate)</t>
  </si>
  <si>
    <t>Block E(Affordable Housing)</t>
  </si>
  <si>
    <t>2020/0040</t>
  </si>
  <si>
    <t>521-525 Battersea Park Road</t>
  </si>
  <si>
    <t>Alterations including erection of part three-storey rear extension at rear in connection with the creation of 2 x 1-bedroom flats; formation of roof terraces on first floor level with 2m high screen surround. Relocation of 2 x air-conditioning units to rear first floor level.</t>
  </si>
  <si>
    <t>2020/0184</t>
  </si>
  <si>
    <t>Sterling House, Burston Road (Former garage site)</t>
  </si>
  <si>
    <t>Erection of roof extension to provide an additional floor of accommodation to accomodate 1x3 bedroom flat.</t>
  </si>
  <si>
    <t>EXT</t>
  </si>
  <si>
    <t>2020/0376</t>
  </si>
  <si>
    <t>51-53 Northcote Road</t>
  </si>
  <si>
    <t>Alterations including erection of mansard roof extensions to front,
side and rear roof slopes in connection with creation of 1 x 2-
bedroom flat with associated refuse storage.</t>
  </si>
  <si>
    <t>2020/0503</t>
  </si>
  <si>
    <t>99 St Johns Hill</t>
  </si>
  <si>
    <t>Alterations including erection of single storey rear extension at basement level and formation of rear lightwell in connection with retention of retail space (Class A1) on ground floor level and  creation of 2 x 2-bedroom and 2 x 1-bedroom flats to rear basement and ground floors and first to third floors above with associated cycle and refuse storage.</t>
  </si>
  <si>
    <t>2020/0614</t>
  </si>
  <si>
    <t>259 Putney Bridge Road</t>
  </si>
  <si>
    <t>Alterations including increasing the depth to the existing basement, extension to the rear ground, first and second floor levels in connection with conversion of building from retail (Class A1) on ground floor and residential flat (Class C3) to 1 x studio, 2 x 1-bedroom and 1 x 2-bedroom flats (Amended Description)</t>
  </si>
  <si>
    <t>2020/1033</t>
  </si>
  <si>
    <t>Alterations to rear block facing Shelgate Road including erection of roof extension to create additional storey in connection with creation of 1 x 1-bedroom flat.</t>
  </si>
  <si>
    <t>2020/1358</t>
  </si>
  <si>
    <t>Erection of rear extension at first and second floor levels; Formation of a side terrace at second floor level in association with the conversion of the existing 1 x 3-bedroom and 1 x 2-bedroom units into 2 x 2-bedroom units and 1 x 1-bedroom unit.
*RE-CONSULTATION FOR REVISED DESCRIPTION*</t>
  </si>
  <si>
    <t>2020/1371</t>
  </si>
  <si>
    <t>Alterations including erection of mansard roof extension to front and rear roof of No. 51 and rear dormer extension to the rear of No. 53 in connection with creation of 1 x 1-bedroom flat.</t>
  </si>
  <si>
    <t>2020/1490</t>
  </si>
  <si>
    <t>Springfield Hospital site, 61 Glenburnie Road</t>
  </si>
  <si>
    <t>Phase 6A - Block S</t>
  </si>
  <si>
    <t>Reserved matters relating to landscaping, scale and appearance in respect of the part demolition, conversion, restoration and repair of part of the Main Building (Grade II listed) to provide 72 residential units with associated works (forming Phase 6a of the Springfield Masterplan development), pursuant to condition 1 of outline planning permission ref. 2010/3703 dated 20/06/2012 (for the erection of 25,000 sq.m. of replacement mental health facilities (Class C2/C2a); 839 residential dwellings; 9,200 sq.m. elderly persons' care home; 240 sq.m. of retail floorspace (Class A1); a school (Class D1); 3,500 sq.m. of mixed non-residential floorspace (Class A1, A2, A3, A4, B1, D1 or D2); landscaped public park; a combined cooling, heat and power energy centre, associated landscaping, parking, roads, access, infrastructure and other associated works), as varied under application ref. 2014/6585, dated 04/06/15, application ref. 2016/4760 dated 24/04/2018 and application ref. 2019/2495 dated 28/02/2020, and including statement of design code compliance, landscaping and foul water drainage pursuant to conditions 7, 10 and 30.</t>
  </si>
  <si>
    <t>9.1</t>
  </si>
  <si>
    <t>2020/1555</t>
  </si>
  <si>
    <t>189 Balham High Road</t>
  </si>
  <si>
    <t>CoU</t>
  </si>
  <si>
    <t>Alterations including erection of extension to provide an additional floor of accomodation; Formation of a side roof terrace with 1.1m high screen surround; Erection of first floor rear extension; Installation of new rear access stair to first floor; Change of use of first floor from office to Residential (Class C3) in connection with creation of 2 x 1-bed and 1 x 2-bed flats, with associated refuse storage.</t>
  </si>
  <si>
    <t>extension</t>
  </si>
  <si>
    <t>2020/1779</t>
  </si>
  <si>
    <t>Phase 5A - Block B1A</t>
  </si>
  <si>
    <t>Reserved Matters relating to scale, appearance and landscaping in respect of Phase 5A (Plots B - E) of the Springfield Hospital Masterplan pursuant to condition 1 of outline planning permission ref. 2010/3703 dated 20/06/2012 (for the erection of 25,000 sq.m. of replacement mental health facilities (Class C2/C2a); 839 residential dwellings; 9,200 sq.m. elderly persons' care home; 240 sq.m. of retail floorspace (Class A1); a school (Class D1); 3,500 sq.m. of mixed non-residential floorspace (Class A1, A2, A3, A4, B1, D1 or D2); landscaped public park; a combined cooling, heat and power energy centre, associated landscaping, parking, roads, access, infrastructure and other associated works), as varied under application ref. 2014/6585, dated 04/06/2015, application ref. 2016/4760 dated 24/04/2018, and application 2019/2495, dated 28/02/2020. [Phase 5A comprises the erection of buildings of between 2 and 4 storeys high to provide 227 residential units (Use Class C3), provision of 330 sq.m GIA of flexible non-residential floorspace (Use Class A1/A2/A3/A4/B1/D1/D2), 103 car parking spaces, cycle parking, private and communal amenity areas, and associated public realm and landscaping works].</t>
  </si>
  <si>
    <t>Phase 5A - Block B2A</t>
  </si>
  <si>
    <t>Phase 5A - Block B2B</t>
  </si>
  <si>
    <t>Phase 5A - Block B2C</t>
  </si>
  <si>
    <t>Phase 5A - Block C1A</t>
  </si>
  <si>
    <t>Phase 5A - Block C1B</t>
  </si>
  <si>
    <t>Phase 5A - Block C1C</t>
  </si>
  <si>
    <t>Phase 5A - Block C2B</t>
  </si>
  <si>
    <t>Phase 5A - Block C2C</t>
  </si>
  <si>
    <t>Phase 5A - Block D1A</t>
  </si>
  <si>
    <t>Phase 5A - Block D1B</t>
  </si>
  <si>
    <t>Phase 5A - Block D2A</t>
  </si>
  <si>
    <t>Phase 5A - Block D2B</t>
  </si>
  <si>
    <t>Phase 5A - Block D2C</t>
  </si>
  <si>
    <t>Phase 5A - Block E1A</t>
  </si>
  <si>
    <t>Phase 5A - Block E1B</t>
  </si>
  <si>
    <t>Phase 5A - Block E1C</t>
  </si>
  <si>
    <t>Phase 5A - Block E2A</t>
  </si>
  <si>
    <t>Phase 5A - Block E2B</t>
  </si>
  <si>
    <t>Phase 5A - Block E2C</t>
  </si>
  <si>
    <t>2020/2195</t>
  </si>
  <si>
    <t>842 Garratt Lane</t>
  </si>
  <si>
    <t>Alterations including erection of mansard roof extension to main rear roof and roof extension above two storey back addition, erection of part single/part two storey side and rear extension in connection with creation of 4 x 1-bedroom flats on the upper floors and part change of use of commercial space on ground floor to residential (Class C3 use).</t>
  </si>
  <si>
    <t>2020/2369</t>
  </si>
  <si>
    <t>Battersea Bar/The Chopper, 58-70 York Road</t>
  </si>
  <si>
    <t>ISL</t>
  </si>
  <si>
    <t>Variation of conditions 2 (in accordance with approved drawings), 36 (number of storeys), 37 (office floorspace), 38 (residential units) and 39 (cycle parking spaces) pursuant to planning permission dated 02/05/2018 ref 2017/5818 (Demolition of existing building and erection of a mixed-use development plus basement, providing office (Class B1a) floorspace at ground and basement levels with residential units (Use Class C3) comprising market and affordable housing on upper floor levels with access to landscaped amenity deck; with car and cycle parking spaces located at basement level; public realm improvements to York Road, Yelverton Road and Badric Court; and associated infrastructure works) to allow creation of additional floor to provide 11 residential units (new total 93), increased depth to basement and elevational treatment alterations at ground and first floor including additional curtain walling at south west corner, reduce office space, and increase amount of cycle parking.</t>
  </si>
  <si>
    <t>10.14</t>
  </si>
  <si>
    <t>2020/2542</t>
  </si>
  <si>
    <t>231 Putney Bridge Road</t>
  </si>
  <si>
    <t>Alterations including erection of front and rear mansard extensions to main roof and erection of extension at second and third floor level to side elevation in connection with conversion of 6 x 1-bedroom and 2 x 2-bedroom flats.</t>
  </si>
  <si>
    <t>2020/3284</t>
  </si>
  <si>
    <t>44 Bolingbroke Grove</t>
  </si>
  <si>
    <t>Alterations including erection of single-storey rear extension and excavation to enlarge basement with front and rear lightwells in connection with extensions and reconfiguration of the existing 1-bedroom flat (Flat A) and Studio (Flat B) creating 1 x 3-bedroom flat and 1 x 2-bedroom flat.</t>
  </si>
  <si>
    <t>2020/3342</t>
  </si>
  <si>
    <t>Land rear of 163-165, 163-165 Mitcham Road</t>
  </si>
  <si>
    <t>Demolition of existing single-storey warehouse building (Class B8) and erection of  3-storey building to provide 3 x 1-bedroom flats.</t>
  </si>
  <si>
    <t>2020/3753</t>
  </si>
  <si>
    <t>Alterations to rear block facing Shelgate Road including erection of extension to form additional floor of accommodation in connection with creation of a three-storey 2-bed dwelling house; associated demolition of single storey ground floor extension currently in Use Class E(b) and change of part of ground floor from Class E(b) to C3(a).</t>
  </si>
  <si>
    <t>2020/3861</t>
  </si>
  <si>
    <t>58 Selkirk Road</t>
  </si>
  <si>
    <t>Demolition of existing building and erection of two-storey with roof addition and basement building to provide accommodation consisting of 2 x 3-bedroom self-contained flats with media rooms, 3 x 1-bedroom one person self-contained flats with associated refuse and cycle storage.</t>
  </si>
  <si>
    <t>2020/3867</t>
  </si>
  <si>
    <t>Battersea Gasholder, 101 Prince of Wales Drive</t>
  </si>
  <si>
    <t>Application under Section 73 of the Town and Country Planning Act (as amended) for amendments to planning permission 2015/0591 dated 18/09/15, as amended by 2015/5347 dated 05/02/16, 2016/1517 dated 24/10/2016, 2016/6417 dated 03/05/17 and 2020/0501 dated 22/10/2020, for the redevelopment of the site to provide a mixed-use development comprising residential units, including affordable housing; flexible commercial floorspace including retail, financial and professional services, cafe/restaurant, offices, education, community and leisure (A1/A2/A3/B1/D1/D2) uses within buildings ranging from 2 to 26 storeys high; together with landscaped private amenity space and public realm, including publicly accessible routes through the site; an energy centre; basement car parking; basement and ground level cycle parking; refuse storage and servicing; vehicular access and demolition of remaining single-storey structures along the western boundary of the site, excluding the telecommunications equipment.</t>
  </si>
  <si>
    <t>2.1.4</t>
  </si>
  <si>
    <t>Block B</t>
  </si>
  <si>
    <t>Block F</t>
  </si>
  <si>
    <t>2020/4252</t>
  </si>
  <si>
    <t>121 Earlsfield Road</t>
  </si>
  <si>
    <t>Erection of rear mansard, raising the ridge of the main roof by 300mm, erection of pod roof extension with roof terrace, erection of single storey ground floor rear side extension, excavation of front and rear lightwells, alterations to front boundary treatment, conversion of property into 4 self-contained residential units 2 x 3 bedroom, 1 x 2 bedroom and 1 x 1 bedroom units with associated refuse and cycle storage</t>
  </si>
  <si>
    <t>2020/4436</t>
  </si>
  <si>
    <t>29 Roehampton Lane</t>
  </si>
  <si>
    <t>Alterations including installation of side dormer and rear dormer (with french doors and safety railing) and excavation to create basement with front and rear lightwells with grille over in connection with creation of 4 flats with associated bin and cycle storage.</t>
  </si>
  <si>
    <t>2020/4494</t>
  </si>
  <si>
    <t>30a Fountain Road</t>
  </si>
  <si>
    <t>Alterations including raising ridge height by 300mm, erection of a mansard roof extension on the main rear roof slope and above part of two-storey rear addition to form new 1-bedroom flat with the formation of a roof terrace with 1.7m obscured glazed screen.</t>
  </si>
  <si>
    <t>2020/4633</t>
  </si>
  <si>
    <t>75 Bennerley Road</t>
  </si>
  <si>
    <t>Change of use of basement and upper floor flat into a single dwelling</t>
  </si>
  <si>
    <t>2020/4678</t>
  </si>
  <si>
    <t>75 Clapham Common North Side</t>
  </si>
  <si>
    <t>Conversion of the property from two flats into a 6-bedroom single dwellinghouse.</t>
  </si>
  <si>
    <t>2020/4959</t>
  </si>
  <si>
    <t>22 Upper Richmond Road</t>
  </si>
  <si>
    <t>Alterations including erection of part single, part three-storey rear/side extension in connection with the creation of 1 x 1 bedroom flat and 2 x studio flats. Creation of roof-terrace at second floor level.</t>
  </si>
  <si>
    <t>2020/4967</t>
  </si>
  <si>
    <t>and 182A, 182 Mitcham Road</t>
  </si>
  <si>
    <t>Alterations to existing single storey rear/side extension and replacement rear boundary treatment, in connection with the conversion of the rear part of the ground floor into one-bedroom studio flat.</t>
  </si>
  <si>
    <t>2020/5053</t>
  </si>
  <si>
    <t>Bank House, 250 Wimbledon Park Road</t>
  </si>
  <si>
    <t>Alterations including erection of two storey rear and side extensions at the rear and side (plus roof), and alterations at second floor level fronting Augustus Road in connection with change of use of part of the first and second floors from office (Class E) to 3 x 1-bedroom flats (Class C3) with associated cycle and refuse storage</t>
  </si>
  <si>
    <t>2020/5071</t>
  </si>
  <si>
    <t>The Studio, 81 Elmfield Road</t>
  </si>
  <si>
    <t>Demolition of existing single storey office building (Class E) and erection of two-storey (plus basement) 1-bedroom 1 x person house (Class C3).</t>
  </si>
  <si>
    <t>2021/0408</t>
  </si>
  <si>
    <t>5 Parma Crescent</t>
  </si>
  <si>
    <t>Demolition of existing building and erection of a part 2-storey, part 3-storey building (with basement) to provide 7 flats (2 x 3-bed, 4 x 2-bed, 1 x 1-bed flats) with associated refuse and cycle storage.</t>
  </si>
  <si>
    <t>2021/0660</t>
  </si>
  <si>
    <t>New Covent Garden Market, Nine Elms Lane (Combined Main Market, Entrance site and Thessaly College site)</t>
  </si>
  <si>
    <t>N6</t>
  </si>
  <si>
    <t>Non-Material Amendment (S96A) to amend the details of Reserved Matters approval (ref. 2019/2995 - dated 22 November 2019) for Phase 2 and amended under ref. 2020/1541 (approved 27 May 2020) for Application for approval of reserved matters (Access, Layout, Appearance, Scale and Landscaping) for the 'Phase 2' of the Northern Site Development Zone pursuant to part outline and part detailed planning permission 2014/2810, dated 11/02/15 for: "(a) Demolition of existing wholesale Fruit and Vegetable and Flower Market and ancillary buildings and structures, and residential building on Nine Elms Lane (apart from the existing multi storey car park); (b) Construction of mixed use redevelopment comprising: a new Fruit and Vegetable Market and Flower Market and ancillary uses, including temporary and permanent façade; refurbishment and extension of existing waste collection area (including rooftop sports pitches); residential dwellings; flexible commercial uses, including retail, financial and professional services, café/restaurant, bar uses and hot food takeaways and offices; non-residential institutions; assembly and leisure uses; temporary storage and distribution buildings and associated works; associated car, cycle and motorcycle parking and servicing and new vehicle accesses, energy centres; and landscaping public realm and open space including part of the Linear Park. All matters reserved apart from access, details of all new markets and supporting buildings, and details of Building N8 and associated landscaping); (c) Site clearance and enabling works. An Environmental Statement has been submitted with the application under The Town and Country Planning (Environmental Impact Assessment) Regulations 2011."</t>
  </si>
  <si>
    <t>2.1.27</t>
  </si>
  <si>
    <t>2021/0769</t>
  </si>
  <si>
    <t>35 Fullerton Road</t>
  </si>
  <si>
    <t>Alterations including erection of a mansard roof extension to main rear roof including raising the ridge by 160mm, and extension above part of the two storey back addition; Erection of a part single/part two-storey rear and side addition; Increase to height of flank wall; Installation of a new front entrance door including associated relocation of front bay window at ground floor, and ground floor side entrance door to be replaced by window; In association with conversion of 2 x flats back to a single dwelling.</t>
  </si>
  <si>
    <t>2021/1302</t>
  </si>
  <si>
    <t>1 Podmore Road</t>
  </si>
  <si>
    <t>Determination as to whether prior approval is required for change of use of office at ground floor level (Class E) to residential (Class C3) to provide 1 x 2-bedroom flat.</t>
  </si>
  <si>
    <t>2021/1399</t>
  </si>
  <si>
    <t>272-274 Battersea Park road</t>
  </si>
  <si>
    <t>Alterations including erection of dormer roof extension to the rear and creation of roof terrace at third floor level with 1.7m glazed safety screen surround in connection with formation of new 1 x 2-bedroom flat; and insertion of rooflights into the front roofslope.</t>
  </si>
  <si>
    <t>2021/1530</t>
  </si>
  <si>
    <t>104 Eswyn Road</t>
  </si>
  <si>
    <t>Alterations including erection of dormer roof extension to main rear roof and roof extension above two storey back addition in connection with conversion of dwelling house (Class C3) into house of multiple occupation (Class C4).</t>
  </si>
  <si>
    <t>2021/1586</t>
  </si>
  <si>
    <t>Alterations including erection of front and rear roof extension to main roof (with French doors and safety railings to front elevation), extension above three-storey back addition to provide 1 x 1 bedroom flat with front roof terrace.</t>
  </si>
  <si>
    <t>2021/1682</t>
  </si>
  <si>
    <t>2-18 Yelverton Road</t>
  </si>
  <si>
    <t>Erection of a part 3/17 storey mixed-use development plus basement, providing 369 sq.m of commercial office floor space (Class E) and 224 sq.m of creative workspace (flexible Class E/Sui Generis) at ground and basement levels and 79 residential units at upper levels; communal garden on the 3rd floor; with 6 car parking spaces and cycle parking spaces at basement level; disabled car parking space on Yelverton Road and visitor cycle parking spaces on York Road and associated infrastructure works.</t>
  </si>
  <si>
    <t>2021/2164</t>
  </si>
  <si>
    <t>55 Brodrick Road</t>
  </si>
  <si>
    <t>Alterations including erection of dormer roof extension to side roof, single storey rear and side extension, first floor rear extension and installation of replacement fenestration in connection with conversion of 5 flats into single dwellinghouse.</t>
  </si>
  <si>
    <t>2021/2344</t>
  </si>
  <si>
    <t>Garages Rear of, 88 Longley Road</t>
  </si>
  <si>
    <t>Demolition of existing garage/storage facilities and erection of twostorey building to provide 3 x 1-bedroom and 2 x 2-bedroom flats with
associated terraces, provision of refuse and cycle storage.</t>
  </si>
  <si>
    <t>2021/2382</t>
  </si>
  <si>
    <t>336 Upper Richmond Road</t>
  </si>
  <si>
    <t>Variation of condition 2 (Approved Drawings) and 13 (Unit mix) of planning permission dated 20/08/2020 ref 2020/1463 (Erection of replacement single-storey rear/side extensions, erection of dormer extension to main rear and side roof slopes, and formation of a basement with front and rear lightwells in connection with a change of use from Dental Surgery (Class D1) to residential (Class C3) to provide flats with associated amenity space, refuse and bicycle storage.) to allow the changes to the approved drawings to allow alterations to the fenestration; bridges over basement lightwell; door to flat 4; flank walls to lightwells; addition of two first floor balconies to flats 6 and 7 with obscured glazed screening; increase in ground floor extension height; new window on north flank at first floor level and roof light added in flat 5; change of unit mix to 3 x 1 bedroom  3 x 2 bedroom and 1 x 3 bedroom flats.</t>
  </si>
  <si>
    <t>2021/2432</t>
  </si>
  <si>
    <t>125 Lower Richmond Road</t>
  </si>
  <si>
    <t>Alterations including erection of part single, part two storey side and rear extensions with roof terraces at first and second floor levels; roof extension to main rear roof with  access to thisrd floor level terrace;  excavation to extend basement including formation of side/rear lightwell;  in connection with conversion to 4 x 1-bedroom and 1 x 3-bedroom flats.  Installation of replacement shopfront and change of use of existing A1/B2 ground floor shop unit to Class E.</t>
  </si>
  <si>
    <t>2021/2524</t>
  </si>
  <si>
    <t>58 Rowfant Road</t>
  </si>
  <si>
    <t>Change of use from two flats into a single family dwelling</t>
  </si>
  <si>
    <t>2021/2779</t>
  </si>
  <si>
    <t>307 Trinity Road</t>
  </si>
  <si>
    <t>Alterations including erection of roof extension with side and rear dormers, erection of part single part two storey rear extension with first floor rear roof-terrace, excavation to enlarge basement, formation of vehicle crossover and formation of hardstanding in front garden and erection of single storey outbuilding in rear garden in connection with conversion of existing flats into single dwelling house.</t>
  </si>
  <si>
    <t>2021/3023</t>
  </si>
  <si>
    <t>Earlsfield House, 1 Swaffield Road</t>
  </si>
  <si>
    <t>Erection of a side extension with alterations as part of the change of use of Earlsfield House to provide 5 x 2-bedroom residential apartments.</t>
  </si>
  <si>
    <t>2021/3086</t>
  </si>
  <si>
    <t>Sleaford Street Industrial Estate &amp; Dairy Crest Distribution Depot, Sleaford Street (Battersea Power Station Phase 4A)</t>
  </si>
  <si>
    <t>Phase 4A (A1.1, A1.2 and A1.3)</t>
  </si>
  <si>
    <t>Application under Section 96a of the Town and Country Planning Act 1990 for non-material amendments (variation to Condition 11 (approved drawings) to vary the mix of housing types to provide 10% M4(3) wheelchair user dwellings) to planning permission 2016/3778, dated 21/11/2016 for "Application under Section 73 of the Town and Country Planning Act (as amended) for Amendments to planning permission (ref: 2015/3555) dated 3rd December 2015 (as amended by 19th April 2016 approval for non-material amendments under Section 96A - ref: 2016/2065) for the demolition of all existing buildings, and construction of seven new buildings of between 1-storey and 18-storeys, containing residential units; non-residential institution (D1) floorspace; business (B1) floorspace; retail/restaurant &amp; cafe (A1/A3) floorspace); and an electricity substation. The proposals include vehicle/cycle parking, plant, the alteration of the vehicle access from Thessaly Road, and associated works and landscaping. (The Amendments include removal of the primary electricity substation; removal of the basement level; provision of car and cycle parking at grade; replacement of flexible B1/C3 use on ground floor of Block A2 with B1 use and flexible A1/A3/B1 use; reconfiguration of health centre; revised finished floor level to Block A1; reduction in footprint of Block A2; minor alterations to elevations; and reconfiguration of internal layouts resulting in changes to unit and tenure mix and 12 additional residential units overall). An Environmental Statement has been submitted with the application under the Town and Country Planning (Environmental Impact Assessment) Regulations 2011 (as amended 2015)"</t>
  </si>
  <si>
    <t>2.1.14</t>
  </si>
  <si>
    <t>Phase 4A (A2 and A3)</t>
  </si>
  <si>
    <t>2021/3294</t>
  </si>
  <si>
    <t>34 Rogers Road</t>
  </si>
  <si>
    <t>Change of use from House of Multiple Occupation (Class C4) for up to 6 occupants to House of Multiple Occupation (Sui generis) for up to 10 occupants and provision of cycle and refuse storage within the front garden.</t>
  </si>
  <si>
    <t>2021/3335</t>
  </si>
  <si>
    <t>189b Balham High Road</t>
  </si>
  <si>
    <t>Change of use from storage facility (Class B8) to a single family dwelling house (Class C3) including external alterations.</t>
  </si>
  <si>
    <t>2021/3621</t>
  </si>
  <si>
    <t>26 Dalebury Road</t>
  </si>
  <si>
    <t>Conversion of two flats into single dwelling house.</t>
  </si>
  <si>
    <t>2021/3791</t>
  </si>
  <si>
    <t>44 and 46, Alfriston Road</t>
  </si>
  <si>
    <t>Demolition of existing houses and erection of 2 x three-storey (plus basement) terraced houses and associated single-storey outbuildings, landscaping and boundary treatment.</t>
  </si>
  <si>
    <t>2021/4289</t>
  </si>
  <si>
    <t>50-52 Upper Tooting Road</t>
  </si>
  <si>
    <t>Alterations including demolition of single storey rear extensions and outbuildings at rear of Nos.50-52 and part change of use of rear ground floors from takeaway (Sui Generis) to HMO (Sui Generis) at No.50 and from retail (Class E) to HMO (Sui Generis) at No.52.  Erection of single storey side/rear extension at No.52, erection of two-storey rear extensions and extensions over part of back additions at Nos.50-52, increased height of extract flue in connection with creation of a 13 rooms House of Multiple Occupation.</t>
  </si>
  <si>
    <t>2021/4534</t>
  </si>
  <si>
    <t>99 Lacy Road (Guildford House)</t>
  </si>
  <si>
    <t>Formation of a new 2-bedroom dwelling at lower ground floor level.</t>
  </si>
  <si>
    <t>2021/4551</t>
  </si>
  <si>
    <t>178 Lavender Hill</t>
  </si>
  <si>
    <t>Alterations including erection of a dormer extension to side and rear roof; two-storey extension above two-storey back addition and part-single/part-two-storey rear extension to back-addition; Formation of a roof terraces/balconies at first, second, third and fourth floors; Partial change of use of basement and ground floor from commercial use class E to residential use class C3 in connection with the creation of 2 x 1 bedroom and 2 x 2 bedroom flats.</t>
  </si>
  <si>
    <t>2021/4566</t>
  </si>
  <si>
    <t>314 Garratt Lane</t>
  </si>
  <si>
    <t>Alterations including erection of a roof extension to main rear roof, raising the main roof ridge height by 300mm, and extension above part of the two-storey back addition, in connection with conversion from 1 x 3-bed flat to 2 x 1-bed flats with associated refuse and cycle storage. (Amended drawings received.)</t>
  </si>
  <si>
    <t>2021/4567</t>
  </si>
  <si>
    <t>285-287 Putney Bridge Road</t>
  </si>
  <si>
    <t>Change of use of the ground floor and basement levels from retail/restaurant (Class E)  into residential (Class C3) to provide 2 x 2-bedroom and 1 x 3-bedroom flats and formation of lightwells to rear and side. (Amendments to previous permission ref 2021/0535 dated 31/03/21 to amend the layouts of the flats).</t>
  </si>
  <si>
    <t>2021/4589</t>
  </si>
  <si>
    <t>Alterations including erection of front and rear roof extension to provide an additional floor of accommodation to create 1 x1 bedroom flat.</t>
  </si>
  <si>
    <t>2021/4727</t>
  </si>
  <si>
    <t>Argylle House, 1a All Saints Passage</t>
  </si>
  <si>
    <t>Variation of conditions 2 (in accordance with drawings) and 3 (materials) pursuant to planning permission dated 30/01/2020 ref 2016/7216 (Demolition of the existing building and construction of a part 4 part 5 storey building providing 17 residential units and 106sqm flexible B1 commercial floorspace with communal external amenity space at fourth floor level) to allow minor changes to the appearance of the building, layout of commercial waste and cycle stores and to change the wording of Condition 3 to include compliance trigger instead of pre-commencement.</t>
  </si>
  <si>
    <t>1 x 3 unit @ g/f rear of commercial</t>
  </si>
  <si>
    <t>2021/4782</t>
  </si>
  <si>
    <t>547 Old York Road</t>
  </si>
  <si>
    <t>Alterations including erection of a front dormer and a rear mansard roof extension (with French doors and safety railing) to main roof; extension above part of the two-storey back addition; erection of a single storey rear/side extension and formation of a first floor rear roof terrace with glazed screen; removal of window and installation of French doors and safety railing to first floor rear elevation; installation of a new shopfront and front access to upper floors; associated refuse and cycle storage, in connection with use of upper floors as 2 x 2- bed and 1 x 1-bed flats plus 1 x commercial unit (Class E) on part of the ground floor and basement levels.</t>
  </si>
  <si>
    <t>2021/5066</t>
  </si>
  <si>
    <t>468 Garratt Lane</t>
  </si>
  <si>
    <t>Alterations including erection of rear extensions at ground, first and second floor levels including raising the main ridge of the roof by 300mm; F ormation of roof terrace at rear first floor and provision of refuse and cycle storage at rear in connection with use of the rear part of the gorund floor and upper floors as  3 x 1-bedroom flats.</t>
  </si>
  <si>
    <t>2021/5482</t>
  </si>
  <si>
    <t>17 Haldon Road</t>
  </si>
  <si>
    <t>Alterations including erection of hip to gable roof extension and rear mansard extension with rear dormer (with french doors and safety railings), erection of roof extension above part of two storey back addition, and single storey side and rear extension. Works in connection with conversion of dwellinghouse into 2 x 3-bedroom and 1 x 1-bedroom flats; refuse and cycle storage proposed for front garden.</t>
  </si>
  <si>
    <t>2021/5566</t>
  </si>
  <si>
    <t>Bristol Gardens, 4 Portsmouth Road</t>
  </si>
  <si>
    <t>Alterations including demolition of existing garage and erection of a single storey rear extension; various changes to the facades and fenestration; insertion of rooflights and erection of refuse store against eastern boundary, in connection with deconversion to use as a single dwelling.</t>
  </si>
  <si>
    <t>2021/5596</t>
  </si>
  <si>
    <t>93 Tooting Bec Road</t>
  </si>
  <si>
    <t>Alterations including erection of mansard roof extension to main rear roof, formation of roof terrace above two-storey back addition with 1.7m high screen surround, and  single-storey rear/side extension, in connection with conversion of property into  1 x 3-bedroom, 1 x 2-bedroom and 1 x 1-bedroom flats.</t>
  </si>
  <si>
    <t>2021/5781</t>
  </si>
  <si>
    <t>8 Alderbrook Road</t>
  </si>
  <si>
    <t>Demolition of existing building and erection of three-storey (plus basement and roof levels) building comprising 2 x 1 bedroom flats, 2 x 2-bedroom flats and 2 x 3-bedroom flats with associated landscaping works, cycle parking and refuse storage.</t>
  </si>
  <si>
    <t>2022/0056</t>
  </si>
  <si>
    <t>30 Bramcote Road</t>
  </si>
  <si>
    <t>Non-material amendment to planning permission dated 05/04/2019 ref
 2018/4926 (Demolition of existing building and erection of a two-storey 
(plus basement and roof levels) 5-bedroom detached house.) to allow 
the basement to be omitted</t>
  </si>
  <si>
    <t>2022/0128</t>
  </si>
  <si>
    <t>Upper Floors, 6a York Road</t>
  </si>
  <si>
    <t>Alterations including erection of roof extension to create additional floor of accommodation; formation of roof terrace above two-storey back addition with screen surround and conversion of the upper floor flat into 1 x 2-bedroom and 1 x 1-bedroom  flat.</t>
  </si>
  <si>
    <t>2022/0172</t>
  </si>
  <si>
    <t>34 Roehampton High Street</t>
  </si>
  <si>
    <t>Alterations to include the erection of two-storey rear extension, formation of a roof terrace above with opague balustrade. Change of use of part of lower and ground floor commercial space (Class Use E/A3) to form a 2-bedroom flat (Class Use C3)</t>
  </si>
  <si>
    <t>2022/0732</t>
  </si>
  <si>
    <t>575 Battersea Park Road</t>
  </si>
  <si>
    <t>Alterations including erection of roof extensions to main rear roof and above two storey back addition, formation of first floor roof terrace with screen surround in connection with conversion of existing flat into 1 x 1-bedroom and 1 x studio flats.</t>
  </si>
  <si>
    <t>2022/0779</t>
  </si>
  <si>
    <t>Land rear of and, 165 Battersea High Street</t>
  </si>
  <si>
    <t>Change of use of ground floor from Class E (Commercial) to Class C3 (Dwellinghouse) 1-bedroom flat, together with associated external alterations including replacement frontage.</t>
  </si>
  <si>
    <t>2022/0892</t>
  </si>
  <si>
    <t>173 Earlsfield Road</t>
  </si>
  <si>
    <t>Alterations in connection with conversion of existing dwellinghouse into 2 x 3-bedroom, 1 x 2-bedroom and 1 x 1-bedroom flats with associated refuse and cycle storage.</t>
  </si>
  <si>
    <t>2022/1787</t>
  </si>
  <si>
    <t>59 Howards Lane</t>
  </si>
  <si>
    <t>Alterations including erection of side and rear dormers and single storey rear/side extension in connection with use of property as a single dwelling.</t>
  </si>
  <si>
    <t>2022/2900</t>
  </si>
  <si>
    <t>Ground Floor, 10 Trinity Crescent</t>
  </si>
  <si>
    <t>Determination as to whether prior approval is required for change of use from Nursery (Class E) to residential (Class C3) to provide 1 x 2-bedroom flat.</t>
  </si>
  <si>
    <t>2022/3040</t>
  </si>
  <si>
    <t>70 Culverden Road</t>
  </si>
  <si>
    <t>Conversion of building from three flats to single dwellinghouse.</t>
  </si>
  <si>
    <t>2022/3107</t>
  </si>
  <si>
    <t>BISHOPS WHF, RANSOME'S DK, Parkgate Road</t>
  </si>
  <si>
    <t>Alterations including installation of barrier to river walk frontage in connection with change of use of the ground floor from office (Class E) to residential (Class C3) to provide 2 x 3-bedroom flats.</t>
  </si>
  <si>
    <t>2022/3165</t>
  </si>
  <si>
    <t>43 Pulborough Road</t>
  </si>
  <si>
    <t>Alterations in connection with de-conversion of two flats into single dwelling house.</t>
  </si>
  <si>
    <t>2022/3316</t>
  </si>
  <si>
    <t>Alterations in connection with use of the ground floor of the former bar/public house (Sui Generis Use)  as 2 x 1-bedroom and 1 x 2-bedroom flats with cycle and refuse storage.</t>
  </si>
  <si>
    <t>2022/3830</t>
  </si>
  <si>
    <t>165 Battersea Rise</t>
  </si>
  <si>
    <t>Determination as to whether prior approval is required for change of use from office (Class E) at ground floor level from (Class B) to residential (Class C3) to provide a studio flat (Class C3).</t>
  </si>
  <si>
    <t>2022/3863</t>
  </si>
  <si>
    <t>302 Trinity Road</t>
  </si>
  <si>
    <t>Conversion of property into a 4-bedroom house.</t>
  </si>
  <si>
    <t>2022/4228</t>
  </si>
  <si>
    <t>101 Fernlea Road</t>
  </si>
  <si>
    <t>Erection of a hip to gable side roof extension with dormer extenion to rear roof slope and extension above two-storey rear addition. Erection of replacement rear/side ground floor extension. Extensions and alterations in connection with the conversion 1x 1-bedroom and 1x2 bedroom flats to 1x 3-bedroom, 1 x 2-bedroom and 1x 1-bedroom flats. 
Conversion and extension of existing property from 2 flat to 3 flats.</t>
  </si>
  <si>
    <t>2022/4451</t>
  </si>
  <si>
    <t>172-174 Tooting High Street</t>
  </si>
  <si>
    <t>Alterations including erection of ground and first floor side/rear extension and part change of use from commercial (Class E) to residential (Class C3) to form 1 x studio and 1 x 1 bedroom residential units; erection of an additional storey at third floor level to form 1 x 1 bedroom residential unit. Erection of single-storey side extension to the Class E Commercial floorspace at ground floor level and external alterations.</t>
  </si>
  <si>
    <t>2022/4595</t>
  </si>
  <si>
    <t>144 Wandsworth High Street</t>
  </si>
  <si>
    <t>Change of use of the ground floor from retail (Class E) to a 1-bedroom flat  (Class C3) together with alterations to front and rear elevations.</t>
  </si>
  <si>
    <t>2022/4696</t>
  </si>
  <si>
    <t>221 Mitcham Lane</t>
  </si>
  <si>
    <t>Alterations include the erection of a dormer roof extension to main rear roof and single-storey rear extension in connection with the conversion of the property into 1 x 3-bedroom and 1 x 4-bedroom flats with associated landscaping, cycle and refuse storage.</t>
  </si>
  <si>
    <t>2022/4799</t>
  </si>
  <si>
    <t>292 Cavendish Road</t>
  </si>
  <si>
    <t>Alterations including erection of single storey rear and side extension in connection with change of use and conversion of restaurant (Class E) to residential (Class C3) to provide 1 x 2-bedroom flat.</t>
  </si>
  <si>
    <t>2022/5109</t>
  </si>
  <si>
    <t>First &amp; Second Floors, 33 Clarendon Drive</t>
  </si>
  <si>
    <t>Alterations including erection of dormer to front roofslope and single storey rear and side extension in connection with change of use from house of multiple occupation (Class C4) to dwellinghouse (Class C3).</t>
  </si>
  <si>
    <t>2022/5140</t>
  </si>
  <si>
    <t>8 Southcroft Road</t>
  </si>
  <si>
    <t>Alterations including erection of mansard roof extension to main rear roof and extension above part of the two-storey back addition, and formation of roof terrace above two-storey back addition with 1.7m high screen surround in connection with creation of 1 x 1 bedroom flat. Installation of glazed doors and external stairs at first floor rear elevation to rear garden.</t>
  </si>
  <si>
    <t>2023/0610</t>
  </si>
  <si>
    <t>591 A Garratt Lane</t>
  </si>
  <si>
    <t>Alterations including erection of a dormer extension to main rear roof and extension above three storey back addition in connection with the conversion of 2 x 1 bedroom flats to 3 x 1 bedroom flats.</t>
  </si>
  <si>
    <t>2023/0852</t>
  </si>
  <si>
    <t>17 Earldom Road (Land rear of 40 Clarendon Drive)</t>
  </si>
  <si>
    <t>Continued use as 1-bedroom self contained dwelling.</t>
  </si>
  <si>
    <t>LDC Exist</t>
  </si>
  <si>
    <t>UK</t>
  </si>
  <si>
    <t>2023/1034</t>
  </si>
  <si>
    <t>Ground floor flat &amp; First Floor Flat, 34 Graveney Road</t>
  </si>
  <si>
    <t>Conversion of dwellinghouse to 2 flats.</t>
  </si>
  <si>
    <t>2023/1082</t>
  </si>
  <si>
    <t>92 Bedford Hill</t>
  </si>
  <si>
    <t>Alterations including erection of mansard roof extension to main rear roof to form additional storey, insertion of windows to ground floor rear elevation and new front entrance. Extensions, alterations and part change of use from commercial to residential in connection with creation of 2 x 2-bedroom and 1 x 1-bedroom flats with associated refuse and cycle storage.</t>
  </si>
  <si>
    <t>2023/1222</t>
  </si>
  <si>
    <t>162 Mitcham Road</t>
  </si>
  <si>
    <t>Determination as to whether prior approval is required for part change of use from retail (Class E) to a studio flat (Class C3).</t>
  </si>
  <si>
    <t>2023/1257</t>
  </si>
  <si>
    <t>7 and 7a Khartoum Road</t>
  </si>
  <si>
    <t>Continued use of property as two flats</t>
  </si>
  <si>
    <t>LDC</t>
  </si>
  <si>
    <t>2023/1310</t>
  </si>
  <si>
    <t>Battersea Park Studios, 2 Shuttleworth Road (131 Battersea High Street)</t>
  </si>
  <si>
    <t>London Affordable</t>
  </si>
  <si>
    <t>Submission of details pursuant to Condition 43 (Affordable Housing Tenure Mix) of planning permission 2019/0854 dated 28/11/19 (Minor Material Amendment (S73) to amend Condition 16 (No structures on Roof) and Condition 24 (Carbon Reduction), and remove Condition 25 (Details of Photovoltaic Panels), Condition 27 (BREEAM) and Condition 39 (Off-Site Highways Works) of planning permission 2017/0764 dated 06/11/17, which was a Minor Material Amendment (S73) pursuant to planning permission 2015/2963 dated 13/01/2017 for the demolition of existing recording studio and lock-up garages and erection of a three-to seven-storey building with basement to provide 77 residential units (C3 use class) (19 x1 bedroom, 50 x 2 bedroom, 8 x 3 bedroom) and 624 sqm of recording studio floorspace (sui-generis use class); associated car parking, landscaping and public realm improvements).</t>
  </si>
  <si>
    <t>Shared Ownership</t>
  </si>
  <si>
    <t>ISE</t>
  </si>
  <si>
    <t>2023/1384</t>
  </si>
  <si>
    <t>Rear of, 631 Garratt Lane</t>
  </si>
  <si>
    <t>Retrospective permission for the erection of two-storey 1-bedroom house with access from Quinton Street.(Revisions to planning permission 2018/5918 dated 22/05/19 to allow omission of first floor side roof terrace, revisions to fenestration including addition of ground floor front windows in place of bifold doors and installation of air source heat pump to roof). Refuse and cycle storage provision.</t>
  </si>
  <si>
    <t>2023/1489</t>
  </si>
  <si>
    <t>2 Coral Row</t>
  </si>
  <si>
    <t>Continued use as single dwelling house (Class C3).</t>
  </si>
  <si>
    <t>10.15</t>
  </si>
  <si>
    <t>2023/1526</t>
  </si>
  <si>
    <t>Laglin Lodge, 7 Eardley Road</t>
  </si>
  <si>
    <t>Continued use of the basement as a studio flat.</t>
  </si>
  <si>
    <t>2023/1663</t>
  </si>
  <si>
    <t>41 Ashlone Road</t>
  </si>
  <si>
    <t>Continued use of the property as two flats.</t>
  </si>
  <si>
    <t>2023/1850</t>
  </si>
  <si>
    <t>64 Wimbledon Park</t>
  </si>
  <si>
    <t>Installation of replacement windows throughout in connection with deconversion of two flats into a single dwelling house.</t>
  </si>
  <si>
    <t>2023/2045</t>
  </si>
  <si>
    <t>7 Devereux Road</t>
  </si>
  <si>
    <t>Change of use from HMO use (Class C4) to residential dwelling house (Class C3).</t>
  </si>
  <si>
    <t>2023/2092</t>
  </si>
  <si>
    <t>Flat G, 64-66 Lavender Hill</t>
  </si>
  <si>
    <t>Continued use of Flat G as 1 x 1-bedroom flat.</t>
  </si>
  <si>
    <t>2023/2484</t>
  </si>
  <si>
    <t>Flat Ground Floor &amp; Flat First Floor, 4 Gartmoor Gardens</t>
  </si>
  <si>
    <t>De-conversion of ground floor and first floor flat to a single-family house.</t>
  </si>
  <si>
    <t>2023/2543</t>
  </si>
  <si>
    <t>and 10 Cinnamon Row SW11 3TW, 10 Molasses Row</t>
  </si>
  <si>
    <t>Alterations to include the change of use of the ground and first floor from office (Class E) to residential use (Class C3) and combination with existing residential floorspace above to form a single dwelling. Replacement of existing timber balcony with a glass floor; replacment of windows/doors.</t>
  </si>
  <si>
    <t>2023/3133</t>
  </si>
  <si>
    <t>515 Battersea Park Road</t>
  </si>
  <si>
    <t>Retrospective planning application for alterations including the erection and retention of a second floor rear extension and terrace. Internal alterations and reconfiguration associated with changes to the existing unit mix to create 4 x 1 bed flats.  Increase in size of rear terrace at first floor level to be enclosed by an obscure glazed screen. Use of ground floor level as Class E (Office).</t>
  </si>
  <si>
    <t>2023/3199</t>
  </si>
  <si>
    <t>81 Chestnut Grove</t>
  </si>
  <si>
    <t>Use of ground floor as two flats (Class C3).</t>
  </si>
  <si>
    <t>2023/3519</t>
  </si>
  <si>
    <t>Flat 1b, 178 Queenstown Road</t>
  </si>
  <si>
    <t>Continued use of the second floor as a self-contained unit.</t>
  </si>
  <si>
    <t>2023/3555</t>
  </si>
  <si>
    <t>252 C Battersea Park Road</t>
  </si>
  <si>
    <t>Use of ground floor as a single dwellling Class C3</t>
  </si>
  <si>
    <t>2023/3556</t>
  </si>
  <si>
    <t>547 Battersea Park Road</t>
  </si>
  <si>
    <t>Continued use of the property as a self-contained flat to rear ground floor.</t>
  </si>
  <si>
    <t>2023/3978</t>
  </si>
  <si>
    <t>4 Westover Road</t>
  </si>
  <si>
    <t>Retention of front façade with demolition and rebuilding of remainder of dwelling, incorporating alterations and extensions including an additional dormer and amended dormer to the main rear roof slope and replacement dormer to front roof slope; excavation to enlarge existing basement, including formation of front lightwells with grilles over; erection of single storey side and rear extensions; alterations to some fenestration, and erection of enlarged single storey rear outbuilding. [Note: This is a partially retrospective application].</t>
  </si>
  <si>
    <t>2023/4658</t>
  </si>
  <si>
    <t>346 Garratt Lane</t>
  </si>
  <si>
    <t>Determination as to whether prior approval is required for change of use from office over first and second floor level (Class E(c) to a 1 x 2-bedroom dwelling (Class C3)</t>
  </si>
  <si>
    <t>2023/4693</t>
  </si>
  <si>
    <t>3 Archway Mews</t>
  </si>
  <si>
    <t>Continued use of the property as a single dwelling.</t>
  </si>
  <si>
    <t>2023/4697</t>
  </si>
  <si>
    <t>22 Gwendolen Avenue</t>
  </si>
  <si>
    <t>Use as single dwelling house (Class C3).</t>
  </si>
  <si>
    <t>2023/4778</t>
  </si>
  <si>
    <t>13 Baskerville Road</t>
  </si>
  <si>
    <t>2024/0296</t>
  </si>
  <si>
    <t>5 Coral Row</t>
  </si>
  <si>
    <t>To establish the use of the property as a single family dwellinghouse (Use Class C3).</t>
  </si>
  <si>
    <t>2022/3055</t>
  </si>
  <si>
    <t>Dadu's Parade, 180-218 Upper Tooting Road</t>
  </si>
  <si>
    <t>18/11/2022</t>
  </si>
  <si>
    <t>Submission of details for the viability review mechanism pursuant to Schedule 3 of section 106 agreement dated 10th August 2018 related to planning permission ref 2017/4726 (as varied by 2020/2855 dated 02/12/2021) (Demolition of the existing buildings, with the retention and restoration of the RACS building facade and redevelopment of the remainder of the site to provide a part single/part four/part five-storey building to provide up to 2,105sqm of flexible floorspace at ground level for retail, financial and professional services, restaurant, pub and bar (Classes A1-A4) and 173sqm floorspace for community use (Class D1/D2); a 96-bedroom hotel (Class C1); 41 residential units (comprising 9 x 1-bedroom, 29 x 2-bedroom and 3 x 3-bedroom units); associated car parking for 45 cars (including 29 spaces for public use), 124 cycle parking spaces, servicing areas and landscaping) and to modify the s.106 legal agreement to remove obligations relating to affordable housing provision.</t>
  </si>
  <si>
    <t>S106</t>
  </si>
  <si>
    <t>21/07/2022</t>
  </si>
  <si>
    <t>O</t>
  </si>
  <si>
    <t>5.1</t>
  </si>
  <si>
    <t>02 Under Construction</t>
  </si>
  <si>
    <t>2022/3878</t>
  </si>
  <si>
    <t>190-194 Mitcham Road</t>
  </si>
  <si>
    <t>Demolition of existing building and erection of part 3 and part 4 storey building to provide 21 no. residential apartments (use class C3), and commercial/community space (use class E) together with private amenity space, blue badge parking space, access and landscaping.</t>
  </si>
  <si>
    <t>2013/5264</t>
  </si>
  <si>
    <t>155 Burntwood Lane</t>
  </si>
  <si>
    <t>Demolition of rear addition and alterations including erection of part single part two-storey front, side, rear extensions to rear addition, alterations to front and side ground floor elevations and enclosure of front and side forecourt in connection with use as three flats.</t>
  </si>
  <si>
    <t>2013/6430</t>
  </si>
  <si>
    <t>15 Fernthorpe Road</t>
  </si>
  <si>
    <t>Demolition of existing garage. Construction of three-storey side extension with rear roof extension and conversion into self contained two bedroomed dwelling. Installation of 6 solar panels to front roof slope.</t>
  </si>
  <si>
    <t>2014/1622</t>
  </si>
  <si>
    <t>Mission Church development site, 22-24 Kellino Street (Tooting Boys' Club)</t>
  </si>
  <si>
    <t>Change of use of the existing building from former community building (Class D1) to create four self-contained residential units comprising internal and external alterations (including terraces) and extensions.</t>
  </si>
  <si>
    <t>2019/4187</t>
  </si>
  <si>
    <t>N10</t>
  </si>
  <si>
    <t>Section 96A application for non-material amendments (alteration to the layouts of Buildings N9 and N10 to accommodate additional family units, alterations at ground floor to residential amenity areas and external design changes to Buildings N9 and N10) to Reserved Matters Approval ref. 2018/5698 dated 22/03/2019: "Application for approval of reserved matters (Access, Layout, Appearance, Scale and Landscaping) for Phase 1B of the Northern Site Development Zone pursuant to part outline and part detailed planning permission 2014/2810, dated 11/02/15 "For part outline and part detail planning permission for: (a) demolition of existing wholesale Fruit and Vegetable and Flower Market and ancillary buildings and structures, and residential building on Nine Elms Lane (apart from the existing multi storey car park); (b) Construction of mixed-use redevelopment comprising: a new Fruit and Vegetable Market and Flower Market and ancillary uses, including temporary and permanent façade; refurbishment and extension of existing waste collection area (including rooftop sports pitches); residential dwellings; flexible commercial uses, including retail, financial and professional services, café/restaurant, bar uses and hot food takeaways and offices; non-residential institutions; assembly and leisure uses; temporary storage and distribution buildings and associated works; associated car, cycle and motorcycle parking and servicing and new vehicle accesses, energy centres; and landscaping public realm and open space including part of the Linear Park. All matters reserved apart from access, details of all new markets and supporting buildings, and details of Building N8 and associated landscaping); (c) Site clearance and enabling works. An Environmental Statement has been submitted with the application under The Town and Country Planning (Environmental Impact Assessment) Regulations 2011."</t>
  </si>
  <si>
    <t>2022/4812</t>
  </si>
  <si>
    <t>Plot F - Affordable</t>
  </si>
  <si>
    <t>Reserved matters application relating to landscaping, scale and appearance of Springfield Hospital Plots P, Q, G and F pursuant to Condition 1 of Outline Permission (reference: 2010/3703 as amended by 2014/6585, 2016/4760 and 2019/2495) in respect of the demolition, clearance and redevelopment of the plots to provide 253 residential units, landscaping and associated works.</t>
  </si>
  <si>
    <t>2014/6325</t>
  </si>
  <si>
    <t>Land rear of, 13 Thurleigh Road</t>
  </si>
  <si>
    <t>Demolition of existing garages, erection of a single-storey plus basement attached self-contained dwelling fronting Blenkame Road with boundary treatment and associated landscaping.</t>
  </si>
  <si>
    <t>2015/0277</t>
  </si>
  <si>
    <t>Kerry Cottage, 1A Cambalt Road</t>
  </si>
  <si>
    <t>Demolition of existing building and erection of detached 2-storey house with accommodation at basement level; erection of east brick boundary wall.</t>
  </si>
  <si>
    <t>2015/5875</t>
  </si>
  <si>
    <t>Chelsea Bridge Wharf (southern site), Queenstown Road (Phase 5, Residential Blocks F &amp; G (Lanson House &amp; Burnelli House))</t>
  </si>
  <si>
    <t>Change of use from "flexible commercial space" to provide 7 residential apartments with associated screening and landscaping</t>
  </si>
  <si>
    <t>2016/3838</t>
  </si>
  <si>
    <t>Chatfield Court, 56 Chatfield Road</t>
  </si>
  <si>
    <t>Demolition of existing roof structure and erection of four-storey extension (to create fourth, fifth, sixth and seventh floors) to provide 2 x 1-bedroom, 5 x 2-bedroom and  2 x 3-bedroom residential units, creation of balconies and roof terraces, and external alterations.</t>
  </si>
  <si>
    <t>2016/4349</t>
  </si>
  <si>
    <t>28 Tooting Bec Road</t>
  </si>
  <si>
    <t>Alterations including the erection of a single storey side and rear extension, rear mansard roof extension and extension over part of rear addition, excavation to create basement including a rear lightwell, installation of roof-lights to the front in connection with conversion of part of the basement level, rear of the ground floor, 1st and 2nd floors of the property to form 2 x 1-bedroom and 1 x 2-bedroom flats, and  use of part of the basement for commercial purposes.</t>
  </si>
  <si>
    <t>Plot F - Intermediate</t>
  </si>
  <si>
    <t>2016/6287</t>
  </si>
  <si>
    <t>25 Crockerton Road</t>
  </si>
  <si>
    <t>Alterations in connection with the conversion of the property from four flats (2 x 1-bedroom and 2 x 2-bedroom) to a single dwellinghouse (seven-bedroom). Formation of rear roof terrace at main roof level with 1.1m high balustrade.</t>
  </si>
  <si>
    <t>Plot G - Extra Care</t>
  </si>
  <si>
    <t>Plot G - Extra Care (Supported Living)</t>
  </si>
  <si>
    <t>2017/2024</t>
  </si>
  <si>
    <t>land adjacent to 72, 72A Bedford Hill</t>
  </si>
  <si>
    <t>Erection of a three storey building (between 72 Bedford Hill and the railway embankment) to provide a shop/store on ground floor and a two bedroom maisonette on first and second floors.  (Amended drawings received  showing alterations to the development) (Amendments to planning permission dated 23/07/2014 ref 2013/3267 to include the erection of mansard roof extension to main rear roof and conversion  to provide 1 x 1-bedroom.)</t>
  </si>
  <si>
    <t>2017/3137</t>
  </si>
  <si>
    <t>37 Oldridge Road</t>
  </si>
  <si>
    <t>Demolition of existing building and erection of a four-storey building to provide 1 x studio, 1 x 1-bedroom and 2 x 2 bedroom flats, the erection of  a single-storey (plus basement) 1-bedroom house; associated cycle and refuse storage.</t>
  </si>
  <si>
    <t>2017/6879</t>
  </si>
  <si>
    <t>5 Laitwood Road</t>
  </si>
  <si>
    <t>Alterations including the erection of a part single, part two-storey rear extension and excavation of a basement level including formation of front lightwell with grille over and rear lightwell with high screen surrounds; in connection with conversion of existing dwelling into 1x1-bedroom, 2 x2-bedroom and 2x3-bedroom flats with assoicated cycle and refuse storage.</t>
  </si>
  <si>
    <t>2018/0001</t>
  </si>
  <si>
    <t>27 Sainfoin Road</t>
  </si>
  <si>
    <t>Erection of mansard extension to main rear roof (with French doors and safety railings) and single storey rear/side extension, in connection with conversion of property into 1 x 3-bedroom and 2 x 2-bedroom flats.</t>
  </si>
  <si>
    <t>Plot F - Market</t>
  </si>
  <si>
    <t>Plot G - Market</t>
  </si>
  <si>
    <t>Plot P - Market</t>
  </si>
  <si>
    <t>2018/0585</t>
  </si>
  <si>
    <t>The Surgery, Claudia Place</t>
  </si>
  <si>
    <t>Demolition of existing building and erection of a part-single, part four-storey 3-bedroomed dwellinghouse including roof terrace, with one off-street parking space.</t>
  </si>
  <si>
    <t>2018/0859</t>
  </si>
  <si>
    <t>87 Putney High Street</t>
  </si>
  <si>
    <t>conversion + extn</t>
  </si>
  <si>
    <t>Alterations and erection of three-storey (first to third floors) rear extension in connection with conversion of upper floors into 3 x 2-bedroom self-contained flats (Class C3) together with the erection of a three storey building to the rear of the site to provide 2 residential flats (Class C3)  (1 x 1-bedroom and 1 x 2-bedroom). Formation of a communal first floor terrace and new residential access with cycle and refuse stores from Token Yard.</t>
  </si>
  <si>
    <t>new build</t>
  </si>
  <si>
    <t>2018/0917</t>
  </si>
  <si>
    <t>Land adjacent, 80 Manville Road</t>
  </si>
  <si>
    <t>Demolition of existing garage and erection of part single, part two-storey (plus basement) 3-bedroom detached house with associated landscaping, boundary treatment, cycle, refuse storage and car parking.</t>
  </si>
  <si>
    <t>2018/2554</t>
  </si>
  <si>
    <t>Vehicle Repair Workshop Rear of, 7-9 Aldis Street</t>
  </si>
  <si>
    <t>Demolition of existing building and erection of two x 2-bedroom single storey houses with associated cycle and refuse storage.</t>
  </si>
  <si>
    <t>2018/3122</t>
  </si>
  <si>
    <t>Garages rear of 21, Granard Avenue</t>
  </si>
  <si>
    <t>Demolition of existing garages and construction of 4 x 2-bedroom houses ground and first floors with part basement.</t>
  </si>
  <si>
    <t>2018/3634</t>
  </si>
  <si>
    <t>26 Drakefield Road</t>
  </si>
  <si>
    <t>Alterations including the erection of a single storey side and rear extension; conversion of building from 1 x 1 bedroom and 2 x 2 bedroom flats into a single dwellinghouse.</t>
  </si>
  <si>
    <t>2018/4579</t>
  </si>
  <si>
    <t>Determination as to whether prior approval is required for change of use from office (Class B1a) to residential (Class C3) to provide 13 x 1-bedroom and 1 x 2-bedroom flats.</t>
  </si>
  <si>
    <t>OFC</t>
  </si>
  <si>
    <t>2018/4639</t>
  </si>
  <si>
    <t>Car storage site rear of, 1 Kenlor Road</t>
  </si>
  <si>
    <t>Demolition of existing single storey building and the erection of a single-storey one bedroom detached house with associated cycle and refuse storage and landscaping.</t>
  </si>
  <si>
    <t>2018/5658</t>
  </si>
  <si>
    <t>Garages between 23 &amp; 25, Darley Road</t>
  </si>
  <si>
    <t>Demolition of existing garages and erection of two-storey(plus basement) 4-bedroom house with associated refuse and cycle storage.</t>
  </si>
  <si>
    <t>2019/0014</t>
  </si>
  <si>
    <t>113 St Johns Hill</t>
  </si>
  <si>
    <t>Erection of four-storey (including accommodation within the roofspace) plus basement level building to provide flexible commercial use for retail (Class A1), professional services (Class A2) or business (Class B1) in the front part of both ground floor level and basement; with 2 x 2-bedroom and 1 x1 bedroom flats in the remainder of the building. [The main changes are a reduction of rearmost element from two-storeys to single storey; omssion of roof terraces and juliette balconies; alterations to some proposed windows, including reduction in size of dormer within rear roofslope, and amendments to proposed shopfront; reduction of flat A from a 2 bedroom to a one bedroom unit].</t>
  </si>
  <si>
    <t>2019/0435</t>
  </si>
  <si>
    <t>Ross Court, 81 Putney Hill</t>
  </si>
  <si>
    <t>Determination as to whether prior approval is required for change of use from storage (Class B8) to residential (Class C3) to provide 1 x 1-bed flat.</t>
  </si>
  <si>
    <t>2019/0762</t>
  </si>
  <si>
    <t>garages north of 8, 8 Buckmaster Road</t>
  </si>
  <si>
    <t>Demolition of existing single-storey vehicle garages and the erection of a two-storey plus basement 2 x bedroom dwellinghouse (Class C3).</t>
  </si>
  <si>
    <t>2019/0799</t>
  </si>
  <si>
    <t>175 Wandsworth High Street</t>
  </si>
  <si>
    <t>Variation of condition 4 (restricted use) and 2 (in accordance with approved drawings) of planning permission dated 09/12/2016 ref 2016/5757 (Change of use of upper and lower ground floors restaurant &amp; sandwich bar (Class A3) to 3 x commercial units (Class B1a), including external alterations to the front, side and rear elevations.) so as to allow change of use from office at rear ground and lower ground floors (Class B1a) to residential (Class C3).</t>
  </si>
  <si>
    <t>2019/0866</t>
  </si>
  <si>
    <t>1023-1025 Garratt Lane</t>
  </si>
  <si>
    <t>Variation of conditions 2, 3 and 7 (in accordance with approved drawings) pursuant to planning permission dated 14/11/2017 ref 2016/5209 (Demolition of the existing builder and timber merchant building (Class B1) and redevelopment with a part 2, part 3 storey building plus basement level comprising 17 apartments (Class C3) (2 x 1 beds, 12 x 2 beds and 3 x 3 beds) and associated landscaping, car and cycle parking)  to allow reconfiguration of internal layouts and subsequent alteratons to boundaries and cycle parking.</t>
  </si>
  <si>
    <t>2019/1231</t>
  </si>
  <si>
    <t>235a - 237a, 235-237 Wimbledon Park road</t>
  </si>
  <si>
    <t>Erection of a three storey rear extension in connection with formation of 1 x 1 bedroomed flat and 2 x 2 bedroomed flats with external terraces, and associated cycle and refuse storage.</t>
  </si>
  <si>
    <t>2019/1258</t>
  </si>
  <si>
    <t>13 Northcote Road</t>
  </si>
  <si>
    <t>conversion</t>
  </si>
  <si>
    <t>Alterations including erection of mansard roof extension to main roof, rear extension at second floor level and formation of rear roof terraces in connection with conversion of existing flat into 1 x 1-bedroom and 1 x 3-bedroom flats.</t>
  </si>
  <si>
    <t>extn to ex</t>
  </si>
  <si>
    <t>Level 1</t>
  </si>
  <si>
    <t>2019/2135</t>
  </si>
  <si>
    <t>65a Bramfield Road (145a Northcote Road)</t>
  </si>
  <si>
    <t>Demolition of single storey building and erection of two-storey 1-bedroom house.</t>
  </si>
  <si>
    <t>2021/5678</t>
  </si>
  <si>
    <t>Phase 3 M</t>
  </si>
  <si>
    <t>Variation of Condition 15 (in accordance with approved drawings), Condition 24 (lifetime homes standards), Condition 25 (Code for Sustainable Homes Interim (Design Stage) Certificate), Condition 28 (Energy Performance Certificate), Condition 32 (secure cycle parking spaces), Condition 41 (building heights), Condition 42 (non-residential floorspace) and Condition 43 (residential units) pursuant to planning permission dated 19/01/2019 ref 2017/5837 to allow:
Changes to internal residential layouts resulting in an amended residential unit mix (including an increase of up to 59 residential units); minor adjustments to the massing, building footprint and height of Plots 3 and 7 (Phase 3) and associated changes to the external building façade of Plots 3, 7and 8 (Phase 3); reconfiguration of commercial floorspace; alterations to play space and landscape design, servicing arrangements, cycle parking and provision of plant.</t>
  </si>
  <si>
    <t>Phase 3 IR</t>
  </si>
  <si>
    <t>2021/2892</t>
  </si>
  <si>
    <t>Plot F</t>
  </si>
  <si>
    <t>Details of Private Residential Unit Mix for Plots F and G pursuant to condition 14 of planning permission dated 18/12/2020 ref 2019/2250 (Application under Section 73 of the Town and Country Planning Act 1990 for variations to Conditions 9 (Parameter Plans), 10 (GEA Floorspace Limits), 34 (BREEAM) and 52 (Wind Mitigation) of part outline and part detail planning permission 2017/6762 dated 28th March 2019 for "Minor Material Amendment pursuant to Conditions 1 (time limit), 2 (time limit for reserved matters), 9 (parameter plans), 11 (Maximum Floorspaces), 15 (distribution and internal configuration of residential units for each plot), 32 (construction sequence and delivery plan) and 41 (land and groundwater contamination) of part outline and part detailed planning permission 2016/2424, dated 23rd January 2017 for "Minor Material Amendment pursuant to Conditions 3 (reserved matters), 9 (parameter plans), 10 (GEA floorspace limits), 13 (residential unit limit), 18 (car parking space limit), 32 (B8 use restriction) and 41 (land and groundwater contamination) of part outline and part detailed planning permission 2011/2462, dated 30/03/12 for demolition of all existing buildings and construction of a mixed use redevelopment comprising 7 building plots with buildings up to 23 storeys high to provide residential units; commercial and community floorspace; associated basement parking and part of the 'Nine Elms Linear Park'. All matters reserved apart from the appearance and scale of Blocks B1, D1 &amp; G and two new access points from Nine Elms Lane." An addendum to the Environmental Statement has been submitted under The Town and Country Planning (Environmental Impact Assessment) Regulations 2017 (as amended).").</t>
  </si>
  <si>
    <t>2022/4664</t>
  </si>
  <si>
    <t>Plot G</t>
  </si>
  <si>
    <t>Application under Section 96A of the Town and Country Planning Act for a 'non-material amendment' to Condition 1 (approved drawings/documents) for design changes to Plot G (including changes to the residential mix; creation of additional residential space previously identified for plant; revised front entrance and canopy and revised top-level plant area) and 'Belfour Place' landscaping of reserved matters approval dated 2nd June 2021 reference 2019/2325.</t>
  </si>
  <si>
    <t>2019/2325</t>
  </si>
  <si>
    <t>Application for approval of reserved matters (Access, Appearance, Landscaping, Layout and Scale) for 'Plots F &amp; G' pursuant to Condition 3 of part outline and part detailed planning permission 2017/6762 dated 28/03/2019 for "Minor Material Amendment pursuant to Conditions 1 (time limit), 2 (time limit for reserved matters), 9 (parameter plans), 11 (Maximum Floorspaces), 15 (distribution and internal configuration of residential units for each plot), 32 (construction sequence and delivery plan) and 41 (land and groundwater contamination) of part outline and part detailed planning permission 2016/2424, dated 23rd January 2017 for "Minor Material Amendment pursuant to Conditions 3 (reserved matters), 9 (parameter plans), 10 (GEA floorspace limits), 13 (residential unit limit), 18 (car parking space limit), 32 (B8 use restriction) and 41 (land and groundwater contamination) of part outline and part detailed planning permission 2011/2462, dated 30/03/12 for demolition of all existing buildings and construction of a mixed use redevelopment comprising 7 building plots with buildings up to 23 storeys high to provide residential units; commercial and community floorspace; associated basement parking and part of the 'Nine Elms Linear Park'. All matters reserved apart from the appearance and scale of Blocks B1, D1 &amp; G and two new access points from Nine Elms Lane."</t>
  </si>
  <si>
    <t>2019/2735</t>
  </si>
  <si>
    <t>2 Penwortham Road</t>
  </si>
  <si>
    <t>Alterations including excavation works in connection with change of use from Office/Business (Class A2) to residential (Class C3) to provide 1 x 1 bedroom unit with roof terrace.</t>
  </si>
  <si>
    <t>2019/3065</t>
  </si>
  <si>
    <t>Ground Floor, 231 Merton Road</t>
  </si>
  <si>
    <t>Alterations in connection with change of use from office (Class A2) to residential (Class C3) to provide 1 x 2-bedroom flat.</t>
  </si>
  <si>
    <t>2019/3077</t>
  </si>
  <si>
    <t>3 Roedean Crescent</t>
  </si>
  <si>
    <t>Demolition of existing property and erection of two storey (plus roof and basement) 7-bedroom house with associated parking and boundary treatment.</t>
  </si>
  <si>
    <t>2019/3388</t>
  </si>
  <si>
    <t>77 Broomwood Road</t>
  </si>
  <si>
    <t>Alterations including erection of dormer roof extensions to side and rear roof (with french doors and safety railings); erection of part single, part three-storey front, side and rear extension; excavation to enlarge basement including formation front lightwell; all in connection with the conversion of 2 x 1 bedroom flats and 1 x 3 bedroom flat into 3 x 2 bedroom flats and 1 x 3 bedroom flat.</t>
  </si>
  <si>
    <t>2019/3692</t>
  </si>
  <si>
    <t>376-378 Garratt Lane</t>
  </si>
  <si>
    <t>Alterations in connection with conversion of existing flat and  office (B1) to 4 x two-bedroom flats with associated bin and cycle storage.</t>
  </si>
  <si>
    <t>IU</t>
  </si>
  <si>
    <t>BLOCK C1</t>
  </si>
  <si>
    <t>BLOCK C2</t>
  </si>
  <si>
    <t>BLOCK C3</t>
  </si>
  <si>
    <t>2019/2324</t>
  </si>
  <si>
    <t>Plot E - Block E1</t>
  </si>
  <si>
    <t>Application for approval of reserved matters (Access, Appearance, Landscaping, Layout and Scale) for 'Plot E' pursuant to Condition 3 of part outline and part detailed planning permission 2017/6762 dated 28/03/2019 for "Minor Material Amendment pursuant to Conditions 1 (time limit), 2 (time limit for reserved matters), 9 (parameter plans), 11 (Maximum Floorspaces), 15 (distribution and internal configuration of residential units for each plot), 32 (construction sequence and delivery plan) and 41 (land and groundwater contamination) of part outline and part detailed planning permission 2016/2424, dated 23rd January 2017 for "Minor Material Amendment pursuant to Conditions 3 (reserved matters), 9 (parameter plans), 10 (GEA floorspace limits), 13 (residential unit limit), 18 (car parking space limit), 32 (B8 use restriction) and 41 (land and groundwater contamination) of part outline and part detailed planning permission 2011/2462, dated 30/03/12 for demolition of all existing buildings and construction of a mixed use redevelopment comprising 7 building plots with buildings up to 23 storeys high to provide residential units; commercial and community floorspace; associated basement parking and part of the 'Nine Elms Linear Park'. All matters reserved apart from the appearance and scale of Blocks B1, D1 &amp; G and two new access points from Nine Elms Lane."</t>
  </si>
  <si>
    <t>Plot E - Block E3</t>
  </si>
  <si>
    <t>2019/4915</t>
  </si>
  <si>
    <t>Ransomes Dock, 35-37 Parkgate Road (Ransomes Dock Business Centre)</t>
  </si>
  <si>
    <t>Demolition of the existing second floor extension to Buildings 1 &amp; 2. Alterations including erection of two-storey extension above Buildings 1 &amp; 2 at second and third floor levels; installation of replacement electricity substation; installation of new link bridge between Building 2 and Building 3; installation of new and replacement external access staircases, in connection with the provision of five new residential units (4 x 3-bedroom units and 1 x 4-bedroom unit) and use of basement for flexible B1/D1 uses, with associated new cycle parking at ground floor level.</t>
  </si>
  <si>
    <t>2019/5000</t>
  </si>
  <si>
    <t>252-254 Upper Tooting Road</t>
  </si>
  <si>
    <t>Erection a four-storey rear extension (approximately 12m in height). Change of use from a 1 x House of Multiple Occupation (HMO - 6 rooms) in to 1x HMO (18 rooms), while existing flats (1x studio, 1 x 1-bedroom flat and 2 x 2-bedroom flats) are to be retained.</t>
  </si>
  <si>
    <t>2019/5582</t>
  </si>
  <si>
    <t>916 Garratt Lane</t>
  </si>
  <si>
    <t>Demolition of existing buildings and erection of single-storey building plus basement to form 1x2-bedroom flat</t>
  </si>
  <si>
    <t>Block A (Market)</t>
  </si>
  <si>
    <t>Block B (Market)</t>
  </si>
  <si>
    <t>Block C (Market)</t>
  </si>
  <si>
    <t>Plot E - Block E2</t>
  </si>
  <si>
    <t>Plot E - Block E4</t>
  </si>
  <si>
    <t>2020/0797</t>
  </si>
  <si>
    <t>The Studio, 1c Moring Road</t>
  </si>
  <si>
    <t>Alterations in connection with change of use from office (Class B1) to residential (Class C3) to provide studio flat with associated refuse storage.</t>
  </si>
  <si>
    <t>2020/1233</t>
  </si>
  <si>
    <t>336-338 Balham High Road</t>
  </si>
  <si>
    <t>Demolition of existing buildings and erection of 4-storey building to provide commercial unit for flexible use (Classes A1, A2, A3 and D1) on ground floor four 2-bedroom flats (Class C3) above and associated waste and cycle storage.</t>
  </si>
  <si>
    <t>2020/1276</t>
  </si>
  <si>
    <t>Badric Court Estate, Yelverton Road</t>
  </si>
  <si>
    <t>Infill of undercroft space beneath the blocks to provide 6 self-contained flats (4 x 2-bedroom and 2 x 4-bedroom) with associated amenity space and the provision of cycle storages.</t>
  </si>
  <si>
    <t>2020/1405</t>
  </si>
  <si>
    <t>46 Longley Road</t>
  </si>
  <si>
    <t>Alterations including erection of dormer roof extension to rear roof of existing single storey rear extension; Excavation to enlarge existing basement and formation of associated front and rear lightwells with 1.1m high railings; Installation and replacement of windows and installation of side gate in connection with conversion into  1x1 bedroom, 2 x 2-bedroom and 2 x 3-bedroom units. Provision of waste and cycle storage.</t>
  </si>
  <si>
    <t>2020/1724</t>
  </si>
  <si>
    <t>86 Clapham Common West Side</t>
  </si>
  <si>
    <t>Variation of condition 3  (in accordance with approved drawings) pursuant to planning permission dated 27/02/2012 ref 2011/5574 (Excavation of floorspace at basement level, including formation of front lightwell and insertion of new windows/doors, in connection with provision of a onebedroom flat within basement area; erection of a three storey (ground, first and second floor level) rear extension to the side of the back addition to provide additional floorspace for the existing flats.) to allow a change in the design and size of the approved three storey side extension.</t>
  </si>
  <si>
    <t>2020/2002</t>
  </si>
  <si>
    <t>Land Adjacent, 77 Festing Road (Embankment - embankment Studios)</t>
  </si>
  <si>
    <t>Demolition of existing office building and erection of a 2/3-bedroom house (Class C3).</t>
  </si>
  <si>
    <t>2020/2247</t>
  </si>
  <si>
    <t>1 Duchess Court Live Work Unit, 2 Dinsmore Road</t>
  </si>
  <si>
    <t>Alterations including erection of first floor extension and creation of roof terrace with 1.8m screen surround and pitched roof section to front in association with the change of use from live-work unit (C3/B1) to solely residential (C3).</t>
  </si>
  <si>
    <t>2020/2483</t>
  </si>
  <si>
    <t>61-63 St Johns Road</t>
  </si>
  <si>
    <t>Alterations including formation of balconies at rear first and second floor levels and replacement windows in connection with the change of use of the first, second and third floors from retail (use class A1) to 1 x2 bedroom and 6x1 bedroom flats (use class C3). Bike and refuse stores at ground floor.</t>
  </si>
  <si>
    <t>2020/2606</t>
  </si>
  <si>
    <t>88 Grayshott Road</t>
  </si>
  <si>
    <t>Determination as to whether prior approval is required for change of use of office at ground floor and lower ground floor (Class B1a) to residential (Class C3) to provide 1 x 1-bedroom flat.</t>
  </si>
  <si>
    <t>2020/2797</t>
  </si>
  <si>
    <t>59 Sudbrooke Road</t>
  </si>
  <si>
    <t>HOUSE A</t>
  </si>
  <si>
    <t>Demolition of existing house and erection of two six-bedroom two-storey semi-detached single dwellinghouses (with basement and attic accommodation).</t>
  </si>
  <si>
    <t>HOUSE B</t>
  </si>
  <si>
    <t>2020/2849</t>
  </si>
  <si>
    <t>24 Granard Avenue</t>
  </si>
  <si>
    <t>Demolition of existing building and erection of a two-storey (plus roof levels) 5-bedroom house.</t>
  </si>
  <si>
    <t>2020/2870</t>
  </si>
  <si>
    <t>119 Boundaries Road</t>
  </si>
  <si>
    <t>Alterations including demolition of existing garage; Erection of a dormer roof extension to main rear roof; Alterations to dormer roof extension to back addition; Erection of a part single, part-two storey rear and side extension; In connection with conversion to 2 x 2-bed and 1 x 3-bed flats, with associated cycle and refuse storage.</t>
  </si>
  <si>
    <t>2020/2995</t>
  </si>
  <si>
    <t>402-404 Merton Road</t>
  </si>
  <si>
    <t>402</t>
  </si>
  <si>
    <t>Demolition of existing buildings and erection of 2 x three-storey 5/6 x bedroom dwellings, with associated off street parking to the front and new boundary walls and gates.</t>
  </si>
  <si>
    <t>404</t>
  </si>
  <si>
    <t>2020/3018</t>
  </si>
  <si>
    <t>Demolition of building and erection of a two-storey building with basement to form 1 x 3 bedroom ground floor flat, 1 x 2 bedroom first floor flat, 2 x 1 bedroom second and third floor flats.</t>
  </si>
  <si>
    <t>2020/3110</t>
  </si>
  <si>
    <t>A &amp; B, 38 Comyn Road</t>
  </si>
  <si>
    <t>Alterations including erection of mansard roof extension to main rear roof (with French doors and safety railings) and extension above part of three-storey back addition; formation of roof terrace at third floor level with 1.7m high screen to side. Erection of single-storey side/rear extension. Conversion of upper level flat into 1 x 1bedoom and 1 x 3 bedroom flats.</t>
  </si>
  <si>
    <t>2020/3209</t>
  </si>
  <si>
    <t>181-185 Wandsworth High Street</t>
  </si>
  <si>
    <t>Erection of roof extensions to provide an additional storey to front and rear sections of the building with a pitched roof to the front; reconfiguration of 3 existing flats; works in association with the provision of 3 x 1 bedroomed flats.</t>
  </si>
  <si>
    <t>2020/3575</t>
  </si>
  <si>
    <t>Springfield, 332 Upper Richmond Road</t>
  </si>
  <si>
    <t>Erection of a single-storey (plus basement) 3-bedroom detached dwellinghouse on land to the side of the existing dwelling at 332 Upper Richmond Road.</t>
  </si>
  <si>
    <t>2020/3777</t>
  </si>
  <si>
    <t>St Peter with St Paul Church, Vicarage and, 23-31 Plough Road (Parkside St. Peters)</t>
  </si>
  <si>
    <t>Prior Approval for the addition of a two-storey extension to the existing eight-storey residential building to provide 8 residential units, as well as the relocation and addition of plant and ancillary roof terrace</t>
  </si>
  <si>
    <t>4.1.6</t>
  </si>
  <si>
    <t>2020/4014</t>
  </si>
  <si>
    <t>87a Thurleigh Road</t>
  </si>
  <si>
    <t>Alterations to existing outbuilding in connection with its conversion to a 1 x bedroom self contained residential unit; new roof with rooflights lights, new timber fencing and gate to Wroughton Road with associated refuse and cycle storage.</t>
  </si>
  <si>
    <t>2020/4021</t>
  </si>
  <si>
    <t>250 Upper Tooting Road</t>
  </si>
  <si>
    <t>Reconfiguration of first and second floors to form 4 units (1 x 2-bedroom and 3 x 1-bedroom) with the erection of ground, first and second floor rear and side extensions and installation of AC units.</t>
  </si>
  <si>
    <t>2020/4088</t>
  </si>
  <si>
    <t>Change of use of the ground floor of the Lanson building from commercial floorspace to form 6 residential units (Class C3), comprising 2 x 1 beds, 3 x 2 bed and 1 x 3 bed units, along with associated internal and external alterations.</t>
  </si>
  <si>
    <t>2021/3661</t>
  </si>
  <si>
    <t>28 Thessaly Road</t>
  </si>
  <si>
    <t>The development of the site comprising the erection of a five storey building comprising 17 flats (3 x studios, 11 x 2-bedroom and 3 x 3-bedroom) with ancillary cycle and plant areas accommodated in a basement, and associated refuse storage and landscaping.</t>
  </si>
  <si>
    <t>2020/5042</t>
  </si>
  <si>
    <t>19 Roedean Crescent</t>
  </si>
  <si>
    <t>Demolition of existing building and single storey outbuilding in rear garden and erection of a two-storey (plus basement and roof levels) 6-bedroom detached house with rear first floor terrace.</t>
  </si>
  <si>
    <t>2020/5062</t>
  </si>
  <si>
    <t>The Boat &amp; Dragon PH, 180 Lower Richmond Road (1-6 Sadlers Gate Mews, Commondale SW15 1HD 1-3 Sadlers House)</t>
  </si>
  <si>
    <t>Alterations including formation of a front lightwell and additional fenestration to front and side elevations in connection with change of use of ground and lower ground floors from Class E (commercial business and service) to 2 x 2 -bedroom flats (Class C3). [Note: This is a reconsultation as some originally sent letters may not have been received].</t>
  </si>
  <si>
    <t>2021/0138</t>
  </si>
  <si>
    <t>South Lambeth Goods Depot, Cringle St./Battersea Park Rd., Kirtling Street (Battersea Power Station)</t>
  </si>
  <si>
    <t>Phase 3 (rest of RS-4 + O1)</t>
  </si>
  <si>
    <t>Application under Section 96a of the Town and Country Planning Act 1990 (as amended) for non-material amendments to planning permission 2014/2837 dated 05/12/2015 ("Application for Amendments to the planning permission dated the 29/04/14 (ref: 2013/6639) for the restoration, extension, alterations and conversion of the Power Station building to provide retail, residential flats, business, cultural, hotel and conference facilities, event space and incidental accommodation; the demolition of other buildings and development of the land surrounding the Power Station and adjacent/nearby sites to provide retail, restaurants bars and cafes, offices, hotel, residential, community and cultural space, assembly and leisure space, student housing, serviced apartments, an energy centre and basement plant; parking for cars, coaches, motorcycles and bicycles; new access and internal road system and servicing; 'off-site' highway works; works to the jetty and riverwall to facilitate river transport and fuel delivery; provision of open space and landscaping.") The submitted details relate to the residential layouts of building O1 within phase 3A of the Battersea Power Station development.</t>
  </si>
  <si>
    <t>2.1.1</t>
  </si>
  <si>
    <t>2021/0208</t>
  </si>
  <si>
    <t>190-194 St Anns Hill</t>
  </si>
  <si>
    <t>Erection of a four storey building at 190 - 192 (including the retention of the existing front facade and the rebuilding of the rear facade / boundary wall); the erection of a three-storey rear extension rear plus mansard to No 194; the erection of dormer roof to the front of No. 192; the provision of font and rear terraces at first and second floor levels. Works in association with the provision of 13 x 1-bedroom, 7 x 2-bedroom, 2 x 3-bedroom flats, with associated refuse and bicycle store</t>
  </si>
  <si>
    <t>2021/0447</t>
  </si>
  <si>
    <t>Phase 6B [Boiler House]</t>
  </si>
  <si>
    <t>Reserved matters relating to landscaping, scale and appearance in respect of the part demolition, conversion, restoration and repair of part of the Main Building (Grade II listed) to provide 109 residential units with landscaping and associated works (forming Phase 6B of the Springfield Masterplan development), pursuant to condition 1 of outline planning permission ref. 2010/3703 dated 20/06/2012 (for the erection of 25,000 sq.m. of replacement mental health facilities (Class C2/C2a); 839 residential dwellings; 9,200 sq.m. elderly persons' care home; 240 sq.m. of retail floorspace (Class A1); a school (Class D1); 3,500 sq.m. of mixed non-residential floorspace (Class A1, A2, A3, A4, B1, D1 or D2); landscaped public park; a combined cooling, heat and power energy centre, associated landscaping, parking, roads, access, infrastructure and other associated works), as varied under application ref. 2014/6585, dated 04/06/15, application ref. 2016/4760 dated 24/04/2018 and application ref. 2019/2495 dated 28/02/2020, and including statement of design code compliance, landscaping and foul water drainage pursuant to conditions 7, 10 and 30.</t>
  </si>
  <si>
    <t>Phase 6B [Dormitory Wing]</t>
  </si>
  <si>
    <t>Phase 6B [Engineering Block]</t>
  </si>
  <si>
    <t>Phase 6B [Kitchen Block]</t>
  </si>
  <si>
    <t>Phase 6B [Matrons House]</t>
  </si>
  <si>
    <t>Phase 6B [Nurses Club Room]</t>
  </si>
  <si>
    <t>Phase 6B [Orchid Wing]</t>
  </si>
  <si>
    <t>2023/0835</t>
  </si>
  <si>
    <t>66 Alton Road</t>
  </si>
  <si>
    <t>Flats (Conv)</t>
  </si>
  <si>
    <t>Variation of condition 2 (in accordance with approved drawings) pursuant to planning permission dated 23/11/2022 ref 2022/2881 (Refurbishment and reconfiguration of existing building with extensions to the sides and rear (with associated lightwells) to provide 6 no. flats (2 x 1 bed, 1 x 2 bed, 3 x 3 bed) and the provision of a 2 no. two storey cottages (2 x 2 bed) to the rear of the site with associated landscaping) to allow omission of approved rear extensions, staircase and reduction of floor area of 6 proposed apartments.</t>
  </si>
  <si>
    <t>Cottages (NB)</t>
  </si>
  <si>
    <t>Plot Q - Market</t>
  </si>
  <si>
    <t>2023/3874</t>
  </si>
  <si>
    <t>N5</t>
  </si>
  <si>
    <t>Application under S96A of the Town &amp; Country Planning Act for 'non-material' amendments (revisions to the approved drawings listed in Condition 1 following detailed design development, including alterations to the unit mix and alteration to core layouts and design and other consequential amendments) to planning permission dated 26/07/2023 ref. 2022/4809.</t>
  </si>
  <si>
    <t>N4</t>
  </si>
  <si>
    <t>N1 (Market)</t>
  </si>
  <si>
    <t>N3</t>
  </si>
  <si>
    <t>2021/1291</t>
  </si>
  <si>
    <t>Brocklebank Health Centre, 249 Garratt Lane (and others), 229-247 Garratt Lane (Garratt Lane and Atheldene Regeneration Site)</t>
  </si>
  <si>
    <t>Phase 1 (Houses)</t>
  </si>
  <si>
    <t>Submission of details of amendments pursuant to Section 106 agreement attached to planning permission dated 31/07/2020 ref 2017/4141 (Demolition of existing buildings and erection of a mixed use development providing a total of 193 residential units (of both private and affordable tenure) including houses and apartments, with associated amenity space including gardens, balconies and terraces; a new health centre (Class D1 use) (1,873sq.m), a pharmacy (Class A1 use) (94sq.m), two commercial units (flexible Class A1/A2/A3 or B1 use) (189sq.m), within buildings ranging between two and five-storeys high, together with the provision of hard and soft landscaping, enhanced pedestrian routes, and associated car parking and cycle parking, with the development proposed to be constructed in two phases.) to allow an increase in affordable housing provision.</t>
  </si>
  <si>
    <t>Phase 1 (Block C)</t>
  </si>
  <si>
    <t>Phase 1 (Block B)</t>
  </si>
  <si>
    <t>Phase 1 (Block A)</t>
  </si>
  <si>
    <t>2021/1667</t>
  </si>
  <si>
    <t>203 Replingham Road</t>
  </si>
  <si>
    <t>Determination as to whether prior approval is required for change of use from retail (Class A1) to 2 x 1-bedroom flats (Class C3) on the ground floor with associated external alterations to front and rear elevations.</t>
  </si>
  <si>
    <t>2021/1677</t>
  </si>
  <si>
    <t>120 Battersea Bridge Road</t>
  </si>
  <si>
    <t>Demolition of existing building and removal of structures/raised levels and erection of a part 4, 7 and 8 storey building, providing Class F1 Community Hall /Class F2 Church Hall on the ground and mezzanine floors, Class E Offices at mezzanine level and 24 residential units at mezzanine and upper levels, together with communal terrace on 7th floor, cycle parking at ground and first floors and visitor cycle spaces on Hyde Lane, roof plant, new bin store for Randall Close development and associated works.</t>
  </si>
  <si>
    <t>Phase 1 (Block D)</t>
  </si>
  <si>
    <t>2021/2155</t>
  </si>
  <si>
    <t>10 Grandison Road</t>
  </si>
  <si>
    <t>Demolition of existing dwellinghouse except for front facade and erection of three-storey (plus basement) dwellinghouse and replacement front wall and railings.</t>
  </si>
  <si>
    <t>2021/2262</t>
  </si>
  <si>
    <t>129-139 Beaumont Road</t>
  </si>
  <si>
    <t>Erection of an additional floor to the roof of the existing building, to accommodate 3no. flats (1x1Bed, 1x2Bed &amp; 1x3Bed).</t>
  </si>
  <si>
    <t>2021/2811</t>
  </si>
  <si>
    <t>Land and Garages North of 1-21, Gay Street</t>
  </si>
  <si>
    <t>Demolition of garages and erection of a two storey building accommodating 2 x 1-bed and 2 x 2-bed flats, with associated refuse and cycle storage.</t>
  </si>
  <si>
    <t>2021/2885</t>
  </si>
  <si>
    <t>Apartments 78 &amp; 79, 1 Riverlight Quay (Riverlight)</t>
  </si>
  <si>
    <t>The amalgamation of two adjacent two-bed units to create one four-bed unit and extension of the unit to incorporate 4 sqm of the communal hallway.</t>
  </si>
  <si>
    <t>2.1.9</t>
  </si>
  <si>
    <t>2021/2952</t>
  </si>
  <si>
    <t>24 Bellevue Road</t>
  </si>
  <si>
    <t>Excavation to create a basement including formation of front and rear lightwells, erection of dormer roof extensions to front and rear roof. Erection of part single/ part two-storey rear extension and single storey outbuilding  in connection with conversion of property to 2 x 3-bedroom, 1 x 2-bedroom and 1 x 1-bedroom flats with associated cycle and refuse storage.</t>
  </si>
  <si>
    <t>2021/3012</t>
  </si>
  <si>
    <t>82-84 Mitcham Lane</t>
  </si>
  <si>
    <t>Determination as to whether prior approval is required for demolition of existing workshop and erection of part 2/part 4-storey building to provide 8 x 1-bedroom and 1 x 2-bedroom flats.</t>
  </si>
  <si>
    <t>2021/3121</t>
  </si>
  <si>
    <t>7 Fairlight Road</t>
  </si>
  <si>
    <t>Alterations including erection of mansard roof extension to main rear roof including raising ridge by 300mm, erection of roof extension and formation of roof terrace with 1.7m glazed safety surround above two storey rear addition in connection with creation of 1 x 1-bedroom flat.</t>
  </si>
  <si>
    <t>2021/3198</t>
  </si>
  <si>
    <t>34-36 Thurleigh Road</t>
  </si>
  <si>
    <t>Demolition of one semi-detached and one detached dwellings and erection of three -storey (plus basement) 4-bedroom semi-detached dwellings.</t>
  </si>
  <si>
    <t>2021/3214</t>
  </si>
  <si>
    <t>218 Tooting High Street</t>
  </si>
  <si>
    <t>Erection of two storey rear building with link to main front building and first floor terraces, provision of cycle and bin storage. Change of use of rear ground floor of front building from residential (C3) to commercial (A1) in connection with provision of 1 x 3 bedroom unit.</t>
  </si>
  <si>
    <t>2021/3346</t>
  </si>
  <si>
    <t>Garages rear of 194, Bedford Hill</t>
  </si>
  <si>
    <t>Demolition of existing garages and erection of single storey (plus twostorey basement) 2-bedroom house including alterations to boundary
walls</t>
  </si>
  <si>
    <t>2021/3419</t>
  </si>
  <si>
    <t>23 Henning Street</t>
  </si>
  <si>
    <t>Alterations including demolition of existing house, retention of existing front facade and erection of two storey (plus roof and basement)  3-bedroom house.</t>
  </si>
  <si>
    <t>2021/3550</t>
  </si>
  <si>
    <t>Silverdale House, 98-100 Wandsworth High Street</t>
  </si>
  <si>
    <t>Erection of six storey building in connection with creation of 2 x 3-bedroom, 1 x 2-bedroom and 6 x 1-bedroom flats with associated refuse and cycle storage.</t>
  </si>
  <si>
    <t>2021/3897</t>
  </si>
  <si>
    <t>463 Garratt Lane</t>
  </si>
  <si>
    <t>Alterations including replacement ground floor front elevation and erection of single-storey rear/side extension in connection with change of use of ground floor from retail (Class E) to residential (Class C3) and provision of 3 x1 bedroom flats with refuse and cycle storage at rear.</t>
  </si>
  <si>
    <t>2021/4253</t>
  </si>
  <si>
    <t>41 Felsham Road</t>
  </si>
  <si>
    <t>Alterations including erection of mansard roof extension to main rear roof (with French doors and safety railings); erection of a three storey (plus basement) rear extension and excavation to enlarge existing basement including formation of a rear lightwell with glazed surround; installation of replacement ground floor front elevation; installation of 2 x air source heat pumps and solar panels to rear roof; in connection with change of use to 1 x 6-bed dwellinghouse (Class C3)</t>
  </si>
  <si>
    <t>2021/4552</t>
  </si>
  <si>
    <t>269 Putney Bridge Road</t>
  </si>
  <si>
    <t>Alterations including erection of front and rear mansard roof extension to provide an additional floor of accommodation, second floor level rear extension, and formation of rear balconies at first and second floor levels with 1.7m high privacy screens, together with the creation of 1 x 1-bedroom flat.</t>
  </si>
  <si>
    <t>2021/4626</t>
  </si>
  <si>
    <t>157 Fallsbrook Road</t>
  </si>
  <si>
    <t>affordable</t>
  </si>
  <si>
    <t>Non-material amendment to planning permission dated 28/01/2020 ref 2020/0473 (Demolition of existing building and construction of a part-three part-four storey building comprising 29 residential units with associated amenity, refuse and cycle provision and landscaping) to allow alterations including changes to the internal general arrangement including changes to stair and lift core, cycle store and unit sizes, and addition of plant room. External changes to fenestration, PV array, lift and stair core overrun and communal terrace.</t>
  </si>
  <si>
    <t>private</t>
  </si>
  <si>
    <t>2021/4704</t>
  </si>
  <si>
    <t>Car Park Space East of 59, Arnal Crescent</t>
  </si>
  <si>
    <t>Redevelopment and erection of 2 x two-storey buildings to provide 2 x 2-bedroom and 2 x 1-bedroom flats with associated refuse and cycle storage.</t>
  </si>
  <si>
    <t>2021/4938</t>
  </si>
  <si>
    <t>11 Spencer Park</t>
  </si>
  <si>
    <t>Change of use of property from a basement flat and maisonette to a single dwelling house (Use Class C3).</t>
  </si>
  <si>
    <t>2021/4974</t>
  </si>
  <si>
    <t>15 Fairlight Road</t>
  </si>
  <si>
    <t>Alterations including erection of mansard roof extension to main rear roof including raising ridge by 300mm, erection of roof extension and formation of roof terrace with 1.7m glazed safety surround above two-storey rear addition in connection with creation of 1 x 1-bedroom flat. Alterations to rear elevation of first floor flat with new juliet balcony.</t>
  </si>
  <si>
    <t>2021/5139</t>
  </si>
  <si>
    <t>43-45 Northcote Road</t>
  </si>
  <si>
    <t>Demolition of existing three storey building and erection of five storey building  to provide 5 residential units (1 x 1-bed, 3 x 2-bed and 1 x 3-bed units) and use of ground floor as Class E floorspace with associated access, cycle and refuse storage, private amenity space and plant enclosure to rear.</t>
  </si>
  <si>
    <t>2021/5565</t>
  </si>
  <si>
    <t>12 Coverton Road</t>
  </si>
  <si>
    <t>Alterations including erection of a mansard roof extension to main rear roof (with French doors and safety railings) including raising ridge by 200mm and extension above the two storey back addition; Erection of single storey rear/side extension; Formation of second floor rear roof terrace with 1.7m glazed surround; In connection with creation of 1 x 3-bedroom, 1 x 2-bedroom and 1 x 1-bedroom and 1 x studio flats, with associated refuse storage to front garden and associate cycle storage.</t>
  </si>
  <si>
    <t>2018/0272</t>
  </si>
  <si>
    <t>Pocklington Court, 74 Alton Road</t>
  </si>
  <si>
    <t>Building B</t>
  </si>
  <si>
    <t>Demolition of existing buildings and erection of part 2, 5 and 6 storey buildings comprising 41 No. Class C3 Extra Care units and 54 No. Class C3 intermediate affordable units; landscaping and new public realm; energy centre; new basement/lower ground car park accessed off Alton Road (from existing access point); and a new vehicular access off Alton Road into site.</t>
  </si>
  <si>
    <t>Building C</t>
  </si>
  <si>
    <t>2021/5787</t>
  </si>
  <si>
    <t>46 Roedean Crescent</t>
  </si>
  <si>
    <t>Demolition of existing house, erection of a two-storey (plus basement) 6-bedroom detached house with a car lift to the front driveway adjacent to the house.</t>
  </si>
  <si>
    <t>2022/0157</t>
  </si>
  <si>
    <t>Cyril Mansions, 8 &amp; 8a Prince of Wales Drive</t>
  </si>
  <si>
    <t>Alterations to convert 1-bedrom flat and studio flat into a 2-bedroom flat.</t>
  </si>
  <si>
    <t>Building A</t>
  </si>
  <si>
    <t>2020/5124</t>
  </si>
  <si>
    <t>Garages south of 156-232, 156-232 Whitlock Drive</t>
  </si>
  <si>
    <t>Demolition of existing garages and erection of three-storey (plus basement) residential building comprising 1 x 1-bed, 6 x 2-bed and 2 x 3-bed flats with associated landscaping, underground parking, refuse and cycle storage.</t>
  </si>
  <si>
    <t>N2 (Market)</t>
  </si>
  <si>
    <t>N2 (Affordable)</t>
  </si>
  <si>
    <t>N1 (Affordable)</t>
  </si>
  <si>
    <t>03 Planning</t>
  </si>
  <si>
    <t>2021/2031</t>
  </si>
  <si>
    <t>Main Site, Ballymore, cent[?] (Embassy Gardens)</t>
  </si>
  <si>
    <t>Details of Reserved Matters (scale, layout, access, external appearance and landscaping) in respect of Plot A01 (Residential Use) Phase 3,  pursuant to condition 3 of planning permission 2011/1815 dated 30th March 2012 (as amended) for demolition of all existing buildings and construction of a mixed use redevelopment to provide residential units, including affordable housing, retail, financial and professional services, café/restaurant, bar and hot food take-away uses, car showrooms, office floorspace and flexible workspace, a hotel, community uses and assembly and leisure uses, associated basement and ground level parking and servicing; energy centres; new vehicle and pedestrian access and circulation; and new public amenity space and landscaping including part of the 'Linear Park'.</t>
  </si>
  <si>
    <t>2.1.16</t>
  </si>
  <si>
    <t>2022/0538</t>
  </si>
  <si>
    <t>Erection of four-storey side and rear extensions, conversion of rear part of ground floor to residential with retention of front part as commercial (Class E) use in connection with conversion of building into 8 residential units 1 x 3 bedroom, 6 x 2 bedroom and 1 x 1-bedroom units with associated bin and bike storage and landscaping.</t>
  </si>
  <si>
    <t>2022/0721</t>
  </si>
  <si>
    <t>132 Earlsfield Road</t>
  </si>
  <si>
    <t>Alterations including erection of single-storey side/rear extension in connection with deconversion of two flats into a single dwelling house.</t>
  </si>
  <si>
    <t>2022/0788</t>
  </si>
  <si>
    <t>15 Balham High Road</t>
  </si>
  <si>
    <t>Alterations including erection of two-storey side extension at first floor, second floor rear extension, rear roof extension, rear terraces at first and second floor and associated bin and bike storage in connection with conversion from C3 Dwelling into 2 x 2-bedroom flats and 1 x studio flat.</t>
  </si>
  <si>
    <t>2022/0863</t>
  </si>
  <si>
    <t>157-159 Wandsworth High Street</t>
  </si>
  <si>
    <t>Determination as to whether prior approval is required for change of use of office (Class E) at part of first floor level to a studio flat (Class C3).</t>
  </si>
  <si>
    <t>2022/0867</t>
  </si>
  <si>
    <t>Determination as to whether prior approval is required for change of use of part of first floor from Class E to 1 x 1-bedroom flat (Class C3).</t>
  </si>
  <si>
    <t>2022/1057</t>
  </si>
  <si>
    <t>Land rear of, 143 St Johns Hill</t>
  </si>
  <si>
    <t>Erection of two-storey building to provide one  x 2-bedroom and one x 1-bedroom flats with associated refuse and cycle storage.</t>
  </si>
  <si>
    <t>2022/1132</t>
  </si>
  <si>
    <t>Formerly Flats A&amp;B, 131 St James Drive</t>
  </si>
  <si>
    <t>Conversion of property into single-family dwellinghouse and alterations including erection of mansard roof extension to provide an additional floor of accommodation; erection of three-storey rear extension; extension above back addition and frormation of roof terrace.</t>
  </si>
  <si>
    <t>2022/1173</t>
  </si>
  <si>
    <t>28 Muncaster Road</t>
  </si>
  <si>
    <t>Alterations including demolition of building with exception of front facade. Erection of two-storey dwelling plus enlarged basement (plus front lightwell) and accommodation at roof level, with dormer extension (including French doors and safety railings plu solar panels to roof). Erection of part single/part three storey rear extension</t>
  </si>
  <si>
    <t>2021/5839</t>
  </si>
  <si>
    <t>103-111 Mitcham Road</t>
  </si>
  <si>
    <t>Partial demolition of existing buildings and erection of part 3/4 storey building (plus basement) to front and part 2/3 storey buildings to rear; change of use of 2 x existing ancillary rear warehouses from storage (Class E) to residential and ancillary storage (Class C3) in connection with provision of commercial use (Class E) on basement and ground floor and provision of 24 residential units (Class C3) on rear ground floor and above with private and communal amenity spaces. Provision of cycle parking, refuse storage and landscaping.</t>
  </si>
  <si>
    <t>2022/1789</t>
  </si>
  <si>
    <t>133 Lavender Hill</t>
  </si>
  <si>
    <t>Erection of part single, part three-storey rear extension (top floor within roof) with first floor roof terrace, side dormer and external access stairs; replacement of shopfront with wall, windows and two entrance doors; Alterations and extensions in connection with change of use from restaurant (Class E) to 5 x 1-bedroom flats (Class C3).</t>
  </si>
  <si>
    <t>2022/2246</t>
  </si>
  <si>
    <t>148 Church Lane</t>
  </si>
  <si>
    <t>Alterations including erection of side and rear roof extensions with ridge raise, extension above two-storey back addition and erection of single storey side/rear extension, in connection with conversion of property into 1 x 3- bedroom  and 2 x 2-bedroom flats with associated boundary treatment, landscaping, refuse and cycle storage within front garden.</t>
  </si>
  <si>
    <t>2022/2352</t>
  </si>
  <si>
    <t>13 Gwendolen Avenue</t>
  </si>
  <si>
    <t>Alterations including demolition and replacement of single and two-storey rear additions; excavation to enlarge basement and install front and rear lightwells and construction of a swimming pool;  erection of extension to main roof with rear and side dormers; erection of front boundary wall with railings and gates, external repairs and refurbishment works in connection with use as a single dwelling house.</t>
  </si>
  <si>
    <t>2022/2515</t>
  </si>
  <si>
    <t>19a St Anns Park Road</t>
  </si>
  <si>
    <t>Demolition of existing building and erection of a two-storey (plus basement) 3-bedroom detached house including associated landscaping, cycle and refuse storage.</t>
  </si>
  <si>
    <t>2022/2530</t>
  </si>
  <si>
    <t>178 Mitcham Road</t>
  </si>
  <si>
    <t>Alterations including erection of roof extensions to the main rear roof and above the back addition and erection of part single, part three-storey side and rear extension with first floor terrace in connection with partial change of use from restaurant (Class E) to residential (Class C3) to provide 2 x 1-bedroom and 2 x 2-bedroom flats with the retention of commercial space (Class E) at front ground floor, and associated refuse and cycle storage.</t>
  </si>
  <si>
    <t>2022/2622</t>
  </si>
  <si>
    <t>55 Trinity Road</t>
  </si>
  <si>
    <t>Determination as to whether prior approval is required for change of use from retail (Class E) to mixed use as a  1 x studio (Class C3) and shop (Class E) with associated external and internal alterations.</t>
  </si>
  <si>
    <t>2022/2665</t>
  </si>
  <si>
    <t>109 Northcote Road</t>
  </si>
  <si>
    <t>Alterations including roof extension and changes to the roof pitch. Erection of mansard/dormer roof extension to main rear roof. Installation of 1.7m high obscure glazing to first floor terrace on all sides and formation of new roof terrace above existing back addition with 1.7m obscure glazing along sides. Erection of part single/part two storey rear and side extensions.  Replacement of existing windows and alterations to rear and side fenestrations, in connection with conversion from single dwelling into 1 x 2-bedroom and 1 x 3-bedroom flats with associated refuse and cycle storage.</t>
  </si>
  <si>
    <t>2022/3059</t>
  </si>
  <si>
    <t>Cemetery Lodge, 240 Lower Richmond Road</t>
  </si>
  <si>
    <t>Change of use of the ground floor from residential (Class C3) to cafe (Class E) with residential on first floor. Alterations to include the erection of a ground floor extension and removal of boundary walls.</t>
  </si>
  <si>
    <t>2022/3403</t>
  </si>
  <si>
    <t>Land South of 5, Tennyson Street</t>
  </si>
  <si>
    <t>Erection of a three-storey dwelling house.</t>
  </si>
  <si>
    <t>2022/3458</t>
  </si>
  <si>
    <t>134 Boundaries Road</t>
  </si>
  <si>
    <t>Erection of a mansard extension to main rear roof and extension above part of two-storey rear addition with roof terrace and 1.7m high obscured glazed balustrade to form for a 1-bedroom flat. Installation of associated cycle provision and refuse storage. Internal alterations to first floor flat with new bifold doors on rear elevation</t>
  </si>
  <si>
    <t>2022/3530</t>
  </si>
  <si>
    <t>Basement and Ground floor, 77 Lower Richmond Road</t>
  </si>
  <si>
    <t>Alterations including excavation to enlarge basement, formation of front lightwell, erection of single-storey rear extension, re-siting of rear external staircase in connection with change of use of ground floor and basement from retail (Class E) to residential (class C3) and office (Class E) to provide 1 x 1-bedroom flat with associated bin and cycle storage at rear.</t>
  </si>
  <si>
    <t>2022/3536</t>
  </si>
  <si>
    <t>637 Garratt Lane</t>
  </si>
  <si>
    <t>Alterations including erection of a roof extension to the main rear roof; Erection of a first floor rear extension; Erection of a part-single, part-two storey rear extension; Installation of a new shopfront, new residential entrance and bin store to front elevation; In connection with conversion to  3 x 2-bed flats, with associated cycle and refuse storage.</t>
  </si>
  <si>
    <t>2022/3574</t>
  </si>
  <si>
    <t>80 Lavender Sweep</t>
  </si>
  <si>
    <t>Alterations including erection of mansard roof extension to main rear roof (with french doors and safety railings) including raising ridge; formation of roof terrace with 1.7m glazed safety surround; erection of single storey rear and side extension and excavation to enlarge basement and formation of rear lightwell in connection with conversion to 1 x 3-bedroom, 1 x 2-bedroom and 1 x 1-bedroom flats.</t>
  </si>
  <si>
    <t>Block C</t>
  </si>
  <si>
    <t>2022/3913</t>
  </si>
  <si>
    <t>59 Byrne Road</t>
  </si>
  <si>
    <t>Erection of hip to gable side roof extension and mansard roof extension to main rear roof including raising the ridge by 300mm; erection of extension above part of three-storey back addition and formation of roof terrace with 1.7m high screen surround; erection of single storey side/rear extension and rear extension of back addition at first and second floors; formation of first floor roof terrace with 1.7m high screen surround and conversion of property into 1 x 3-bedroom and 2 x 2-bedroom flats with associated cycle and refuse storage.</t>
  </si>
  <si>
    <t>2022/3951</t>
  </si>
  <si>
    <t>14A Oakmead Road</t>
  </si>
  <si>
    <t>Alterations including erection of mansard roof extension to main rear roof (with French doors and safety railings) and extension above part of two-storey back addition; Formation of roof terrace above two-storey back addition with 1.7m high screen surround. Installation of metal stairs from first floor to ground floor in connection with creation of 1 x1 bedroom residential flat.</t>
  </si>
  <si>
    <t>2022/4157</t>
  </si>
  <si>
    <t>and Flat B 790, 788 Garratt Lane</t>
  </si>
  <si>
    <t>no 788</t>
  </si>
  <si>
    <t>Erection of part single, part two-storey side/rear extension, erection of mansard roof extension to main rear roof (with French doors and safety railings) and extension above part of back addition in connection with conversion of the property into 1 x 2 bedroom, 1 x 1- bedroom and 1 x studio flats at 788 Garratt Lane with formation of rear roof terraces at first and second floor levels. Erection of first floor rear extension at 790 Garratt Lane.</t>
  </si>
  <si>
    <t>2022/4179</t>
  </si>
  <si>
    <t>The Brewery Tap, 68 Wandsworth High Street</t>
  </si>
  <si>
    <t>Refurbishment of existing listed public house; including the refurbishment and alterations to the existing ground &amp; first floor public bars, wc's and circulation areas, the creation of new interior public seating/dining areas, public wc's, conversion of existing external service yards into customer seating &amp; smoking areas with associated extension and bin store; new external signage; change of use of part of first floor from ancillary staff accommodation to pub toilets.</t>
  </si>
  <si>
    <t>U</t>
  </si>
  <si>
    <t>2022/4249</t>
  </si>
  <si>
    <t>Gardeners Arms, 266-268 Merton Road</t>
  </si>
  <si>
    <t>Change of use of first and second floors from sui generis to residential (Class C3) to provide 5 x 1-bedroom flats.</t>
  </si>
  <si>
    <t>2022/4305</t>
  </si>
  <si>
    <t>Coach House adjoining 83, Mallinson Road</t>
  </si>
  <si>
    <t>Erection of a detached house with basement and roof terraces to front, rear and above roof.</t>
  </si>
  <si>
    <t>Block D</t>
  </si>
  <si>
    <t>LRC</t>
  </si>
  <si>
    <t>2023/1546</t>
  </si>
  <si>
    <t>Phase 2 (Block D)</t>
  </si>
  <si>
    <t>Amendments under Section 96a of the Town and Country Planning Act 1990 to planning permission dated 31/07/2020 ref. 2017/4141 (for Demolition of existing buildings and erection of a mixed use development providing a total of 193 residential units (of both private and affordable tenure) including houses and apartments, with associated amenity space including gardens, balconies and terraces; a new health centre (Class D1 use) (1,873sq.m), a pharmacy (Class A1 use) (94sq.m), two commercial units (flexible Class A1/A2/A3 or B1 use) (189sq.m), within buildings ranging between two and five-storeys high, together with the provision of hard and soft landscaping, enhanced pedestrian routes, and associated car parking and cycle parking, with the development proposed to be constructed in two phases) to amend the tenure of the 83 residential units in Phase 2 from 14 affordable shared ownership units and 69 private sale units to 83 social rent units, together with minor internal alterations and revised placement of a stack of 4 windows on the Oakshaw Road frontage.</t>
  </si>
  <si>
    <t>2021/3247</t>
  </si>
  <si>
    <t>Stroud Crescent (Open space adjacent to 178-204)</t>
  </si>
  <si>
    <t>done</t>
  </si>
  <si>
    <t>Erection of three/four storey building to provide 14 x flats (4 x 1-bedroom, 6 x 2-bedroom and 4 x 3-bedroom) each with a balcony with metal rails and with associated landscaping, 6 parking spaces, 2 of which are disability spaces, erection of new refuse and cycle storage.</t>
  </si>
  <si>
    <t>2019/2186</t>
  </si>
  <si>
    <t>1 East Hill</t>
  </si>
  <si>
    <t>New 4 storey building with 2 new commercial units (Class A1, A2, A3 and B1) and 8 x residential self-contained flats (Class C3), comprising 2 x 1 bed units; and 5 x 2 bed units and 1 x 3 bed units.</t>
  </si>
  <si>
    <t>2021/1729</t>
  </si>
  <si>
    <t>73 Earlsfield Road</t>
  </si>
  <si>
    <t>Alterations including erection of rear mansard roof extension to main rear roof slope and above existing two-storey side extension; extension above part of two-storey rear addition with installation of 1.7m high obscure glazed balustrade to form roof terrace; erection of single-storey rear extension to create full width ground floor rear extension, excavation to enlarge existing basement with stairs up to rear garden. alterations to front fenestration and replacement of all windows and doors in association with conversion of single-family dwelling house into 8 self-contained flats (3 x 3 bed, 2 x 2 bed, 3 x 1 bed) with associated outside amenity space, secure refuse and cycle storage and off-street parking.</t>
  </si>
  <si>
    <t>2021/3556</t>
  </si>
  <si>
    <t>17-19 St Anns Park Road</t>
  </si>
  <si>
    <t>Alterations including erection of replacement main roof, raising the ridge by 1.1m with dormers to all elevations; infilling extension to first floor; replacement fenestration throughout in connection with use as 1 x studio, 2 x 2-bed and 3 x 1-bed flats; enlarge refuse and cycle stores in front garden.</t>
  </si>
  <si>
    <t>2022/4396</t>
  </si>
  <si>
    <t>952 Garratt Lane</t>
  </si>
  <si>
    <t>Alterations including raising of ridge by 300mm, replacement rear mansard dormer and insertion of french doors and safety railings, erection of roof extension above two storey back addition with roof terrace (plus 1.7m high screening above) and erection of replacement single storey rear and side extension. Extensions and alterations in connection with conversion of property into three flats (1x3 bedroom, 1x2 bedroom and 1x1 bedroom flats). Provision of bin and cycle stores within front garden.</t>
  </si>
  <si>
    <t>2022/4549</t>
  </si>
  <si>
    <t>31 Clarendon Drive</t>
  </si>
  <si>
    <t>Deconversion of seven bedsits into a single dwelling house.</t>
  </si>
  <si>
    <t>2022/4648</t>
  </si>
  <si>
    <t>80 Taybridge Road</t>
  </si>
  <si>
    <t>Alterations including erection of dormer roof extensions to side roof slope, extension to roof at rear incuding increase ridge, erection of ground floor extension and replacement of shop frontage and lowering/replacement of windows in connection with the conversion of the commercial unit and dwelling into into 3 self-contained residential units (1 x 1 bedroom, and 2 x 2 bedroom units); provision cycle storage and waste storage.</t>
  </si>
  <si>
    <t>2022/4780</t>
  </si>
  <si>
    <t>46 Ramsden Road</t>
  </si>
  <si>
    <t>Conversion of two flats into a single family dwelling.</t>
  </si>
  <si>
    <t>Phase 2 (Block B)</t>
  </si>
  <si>
    <t>Phase 2 (Block E)</t>
  </si>
  <si>
    <t>Phase 2 (Block C)</t>
  </si>
  <si>
    <t>Phase 2 (Block A)</t>
  </si>
  <si>
    <t>2022/4370</t>
  </si>
  <si>
    <t>Kersfield Estate, Lytton Grove</t>
  </si>
  <si>
    <t>Variation of condition 2  (in accordance with approved drawings) pursuant to planning permission 28/02/2020 ref 2018/5553 (Demolition of existing electricity substation and erection of 7 blocks and new electricity substation across the estate ranging from 2 to 4 storeys to provide 41 new residential units (14 x 1 bed, 25 x 2 bed, 2 x 3 bed) removal of a number of existing trees along Lytton Grove frontage with provision of replacement trees, landscaping and play space) to allow change to the tenure to provide all 41 dwelling as affordable rent; increase the height of the external courtyard wall on Block D up to 2.99m  and install security rollers barrier on courtyard walls of Blocks B, C and D.</t>
  </si>
  <si>
    <t>Block G</t>
  </si>
  <si>
    <t>2022/4956</t>
  </si>
  <si>
    <t>Maisonette First Second And Third Floors 13,  11-13 Bedford Hill</t>
  </si>
  <si>
    <t>Alterations including erection of a three storey rear extension above existing ground and first floor addition and replacement of windows and doors to rear elevation in connection with the conversion of existing 2 x 3 Bedroom Maisonettes into 6 x 1 bedroom flats. Internal alterations and reconfiguration of external areas to create bike storage.</t>
  </si>
  <si>
    <t>Northcote Library Site</t>
  </si>
  <si>
    <t>Block E</t>
  </si>
  <si>
    <t>2022/5295</t>
  </si>
  <si>
    <t>39 Dornton Road</t>
  </si>
  <si>
    <t>Conversion of two flats into one single dwellinghouse, to include alterations to install new glazed door on ground floor and addition of five roof lights on the front and side roof slopes.</t>
  </si>
  <si>
    <t>2022/5287</t>
  </si>
  <si>
    <t>The Patmore Centre, Patmore Street</t>
  </si>
  <si>
    <t>Application under Section 96a of the Town and Country Planning Act 1990 for amendments to the housing tenure mix of planning permission 2020/0636 dated 2 September 2021 ("Demolition of existing building and multi-use games area and redevelopment of the site to include erection of two five-storey buildings to provide 57 affordable residential units and a community room (Use Class D1) with associated bicycle parking, residential car parking, refuse storage, plant and outdoor private amenity space. Provision of a new shared street and enhancements to existing public open space (including new and improved children's play space and replacement multi-use games area) and associated landscaping and SuDS.") It is proposed to change the tenure of 18 shared ownership units to social rented (London Affordable Rent), providing a total of 57 social rent units within the development.</t>
  </si>
  <si>
    <t>2019/4697</t>
  </si>
  <si>
    <t>Alton One O'clock Centre, Fontley Way</t>
  </si>
  <si>
    <t>GROUND FLOOR</t>
  </si>
  <si>
    <t>Redevelopment of the site to provide one new build block of four storeys in height comprising 14 dwellings (Class C3) comprising 12 x 3 bed units and 2 x 4 bed units, landscaped amenity area and playspace, car parking spaces (including disabled spaces), cycle parking, refuse storage and creation of access.</t>
  </si>
  <si>
    <t>2023/0177</t>
  </si>
  <si>
    <t>103 Eswyn Road</t>
  </si>
  <si>
    <t>Alterations including erection of dormer roof extension to main rear roof and ground floor side and rear extension in connection with conversion of property into house of multi occupancy (HMO) (Class C4).</t>
  </si>
  <si>
    <t>2023/0224</t>
  </si>
  <si>
    <t>The Forester, 114 Allfarthing Lane</t>
  </si>
  <si>
    <t>Alterations including part demolition of building, retaining existing facades; erection of main roof extension and side extensions at first and second floor levels to NE elevation; front and side lightwells and first floor level terraces to NE elevation in connection with provision of 8 residential units (3 x 1-bed, 4 x 2-bed and 1 x 3-bed) with associated landscaping, cycle and refuse storage.</t>
  </si>
  <si>
    <t>2023/0244</t>
  </si>
  <si>
    <t>Units 11 &amp; 15 Southside Quarter, Burns Road</t>
  </si>
  <si>
    <t>Conversion of one self-contained flat into two self-contained flats.</t>
  </si>
  <si>
    <t>2023/0295</t>
  </si>
  <si>
    <t>Land to the rear of 43, Southfields Road</t>
  </si>
  <si>
    <t>Redevelopment including erection of a terrace of 5 x two-storey houses (4 x 3-bedroom and 1 x 2 bedroom) with 3 no. off-street parking spaces, cycle and refuse storage. (Revisions to 2021/5257 with pitched roof added to each house to provide additional living space).</t>
  </si>
  <si>
    <t>2023/0320</t>
  </si>
  <si>
    <t>Replacement of roof garden with extension to  provide 2 x 1 bedroom flats and 1 x 3 bedroom flat.</t>
  </si>
  <si>
    <t>2023/0600</t>
  </si>
  <si>
    <t>Basement and Ground Flr, 2 Glenburnie Road</t>
  </si>
  <si>
    <t>Determination as to whether prior approval is required for change of use of basement and ground floor from Hot Food Takeaway (Sui Generis) to residential (Class C3) to provide 1 x 1-bedroom flat. Replacement of existing shopfront with windows and door.</t>
  </si>
  <si>
    <t>2023/0640</t>
  </si>
  <si>
    <t>41 Southfields Road</t>
  </si>
  <si>
    <t>Determination as to whether prior approval is required for change of use of the ground floor from  medical consulting rooms (Class E) to a 2-bed flat. (Class C3)</t>
  </si>
  <si>
    <t>2023/0718</t>
  </si>
  <si>
    <t>Determination as to whether prior approval is required for change of use from retail unit (Class E) to residential (Class C3) to provide a studio flat_x000D_.</t>
  </si>
  <si>
    <t>SECOND FLOOR</t>
  </si>
  <si>
    <t>2022/0354</t>
  </si>
  <si>
    <t>Site of York Road, Winstanley Road (Part of Estate, York Gardens and Winstanley Estate)</t>
  </si>
  <si>
    <t>Block 5A</t>
  </si>
  <si>
    <t>Non Material Amendment under Section 96a of the Town and County Planning Act (1990) to planning permission dated 29th January 2021 planning reference 2019/0024 for the "a part outline and part detailed planning permission for the following proposed development: a) Phased demolition of all existing buildings; b) Mixed use phased development comprising residential up to 2550 units (mix tenure including social rent, affordable rent, intermediate, private rented and private sale) above ground level including leisure centre, health, flexible commercial uses (retail, financial and professional services, café / restaurants, drinking establishments, hot food takeaways, business, non residential institutions and assembly and leisure), park, landscaping, public realm, energy centres, car/cycle parking and new vehicle accesses. All matters reserved except for phased construction of Block 1 (two residential towers comprising private sale units and new leisure/community centre including a gym, swimming pool and library, commercial uses), Block 5 (comprising affordable units and commercial units) and Block 6 (private sale units and affordable units) together with a new Park and associated works. c) Site clearance and enabling works including works to Winstanley Road, as well as temporary works necessary to enable the approved development. An Environmental Statement has been submitted with the application under the Town and Country Planning (Environmental Impact Assessment) Regulations 2017."</t>
  </si>
  <si>
    <t>2023/1179</t>
  </si>
  <si>
    <t>Land West Of, 1 Treville Street</t>
  </si>
  <si>
    <t>Redevelopment of single-storey building and garage (Class C3) to provide a two-storey (basement and ground levels)  2-bedroom house (Class C3) with 1 x off street parking space and associated refuse and cycle storage.</t>
  </si>
  <si>
    <t>2023/1311</t>
  </si>
  <si>
    <t>207-217 Lavender Hill</t>
  </si>
  <si>
    <t>Alterations in connection with change of use from office (Class E) to residential (Class C3) to provide 2-bedroom flat, installation of planting to forecourt, alterations to ramp, installation of new doors.</t>
  </si>
  <si>
    <t>2023/1371</t>
  </si>
  <si>
    <t>116 Disraeli Road</t>
  </si>
  <si>
    <t>Alterations including erection of part single, part two-storey rear and side extensions; mansard roof extension to main rear roof and above back addition with terraces at rear first and second floor levels; in connection with the conversion of the property into 3 self-contained residential units (1 x 3-bedroom and 2 x 2-bedroom units) (Amendment to 2022/1557)</t>
  </si>
  <si>
    <t>Block 5C</t>
  </si>
  <si>
    <t>Block 5B</t>
  </si>
  <si>
    <t>2023/1549</t>
  </si>
  <si>
    <t>68 Southcroft Road</t>
  </si>
  <si>
    <t>Alterations including erection of mansard roof extension to main rear roof and extension above part of the two-storey back addition and formation of roof terrace above two-storey back addition with 1.7m high screen surround in connection with creation of 1 x 1 bedroom flat.</t>
  </si>
  <si>
    <t>2023/1804</t>
  </si>
  <si>
    <t>13 Thirsk Road</t>
  </si>
  <si>
    <t>Conversion of two existing flats into a single 4-bedroom house</t>
  </si>
  <si>
    <t>2023/1904</t>
  </si>
  <si>
    <t>20 Coverton Road</t>
  </si>
  <si>
    <t>Alterations including erection of mansard roof extension to main rear roof (with french doors and safety railings) including raising ridge by 300mm, erection of roof extension above three storey back addition, erection of part single/part three storey rear and side extension, formation of roof terrace with 1.7m safety screen surround at second floor level and installation of french doors and safety railings  at first and second floors. Extensions and alterastions in connection with creation of 2 x 1-bedroom, 1 x 2-bedroom and 1 x 3-bedroom flats with associated refuse and cycle storage and boundary treatment.</t>
  </si>
  <si>
    <t>2023/1977</t>
  </si>
  <si>
    <t>11 and 11a, 11 Fairlight Road</t>
  </si>
  <si>
    <t>Alterations including erection of a dormer roof extension to main rear roof (including raising the roof ridge by 250mm) and extension with formation of a roof terrace with 1.7m high screen surround above two storey back addition in connection with the creation of 1-bedroom flat. Replacement of window with bi folding doors at first floor and erection of first floor balcony with 1.7m high screen surround. Erection of ground floor rear extension.</t>
  </si>
  <si>
    <t>2023/2434</t>
  </si>
  <si>
    <t>824 Garratt Lane</t>
  </si>
  <si>
    <t>Erection of mansard roof extension to main rear roof slope, extension over two-storey back addition and part single/part two-storey rear extension. Raising of ridgeline by 350mm,  installation of roof lights to front main roof slope. Formation of a roof terrace to second floor addition and internal balcony to the first floor. Install new shop front and doorway to the front elevation with extensive internal refurbishment throughout. Change of use of rear of ground floor from launderette (Sui Generis) to residential (Class C3) and creation of 2 no x 1-bedroom and 1 No 2-bedroom flat with retention of front for commercial use.</t>
  </si>
  <si>
    <t>2023/2606</t>
  </si>
  <si>
    <t>Erection of two new semi-detached house with two 3-bedroom units including a basement. (site has already been demolished)</t>
  </si>
  <si>
    <t>2023/2912</t>
  </si>
  <si>
    <t>19 St Maragret's Crescent</t>
  </si>
  <si>
    <t>Erection of a two-storey (plus additional accommodation within the roofspace and at basement level) 5-bedroom dwellinghouse, with associated off-street parking space, cycle storage and hard and soft landscaping, including provision of a front lightwell and an air source heat pump.</t>
  </si>
  <si>
    <t>2023/2923</t>
  </si>
  <si>
    <t>61 Latchmere Road</t>
  </si>
  <si>
    <t>Alterations including erection of a front and rear mansard roof extension above main roof (with French doors and safety railings). Erection of part single, two, three, four storey rear/side extension and formation of rear roof terrace with 1.7m high screen surround in connection with conversion of single family dwelling house into 3 self-contained flats (1 x 3-bed, 1 x 2-bed, 1 x 1-bed) with associated refuse and cycle storage.
Rear extensions at ground, first and second floor, with full mansard and pod roof extension and roof terrace with obscured glazed balustrade up to a height of 1.7m above terrace floor and conversion of single family dwelling house into 3 self-contained flats (1 x 3-bed, 1 x 2-bed, 1 x 1-bed/1-person) with associated refuse and cycle storage.</t>
  </si>
  <si>
    <t>2023/3024</t>
  </si>
  <si>
    <t>284 Franciscan Road</t>
  </si>
  <si>
    <t>Alterations including erection of a mansard roof extension to main rear roof (with French doors and safety railings) including raising ridge by 300mm and erection of roof extension above two storey back addition; erection of single storey rear/side extension; formation of second floor rear roof terrace with 1.7m glazed safety screen surround in connection with creation of 1 x 3-bedroom, 1 x 2-bedroom and 1 x 1-bedroom and 1 x studio flats with associated refuse storage to front garden and associate internal cycle storage.</t>
  </si>
  <si>
    <t>2023/3205</t>
  </si>
  <si>
    <t>4a Aldrington Road</t>
  </si>
  <si>
    <t>Variation of condition 2 (in accordance with approved drawings) pursuant to planning permission dated 14/07/2023 ref 2022/5125 (Demolition of existing property and annex buildings and the erection of three storey building to create 7 self-contained flats (2 x 3-bed units, 2 x 2-bed units and 3 x 1-bed units) with associated terrace/balconies, refuse and cycle storage, boundary treatments and landscaping, including removal and replacement of two trees.) to allow changes to internal layout so that a 1-bedroom unit can be a 2-bedroom unit; relocate a terrace from second floor to first; alterations to fenestration and increase number of windows on side elevation (window on side elevation above ground floor will be obscured); repositioning of boundary and replacement of doors on the ground floor with full height windows and safety railings.</t>
  </si>
  <si>
    <t>2023/3240</t>
  </si>
  <si>
    <t>4 West Hill</t>
  </si>
  <si>
    <t>Erection of a rear single-storey extension with lightwell to ground floor, installation of a new rear door, window and roof lights and formation of a roof terrace for existing flat.  Internal alterations to form 1 x studio and 1 x 2-bedroom flat.  New front to existing shop elevation.</t>
  </si>
  <si>
    <t>2023/3368</t>
  </si>
  <si>
    <t>4 Bank Buildings, Mitcham Lane</t>
  </si>
  <si>
    <t>Determination as to whether prior approval is required for change of use from Launderette (Sui Generis) to 1 x 1-bedroom flat (Class C3).</t>
  </si>
  <si>
    <t>2023/3464</t>
  </si>
  <si>
    <t>6-9 Denton Street</t>
  </si>
  <si>
    <t>Alterations including erection of mansard roof extension to main rear including raising the ridge by 350mm and extension above part of two-storey back addition; formation of roof terrace above two-storey back addition with 1.7m high screen surround in connection with the creation of 1 x 2-bedroom flat.</t>
  </si>
  <si>
    <t>Wandsworth Town, excluding the Wandle Delta Masterplan Area</t>
  </si>
  <si>
    <t>2023/3664</t>
  </si>
  <si>
    <t>Variation of condition 2 (in accordance with approved drawings) pursuant to planning permission dated 23/08/2019 ref 2019/2186 varied by 2020/4573 (New 4 storey building with new commercial units and residential self-contained flats) to allow for change of the approved commercial unit B to a two-bed four-person dwelling</t>
  </si>
  <si>
    <t>2021/0831</t>
  </si>
  <si>
    <t>142 Trinity Road</t>
  </si>
  <si>
    <t>Alterations including demolition of existing garage, erection of dormer roof extensions to main rear roof, two-storey rear and side extension plus roof level extensions above, excavation to enlarge basement including formation of front and rear lightwells, alterations to fenestration in connection with conversion and creation of 2 x 3-bedroom, 5 x 2-bedroom and 1 x 1-bed/studio flats with associated boundary treatment, landscaping, cycle and refuse storage.</t>
  </si>
  <si>
    <t>2022/0777</t>
  </si>
  <si>
    <t>21 Chetwode Road</t>
  </si>
  <si>
    <t>Demolition of existing dwelling house and erection of replacement two storey (plus roof and basement) building to create 2 x 3-bedroom, 4 x 2-bedroom, 2 x 1-bedroom flats with associated cycle and refuse storage.</t>
  </si>
  <si>
    <t>2023/2863</t>
  </si>
  <si>
    <t>Flat A 539 and 541A, Battersea Park Road</t>
  </si>
  <si>
    <t>Alterations including erection of a mansard style roof extension to main roof to form additional storey. Erection of rear extension at second floor level and formation of roof terrace above with 1.7m obscured glazed balustrade. Formation of terrace at first floor level. Extensions and alterations as part of the conversion of the properties from 2 flats into 4 x 1 bedroom and 2x2-bedroom flats.</t>
  </si>
  <si>
    <t>2023/4514</t>
  </si>
  <si>
    <t>124 Wandsworth High Street</t>
  </si>
  <si>
    <t>C3 to small HMO</t>
  </si>
  <si>
    <t>Alterations including the erection of a mansard extension to provide an additional floor of accommodation at main roof level; erection of a part single, part-four storey rear/side extension, with formation of roof terraces at first floor level, installation of new shopfront. Works in connection with proposed use as an 8-bedroom HMO with a commercial unit to the front part of the ground floor.</t>
  </si>
  <si>
    <t>2023/4747</t>
  </si>
  <si>
    <t>367 Garratt Lane</t>
  </si>
  <si>
    <t>Alterations including excavation to enlarge basement including formation of front and rear lightwells with grille over. Replacement fenestration to front elevation, installation of railings to front forecourt with cycle store. Erection of a mansard roof 
extension to main rear roof including raising the ridge height by 300mm and erection of a mansard roof extension above two-storey back addition including formation of roof terrace with 1.7m high screen surround. Erection of a part first floor rear extension and ground floor single storey side/rear extension. All in connection with the change of use of the ground floor retail (Class E(b)) and residential (Class C3) 
3 x 1 bed and 1 x Studio.</t>
  </si>
  <si>
    <t>2014/3837</t>
  </si>
  <si>
    <t>Former Domus Tiles site, 31-33 Parkgate Road/Elcho Street (27-33 Parkgate Road &amp; 2-42 Elcho Street)</t>
  </si>
  <si>
    <t>Demolition of existing buildings and redevelopment of the site to provide new buildings ranging from 3 to 10 storeys in height comprising 118 residential units including affordable housing (Use Class C3), and 2,282m2 of flexible commercial floorspace (Use Classes A1-A4/B1/D1/D2), together with associated car parking, open space, landscaping and infrastructure works.</t>
  </si>
  <si>
    <t>10.1.1</t>
  </si>
  <si>
    <t>2023/3698</t>
  </si>
  <si>
    <t>193-197 Upper Tooting Road</t>
  </si>
  <si>
    <t>Alterations including erection of roof extension to create an additional storey with accommodation in connection with the conversion ofthe upper floors into  5 x 2-bedroom and 1 x 1 bedroom flats. Erection of an external staircase.</t>
  </si>
  <si>
    <t>2013/3516</t>
  </si>
  <si>
    <t>70A Ravensbury Road</t>
  </si>
  <si>
    <t>Demolition of existing workshop. Erection of two-storey, 1-bedroom house with first floor level terrace to rear.</t>
  </si>
  <si>
    <t>2014/2810</t>
  </si>
  <si>
    <t>Entrance Site - E7</t>
  </si>
  <si>
    <t>Planning application for part outline and part detail planning permission for: (a) demolition of existing wholesale Fruit and Vegetable and Flower Market and ancillary buildings and structures, and residential building on Nine Elms Lane (apart from the existing multi storey car park); (b) Construction of mixed-use redevelopment comprising: a new Fruit and Vegetable Market and Flower Market and ancillary uses, including temporary and permanent façade; refurbishment and extension of existing waste collection area (including rooftop sports pitches); residential dwellings; flexible commercial uses, including retail, financial and professional services, café/restaurant, bar uses and hot food takeaways and offices; non-residential institutions; assembly and leisure uses; temporary storage and distribution buildings and associated works; associated car, cycle and motorcycle parking and servicing and new vehicle accesses, energy centres; and landscaping public realm and open space including part of the Linear Park. All matters reserved apart from access, details of all new markets and supporting buildings, and details of Building N8 and associated landscaping); (c) Site clearance and enabling works.</t>
  </si>
  <si>
    <t>POLA</t>
  </si>
  <si>
    <t>Apex Site - A4</t>
  </si>
  <si>
    <t>Entrance Site - E6</t>
  </si>
  <si>
    <t>Entrance Site - E8</t>
  </si>
  <si>
    <t>Entrance Site - E4</t>
  </si>
  <si>
    <t>Apex Site - A6</t>
  </si>
  <si>
    <t>Apex Site - A2</t>
  </si>
  <si>
    <t>Apex Site - A3</t>
  </si>
  <si>
    <t>Entrance Site - E3</t>
  </si>
  <si>
    <t>Entrance Site - E2</t>
  </si>
  <si>
    <t>Entrance Site - E1</t>
  </si>
  <si>
    <t>Thessaly Road Site - T2</t>
  </si>
  <si>
    <t>Thessaly Road Site - T4</t>
  </si>
  <si>
    <t>Apex Site - A7</t>
  </si>
  <si>
    <t>Thessaly Road Site - T3A</t>
  </si>
  <si>
    <t>Thessaly Road Site - T3B</t>
  </si>
  <si>
    <t>Entrance Site - Existing</t>
  </si>
  <si>
    <t>2014/3470</t>
  </si>
  <si>
    <t>Unit 25-28 Ransomes Dock, 35-37 Parkgate Road (Ransomes Dock Business Centre)</t>
  </si>
  <si>
    <t>Flat 12</t>
  </si>
  <si>
    <t>Change of use of 232 sqm of floorspace at third floor level from Office (Class B1a) to Residential use (Class C3) to provide two flats.</t>
  </si>
  <si>
    <t>Northern Site - N7</t>
  </si>
  <si>
    <t>2018/5698</t>
  </si>
  <si>
    <t>N12</t>
  </si>
  <si>
    <t>Application for approval of reserved matters (Access, Layout, Appearance, Scale and Landscaping) for Phase 1B of the Northern Site Development Zone pursuant to part outline and part detailed planning permission 2014/2810, dated 11/02/15 "For part outline and part detail planning permission for: (a) demolition of existing wholesale Fruit and Vegetable and Flower
Marketand ancillary buildings and structures, and residential building on Nine Elms Lane (apart from the existing multi storey car park); (b) Construction
ofmixed-use redevelopment comprising: a new Fruit and Vegetable Market and Flower Market and ancillary uses, including temporary and
permanentfaçade; refurbishment and extension of existing waste collection area (including rooftop sports pitches); residential dwellings; flexible
commercial uses, including retail, financial and professional services, café/restaurant, bar uses and hot food takeaways and offices; non-residential
institutions; assembly and leisure uses; temporary storage and distribution buildings and associated works; associated car, cycle and motorcycle
parking and servicing and new vehicle accesses, energy centres; and landscaping public realm and open space including part of the Linear Park.
All matters reserved apart from access, details of all new markets and supporting buildings, and details of Building N8 and associated landscaping);
(c) Site clearance and enabling works. An Environmental Statement has been submitted with the application under The Town and Country Planning
(Environmental Impact Assessment) Regulations 2011."</t>
  </si>
  <si>
    <t>2015/6813</t>
  </si>
  <si>
    <t>41-59 Battersea Park Road (Booker and BMW Sites)</t>
  </si>
  <si>
    <t>Demolition of all existing buildings and construction of new buildings of between 5 storeys and 18 storeys, containing 307 residential units, business (Class B1) floorspace and flexible retail/restaurant and cafe/business floorspace (Class A1-A5 and B1), CHP basement, vehicle and cycle parking, plant and associated works, landscaping  and a new access onto Sleaford street.</t>
  </si>
  <si>
    <t>2.1.13</t>
  </si>
  <si>
    <t>2015/7662</t>
  </si>
  <si>
    <t>Unit 3 &amp; 20 Ransomes Dock Business Centre, 35-37 Parkgate Road (Ransomes Dock Business Centre)</t>
  </si>
  <si>
    <t>Apartment 3</t>
  </si>
  <si>
    <t>Determination as to whether prior approval is required for change of use from office (Class B1a) to two residential units (Class C3).</t>
  </si>
  <si>
    <t>2016/0654</t>
  </si>
  <si>
    <t>9-15 Elcho Street</t>
  </si>
  <si>
    <t>Demolition of existing garage and erection of a ten-storey building comprising 4 residential units (4 x two-bedrooms) and 108 sq m of flexible commercial floorspace (Use Classes B1 (office)/A1 (retail)/A3 (restaurant/cafe)/D1 (non-residential institution) at ground and first floor levels, including associated balconies and roof terraces, cycle parking and refuse storage.</t>
  </si>
  <si>
    <t>2016/1119</t>
  </si>
  <si>
    <t>Phase 7 (RS-WF)</t>
  </si>
  <si>
    <t>Application for Amendments to the outline planning permission dated 5th December 2014 (ref; 2014/2837) for the for the restoration, extension, alterations and conversion of the Power Station building to provide retail, residential flats, business, cultural, hotel and conference facilities, event space and incidental accommodation; the demolition of other buildings and development of the land surrounding the Power Station and adjacent/nearby sites to provide retail, restaurants bars and cafes, offices, hotel, residential, community and cultural space, assembly and leisure space, student housing, serviced apartments, an energy centre and basement plant; parking for cars, coaches, motorcycles and bicycles; new access and internal road system and servicing; 'off-site' highway works; works to the jetty and riverwall to facilitate river transport and fuel delivery; provision of open space and landscaping. (The Amendments include changes to the residential mix to create additional residential units, the change of use of hotel and serviced apartments in Development Zone RS5 to residential, along with changes to the massing and distribution of land uses in Development Zone RS2 and other consequential changes to facilitate the redevelopment of the adjoining Cringle Dock site (previously sought by application ref: 2015/6359)). An Environmental Statement Addendum has been submitted with the application under the Town and Country Planning (Environmental Impact Assessment) (Amendment) Regulations 2015.</t>
  </si>
  <si>
    <t>2016/2027</t>
  </si>
  <si>
    <t>15-27 Falcon Road</t>
  </si>
  <si>
    <t>Demolition of existing building and erection of a three/five storey building plus basement to provide 25 residential units (8 x one bedroom, 13 x two bedroom, 4 x three bedroom) including balconies and communal garden and two retail units (Class A1, totalling 669sq.m of floorspace) and a gymnasium (Class D2, 434sq.m) together with cycle storage (60 bicycles) and refuse stores.</t>
  </si>
  <si>
    <t>2016/5183</t>
  </si>
  <si>
    <t>8 Ravensbury Terrace</t>
  </si>
  <si>
    <t>Demolition of existing buildings and erection of a part 1, part 3, part 4-storey building to accommodate 14 residential dwellings (3 x 1-bedroom, 10 x 2-bedroom and 1 x 3-bedroom units) including landscaping, cycle and refuse storage and works to the river wall. (Revised scheme following refusal of 2015/6103)</t>
  </si>
  <si>
    <t>2017/0535</t>
  </si>
  <si>
    <t>Land west of 86-96, Garratt Lane</t>
  </si>
  <si>
    <t>Erection of a 20-storey mixed use building comprising 27 residential  units; 31sqm cafe floorspace (Class A3) on the ground floor; associated refuse and cycle storage; rooftop solar PV array; and public realm including riverside walk with pedestran access from Garratt Lane and Mapleton Crescent.</t>
  </si>
  <si>
    <t>ISD</t>
  </si>
  <si>
    <t>2017/1680</t>
  </si>
  <si>
    <t>Phase 5 (RS-6)</t>
  </si>
  <si>
    <t>Variation of Section 106 Agreement dated 21 November 2016 of planning permission ref. 2016/3778 (for the restoration and alteration of Battersea Power Station and the surrounding land to provide a mixed use development) to relocate 103 affordable homes from Phase 3b to a later phase(s) alongside the 147 units currently located in Phase 5; introduce an up and down end-of-scheme review in relation to the 250 affordable housing units on the main site targeting 15% affordable housing provision; and amend the delivery triggers in respect of Phase 4a so that the affordable housing in that phase will be delivered earlier than is currently required.</t>
  </si>
  <si>
    <t>Phase 6 (RS-2)</t>
  </si>
  <si>
    <t>2018/1079</t>
  </si>
  <si>
    <t>Land east of 57, 57 Putney Bridge Road</t>
  </si>
  <si>
    <t>Erection of five storey building to provide 5 x studio flats with associated cycle and bin storage.</t>
  </si>
  <si>
    <t>2018/2166</t>
  </si>
  <si>
    <t>1a Merivale Road</t>
  </si>
  <si>
    <t>Cou/extn</t>
  </si>
  <si>
    <t>Refurbishement and extension of warehouse building including insertion of dormer windows together with replacement and new fenestration to provide 1 x 1-bed, 2 x 2-bed and 1 x 3-bed flats; demolition of outbuildings and erection of  2 x 2-bed and 1 x 3-bed single-storey (plus roof level accommodation) houses; 3 x parking spaces, cycle parking, refuse storage and associated landscaping; gated access via Merivale Road and Deodar Road.</t>
  </si>
  <si>
    <t>New build</t>
  </si>
  <si>
    <t>2018/3669</t>
  </si>
  <si>
    <t>37-39 St Johns Road</t>
  </si>
  <si>
    <t>Demolition of existing building and erection of a four-storey building to provide 1 x 1-bedroom, 3 x 2-bedroom and 2 x 3-bedroom flats (USe Class C3) and ground floor use as Class A1/A3 including associated works.</t>
  </si>
  <si>
    <t>2018/4798</t>
  </si>
  <si>
    <t>94-96, 94-96 Mitcham Lane</t>
  </si>
  <si>
    <t>Demolition of existing building and erection of a four-storey building to provide 6 x 2-bedroom and 2 x 1-bedroom flats and two retails units (Class A1 Shops) at ground floor level.</t>
  </si>
  <si>
    <t>2018/5309</t>
  </si>
  <si>
    <t>121 Roehampton Vale</t>
  </si>
  <si>
    <t>Alterations including erection of main roof extension including rear and side dormers; alterations to front elevation in connection with use of garage as additional habitable accommodation and erection of part single part two-storey rear/side extension in connection with conversion of property into 2 x 3-bedroom and 1 x 1-bedroom flats; refuse and cycle stores in front garden.</t>
  </si>
  <si>
    <t>2018/5540</t>
  </si>
  <si>
    <t>Land adjacent, 101 Moring Road</t>
  </si>
  <si>
    <t>Erection of single storey (plus basement and lightwells) 1-bedroom house with associated refuse and cycle storage.</t>
  </si>
  <si>
    <t>2023/0176</t>
  </si>
  <si>
    <t>Apex 1</t>
  </si>
  <si>
    <t>Application under Section 96a of the Town and Country Planning Act 1990 for "non-material" amendments to Condition 1 (revised drawings with design amendments to introduce a second staircore with consequential amendments to unit layouts, mix and elevations) of Reserved Matters application ref. 2021/5032 dated 4th March 2022.</t>
  </si>
  <si>
    <t>2012/5286</t>
  </si>
  <si>
    <t>Ram Brewery, Capital Studios &amp; Duvall Works, Ram Street/Armoury Way/Wandsworth High Street (The Ram Quarter)</t>
  </si>
  <si>
    <t>Building 06</t>
  </si>
  <si>
    <t>A mixed use development comprising alterations and change of use of retained former brewery buildings, demolition of non-Listed Buildings and the construction of new buildings 2-12 storeys in height and a tower of 36 storeys in height. Provision of 10114sqm of retail (Class A1-A4), 661 residential units, continued small scale brewery use (Class B2), museum (Class D1), ancillary gym. The creation of public areas and river walkway; new and repositioned vehicular and pedestrian access points and provision of servicing areas, energy centre and basement car and cycle parking.</t>
  </si>
  <si>
    <t>3.1.2</t>
  </si>
  <si>
    <t>Building 04F</t>
  </si>
  <si>
    <t>Building 04E</t>
  </si>
  <si>
    <t>Building 04D</t>
  </si>
  <si>
    <t>2019/0024</t>
  </si>
  <si>
    <t>Block 1A</t>
  </si>
  <si>
    <t>The application is for a part outline and part detailed planning permission for the following proposed development:
(a) Phased demolition of all existing buildings;
(b) Mixed use phased development comprising residential up to 2550 units (mix tenure including social rent, affordable rent, intermediate, private rented and private sale) ranging from 3 - 31 storeys above ground level including leisure centre, health, flexible commercial uses (retail, financial and professional services, café / restaurants, drinking establishments, hot-food takeaways, business, non-residential institutions and assembly and leisure), park, landscaping, public realm, energy centres, car/cycle parking and new vehicle accesses. All matters reserved except for phased construction of Block 1 (two residential towers comprising 239 private sale units and new leisure/community centre of 12,400sqm GIA including a gym, swimming pool and library, commercial uses of 2191sqm GIA), Block 5 (comprising 136 affordable units and commercial units of 393sqm GIA) and Block 6 (64 private sale units and 63 affordable units) together with a new Park (2.49ha) and associated works; and
(c) Site clearance and enabling works including works to Winstanley Road, as well as temporary works necessary to enable the approved development.
An Environmental Statement has been submitted with the application under the Town and Country Planning (Environmental Impact Assessment) Regulations 2017.</t>
  </si>
  <si>
    <t>Block 1C</t>
  </si>
  <si>
    <t>Block 6</t>
  </si>
  <si>
    <t>Blocks 2-4 and 7-14</t>
  </si>
  <si>
    <t>Blocks A-S</t>
  </si>
  <si>
    <t>2019/0517</t>
  </si>
  <si>
    <t>57 Gilbey Road</t>
  </si>
  <si>
    <t>Alterations in connection with conversion of two flats into a single dwellinghouse.</t>
  </si>
  <si>
    <t>2019/0899</t>
  </si>
  <si>
    <t>55 Gayville Road</t>
  </si>
  <si>
    <t>Alterations including erection of a mansard roof extension to main rear roof, installation of glazed doors (with safety railing) at first floor level and erection of a single storey rear/side extension in connection with conversion to 1 x 2-bed and 1 x 3-bed flats.</t>
  </si>
  <si>
    <t>2019/1181</t>
  </si>
  <si>
    <t>60 Fairfield Street</t>
  </si>
  <si>
    <t>Alterations to ground floor front, rear and side elevation in connection with change of use from cafe (Class A3) to two bedroom flat (Class C3) .</t>
  </si>
  <si>
    <t>2019/1697</t>
  </si>
  <si>
    <t>57-63 Tooting High Street</t>
  </si>
  <si>
    <t>Alterations and extensions including erection of four storey rear extension (with three balconies); two storey side extension over the flat roof of the existing two storey back addition (with second floor roof terrace); conversions and changes to the layouts of the existing 7 flats (1 x 4 bedroom, 4 x 3 bedroom, 1 x 2 bedroom, 1 x 1 bedroom) in order to create 11 flats (8 x 2 bedroom, 1 x 1 bedroom and 2 x studio flats (net increase of 4 flats)); and associated waste and cycle storage.</t>
  </si>
  <si>
    <t>extn</t>
  </si>
  <si>
    <t>2019/1706</t>
  </si>
  <si>
    <t>148 Earlsfield Road</t>
  </si>
  <si>
    <t>Alterations including excavation to create basement in connection with creation of 1 x 1-bedroom flat.</t>
  </si>
  <si>
    <t>2019/1757</t>
  </si>
  <si>
    <t>Terrapin Court, Terrapin Road</t>
  </si>
  <si>
    <t>Alterations including erection of roof extension and roof terraces to provide 2 x 2-bedroom flats within extended roof. Provision of associated refuse and cycle storage for existing and proposed dwellings.</t>
  </si>
  <si>
    <t>2019/1825</t>
  </si>
  <si>
    <t>Rayne House, Sudbrooke Road</t>
  </si>
  <si>
    <t>Erection of replacement single storey rear extension to create 7 classrooms and staff room (use Class D1 (school)) in association with Broomwood Hall School. Use of part of basement to enlarge existing flat and roof extension with terrace to create a one-bedroom flat. Alterations and enlargement of rear lightwell and balustrade to roof.</t>
  </si>
  <si>
    <t>2019/1945</t>
  </si>
  <si>
    <t>Burdwood Court, 46 Putney Hill</t>
  </si>
  <si>
    <t>Erection of additional storey of at fourth floor level to provide 4 x 1-bedroom flats including two roof terraces;  installation of replacement fenestration to all elevations.</t>
  </si>
  <si>
    <t>2019/2033</t>
  </si>
  <si>
    <t>11 Barmouth Road</t>
  </si>
  <si>
    <t>Alterations including changes to front elevation fenestration and erection of single-storey rear/side extension in connection with change of use from office (Class B1) to residential (Class C3) to create 1 x 2-bedroom flat.</t>
  </si>
  <si>
    <t>2019/2116</t>
  </si>
  <si>
    <t>118 Upper Tooting Road</t>
  </si>
  <si>
    <t>Alterations in connection with change of use of part of ground floor from retail (Class A1) to residential (Class C3) to provide 1 x studio flat with associated cycle and refuse storage.</t>
  </si>
  <si>
    <t>Building 05</t>
  </si>
  <si>
    <t>2019/2196</t>
  </si>
  <si>
    <t>Land adj. 206, 206 Franciscan Road (204)</t>
  </si>
  <si>
    <t>Erection of two-storey dwellinghouse with roof level accommodation.</t>
  </si>
  <si>
    <t>2019/2233</t>
  </si>
  <si>
    <t>43 Sisters Avenue</t>
  </si>
  <si>
    <t>Creation of a rear courtyard in connection with conversion from a single dwelling to 3 x 3-bed and 1 x 1-bed flats, with associated cycle and refuse storage to front garden</t>
  </si>
  <si>
    <t>2019/2315</t>
  </si>
  <si>
    <t>94 Balham High Road</t>
  </si>
  <si>
    <t>Alterations including erection of mansard roof extension to main rear roof; excavation works to enlarge lower ground floor and part single, part two, part three storey rear and side extensions; formation of rear roof terrace at second floor level with 1.7m high obscured glazed screening in connection with reconfiguration and enlargement of social club (Class D1) and change of use of second floor from D1 to C3 in connection with creation of 2 x 1-bedroom and 1 x studio flats.</t>
  </si>
  <si>
    <t>2016/6029</t>
  </si>
  <si>
    <t>Building 09</t>
  </si>
  <si>
    <t>Non-material amendment to planning permission dated 06/12/82013 ref 2012/5286 [A mixed use development comprising alterations and change of use of retained former brewery buildings, demolition of non-Listed Buildings and the construction of new buildings 2-12 storeys in height and a tower of 36 storeys in height. Provision of 10114sqm of retail (Class A1-A4), 661 residential units, continued small scale brewery use (Class B2), museum (Class D1), ancillary gym. The creation of public areas and river walkway; new and repositioned vehicular and pedestrian access points and provision of servicing areas, energy centre and basement car and cycle parking.] to allow addition of substation with louvred façade access to ground floor, second residential entrance under residential balcony facing Armoury Way removed, plantroom introduced to façade facing ramp, waste store moved to external façade adjacent to residential entrance, apartment layouts revised and mix changed from:
36 x 1bed, 12 x 2bed and 18 x 3bed to 36 x 1bed, 24 x 2bed and 6 x 3bed, Unit sizes have been reduced to better relate to London Plan guidelines, Private amenity: Recessed balconies &amp; winter gardens added, minor adjustment of window positions to allow removal of transfer structure by introducing continuous facade columns, plant room added to west side of level 01,  roof plant incorporated to one half of level and screening added and consented balconies changed to metal railings on levels 1-4.</t>
  </si>
  <si>
    <t>2019/2498</t>
  </si>
  <si>
    <t>Templeton, 118 Priory Lane</t>
  </si>
  <si>
    <t>Alterations in connection with conversion of part ground and first floor of garage building to 3 x 1 bedroom  flats ancilliary to the main house.</t>
  </si>
  <si>
    <t>2019/2504</t>
  </si>
  <si>
    <t>91 St Johns Road</t>
  </si>
  <si>
    <t>Alterations including erection of a two storey extension (top floor mansard roof); new shopfront; in connection with the change of use of part of the ground floor and the whole of the first floor from retail (Class A1) to create a 1 x 1-bedroom flat (Class C3).</t>
  </si>
  <si>
    <t>2019/2516</t>
  </si>
  <si>
    <t>Development Site of Alton Estate, Danebury Avenue (Alton Estate)</t>
  </si>
  <si>
    <t>Block K</t>
  </si>
  <si>
    <t>The application is for a part outline and a part detailed planning permission for the following proposed development.
(a) Phased demolition of existing buildings and structures (except Alton Activity Centre community building);
(b) Mixed-use phased development ranging from 1-9 storeys above ground level comprising 1,103 residential units and up to 9,572 sqm (GIA) of non-residential uses comprising new and replacement community facilities (including library and healthcare facilities, youth facilities, community hall, children's nursery &amp; children's centre) (Class D1); flexible commercial floorspace (comprising retail (Class A1), financial and professional services (Class A2), café/restaurants (Class A3), hot-food takeaways (Class A5), business (Class B1), and community uses (Class D1); landscaping; removal and replacement of trees; public realm improvements; access improvements; relocation of bus turnaround area; improvements to children's play facilities; provision of energy centre; car &amp; cycle parking; and other highway works incidental to the development. All matters reserved except for Blocks A, K, M, N, O, Q, Portswood Place Nursery and Community Centre and highway/landscape/public realm improvements
An Environmental Statement has been submitted with the application under the Town and Country Planning (Environmental Impact Assessment) Regulations 2017.</t>
  </si>
  <si>
    <t>8.1.1</t>
  </si>
  <si>
    <t>Block M</t>
  </si>
  <si>
    <t>Block N</t>
  </si>
  <si>
    <t>Block O</t>
  </si>
  <si>
    <t>Block Q</t>
  </si>
  <si>
    <t>Blocks A and Q</t>
  </si>
  <si>
    <t>Blocks D-J</t>
  </si>
  <si>
    <t>Outline Affordable Housing Units (65 Units)</t>
  </si>
  <si>
    <t>2019/2583</t>
  </si>
  <si>
    <t>245a Wimbledon Park Road</t>
  </si>
  <si>
    <t>Determination as to whether prior approval is required for change of use of lower ground floor from Estate agents(Class A2) to 1 x 1-bedroom flat (Class C3).</t>
  </si>
  <si>
    <t>2019/2585</t>
  </si>
  <si>
    <t>Wildcroft Manor, Wildcroft Road</t>
  </si>
  <si>
    <t>Alterations including erection of front and rear dormer roof extensions to all blocks to provide to 6 x 2-bedroom and 3 x 3-bedroom flats; 18 cycle storage spaces .</t>
  </si>
  <si>
    <t>2019/2689</t>
  </si>
  <si>
    <t>76 a &amp; b, 76 Moyser Road</t>
  </si>
  <si>
    <t>Determination as to whether prior approval is required for change of use from business (Class B1) to 2 x 1-bedroom flat (Class C3).</t>
  </si>
  <si>
    <t>2019/2929</t>
  </si>
  <si>
    <t>Land Adjacent, 33 Vandyke Close</t>
  </si>
  <si>
    <t>Erection of two storey 2-bedroom house with first floor level rear terrace, associated cycle and bin storage.</t>
  </si>
  <si>
    <t>2019/3241</t>
  </si>
  <si>
    <t>87 Nightingale Lane</t>
  </si>
  <si>
    <t>Conversion of first and second floors to 2 x 1-bedroom flats.</t>
  </si>
  <si>
    <t>2019/3459</t>
  </si>
  <si>
    <t>Flat First Floor, 36a Putney High Street</t>
  </si>
  <si>
    <t>Alterations in connection with conversion of flat into 2 x 1-bedroom flats. (description incorrect as per email confirmation)</t>
  </si>
  <si>
    <t>2019/3492</t>
  </si>
  <si>
    <t>9-11 Delia Street</t>
  </si>
  <si>
    <t>Alterations including erection of mansard roof extensions to main rear roofs and extension above part of two-storey back additions; including raising the ridges by 230mm  Formation of roof terraces above two-storey back additions with 1.7m high screen surrounds in connection with creation of 2 x 2 bed flats with associated cycle and refuse storage.</t>
  </si>
  <si>
    <t>2019/3563</t>
  </si>
  <si>
    <t>58a Gosberton Road</t>
  </si>
  <si>
    <t>Determination as to whether prior approval is required for change of use from retail (Class A1) to 2 x studio flats (Class C3) with associated external alterations to front and side elevations.</t>
  </si>
  <si>
    <t>2019/3870</t>
  </si>
  <si>
    <t>32 Latchmere Road</t>
  </si>
  <si>
    <t>Alterations including erection of extension to provide an additional floor of accomodation, including formation of rear roof terrace; Rebuilding existing front bay window and insertion of two additional bay windows and formation of two balconies at first and second floor levels; Installation of rear access stair with screening to first and second floors; Erection of first floor rear extension in connection with conversion to 1 x 2-bedroom and 2 x 3-bedroom flats, with associated refuse and cycle storage.</t>
  </si>
  <si>
    <t>2019/4316</t>
  </si>
  <si>
    <t>Alterations including dormer extension to main rear roof and erection of part-single, part-two storey rear/side extension in connection with conversion to 1 x 2-bed and 1 x studio flat.</t>
  </si>
  <si>
    <t>2019/4409</t>
  </si>
  <si>
    <t>99-105 Moyser Road</t>
  </si>
  <si>
    <t>Alterations including erection of roof extension to provide additional floor of accommodation and creation of 3 x 1-bedroom and a studio flats.</t>
  </si>
  <si>
    <t>2019/4666</t>
  </si>
  <si>
    <t>206 Mitcham Road</t>
  </si>
  <si>
    <t>Flats x 8</t>
  </si>
  <si>
    <t>Demolition of the existing building and the erection of a four-storey building (plus basement) to provide 8 No. flats 1 x studio, 3 x 1-bedroom; 2 x 2-bedroom and 2 x 3-bedroom) and the erection of a single-storey building (plus basement) to provide a 1 x 3-bedroom dwellinghhouse in the rear courtyard with associated cycle parking, refuse storage and landscaping.</t>
  </si>
  <si>
    <t>House</t>
  </si>
  <si>
    <t>2019/4846</t>
  </si>
  <si>
    <t>21 Lavender Hill</t>
  </si>
  <si>
    <t>Determination as to whether prior approval is required for change of use from hot food takeaway (Class A5) to residential (Class C3) to provide 2 x 1-bedroom flats with associated external alteration side elevation.</t>
  </si>
  <si>
    <t>2019/4849</t>
  </si>
  <si>
    <t>890 Garratt Lane</t>
  </si>
  <si>
    <t>Change of use part ground floor form Financial and Professional Services (Class A2) to residential (Class C3). Alterations including erection of single-storey side/rear extension in connection with provision of one self-contained 1 bedroom flat. Erection of first floor rear extension. Erection of mansard roof extension to main rear roof (raising the ridge by 200mm) and erection of extension above part of two-storey rear addition with formation of roof terrace including 1.7m high obscured glazing in connection with the conversion of the first floor flat into 2 x 1 bedroom flats.</t>
  </si>
  <si>
    <t>2019/4906</t>
  </si>
  <si>
    <t>36 Graveney Road</t>
  </si>
  <si>
    <t>Alterations in connection with change of use from House in Multiple Occupation (Class C4) to a large House in Multiple Occupation (Sui Generis) for 7 persons.</t>
  </si>
  <si>
    <t>2019/4916</t>
  </si>
  <si>
    <t>Land front of, 1-3 Candahar Road</t>
  </si>
  <si>
    <t>Erection of three-storey three bedroom house with associated bin and cycle storage.</t>
  </si>
  <si>
    <t>2019/5092</t>
  </si>
  <si>
    <t>Belvedere Court, 372-374 Upper Richmond Road</t>
  </si>
  <si>
    <t>Alterations including extension to main roof for the creation of 6 X 2 bedroom, 2 X 1 bedroom and 1 X 3 bedroom flats at 6th and 7th floor level.. Associated landscaping and refuse provision. Formation of additional 9 parking spaces.</t>
  </si>
  <si>
    <t>2019/5259</t>
  </si>
  <si>
    <t>2 Worcester Gardens</t>
  </si>
  <si>
    <t>Alterations including erection of a rear roof extension and extension above part of  back addition; formation of a roof terrace with screen surround; erection first and second floor rear extensions; erection of a ground floor rear/side extension; excavation to enlarge existing basement and formation of front and rear lightwells, in connection with conversion to 1 x 2 bed and 2 x 3 bed self-contained flats.</t>
  </si>
  <si>
    <t>2019/5337</t>
  </si>
  <si>
    <t>Electricity substation, Tilford Gardens</t>
  </si>
  <si>
    <t>Dwelling 1 (2-storey)</t>
  </si>
  <si>
    <t>Alterations including relocation of electricity substation in connection with erection of 1 x two storey 3-bedroom and 1 x three-storey 3-bedroom houses with first floor level terrace, associated parking and refuse/cycle storage.</t>
  </si>
  <si>
    <t>Dwelling 2 (3-storey)</t>
  </si>
  <si>
    <t>2019/5429</t>
  </si>
  <si>
    <t>Land adjoining 37, Gracedale Road</t>
  </si>
  <si>
    <t>Erection of a single-storey 2-bedroom dwelling house with basement.</t>
  </si>
  <si>
    <t>2019/5524</t>
  </si>
  <si>
    <t>20 Routh Road</t>
  </si>
  <si>
    <t>Demolition of existing property; erection of replacement two-storey house with accommodation at roof level.</t>
  </si>
  <si>
    <t>2020/0107</t>
  </si>
  <si>
    <t>14-16 Tooting High Street (Flats 1-9 &amp; 12-15)</t>
  </si>
  <si>
    <t>Alterations including erection of rear roof extension and formation of roof terrace with 1.8m high screen surround in connection with creation of studio flat on third floor.</t>
  </si>
  <si>
    <t>2020/0258</t>
  </si>
  <si>
    <t>48 Disraeli Road</t>
  </si>
  <si>
    <t>Alterations including erection of a mansard roof extension above part of rear two-storey addition, single-storey rear extension and installation of front and rear rooflights to main roof; associated with the conversion to one dwelling from two flats.</t>
  </si>
  <si>
    <t>2020/0301</t>
  </si>
  <si>
    <t>Unit 1, Ivory House, Clove Hitch Quay (Plantation Wharf)</t>
  </si>
  <si>
    <t>Determination as to whether prior approval is required for change of use of office at ground floor level from (Class B1a) to residential (Class C3) to provide 1 x 2-bedroom flat and 2 x 1bedroom flats.</t>
  </si>
  <si>
    <t>2020/0412</t>
  </si>
  <si>
    <t>62 Lavender Hill</t>
  </si>
  <si>
    <t>Alterations including part change of use of exisitng restaurant (Class A3) at ground and lower ground levels to create a one-bedroom flat (Class C3). Erection of dwarf wall and glass pavement lenses to front forecourt. Alteration to shop front entrance</t>
  </si>
  <si>
    <t>2020/0530</t>
  </si>
  <si>
    <t>Coleman Court, Kimber Road</t>
  </si>
  <si>
    <t>Extension</t>
  </si>
  <si>
    <t>Erection of a fourth floor level  roof extension to provide 20 x 1-bedroomed flats; demolition of an existing single-storey courtyard dwelling and the erection of a replacement 3-storey block of 3 x 2 bedroomed flats.  Provision of associated bicycle and bin stores.</t>
  </si>
  <si>
    <t>2020/0599</t>
  </si>
  <si>
    <t>184 Northcote Road</t>
  </si>
  <si>
    <t>Determination as to whether prior approval is required for change of use of rear part of ground and first floors from retail (Class A1) to 1 x 2-bedroom flat (Class C3), with associated external alterations including installation of windows.</t>
  </si>
  <si>
    <t>2020/0679</t>
  </si>
  <si>
    <t>Units 3 to 8 Windward House, Square Rigger Row</t>
  </si>
  <si>
    <t>Determination as to whether prior approval is required for change of use from office (Class B1a) to 3 x 2-bedroom flats and 3 x 1-bedroom flats (Class C3).</t>
  </si>
  <si>
    <t>2020/0680</t>
  </si>
  <si>
    <t>Units 2-8 &amp; 11-14 Port House, Square Rigger Row (Plantation Wharf)</t>
  </si>
  <si>
    <t>Determination as to whether prior approval is required for change of use of office at ground to first floor from (Class B1) to residential (Class C3) to provide 7 x 1-bedroom flats and 4 x 2-bedroom flats.</t>
  </si>
  <si>
    <t>2020/0682</t>
  </si>
  <si>
    <t>1 Leeward House, Square Rigger Row (Plantation Wharf)</t>
  </si>
  <si>
    <t>Determination as to whether prior approval is required for change of use from Office (Class B1) to 1 x 1-bedroom flat (Class C3).</t>
  </si>
  <si>
    <t>2020/0683</t>
  </si>
  <si>
    <t>Unit 2 Windward House, Square Rigger Row (Plantation Wharf)</t>
  </si>
  <si>
    <t>Determination as to whether prior approval is required for change of use from Office (Class B1a) to 1 x 2-bedroom flat (Class C3).</t>
  </si>
  <si>
    <t>2020/0684</t>
  </si>
  <si>
    <t>Units 1, 9 &amp; 10 Port House, Square Rigger Row (Plantation Wharf)</t>
  </si>
  <si>
    <t>Determination as to whether prior approval is required for change of use from office (Class B1a) to 3 x 1-bedroom flats (Class C3).</t>
  </si>
  <si>
    <t>2020/0685</t>
  </si>
  <si>
    <t>Units 2, 3, 4, 5, 6, &amp; 7 Leeward House, Square Rigger Row (Plantation Wharf)</t>
  </si>
  <si>
    <t>Determination as to whether prior approval is required for change of use from office (Class B1) to 6 x 1-bedroom flats (Class C3).</t>
  </si>
  <si>
    <t>2020/0686</t>
  </si>
  <si>
    <t>East &amp; West 1,2,3,4, &amp; 8, Square Rigger Row (Plantation Wharf)</t>
  </si>
  <si>
    <t>Determination as to whether prior approval is required for change of use from office (Class B1a) to 5 x 3-bedroom flats (Class C3).</t>
  </si>
  <si>
    <t>2020/0877</t>
  </si>
  <si>
    <t>6-10 Mitcham Road</t>
  </si>
  <si>
    <t>Extension of the ground floor area for retail use. Extension of existing residential block of four dwellings at front of site to create additional storey (for 1 x 3-bed flat), with alterations to frontage and replacement shopfront. Construction of 4 x 2-bed flats to the rear of the site in a two-storey extension set above the extended ground floor retail unit, with associated roof terraces/balconies, communal courtyard, cycle storage and refuse storage.</t>
  </si>
  <si>
    <t>2020/1076</t>
  </si>
  <si>
    <t>Land rear of 240, 240 Battersea Bridge Road</t>
  </si>
  <si>
    <t>Demolition of single storey garage and erection of a two storey (with basement) 1 x 1 bed house. Re-consultation- updated drawings and reports received.</t>
  </si>
  <si>
    <t>2020/1262</t>
  </si>
  <si>
    <t>Land rear of, 94 Bolingbroke Grove</t>
  </si>
  <si>
    <t>Demolition of existing garage and erection of two-storey (plus basement) 1-bedroom dwellinghouse.</t>
  </si>
  <si>
    <t>2020/1286</t>
  </si>
  <si>
    <t>157 Lower Richmond Road</t>
  </si>
  <si>
    <t>Alterations in connection with conversion of existing mansard roof extension to main rear roof and roof extension above part of two storey back addition into 1 x 1-bedroom flat.</t>
  </si>
  <si>
    <t>2020/1615</t>
  </si>
  <si>
    <t>329-339 &amp; 45-53 Putney Bridge Road &amp; Putney High Street, Putney Bridge Road (The Blades)</t>
  </si>
  <si>
    <t>Levellers Court (ISO)</t>
  </si>
  <si>
    <t>Variation of conditions 2 (In Accordance With Approved Drawings), 9 (External Plant) and 26 (Energy Statement) pursuant to planning permission dated 29/07/2019 ref 2017/1874 (Demolition of existing buildings and redevelopment of the site to provide a mixed use development in buildings ranging in height between 2 and 10 storeys plus basement, to provide 1158 sq.m. of retail use (Class A1), 64 sq.m. of cafe/restaurant use (Class A3), 1519 sq.m. of office use (Class B1), and 146 sq.m. of community floorspace (Class D1) use, together with 123 residential units of private and affordable tenure, comprising 115 flats and 8 mews houses, with 27 associated parking spaces (21 residential and 6 commercial) with access from Putney Bridge Road, cycle parking spaces, associated amenity space including balconies, terraces and first floor publicly accessible courtyard amenity area; landscaping and other associated works.) to allow a revised location for car lift, fire escape stairs and UKPN substations; increase in height to the central public square and first floor level of the main building; reconfiguration of retail units fronting Putney Bridge Road and relocation of residential entrance courtyard stair and public square access; minor adjustment to footprint of main building, and alterations to the location of NE and NW cores; alterations to flat layouts; revision to plan as part of revised energy strategy and associated elevational changes.</t>
  </si>
  <si>
    <t>6.1.3</t>
  </si>
  <si>
    <t>Levellers Court (private)</t>
  </si>
  <si>
    <t>Levellers Mews</t>
  </si>
  <si>
    <t>2020/1910</t>
  </si>
  <si>
    <t>161 Battersea High Street</t>
  </si>
  <si>
    <t>Erection of ground and first floor rear extensions following demolition of existing. Change of use of rear of ground floor from (Class A1) to (Class C3) to form an enlarged 4-bedroom maisonette. Including new communal access to residential flats and bike store along with a new shopfront for the retained A1 unit onto Battersea High Street.</t>
  </si>
  <si>
    <t>2020/1999</t>
  </si>
  <si>
    <t>Alterations including extension to main rear roof to create additional storey of accommodation to provide a 1 x 1-bedroom flat.</t>
  </si>
  <si>
    <t>2020/2038</t>
  </si>
  <si>
    <t>89 Ramsden Road</t>
  </si>
  <si>
    <t>Alterations including erection of dormer roof extension to main rear roof; erection of single-storey rear extension; enlargement of existing basement and formation of side and rear lightwells in connection with conversion of property from 5 x 1-bedroom flats to 1 x studio, 2 x 1-bedroom, 1 x 2-bedroom and 1 x 3-bedroom flats.</t>
  </si>
  <si>
    <t>2020/2048</t>
  </si>
  <si>
    <t>317 Battersea Park Road</t>
  </si>
  <si>
    <t>Alterations including erection of roof extension to create an additional floor of accomodation in connection with creation of 1 x 1-bed flat.</t>
  </si>
  <si>
    <t>2020/0457</t>
  </si>
  <si>
    <t>25-29 Tooting High Street</t>
  </si>
  <si>
    <t>Alterations and erection of extensions to front and side of building at first and second floor levels with the creation of additional third floor level; erection of a rear part four, part five storey extension to provide retail unit (Class A1) on ground floor and 29 residential units (Class C3) above with private balconies and communal roof terrace. Provision of waste and cycle storage and landscaping.</t>
  </si>
  <si>
    <t>2020/2249</t>
  </si>
  <si>
    <t>74 St Rule Street</t>
  </si>
  <si>
    <t>Change of use of ground floor from 2 x Class A1 and 1 x Class A3 units to C3 residential, and internal reconfiguration and fenestration alterations to ground and first floor to create a total of 2 no. additional dwellings.</t>
  </si>
  <si>
    <t>2020/2360</t>
  </si>
  <si>
    <t>69 Webbs Road</t>
  </si>
  <si>
    <t>Determination as to whether prior approval is required for change of use from Ground Floor Shop (Class A1) to 1 x 1-bedroom flat (Class C3) with associated external alterations to front elevation.</t>
  </si>
  <si>
    <t>2020/2945</t>
  </si>
  <si>
    <t>First and Second Floor, 162 Battersea Park Road</t>
  </si>
  <si>
    <t>Alterations including erection of mansard roof extension to main rear roof and erection of infill to first floor extension in connection with the conversion of 1 x 4 bedroom flat into 2 x 1 bedroom flats.</t>
  </si>
  <si>
    <t>2020/2954</t>
  </si>
  <si>
    <t>133 Wandsworth High Street</t>
  </si>
  <si>
    <t>Change of use of ground floor to use class A2 and alterations including erection of roof extension to main rear roof, erection of first storey rear extension and excavation of rear lightwells in connection with the creation of 1 x 1 -bedroom and 1 x 2-bedroom flat</t>
  </si>
  <si>
    <t>2020/3029</t>
  </si>
  <si>
    <t>321 Merton Road</t>
  </si>
  <si>
    <t>Erection of roof extension to provide second floor to front part of building; three-storey rear/side extension; insertion of windows and doors in side elevation in connection with conversion of upper floors into 1x 1 bedroom flat and 1 x studio flats with cycle and refuse stores at ground floor level.(amendments to planning application 2018/3983)</t>
  </si>
  <si>
    <t>2020/3102</t>
  </si>
  <si>
    <t>130 Longley Road</t>
  </si>
  <si>
    <t>Alterations including excavation to create basement including formation of front and rear lightwells will grille over; erection of part single/part two storey rear extension in connection with conversion of property into 2 x 3-bedroom, 1 x 2-bedroom and 1 x studio flats.</t>
  </si>
  <si>
    <t>2020/3111</t>
  </si>
  <si>
    <t>Garages at, 169-183 Elsenham Street</t>
  </si>
  <si>
    <t>Demolition of existing garages and erection of a two-storey (plus accommodation at roof level) 5-bedroom house.</t>
  </si>
  <si>
    <t>2020/3193</t>
  </si>
  <si>
    <t>175 Tooting High Street</t>
  </si>
  <si>
    <t>Alterations including erection of a single storey rear/side extension and change of use of part of the shop (Class A1) into a studio flat (Class C3), with associated refuse and cycle storage to rear.</t>
  </si>
  <si>
    <t>2020/3741</t>
  </si>
  <si>
    <t>253 Franciscan Road</t>
  </si>
  <si>
    <t>Change of use of the ground floor shop from retail (Class E) to a 1-bedroom flat (Class C3) and alterations and replacement of existing flats, alterations including replacement shopfront and windows, erection of front and side boundary wall and associated landscaping and bin and bike storage to front.</t>
  </si>
  <si>
    <t>2020/3876</t>
  </si>
  <si>
    <t>178 Upper Tooting Road</t>
  </si>
  <si>
    <t>Alterations including erection of a three-storey rear extension and mansard roof extension to create an additional floor of accommodation to form three x 1-bedroom flats.</t>
  </si>
  <si>
    <t>2020/4047</t>
  </si>
  <si>
    <t>140a and142a, Putney High Street</t>
  </si>
  <si>
    <t>Alterations including erection of roof extension to provide additional floor of accommodation, erection of part single/part three storey rear extensions in connection with creation of 2 x 2-bedroom and 4 x 1- bedroom flats.</t>
  </si>
  <si>
    <t>2020/4072</t>
  </si>
  <si>
    <t>509 Merton Road</t>
  </si>
  <si>
    <t>Alterations including erection of hip to gable and rear mansard roof extensions including raising ridge by 210mm; erection of roof extension and creation of roof terrace with 1.7m glazed safety surround above two storey back addition; enlargement of window openings on rear elevation and installation of French doors with safety railing; works in connection with creation of 1 x 1-bedroom flat with associated refuse and cycle storage.</t>
  </si>
  <si>
    <t>2020/4074</t>
  </si>
  <si>
    <t>St. Mary-Le-Park Court, 52 Parkgate Road</t>
  </si>
  <si>
    <t>Alterations including enlargement of 7th floor and erection of two-storey roof extension (to create 10-storey building) in connection with creation of 2 x 3-bedroom and 2 x 2-bedroom flats with terraces and associated car parking and cycle storage facilities. Replacement windows and panels and changes to ground floor doors and boundary.</t>
  </si>
  <si>
    <t>2020/4264</t>
  </si>
  <si>
    <t>373 Upper Richmond Road</t>
  </si>
  <si>
    <t>Alterations including erection of dormer extension to main rear roof, Erection of single storey outbuilding for storage and office use. Relocation of external staircase.</t>
  </si>
  <si>
    <t>2020/4390</t>
  </si>
  <si>
    <t>39 Selkirk Road</t>
  </si>
  <si>
    <t>Erection of single storey side/rear extension and installation of single front entrance door in connection with conversion of property from 2 x 2 bedroom flats to single dwelling.</t>
  </si>
  <si>
    <t>2020/4441</t>
  </si>
  <si>
    <t>54c Charlmont Road</t>
  </si>
  <si>
    <t>Alterations including erection of mansard roof extension to main rear roof (with 0.7m ridge raise, French doors and safety railings), alterations to front roof pitch and raising existing gable in connection with the creation of  1 x1 bedroom flat.</t>
  </si>
  <si>
    <t>2020/4574</t>
  </si>
  <si>
    <t>199A Wandsworth High Street</t>
  </si>
  <si>
    <t>Alterations including erection of front and rear mansard roof extension to provide  1 x 1-bedroom flat (Class C3) at second floor level.</t>
  </si>
  <si>
    <t>2020/4875</t>
  </si>
  <si>
    <t>40a Oakmead Road</t>
  </si>
  <si>
    <t>Alterations including erection of a mansard roof extension to main rear roof and extension above part of two-storey back addition; Formation of roof terrace with 1.7m high screen above two-storey back addition; Removal of 2 x chimney stacks; Installation of bi-fold doors to first floor rear roof terrace in connection with creation of 1 x 1-bed flat.</t>
  </si>
  <si>
    <t>2017/1458</t>
  </si>
  <si>
    <t>1-9 Church Row (part of Phase 3 Ram Brewery), Wandsworth Plain (The Ram Quarter)</t>
  </si>
  <si>
    <t>Demolition of existing warehouse buildings and erection of a 2 - 6 storey building comprising 34 x residential (Class C3) units, flexible commercial floorspace (Class A1/A2/A3/A4) and office space (Class B1a) at ground floor; restoration works, alterations and rear extensions to existing 1-9 Church Row Listed Buildings to enable the change of use from office (Class B1) to residential (Class C3) comprising 1 x dwellinghouse and 15 x flats; provision of associated landscaping, refuse storage and cycle parking; and public access to the River Wandle from Wandsworth Plain.
For Listed Building Consent refer to planning application reference number: 2017/1847.</t>
  </si>
  <si>
    <t>2020/5019</t>
  </si>
  <si>
    <t>Mews House, 2A Chelverton Road</t>
  </si>
  <si>
    <t>Demolition of existing workshop and erection of a 3-bedroom single dwelling house.</t>
  </si>
  <si>
    <t>Phase 4 (RS-5)</t>
  </si>
  <si>
    <t>2021/0297</t>
  </si>
  <si>
    <t>122 Upper Richmond Road</t>
  </si>
  <si>
    <t>Alterations including erection of front and rear main roof extension, two-storey rear extension at second and third floor levels with formation of rear balconies in connection with conversion of existing flat into 1 x 2-bedroom and 1 x 1-bedroom flats.</t>
  </si>
  <si>
    <t>2021/0376</t>
  </si>
  <si>
    <t>480 Garratt Lane</t>
  </si>
  <si>
    <t>Alterations including excavation to enlarge basement including formation of front lightwell; erection of replacement single storey extension at rear and erection of single-storey side extension in connection with conversion of lower ground and ground floors into 1 x 2-bedroom and 1 x 1-bedroom flats.</t>
  </si>
  <si>
    <t>2021/0438</t>
  </si>
  <si>
    <t>107 Allfarthing Lane</t>
  </si>
  <si>
    <t>Determination as to whether prior approval is required for change of use from retail (Class A1) to 1 x 1-bedroom flat and 1 studio flat (Class C3).</t>
  </si>
  <si>
    <t>2021/0457</t>
  </si>
  <si>
    <t>Oyster Wharf Inlet, Oyster Wharf, 18 Lombard Road</t>
  </si>
  <si>
    <t>Construction of a floating residential vessel in the dock known as Oyster Wharf inlet.</t>
  </si>
  <si>
    <t>2021/0546</t>
  </si>
  <si>
    <t>47-51 Lavender Hill</t>
  </si>
  <si>
    <t>Erection of a new storey of accommodation to main roof, extensions above back additions, formation of roof terraces above back additions with obscured glazed screen surround, extension and re-configuration of internal staircase, in connection with creation of 2 x 1 bedroom flats and 1 studio flat.</t>
  </si>
  <si>
    <t>2021/0659</t>
  </si>
  <si>
    <t>297-301 Balham High Road (1-9 Belgravia House, 301)</t>
  </si>
  <si>
    <t>Alterations including erection of front and rear roof extensions to main rear roof including raising the ridge, formation of roof terraces to the front and rear in connection with the creation of 2 x two-bedroom flats.</t>
  </si>
  <si>
    <t>2021/0663</t>
  </si>
  <si>
    <t>16 Briar Walk</t>
  </si>
  <si>
    <t>Demolition of existing garage and erection of a 2-bedroom two-storey house with accommodation at basement level including off street parking, cycle and refuse storage.</t>
  </si>
  <si>
    <t>2021/0888</t>
  </si>
  <si>
    <t>Albany House, Portslade Road</t>
  </si>
  <si>
    <t>Outline consent for the demolition of Albany House and erection of a five-storey plus basement building containing business suites (Use Class E(g)) on ground to second floors and a three-bedroom residential unit on third and fourth floors with a private roof terrace and associated cycle parking and refuse storage facilities at ground floor, with all matters reserved except access and scale.</t>
  </si>
  <si>
    <t>PO</t>
  </si>
  <si>
    <t>2021/0928</t>
  </si>
  <si>
    <t>111-113 Wandsworth High Street</t>
  </si>
  <si>
    <t>Alterations including erection of two storey roof extension including front and rear mansard and excavation to create basement in connection with provision of retail at ground floor level with ancillary office and storage floorspace on the basement and first floor levels (Class E), and 4 x 2-bedroom, 1 x 1-bedroom and 1 x studio flats with front and rear roof terraces and associated refuse storage accessed from the rear</t>
  </si>
  <si>
    <t>2021/0951</t>
  </si>
  <si>
    <t>23 Elspeth Road</t>
  </si>
  <si>
    <t>Alterations including erection of single-storey rear/side extension and rear roof extension in connection with of change of use from 5-bedroom House of Multiple Occupation (Class C4) to 7-bedroom House of Multiple Occupation (Sui Generis).</t>
  </si>
  <si>
    <t>j+</t>
  </si>
  <si>
    <t>2021/0952</t>
  </si>
  <si>
    <t>56 Elspeth Road</t>
  </si>
  <si>
    <t>2021/0988</t>
  </si>
  <si>
    <t>Land rear of, 76-77 Stanley Grove (Land adjacent to 76a Stanley Grove)</t>
  </si>
  <si>
    <t>The Orpheus House</t>
  </si>
  <si>
    <t>Erection of two-storey plus roof and basement three bedroom house adjoining no. 76 Stanley Grove and erection of two-storey four bedroom house to the rear of the terrace and associated cycle and refuse storage.</t>
  </si>
  <si>
    <t>The Terraced House</t>
  </si>
  <si>
    <t>2021/1184</t>
  </si>
  <si>
    <t>54 Gilbey Road</t>
  </si>
  <si>
    <t>Alterations including erection of mansard roof extension to main rear roof (with french doors and safety railings) including raising ridge by 300mm and roof extension above two storey back addition, erection of single storey rear and side extension and formation of rear roof terrace with 1.7m glazed safety surround at second floor level in connection with creation of 1 x 3-bedroom, 1 x 2-bedroom and 2 x 1-bedroom flats</t>
  </si>
  <si>
    <t>2021/1224</t>
  </si>
  <si>
    <t>1A-1E Longley Road</t>
  </si>
  <si>
    <t>Demolition of existing buildings and erection of three-storey building comprising 8 x self-contained flats with associated car parking, landscaping, and bin and cycle storage.</t>
  </si>
  <si>
    <t>2021/1236</t>
  </si>
  <si>
    <t>Garages in, Heathwall Street</t>
  </si>
  <si>
    <t>Demolition of existing garages erection of one-storey (plus basement) 2-bedroom house</t>
  </si>
  <si>
    <t>2021/1259</t>
  </si>
  <si>
    <t>128 B Northcote Road</t>
  </si>
  <si>
    <t>Alterations including erection of dormer roof extensions to side and rear of main roof and formation of rear roof terraces at first and third floor level, in connection with the conversion of first and second floor into 1 x1 bedroom and 1 x 2-bedroom flats.</t>
  </si>
  <si>
    <t>2021/1285</t>
  </si>
  <si>
    <t>153 Upper Tooting Road</t>
  </si>
  <si>
    <t>Alterations including erection of roof extension to main rear roof and two-storey rear extension above ground floor extension in connection with conversion of upper floor flat into 2 x 2 bedroom and 1 x studio flats.</t>
  </si>
  <si>
    <t>2021/1324</t>
  </si>
  <si>
    <t>35 Garratt Terrace</t>
  </si>
  <si>
    <t>Erection of a mansard roof extension to rear roof slope and raising ridge 300mm. Erection of an extension above three-storey rear addition with French doors and safety railings. Erection of a single-storey rear/side extension at ground floor level. Alterations to include front fenestration and conversion of property into 4 self contained units ( 1 x 3-bedroom, 1 x 2-bedroom, 2 x 1-bedroom) with associated refuse and cycle storage</t>
  </si>
  <si>
    <t>2021/1497</t>
  </si>
  <si>
    <t>67 Putney Hill</t>
  </si>
  <si>
    <t>Conversion of existing ground floorspace to provide a 1 X 1 bedroom flat including the relocation of waste storage for whole building.</t>
  </si>
  <si>
    <t>2021/1858</t>
  </si>
  <si>
    <t>172-174 Upper Richmond Road</t>
  </si>
  <si>
    <t>Alterations including erection of first floor rear extension; extension to form three additional floors of accommodation at second, third and fourth floor levels; formation of front roof terrace at fourth floor level; formation of balconies at rear first, second and third floor levels; alterations to ground floor frontage. Works in connection with provision of 8 flats (7 x 2-bedroom and 1 x 1-bedroom) on the upper floors of the extended building, with ground and basement floors retained in commercial use, with associated cycle parking and refuse storage facilities.</t>
  </si>
  <si>
    <t>2021/1938</t>
  </si>
  <si>
    <t>34 Putney Hill</t>
  </si>
  <si>
    <t>Alterations including erection of a two storey (including basement) rear extension; Erection of a single storey outbuilding to rear garden; Alterations to front entrance stair; Alterations to side boundary wall, installation of a metal side access gate and removal of roller shutter door, in connection with conversion to 2 x 3-bed, 3 x 2-bed and 1 x 1- bed flats, with associated refuse and cycle storage.</t>
  </si>
  <si>
    <t>2021/1975</t>
  </si>
  <si>
    <t>888 Garratt Lane</t>
  </si>
  <si>
    <t>Alterations erection of mansard roof extension to main rear roof and above existing two storey back addition, erection of part single, part two-storey side/rear extension and installation of first floor rear French doors and safety railings in connection with conversion of the property into 1 x 2 bedroom, 1 x 1-bedroom and 1 x studio flats.</t>
  </si>
  <si>
    <t>2021/2079</t>
  </si>
  <si>
    <t>St Augustine Vicarage, 99 Broadwater Road</t>
  </si>
  <si>
    <t>Alterations in connection with change of use from residential dwelling (Class C3) to house of multiple occupation (Sui Generis).</t>
  </si>
  <si>
    <t>2021/2182</t>
  </si>
  <si>
    <t>493 Garratt Lane</t>
  </si>
  <si>
    <t>Alterations including change of use from residential (Class C3) to 4- bedroom HMO (Class C4)</t>
  </si>
  <si>
    <t>2021/2183</t>
  </si>
  <si>
    <t>1 Wadham Road</t>
  </si>
  <si>
    <t>Alterations including erection of roof extension to provide an additional
floor of accommodation and side dormer (with French doors and safety
railings) and formation of roof terrace above three-storey addition in
connection change of use from retail (class A1) to residential (Class
C3) 3 x1 bedroom flats</t>
  </si>
  <si>
    <t>2021/2207</t>
  </si>
  <si>
    <t>296 Earlsfield Road</t>
  </si>
  <si>
    <t>Determination as to whether prior approval is required for change of 
use from retail (Class A1) to 1 x 1-bedroom flat (Class C3).</t>
  </si>
  <si>
    <t>2021/2255</t>
  </si>
  <si>
    <t>64 Tooting High Street</t>
  </si>
  <si>
    <t>Alterations including erection of an extension to provide an additional floor of accommodation, including a front roof terrace, and French doors with safety railing to rear; Erection of first and second floor rear extensions; Formation of rear roof terraces with 1.7m high screen surround at first and second floors; Change of use of part of ground floor commercial unit (Class E) to residential (Class C3) in connection with conversion into 1 x studio, 1 x 1-bedroom and 2 x 2-bedroom flats, with associated cycle and refuse storage</t>
  </si>
  <si>
    <t>2021/2260</t>
  </si>
  <si>
    <t>Demolition of existing double garages and erection of a two storey plus basement two-bedroom dwelling house (Class C3).</t>
  </si>
  <si>
    <t>2021/2263</t>
  </si>
  <si>
    <t>12 Oberstein Road</t>
  </si>
  <si>
    <t>Alterations including erection of front and rear mansard roof extension to main roof including front, rear and side dormers; formation of roof terrace at rear second floor level with 1.7m high screen surround; excavation to enlarge basement including formation of rear lightwell; in connection with the creation of 1 x 1- bedroom flat</t>
  </si>
  <si>
    <t>2021/2393</t>
  </si>
  <si>
    <t>8a Replingham Road</t>
  </si>
  <si>
    <t>Determination as to whether prior approval is required for change of use from office (Class B1) to 1 x 3 -bedroom house (Class C3).</t>
  </si>
  <si>
    <t>2021/2447</t>
  </si>
  <si>
    <t>Alterations including erection of roof extension and formation of roof terrace with 1.7m glazed safety screen surround above two storey back addition and erection of single storey rear extension in connection with conversion to 1 x 3-bedroom and 1 x 2-bedroom flats.</t>
  </si>
  <si>
    <t>2021/2720</t>
  </si>
  <si>
    <t>1A Dinsmore Road</t>
  </si>
  <si>
    <t>Alterations in connection with conversion of shop (Class E) to residential (Class C3) and amalgamation with first floor flat to provide 1 x 2-bedroom house. Alteration to ground floor frontage.</t>
  </si>
  <si>
    <t>2021/3174</t>
  </si>
  <si>
    <t>99 Lucien Road</t>
  </si>
  <si>
    <t>Alterations including erection of mansard roof extension to main rear roof (with French doors and safety railings) and extension above part of two-storey back addition; formation of roof terrace above two-storey back addition with 1.7m high screen surround to create 1x 1-bedroom flat</t>
  </si>
  <si>
    <t>2021/3248</t>
  </si>
  <si>
    <t>Ground Floor, 63 Broomwood Road</t>
  </si>
  <si>
    <t>Alterations including erection of replacement single-storey rear/side extensions, in connection with a change of use of the rear part of the ground floor from retail and  ancillary storage use (Class E) to a 1-bedroom residential flat (Class C3).</t>
  </si>
  <si>
    <t>2021/3311</t>
  </si>
  <si>
    <t>66 West Hill</t>
  </si>
  <si>
    <t>Determination as to whether prior approval is required for change of
use of front part of shop from retail (Class A1) to residential (Class 
C3)</t>
  </si>
  <si>
    <t>2021/3394</t>
  </si>
  <si>
    <t>76A Pendle Road</t>
  </si>
  <si>
    <t>Alterations including changes to windows and doors in connection with conversion of existing workshop (Class SG) to 1 x 1 bedroom dwellinghouse (Class C3) with associated landscaping, cycle and refuse storage.</t>
  </si>
  <si>
    <t>2021/3519</t>
  </si>
  <si>
    <t>16 Lucien Road</t>
  </si>
  <si>
    <t>Alterations including erection of extension to main rear roof and extension above part of two-storey back addition; formation of roof terrace at second floor level with 1.7m high screen surround. Erection of single-storey rear and side extension in connection with the creation of an additional 1 x 1-bedroom/studio flat, with associated bin and bike storage at the front.</t>
  </si>
  <si>
    <t>2021/3601</t>
  </si>
  <si>
    <t>Riverside Business Centre and Former Bingo Hall, Bendon Valley</t>
  </si>
  <si>
    <t>Courtyard Building B</t>
  </si>
  <si>
    <t>Variation of conditions 3 (in accordance with approved drawings), 42 (flood risk assessment) and 54 (fire statement) pursuant to planning permission dated 23/12/2020 ref 2018/4176 (Demolition of existing buildings and erection of 5 buildings ranging from ground plus 4 (with double height ground floor) to ground plus 8 storeys with basement to provide 21,403sqm flexible light industrial, storage and distribution floorspace (Class B1, B1c and B8), 678sqm flexible non-residential institutions and assembly and leisure space use (Class D1/D2), 402 residential units (Class C3), two new streets linking Haldane Place and Bendon Valley, car and cycle parking and associated public realm enhancements comprising detailed landscaping, communal amenity space and a new Wandle Riverside Walk), to allow an additional 31 units (total 433), amendments to the Courtyard Building, amendments to the Riverside Building, community space, basement, landscaping and public realm and the Riverside Factory and inclusion of Flood Risk Assessment and Fire Statement. (AMENDED UNIT NUMBER)</t>
  </si>
  <si>
    <t>Courtyard Building C</t>
  </si>
  <si>
    <t>Courtyard Building D</t>
  </si>
  <si>
    <t>Courtyard Building E</t>
  </si>
  <si>
    <t>Courtyard Building F</t>
  </si>
  <si>
    <t>Riverside Building G</t>
  </si>
  <si>
    <t>Riverside Building H</t>
  </si>
  <si>
    <t>Riverside Building I</t>
  </si>
  <si>
    <t>2021/3860</t>
  </si>
  <si>
    <t>Unit C, Molasses House, Clove Hitch Quay (Plantation Wharf)</t>
  </si>
  <si>
    <t>Determination as to whether prior approval required for change of use from Commercial use (Class E) to residential (Class C3) to provide 4 x 1-bedroom flats.</t>
  </si>
  <si>
    <t>2021/4001</t>
  </si>
  <si>
    <t>54A Renmuir Street</t>
  </si>
  <si>
    <t>Alterations including erection of mansard roof extension to main rear roof slope with French doors and juliette balcony and extension above part of two-storey rear addidtion. Formation of a roof terrace with obscure glazed screen. In connection with the creation of an additional 1x1 bedroom unit.</t>
  </si>
  <si>
    <t>2021/4064</t>
  </si>
  <si>
    <t>Land rear of 958 Garratt Lane, 28 Garratt Terrace</t>
  </si>
  <si>
    <t>Erection of a two-storey house fronting Garratt Terrace with singlestorey rear projection, basement, habitable roof space, first floor balcony and associated refuse and cycle storage to comprise 1x3- bedroom and 1x1-bedroom flats.</t>
  </si>
  <si>
    <t>2021/4115</t>
  </si>
  <si>
    <t>138 Battersea Park Road</t>
  </si>
  <si>
    <t>Alterations including erection of mansard roof extension to main rear roof in connection with the conversion of upper floor flat to 2x1 bedroom flats.</t>
  </si>
  <si>
    <t>2021/4211</t>
  </si>
  <si>
    <t>63 Roehampton Lane</t>
  </si>
  <si>
    <t>Demolition of existing dwelling and erection of a two-storey (plus accommodation at roof level) 5-bedroom house.</t>
  </si>
  <si>
    <t>2021/4318</t>
  </si>
  <si>
    <t>24 Yukon Road</t>
  </si>
  <si>
    <t>Alterations including erection of mansard roof extension to main rear roof and extension above part of two-storey back addition; formation of roof terrace above two-storey back addition with 1.7m high screen surround in connection with the conversion into 1 bedroom flat with associated cycle and refuse storage.</t>
  </si>
  <si>
    <t>2021/4482</t>
  </si>
  <si>
    <t>217 Garratt Lane</t>
  </si>
  <si>
    <t>Determination as to whether prior approval is required for change of use from retail (Class E) to residential (Class C3) to provide 1 x 1- bedroom flat.</t>
  </si>
  <si>
    <t>2021/4549</t>
  </si>
  <si>
    <t>Atlantic House, 51-57 Upper Richmond Road</t>
  </si>
  <si>
    <t>2-storey 2-bed</t>
  </si>
  <si>
    <t>Demolition of existing two storey warehouse and erection of 1 x 3-bedroom two storey (plus basement), 3 x 4-bedroom three-storey (plus basement) and 2 x 2 bedroom two-storey (plus basement) houses.</t>
  </si>
  <si>
    <t>2-storey 3-bed</t>
  </si>
  <si>
    <t>3-storey 4-bed</t>
  </si>
  <si>
    <t>2021/4678</t>
  </si>
  <si>
    <t>Phase 6C</t>
  </si>
  <si>
    <t>Reserved matters relating to landscaping, scale and appearance in respect of the part demolition, conversion, restoration and repair of part of the Main Building (Grade II listed) to provide 80 residential units with landscaping and associated works (forming part of Phase 6C of the Springfield Masterplan development) pursuant to condition 1 of outline planning permission ref. 2010/3703 dated 20/06/2012 (for the erection of 25,000 sq.m. of replacement mental health facilities (Class C2/C2a); 839 residential dwellings; 9,200 sq.m. elderly persons' care home; 240 sq.m. of retail floorspace (Class A1); a school (Class D1); 3,500 sq.m. of mixed non-residential floorspace (Class A1, A2, A3, A4, B1, D1 or D2); landscaped public park; a combined cooling, heat and power energy centre, associated landscaping, parking, roads, access, infrastructure and other associated works), as varied under application ref. 2014/6585, dated 04/06/15, application ref. 2016/4760 dated 24/04/2018 and application ref. 2019/2495 dated 28/02/2020, and including statement of design code compliance, landscaping details and surface and foul water drainage pursuant to conditions 7, 10 and 30.</t>
  </si>
  <si>
    <t>2021/4684</t>
  </si>
  <si>
    <t>25 Keswick Road</t>
  </si>
  <si>
    <t>Alterations including erection of a rear extension at lower ground floor level in connection with creation of 1 x 1-bed flat.</t>
  </si>
  <si>
    <t>2021/4728</t>
  </si>
  <si>
    <t>Garages rear of 144, West Hill (Garages west of 48 &amp; 50 Lytton Grove)</t>
  </si>
  <si>
    <t>Demolition of existing garages and erection of single-storey (plus basement and roof level accommodation) 3-bedroom house. (Amendments to planning permission dated 24/08/20 ref. 2020/1240 to include a basement with lightwell and additional bedroom).</t>
  </si>
  <si>
    <t>2021/4902</t>
  </si>
  <si>
    <t>Rear of 950-952, Garratt Lane</t>
  </si>
  <si>
    <t>Demolition of existing single storey garage and Erection of two-storey detached building (plus basement and roof levels) to provide 2 x 3 bedroom and 2 x 1 bed flats with first floor rear 'built in terraces' and secure bicycle and refuse storage at front.</t>
  </si>
  <si>
    <t>2021/5111</t>
  </si>
  <si>
    <t>Basement and Ground Floors, 200 Battersea Park Road</t>
  </si>
  <si>
    <t>Alterations including installation of rear window and door in connection with change of use from retail (Class E) to 1 x 1-bedroom flat (Class C3).</t>
  </si>
  <si>
    <t>2021/5276</t>
  </si>
  <si>
    <t>54 West Hill</t>
  </si>
  <si>
    <t>Alterations including erection of single storey rear extension in connection with conversion of ground floor rear into 1 x 1-bedroom flat.</t>
  </si>
  <si>
    <t>2021/5292</t>
  </si>
  <si>
    <t>The Lodge, 120 Bolingbroke Grove</t>
  </si>
  <si>
    <t>Demolition of existing dwellinghouse and erection of two storey (plus basement and roof level accommodation) 4-bedroom dwellinghouse.</t>
  </si>
  <si>
    <t>2021/5328</t>
  </si>
  <si>
    <t>Garages at, 143 Byrne Road</t>
  </si>
  <si>
    <t>House 1</t>
  </si>
  <si>
    <t>[REVISED] Demolition of existing single-storey garage and the erection of a 1 x 3-bedroom two-storey house and 2 x 2-bedroom single-storey properties to rear.</t>
  </si>
  <si>
    <t>House 2</t>
  </si>
  <si>
    <t>House 3</t>
  </si>
  <si>
    <t>2021/5404</t>
  </si>
  <si>
    <t>The Garden Cottage, Heath Rise</t>
  </si>
  <si>
    <t>Demolition of existing house and garages and erection of a two-storey 5-bedroom detached house.</t>
  </si>
  <si>
    <t>2021/5516</t>
  </si>
  <si>
    <t>Garages adjoining Salter House, Ullathorne Road</t>
  </si>
  <si>
    <t>Demolition of existing garages and erection of 4 x three storey houses.</t>
  </si>
  <si>
    <t>2021/5704</t>
  </si>
  <si>
    <t>34 Roehampton Gate</t>
  </si>
  <si>
    <t>Demolition of existing dwelling and erection of a two-storey house with additional accommodation within the roofspace and at basement level including front and rear lightwells.</t>
  </si>
  <si>
    <t>2021/5718</t>
  </si>
  <si>
    <t>98 Tooting High Street</t>
  </si>
  <si>
    <t>Alterations to include the erection of a part single, part two-storey rear extension to provide a 1 x2-bedroom flat.</t>
  </si>
  <si>
    <t>2022/5303</t>
  </si>
  <si>
    <t>Randall Close Day Centre and car park, 2 Randall Close (Surrey Lane Estate)</t>
  </si>
  <si>
    <t>BLOCK B - HYDE LANE</t>
  </si>
  <si>
    <t>Variation of conditions 36 (Flood risk) and 41 (provision of 106 affordable and market units) pursuant to planning permission dated 07/05/2021 ref 2020/0635 (as varied by Non-Material Amendments (NMA) dated 13/01/2022 ref.2021/5680, NMA dated 21/10/2022 ref.2022/4169, NMA dated 25/01/2023 ref.2022/3868 and NMA dated 25/01/2023 ref.2022/4493) (Demolition of existing buildings and redevelopment of site to include erection of three buildings between four and six storeys (fronting Battersea Bridge Road and Randall Close) to provide 106 affordable residential units with associated public open space, landscaping, car and cycle parking, refuse storage, plant and amenity space.) to allow submission of updated flood risk assessment and provision of no more than 106 affordable residential units</t>
  </si>
  <si>
    <t>BLOCK A2 - RANDALL CLOSE</t>
  </si>
  <si>
    <t>BLOCK A1 - RANDALL CLOSE</t>
  </si>
  <si>
    <t>BLOCK C - BATTERSEA BRIDGE ROAD</t>
  </si>
  <si>
    <t>2022/0151</t>
  </si>
  <si>
    <t>213 Upper Richmond Road</t>
  </si>
  <si>
    <t>Alterations to separate the first and ground floor to create studio consisting of part of the ground floor and the full first floor.</t>
  </si>
  <si>
    <t>2022/0249</t>
  </si>
  <si>
    <t>Former Prices Candles Factory, 110 York Road</t>
  </si>
  <si>
    <t>building 4 - affordable</t>
  </si>
  <si>
    <t>Variation to Conditions 2 (Approved drawings), Condition 3 (Land use restriction), Condition 5 (Opening hours), Condition 6 (Amplified speech/sound), Condition 10 (Flood Risk Assessment), Condition 23 (BREEAM Assessment), Condition 28 (Number of residential units), Condition 29 (Land Uses), Condition 30 (Car and cycle parking), Condition 31 (Phasing Plans) pursuant to planning permission dated 05/12/2019 ref 2017/0745 as amended [Erection of a 25 storey building comprising residential accommodation (with balconies) and ground floor commercial floorspace. Demolition of car showroom on Bridges Court and erection of a five storey building to provide ground floor commercial and office floorspace on first to fourth floors. Excavation to create basements comprising car and cycle parking spaces, plant, refuse/recycling stores and other ancillary spaces serving the development. Alterations and erection of two additional storeys (and 2nd/3rd floor links) and roof terrace to retained York Road buildings with commercial and office use. Provision of a terrace of six single storey flexible commercial/service/Drinking establishment units. Provision of amenity space, public realm, landscaping, play space, car parking, and paving to Bridges Court] to allow: Changes to internal residential unit mix to allow for an increase from 136 units up to 177 units, alterations to the layout of the top three floors to increase roof terrace size, reduction in size of the approved basement, reduction in approved number of car parking spaces, increase in the number of cycle parking spaces, alterations to commercial offering and the inclusion of Air Source Heat Pumps system.</t>
  </si>
  <si>
    <t>10.2</t>
  </si>
  <si>
    <t>building 4 - market</t>
  </si>
  <si>
    <t>2022/0455</t>
  </si>
  <si>
    <t>170-172 Mitcham Road</t>
  </si>
  <si>
    <t>Alterations including change of use of rear ground floor from commercial (Class E) to residential (Class C3) at both properties. Erection of part single, part two, part three-storey side/rear extension at both properties and formation of second floor rear roof terraces. Provision of 2x 1-bedroom flats at ground level and conversion of existing 2x flats on 1st and 2nd floor into 3x 2-bedroom and 1x 1-bedroom studio flats. Erection of a dormer extension to main rear roof slopes with French windows and safety balustrade at both properties to create 1x 1-bedroom flat.</t>
  </si>
  <si>
    <t>2022/0480</t>
  </si>
  <si>
    <t>423 Upper Richmond Road</t>
  </si>
  <si>
    <t>Use as a single dwelling house (Class C3) including alteratuions to fenestration.</t>
  </si>
  <si>
    <t>2022/0494</t>
  </si>
  <si>
    <t>421 Upper Richmond Road</t>
  </si>
  <si>
    <t>Use of property as a single dwelling (Class C3).</t>
  </si>
  <si>
    <t>2022/0600</t>
  </si>
  <si>
    <t>214 Upper Richmond Road</t>
  </si>
  <si>
    <t>Alterations including associated external alterations to the rear of the building to install new fenestration on the first to fourth floors, the provision cycle and waste storage facilities and installation of 30 PV panels on the roof in connection with change of use from hotel (Class C1) to residential (Class C3) to provide 9 x 1-bed and 6 x 2-bed flats.</t>
  </si>
  <si>
    <t>2022/0643</t>
  </si>
  <si>
    <t>Basement and Ground Floor, 176 Battersea Park Road</t>
  </si>
  <si>
    <t>Alterations including erection of single-storey rear extension and excavations to enlarge existing basement to facilitate the formation of 1 x 2-bedroom flat with cycle and refuse storage. Part change of use of retail unit (Class E)  to residenrtial (Class C3).</t>
  </si>
  <si>
    <t>2022/0664</t>
  </si>
  <si>
    <t>1081 Garratt Lane</t>
  </si>
  <si>
    <t>Alterations to include, installation of a replacement window to front elevation and  change of use of rear part of ground floor from  (Class Sui Generis) into a 1 x 1 bedroom flat. (Class C3)</t>
  </si>
  <si>
    <t>2022/0729</t>
  </si>
  <si>
    <t>24 Ringford Road</t>
  </si>
  <si>
    <t>Alterations including erection of roof extension and single storey side extension to garage in connection with use as 1 x 1-bedroom dwelling house with front roof terrace and access from Sedleigh Road.</t>
  </si>
  <si>
    <t>Gdn</t>
  </si>
  <si>
    <t>2022/0749</t>
  </si>
  <si>
    <t>37 Garratt Terrace</t>
  </si>
  <si>
    <t>Alterations including erection of a mansard roof extension to main rear roof (with French doors and safety railings) including raising ridge by 300mm and extension above the two storey back addition; Erection of single storey rear/side extension; Formation of second floor rear roof terrace with 1.7m screen surround;, in connection with creation of 1 x 3-bedroom, 1 x 2-bedroom and 1 x 1-bedroom and 1 x studio flats, with associated refuse storage to front garden and associate internal cycle storage.</t>
  </si>
  <si>
    <t>2022/0854</t>
  </si>
  <si>
    <t>211 Garratt Lane</t>
  </si>
  <si>
    <t>Erection of a mansard roof extension to main rear roof slope and extension above part of two-storey rear addition with the formation of a roof terrace with glazed 1.7m screen surround in connection with the conversion of the upper floors into 2 x 1-bedroom flats and one studio flat.</t>
  </si>
  <si>
    <t>2022/0920</t>
  </si>
  <si>
    <t>Chivelston, 78 Wimbledon Park Side</t>
  </si>
  <si>
    <t>Alterations including the erection of an additional floor of accommodation containing 6 flats (2 x 3-bedroom and 4 x 2-bedroom).</t>
  </si>
  <si>
    <t>2022/1088</t>
  </si>
  <si>
    <t>67-85 Aslett Street</t>
  </si>
  <si>
    <t>Erection of front and rear roof extensions with terrace to rear to 67 - 85 Aslett Street, in connection with the creation of 7 additional 2-bedroom units. Other alterations to include relocation of existing rear windows at first floor level; installation of new entrance door and timber pedestrian gate at ground floor level and replacement of existing metal gates to electronic gates to match existing) and amendment to the rear obscure glass balustrade from 1.1m to 1.7 m in height (same description as application ref: 2016/1393 and application ref: 2019/2479).</t>
  </si>
  <si>
    <t>2022/1091</t>
  </si>
  <si>
    <t>10 to 12 Balham Hill</t>
  </si>
  <si>
    <t>Alterations including addition of front windows and screening to roof and change of use of part 3rd and part 4th storey of building from equipment rooms to 1-bedroom flat with roof terrace.</t>
  </si>
  <si>
    <t>2022/1177</t>
  </si>
  <si>
    <t>27 Wakehurst Road</t>
  </si>
  <si>
    <t>Part demolition of existing dwelling and erection of replacement two-storey (plus roof and basement) 4-bedroom dwelling house.</t>
  </si>
  <si>
    <t>2022/1190</t>
  </si>
  <si>
    <t>31 Bellevue Road</t>
  </si>
  <si>
    <t>Change of use of first floor from Artist Studio (Class E) to residential (Class C3). Erection of one additional storey of accommodation above first floor, formation of first and second floors lightwells and roof terraces with screening in connection with provision of 1 x 1 bedroom and 1 x 2-bedroom flats.</t>
  </si>
  <si>
    <t>2022/1322</t>
  </si>
  <si>
    <t>131 Penwith Road</t>
  </si>
  <si>
    <t>Demolition of the existing building and the erection of a replacement two-storey (plus roof) building, to create 3 self contained flats (2 x 1-bedroom and 1 x 2-bedroom) with formation of rear terraces at first and second floor levels with glass balustrade.</t>
  </si>
  <si>
    <t>2022/1330</t>
  </si>
  <si>
    <t>164 St Johns Hill</t>
  </si>
  <si>
    <t>Alterations including erection of a three storey side extension and excavation to create basement including formation of front and rear lightwells in connection with the change of use from office (Class E) to 3 x 2 bedroom and 5 x 1 bedroom flats.(Class C3) with associated refuse and cycle storage.
To form eight flats. Three duplex apartments (1x 2-bed and 2 x 1-bed) are accommodated within the ground floor and the extended basement. Two further flats are accommodated upon each of the first and second floors (2 x 2-bed and 2 x 1-bed), with a further flat (a 1-bed unit) on the top floor. The proposal includes a basement extension (with lightwells) and a two-storey side extension (replacing an existing external staircase). A number of windows are changed on the rear elevation, chimneys are removed from the roof and conservation roof lights are added to the rear and side roof slopes.</t>
  </si>
  <si>
    <t>2022/1358</t>
  </si>
  <si>
    <t>31 Veronica Road</t>
  </si>
  <si>
    <t>Alterations including erection of two-storey side extension with habitable roofspace; Erection of single-storey rear extension; Excavation of basement with formation of front lightwell; Alterations to garage to create bike store; Addition of bin stores to front; Replacement roof tiles and windows; Addition of railings to front and side boundaries and associated landscaping in connection with the conversion of property from single dwelling into 7 self-contained flats (3 x 3 bedroom flats, 2 X 2 bedroom flats and 2 X 1 bedroom flats).</t>
  </si>
  <si>
    <t>2022/1385</t>
  </si>
  <si>
    <t>Alterations including erection of single storey rear extension in connection with creation of 2-bedroom flat to basement and ground floor rear of no 32 and change of use from commercial studio (Class E) to residential (Class C3) to provide access, bin and cycle storage at rear of no 31 Bellevue Road.</t>
  </si>
  <si>
    <t>2022/1396</t>
  </si>
  <si>
    <t>14 Alternburg Gardens</t>
  </si>
  <si>
    <t>Alterations including erection of mansard roof extension (with French doors and safety railings); Erection of single-storey rear/side extension; Front side boundary fence; Excavation to create basment including formation of front and rear lightwells in connection with conversion of 2 flats into single dwelling house.</t>
  </si>
  <si>
    <t>2022/1440</t>
  </si>
  <si>
    <t>Post Office, 355 Upper Richmond Road</t>
  </si>
  <si>
    <t>Alterations including erection of rear dormer, single storey rear extensions and formation of rear first floor level roof terrace with screen surround in connection with use of rear ground floor and upper floors as 1 x 3-bedroom flat with rear access.</t>
  </si>
  <si>
    <t>2022/1603</t>
  </si>
  <si>
    <t>39 Southolm Street</t>
  </si>
  <si>
    <t>Alterations including erection of a three-storey side/rear extension, roof terrace at third floor level and dormer extension to main rear roof in connection with the change of use from single dwellinghouse (Class C3) into a six bedroom HMO (Sui Generis).</t>
  </si>
  <si>
    <t>2022/1644</t>
  </si>
  <si>
    <t>51 Dryburgh Road</t>
  </si>
  <si>
    <t>Demolition of existing building and erection of a 2-storey (plus loft and basement) house including rear first floor level terrace, front second floor level balcony and front lightwell; with associated cycle and refuse storage.</t>
  </si>
  <si>
    <t>2022/1741</t>
  </si>
  <si>
    <t>56 Lavender Hill</t>
  </si>
  <si>
    <t>Alterations including two-storey rear extension and change of use to part of the existing commercial unit (class E) to provide a two-bedroom dwelling (Class C3) with associated amenity space.</t>
  </si>
  <si>
    <t>2022/1763</t>
  </si>
  <si>
    <t>346 Upper Richmond Road</t>
  </si>
  <si>
    <t>Alterations including change of use from HMO (9 bedsits) (Sui Generis)  into single dwelling.(Class C3).</t>
  </si>
  <si>
    <t>2022/1764</t>
  </si>
  <si>
    <t>Land adjacent to, 28 Kingsclere Close</t>
  </si>
  <si>
    <t>House 1, 3-storey</t>
  </si>
  <si>
    <t>Erection of 3 x houses.</t>
  </si>
  <si>
    <t>PIPD</t>
  </si>
  <si>
    <t>House 2, 2-storey</t>
  </si>
  <si>
    <t>House 3, 2-storey</t>
  </si>
  <si>
    <t>2022/1883</t>
  </si>
  <si>
    <t>Garages between 77 &amp; 85, Ravenslea Road</t>
  </si>
  <si>
    <t>Erection of a three storey block comprising 5 apartments (2 x 2-bedroom, 2 x 1 -bedroom and 1 x 3-bedroom)  associated amenity space including balconies and gardens with cycle store and relocation of entrance to existing allotments at rear.</t>
  </si>
  <si>
    <t>2022/1963</t>
  </si>
  <si>
    <t>Upper Floors, 34 Wandsworth Common West Side</t>
  </si>
  <si>
    <t>Alterations including erection of mansard roof extension to main rear roof and extension above part of three-storey back addition; formation of roof terrace above remainder of back addition with 1.7m high screening. Works in connection with conversion of upper floor flat into 1 x 3-bedroom and 2 x 1-bedroom flats.</t>
  </si>
  <si>
    <t>2022/2017</t>
  </si>
  <si>
    <t>30A Louisville Road</t>
  </si>
  <si>
    <t>Alterations including front rooflights erection of a extensions to main rear roof and above two-storey back addition with formation of a roof terrace to form a new 1 x studio flat.</t>
  </si>
  <si>
    <t>2022/2098</t>
  </si>
  <si>
    <t>50-53 Denton Street</t>
  </si>
  <si>
    <t>Erection of mansard roof extension to main rear roof and extension above part of two-storey back addition and formation of roof terrace with 1.8m high screen surround in connection with creation of 1 x 2-bedroom flat. Alterations including raising the ridge by 400mm.</t>
  </si>
  <si>
    <t>2022/2164</t>
  </si>
  <si>
    <t>Land and Building to the South of, 164C Mitcham Road (The Old Bakery)</t>
  </si>
  <si>
    <t>Determination as to whether prior approval is required for change of use  from office (Class E) to residential (Class C3) to provide 1 x 1-bedroom house.</t>
  </si>
  <si>
    <t>2022/2207</t>
  </si>
  <si>
    <t>360 Old York Road</t>
  </si>
  <si>
    <t>Part demolition and the erection of a part single-storey, part two-storey extension to provide 2 x 1-bedroom flats with associated private amenity space</t>
  </si>
  <si>
    <t>2022/2245</t>
  </si>
  <si>
    <t>60 Hazlewell Road</t>
  </si>
  <si>
    <t>Conversion from 5x1-bed flats to a single-dwelling house with reinstatement of front entrance door and fanlight.</t>
  </si>
  <si>
    <t>2022/2370</t>
  </si>
  <si>
    <t>1 Furzedown Drive</t>
  </si>
  <si>
    <t>Demolition of the existing single-storey garage and construction of a single-storey dwellinghouse.</t>
  </si>
  <si>
    <t>2022/2521</t>
  </si>
  <si>
    <t>Ground and First Floor Flats, 56 Luttrell Avenue</t>
  </si>
  <si>
    <t>Erection of a replacement single-storey rear/side extension in connection with use of ground and first floor flats as a single dwelling.</t>
  </si>
  <si>
    <t>2022/2608</t>
  </si>
  <si>
    <t>Rear of 667-669, 667-669 Garratt Lane</t>
  </si>
  <si>
    <t>Erection of a two-storey rear extension to provide 1 x 1-bedroom flat and 1 x studio flat.</t>
  </si>
  <si>
    <t>2022/2668</t>
  </si>
  <si>
    <t>25 Coverton Road</t>
  </si>
  <si>
    <t>Extn/Conv</t>
  </si>
  <si>
    <t>Alterations including erection of mansard roof extension to the main rear roof (with French doors and safety railings) including raising ridge by 300mm and erection of roof extension above two storey back addition, erection of single-story rear/side extension, lowering of front first floor windows and replacement to front, rear and side windows, formation of rear roof terrace with 1.7m glazed screen surround over two storey back addition in connection with conversion of two flats to four flats; 1 x 3-bedroom, 1 x 2-bedroom, 1 x 1-bedroom and 1 x 1 bedroom/studio. Provision of refuse and cycle storage.</t>
  </si>
  <si>
    <t>2022/2788</t>
  </si>
  <si>
    <t>Alexander Studios, Unit 4 Haydon Way (The Courtyard)</t>
  </si>
  <si>
    <t>Change of use from a photography studio (Class E) into a 3-bed flat (Class C3).</t>
  </si>
  <si>
    <t>2022/2791</t>
  </si>
  <si>
    <t>39-43 and 39-43a, 39-43 West Hill</t>
  </si>
  <si>
    <t>Alterations to include the excavation to form basement with rear lightwells in conjunction with change of use from retail (Class E) and provision of 1 x 1-bedroom, 4 x 2-bedroom flats (Class C3) at basement and ground floor levels; refuse and cycle stores fronting Lebanon Road.</t>
  </si>
  <si>
    <t>2022/2884</t>
  </si>
  <si>
    <t>40 Lavender Hill</t>
  </si>
  <si>
    <t>Alterations in connection with change of use of hot food takeaway (Class A5) to retail (Class E) and residential (Class C3) to provide 1 x 1-bedroom flat. Extension to basement, installation of glazed pavement lenses, forecourt wall and replacement shopfront.</t>
  </si>
  <si>
    <t>2022/2954</t>
  </si>
  <si>
    <t>Lanterns Lodge, The Lanterns, Bridge Lane</t>
  </si>
  <si>
    <t>Change of use of from offices (Class E) to residential (Class C3).</t>
  </si>
  <si>
    <t>2022/3049</t>
  </si>
  <si>
    <t>76 Norroy Road</t>
  </si>
  <si>
    <t>Alterations including erection of single-storey rear/side extension and extension above two-storey back addition in connection with use as a single dwelling.</t>
  </si>
  <si>
    <t>2022/3125</t>
  </si>
  <si>
    <t>122 Dowdeswell Close</t>
  </si>
  <si>
    <t>Continue use as a single dwelling house.</t>
  </si>
  <si>
    <t>j-</t>
  </si>
  <si>
    <t>2022/3185</t>
  </si>
  <si>
    <t>rear of, 102-104 Upper Tooting Road</t>
  </si>
  <si>
    <t>Demolition of existing buildings and erection of 5 x two storey (plus basement) 3-bedroom dwelling houses accessed via Holmbury Court.</t>
  </si>
  <si>
    <t>2022/3327</t>
  </si>
  <si>
    <t>Second Floor Regent House, 16-18 Lombard Road</t>
  </si>
  <si>
    <t>Determination as to whether prior approval is required for change of use from office  (Class E) to residential (Class C3) to provide 9 flats.</t>
  </si>
  <si>
    <t>2022/3346</t>
  </si>
  <si>
    <t>56-66 Gwynne Road (26-28)</t>
  </si>
  <si>
    <t>Alterations to mezzanine floor in connection with change of use from commercial use (Class E) to residential (Class C3) to create 2 x 1-bedroom flats with associated balconies.</t>
  </si>
  <si>
    <t>2022/3398</t>
  </si>
  <si>
    <t>6 Clarendon Drive</t>
  </si>
  <si>
    <t>7 x houses</t>
  </si>
  <si>
    <t>Redevelopment and erection of seven two-storey (plus basement and roof level) houses  (1 x 5-bed and 6 x4 bed) with associated landscaping including removal of two trees and proposed replacement trees;  two on-street parking spaces, on site cycle parking and refuse storage.</t>
  </si>
  <si>
    <t>2022/3419</t>
  </si>
  <si>
    <t>Land rear of, 1 Clairview Road</t>
  </si>
  <si>
    <t>Erection of a single storey (plus basement) 2 x bed dwelling, with associated refuse and cycle storage.</t>
  </si>
  <si>
    <t>2022/3526</t>
  </si>
  <si>
    <t>40 Roedean Crescent</t>
  </si>
  <si>
    <t>Demolition of existing building and erection of a two-storey (plus basement and roof levels) 5-bedroom house with associated landscaping and single storey outbuilding and plant room in rear garden.</t>
  </si>
  <si>
    <t>2022/3600</t>
  </si>
  <si>
    <t>30 Juer Street</t>
  </si>
  <si>
    <t>Alterations including installation of solar panels to flat roof of existing roof extension; Extension to roof of three-storey back addition with formation of a roof terrace with raised access stair enclosure and 1.7m high screen surround extending above main roof; Removal of first floor rear access door and stair and installation of replacement window; Erection of a single storey rear /side extension; Excavation to enlarge existing basement, including formation of front lightwell with grille over. Alterations and extensions in connection with conversion of two flats to a single dwellinghouse.</t>
  </si>
  <si>
    <t>2022/3612</t>
  </si>
  <si>
    <t>312-320 Earlsfield Road</t>
  </si>
  <si>
    <t>Erection of a three storey building (with basement and accommodation at roof level) to provide 4 x 1-bed and 3 x 2-bed flats with balconies/roof terraces and with cycle and refuse storage accessed from Algarve Road.</t>
  </si>
  <si>
    <t>IRL</t>
  </si>
  <si>
    <t>2022/3642</t>
  </si>
  <si>
    <t>Professional Centre School House, Franciscan Road</t>
  </si>
  <si>
    <t>Change of use from office (Class E) to residential (Class C3) in connection with provision of 1 x 3 bedroom dwelling with associated refuse store (concurrent listed building consent ref. 2022/3602).</t>
  </si>
  <si>
    <t>2022/3650</t>
  </si>
  <si>
    <t>4 Broadwater Road</t>
  </si>
  <si>
    <t>Demolition of the existing building and erection of a single 3-bedroom dwellinghouse</t>
  </si>
  <si>
    <t>2022/3691</t>
  </si>
  <si>
    <t>2 Patten Road</t>
  </si>
  <si>
    <t>Alterations including erection of a dormer roof extension (with french doors and safety railing) to the main rear roof; Erection of a single storey rear extension; Excavation to enlarge existing basement, including formation of 2 front lightwells with grille over, and 1 rear lightwell with access stair to rear garden; Removal of existing timber fence and erection of a brick wall and metal railing with metal access gates to front boundary; Erection of cycle and refuse storage to front garden, in connection with conversion to a single dwellinghouse.</t>
  </si>
  <si>
    <t>2022/3696</t>
  </si>
  <si>
    <t>Unit A, Molasses House, Clove Hitch Quay (Plantation Wharf)</t>
  </si>
  <si>
    <t>Determination as to whether prior approval is required for change of use of office at ground floor level from (Class E) to residential (Class C3) to provide 1 x 1-bedroom flat.</t>
  </si>
  <si>
    <t>2022/3829</t>
  </si>
  <si>
    <t>Unit B, Molasses House, Clove Hitch Quay (Plantation Wharf)</t>
  </si>
  <si>
    <t>Determination as to whether prior approval is required for change of use from office at ground floor level from (Class E) to residential (Class C3) to provide 5 x 1-bedroom flats.</t>
  </si>
  <si>
    <t>2022/3891</t>
  </si>
  <si>
    <t>1 and 2 Malbrook Court, 9 Malbrook Road</t>
  </si>
  <si>
    <t>Alterations including erection of a dormer extension to main rear roof, erection of part single, part two-storey side/rear extension and excavation to enlarge basement in connection with the use of properties as a single family dwelling; alterations to front boundary including installation of gates and formation of hardstanding in front garden.</t>
  </si>
  <si>
    <t>2022/3961</t>
  </si>
  <si>
    <t>7 Beclands Road</t>
  </si>
  <si>
    <t>Alterations including erection of part two-storey and part single-storey side and rear extension in connection with the creation of a 1-bedroom dwelling. Installation of waste and cycle stores to front garden.</t>
  </si>
  <si>
    <t>2022/4091</t>
  </si>
  <si>
    <t>142-144 Tooting Bec Road</t>
  </si>
  <si>
    <t>Alterations including erection of front and rear dormer roof extensions to the main roof, including raising the ridge by 500mm;  Erection of a first floor (plus roof) rear extension and installation of French doors and safety railing to first floor rear elevation; replacement of windows; alterations to shopfront and rear access including staircase enclosure, in connection with conversion to 3 x studios and 1 x 2 bedroom flats, with associated refuse and cycle storage; and part change of use of rear ground floor from commercial (Class E) to residential (Class C3).</t>
  </si>
  <si>
    <t>2022/4122</t>
  </si>
  <si>
    <t>Taylors Yard, Unit 1 Alderbrook Road</t>
  </si>
  <si>
    <t>Determination as to whether prior approval is required for change of use of office on ground and first floor (Class E) to residential (Class C3) to provide 1 x 3-bedroom dwelling.</t>
  </si>
  <si>
    <t>2022/4180</t>
  </si>
  <si>
    <t>Land at Rear of, 211 Burntwood Lane</t>
  </si>
  <si>
    <t>Demolition of existing building and erection of a single storey (plus basement) one bedroom house, with associated refuse and cycle storage.</t>
  </si>
  <si>
    <t>2022/4341</t>
  </si>
  <si>
    <t>26 Badminton Road</t>
  </si>
  <si>
    <t>Alterations including erection of mansard roof extension to main rear roof (with French doors and safety railings) including raising ridge 300mm and formation of roof terrace at second floor level with 1.7m high screen surround in connection with the creation of 1 x 1-bedroom flat.</t>
  </si>
  <si>
    <t>2018/5669</t>
  </si>
  <si>
    <t>Ferrier Street Industrial Estate and 322 Old York Road, 1 Ferrier Street</t>
  </si>
  <si>
    <t>Demolition of existing buildings and construction of mixed use development ranging from 4 to 10 storeys to provide 5826sqm light industrial (Class B1c) use, 5078sqm flexible business (Class B1) use, 106 residential units (Class C3) use and 213sqm retail use (Class A1/A3). Associated public realm works including on-site playspace, enlargement of the station square and alterations to the Ferrier Street ground floor retail frontage of 332 Old York Road.</t>
  </si>
  <si>
    <t>2022/4571</t>
  </si>
  <si>
    <t>158-160 Balham High Road</t>
  </si>
  <si>
    <t>Alterations including erection of single storey extension and mansard roof extension above existing two storey building in connection with creation 7 self-contained flats all with private balconies/terraces at each level and associated cycle and refuse storage.</t>
  </si>
  <si>
    <t>2022/4572</t>
  </si>
  <si>
    <t>1 Camborne Mews</t>
  </si>
  <si>
    <t>Demolition of the single storey building (use class E) and the erection of 2 no. two-storey dwellings (use class C3), with refuse and cycle parking and associated hard and soft landscaping.</t>
  </si>
  <si>
    <t>2022/4583</t>
  </si>
  <si>
    <t>Garages adjoining 2, Sutherland Grove</t>
  </si>
  <si>
    <t>Demolition of existing garages and erection of new 3-bedroom two-storey dwelling (includes the excavation of a basement.)</t>
  </si>
  <si>
    <t>2022/4590</t>
  </si>
  <si>
    <t>629 Garratt Lane</t>
  </si>
  <si>
    <t>Alterations including erection of extension to main rear roof with French doors and safety railing; single-storey side extension, roof extension and terrace above two storey back addition, french doors to rear first floor in connection with provision of a 1-bed flat at second floor level.</t>
  </si>
  <si>
    <t>2022/4638</t>
  </si>
  <si>
    <t>Beechmore House, rear of, 156 Battersea Park Road</t>
  </si>
  <si>
    <t>Demolition of the existing building; Erection of a part-single, part-three storey 2 x bed dwellinghouse, including a second floor roof terrace with glazed surround.</t>
  </si>
  <si>
    <t>2022/4647</t>
  </si>
  <si>
    <t>Land rear of, 26 Roehampton High Street</t>
  </si>
  <si>
    <t>Erection of a part single, part two-storey 1-bed house with refuse and cycle storage.</t>
  </si>
  <si>
    <t>2022/4729</t>
  </si>
  <si>
    <t>Alterations including erection of single, part two-storey extensions with extended roof over in connection with conversion of buildings to 1 x 2-bedroom dwellinghouse (Class C3).</t>
  </si>
  <si>
    <t>2022/4937</t>
  </si>
  <si>
    <t>59 Upper Tooting Park</t>
  </si>
  <si>
    <t>Alterations including erection of a hip to gable extension to main roof and dormer extension to main rear roof, erection of a single storey rear extension  plus first floor terrace in connection with conversion and change of use from HMO (Class C4) to 2 x 3 bedroom flats. Extension of dropped kerb.</t>
  </si>
  <si>
    <t>2022/5011</t>
  </si>
  <si>
    <t>31 Rush Hill Road</t>
  </si>
  <si>
    <t>Alterations including erection of single-storey rear/side extension in connection with conversion of two flats back into single family dwelling house.</t>
  </si>
  <si>
    <t>2022/5151</t>
  </si>
  <si>
    <t>822 Garratt Lane</t>
  </si>
  <si>
    <t>Erection of a mansard extension to main rear roof with French doors and safety balustrade and extension above two-storey rear addition with formation of a roof terrace with safety balustrade. Erection of single-storey side/rear and rear ground floor extensions and installation of French doors and safety balustrade in connection with part change of use of commercial unit (Use Class E) and provision of 1 studio, 1 x 1-bedroom and 1 x 2-bedroom flats (Class C3).</t>
  </si>
  <si>
    <t>2022/5172</t>
  </si>
  <si>
    <t>42-43 Carlton Drive</t>
  </si>
  <si>
    <t>Alterations including erection of five-storey building (plus basement ) to provide 2 x2-bedroom and 1 x3-bedroom flats with front balconies and including associated landscaping, cycle parking and refuse storage.</t>
  </si>
  <si>
    <t>2022/5269</t>
  </si>
  <si>
    <t>Sylva Court, 79 Putney Hill</t>
  </si>
  <si>
    <t>Erection of two additional storeys to each section of the building to provide six new self contained apartments (Use Class C3) (2 x 1-bedroom, 2 x 2-bedroom and 2 x 3-bedroom), plant and associated works.</t>
  </si>
  <si>
    <t>2022/5270</t>
  </si>
  <si>
    <t>7-9 Burntwood Lane</t>
  </si>
  <si>
    <t>Demolition of existing buildings and erection of 4 new residential dwellings (5-bedroom terraced houses) fronting Burntwood Lane and one new residential dwelling (2-bedroom detached house)) to the rear of the site with associated landscaping, cycle and refuse storage.</t>
  </si>
  <si>
    <t>2022/5299</t>
  </si>
  <si>
    <t>167 Battersea Rise</t>
  </si>
  <si>
    <t>Alterations including an additional roof storey over main roof and extension above part of three storey back addition; replacement of windows to front and side elevations; replacement of shopfront with windows to side elevation, replacement of concrete panels with brickwork to front elevation. Part change of use from office (Class E) to residential (Class C3) in connection with internal reconfigurations to five existing flats (3 x 2 bedroom and 2 x 1 bedroom flats, changed to 5 x 1 bedroom flats) and provision of new 1 x 1 bedroom flat.</t>
  </si>
  <si>
    <t>2022/5306</t>
  </si>
  <si>
    <t>156 Cavendish Road</t>
  </si>
  <si>
    <t>Erection of a dormer extension to main rear roof slope with extension above two-storey rear addition (with solar panels above), erection of a single-storey rear/side extension and excavation to form basement with front and rear lightwells in connection with the conversion into 1 x 3 bedroom and 2 x 1-bedroom self contained flats.</t>
  </si>
  <si>
    <t>2023/0013</t>
  </si>
  <si>
    <t>1-3 Byrne Road</t>
  </si>
  <si>
    <t>Alterations including the erection of single-storey lower ground floor rear extension; and front and rear lightwells; and reconfiguration of front entrances; in connection with conversion of the lower ground floor into 2 x 2-bedroom flats, with associated refuse storage.</t>
  </si>
  <si>
    <t>2023/0148</t>
  </si>
  <si>
    <t>663-665 Garratt Lane</t>
  </si>
  <si>
    <t>Alterations including erection of mansard roof extension to main rear roof of both properties (with French doors and safety railings) and extension above two-storey back addition to 663; installation of external access stair from existing first floor level rear walkway up to third floor level entrance of proposed 1 x 2 bedroom flat with associated refuse and cycle storage.</t>
  </si>
  <si>
    <t>2023/0233</t>
  </si>
  <si>
    <t>830 Garratt Lane</t>
  </si>
  <si>
    <t>Alterations including conversion of rear part of existing shop (Class E) to one bed studio dwelling (Class C3).</t>
  </si>
  <si>
    <t>2023/0278</t>
  </si>
  <si>
    <t>361 Garratt Lane</t>
  </si>
  <si>
    <t>Alterations including excavation to enlarge basement with formation of front lightwell; erection of mansard roof extension to main rear roof with French doors and extension above two storey back addition; formation of roof terraces at rear of first and second floors with1.7m high side screens; erection of single storey rear/side extension in connection with use of property as 3 x 1-bedroom flats.</t>
  </si>
  <si>
    <t>2023/0349</t>
  </si>
  <si>
    <t>32 Avarn Road</t>
  </si>
  <si>
    <t>Alterations including erection of mansard roof extension to main rear roof (with French doors and safety railings) and extension above part of two-storey back addition; Formation of roof terrace above two-storey back addition with 1.7m 
high screen surround in connection with the change of use from first floor flat (Class C3) into a four bedroom HMO (Class C4).</t>
  </si>
  <si>
    <t>2023/0437</t>
  </si>
  <si>
    <t>135 Mitcham Road</t>
  </si>
  <si>
    <t>Alterations including erection of a mansard roof extension to form additional storey above main roof in connection with the change of use from flat to a 5 bedroom HMO (Class C4).</t>
  </si>
  <si>
    <t>2023/0450</t>
  </si>
  <si>
    <t>Ground Floor  Flat Front 1, 73 Streathbourne Road</t>
  </si>
  <si>
    <t>Alterations including erection of single-storey rear extension and conversion of ground floor flat into 1 x 2-bedroom and 1 x 1-bedroom flats.</t>
  </si>
  <si>
    <t>2023/0518</t>
  </si>
  <si>
    <t>167 Oakhill Road (Rear of 165 and 169)</t>
  </si>
  <si>
    <t>Alterations including erection of replacement single storey front/side extension; Demolition of existing link and erection of a timber pergola with a pitched roof between the main building and outbuilding; Installation of timber fenestration to ground and first floor rear elevation and first floor side elevation; Installation of solar pv panels to roof of the single storey front/side extension; Removal of existing and partial replacement of render to exterior of main building; In connection with use of main building as a 4 -bed house. (See associated Listed Building application 2023/0529)</t>
  </si>
  <si>
    <t>2023/0613</t>
  </si>
  <si>
    <t>64-64c Battersea Rise</t>
  </si>
  <si>
    <t>Alterations including erection of a roof extension to the main roof; Erection of part-two, part-three-storey rear extension; Formation of rear roof terraces with 0.8m high metal railing surround at second and third floors; Installation of French doors and safety railings to first floor rear elevation; Installation of replacement extraction duct and flue to rear elevation; Excavation to enlarge existing basement; In connection with change of use of upper floors from 2 x self-contained flats (Class C3), to 13-bed HMO (Sui Generis).</t>
  </si>
  <si>
    <t>2023/0682</t>
  </si>
  <si>
    <t>17 Colinette Road</t>
  </si>
  <si>
    <t>Alterations including excavation to enlarge rear lightwell and erection of three-storey side extension including enlargement of one flat ro provide a 4-bed house; formation of hardstanding for 4 cars in front garden including removal of one tree.</t>
  </si>
  <si>
    <t>2023/0722</t>
  </si>
  <si>
    <t>186 Garratt Lane</t>
  </si>
  <si>
    <t>Alterations including erection of extension above two-storey rear addition and formation of terraces at first and second floors with obscure glazed  balustrade in connection with conversion of the upper maisonette into 2 x 1-bedroom flats; refurbishement of single storey rear outbuilding.</t>
  </si>
  <si>
    <t>2023/0853</t>
  </si>
  <si>
    <t>7 Lavender Hill</t>
  </si>
  <si>
    <t>Alterations to convert a 1-bedroom flat into a 2-bedroom flat including change of access.</t>
  </si>
  <si>
    <t>2023/1033</t>
  </si>
  <si>
    <t>Upper Floor Flat, 42 Lavender Hill</t>
  </si>
  <si>
    <t>Alterations including the erection of mansard roof extension to front and rear roof in connection with conversion of the first and second floors into 3 x 1-bedroom flats with associated cycle and refuse storage and balconies.</t>
  </si>
  <si>
    <t>2023/1069</t>
  </si>
  <si>
    <t>78 Sisters Avenue</t>
  </si>
  <si>
    <t>Demolition of existing side extension and erection of two-storey dwellinghouse plus basement and accomodation within roof.</t>
  </si>
  <si>
    <t>2023/1144</t>
  </si>
  <si>
    <t>15 Gassiot Road</t>
  </si>
  <si>
    <t>Alterations including erection of dormer roof extension to main rear roof, roof extension above two storey back addition and erection of single storey rear and side extension in connection with conversion of property from residential (Class C3) to house of multiple occupation (Class C4).</t>
  </si>
  <si>
    <t>2023/1176</t>
  </si>
  <si>
    <t>Struan House, 44 Augustus Road</t>
  </si>
  <si>
    <t>Erection of a three storey building to provide 9 flats (1 x 3-bed, 6 x 2-bed and 2 x 1-bed) with front and rear balconies together with associated landscaping and secure cycle and refuse storage.</t>
  </si>
  <si>
    <t>2023/1236</t>
  </si>
  <si>
    <t>10 York Road</t>
  </si>
  <si>
    <t>Alterations including erection of an additional floor of accommodation; Erection of an extension above the two-storey back addition and formation of roof terrace with a 1.1m high glazed handrail above; Erection of a two-storey rear/side extension; Installation of a new front entrance door in connection with conversion of the first floor flat to 3 x 1-bedroom flats; and alterations to the ground floor commercial unit, with associated refuse and cycle storage.</t>
  </si>
  <si>
    <t>2023/1339</t>
  </si>
  <si>
    <t>96 Granville Road</t>
  </si>
  <si>
    <t>Demolition of existing building and erection of a  2-storey building with basement and roof levels to provide 3 x 3-bed, 3 x 2-bed and 1 x 1-bed flats) all with access to l rear garden/terraces and refuse and cycle storage.</t>
  </si>
  <si>
    <t>2023/1379</t>
  </si>
  <si>
    <t>78 Buckhold Road</t>
  </si>
  <si>
    <t>Erection of two storey 3-bedroom house with associated boundary treatment, parking and cycle and refuse storage; installation of crossover and hardstanding for parking  to no.78.</t>
  </si>
  <si>
    <t>2023/1508</t>
  </si>
  <si>
    <t>5 Beechcroft Road</t>
  </si>
  <si>
    <t>Demolition of existing building and erection of a part three-storey part four-storey building to provide 3 x 1-bedroom, 4 x 2-bedroom and 1 x 3-bedroom flats (Class C3) with balconies and the use of part ground floor as a community use (Class F2).</t>
  </si>
  <si>
    <t>2020/5015</t>
  </si>
  <si>
    <t>7a Putney Bridge Road</t>
  </si>
  <si>
    <t>Front Building</t>
  </si>
  <si>
    <t>Demolition of existing building and erection of a block of flats to provide 7 x 1-bedroom, and 1 x 2-bedroom flats with communal amenity area; erection of two storey (plus roof) 3-bedroom mews house at rear; associated cycle and refuse storage . (Amendment to pp granted 15/09/20 ref. 2020/2171 to alter the site layout in connection with the removal of the parking space for the mews house).</t>
  </si>
  <si>
    <t>Rear Building</t>
  </si>
  <si>
    <t>2023/1580</t>
  </si>
  <si>
    <t>79 St Anns Crescent</t>
  </si>
  <si>
    <t>Alterations including erection of rear mansard roof extension to main rear roof and above part of two-storey back addition; erection of replacement single-storey rear/side extension in connection with the change of use of ground floor cafe (Class E) to provide 2 x 1-bed flats (Class C3) and use of the upper floors as 1 x 3-bed flat with terrace at rear of first floor with 1.7m high privacy screen; erection of new and replacement front, side and rear boundary treatment, refuse and cycle storage.</t>
  </si>
  <si>
    <t>2023/1599</t>
  </si>
  <si>
    <t>70 Himley Road</t>
  </si>
  <si>
    <t>Alterations including erection of mansard roof extension to main rear roof (with French doors) and extension above part of two-storey back addition; formation of roof terrace above two-storey back addition with 1.7m high screen surround. Alterations and extensions in connection with creation of 1 x 1-bedroom flat.</t>
  </si>
  <si>
    <t>2023/1675</t>
  </si>
  <si>
    <t>125-127 Balham High Road</t>
  </si>
  <si>
    <t>Change of use of first, second and third floors from Class E (bank) to residential use (Class C3) and provision of 2 x 3-bedroom and 1 x 2-bedroom flats; replacement of front door.</t>
  </si>
  <si>
    <t>2023/1705</t>
  </si>
  <si>
    <t>10 Cambalt Road</t>
  </si>
  <si>
    <t>Use of basement as a studio flat including excavation to create rear lightwell.</t>
  </si>
  <si>
    <t>2023/1899</t>
  </si>
  <si>
    <t>97 East Hill</t>
  </si>
  <si>
    <t>Alterations including demolition of ground floor and two storey extension and erection of mansard roof extension to main rear roof (with french doors and safety railings), erection of part single/part three storey (with roof) rear and side extension, excavation to create basement with front and side lightwells in connection with creation of 1 x 1-bedroom, 1 x 2-bedroom and 1 x 3-bedroom flats with associated refuse and cycle storage.</t>
  </si>
  <si>
    <t>2023/1901</t>
  </si>
  <si>
    <t>1 Effort Street</t>
  </si>
  <si>
    <t>Demolition of existing building and erection of part two/part three storey building to provide 4 x two-bedroom and 1 x three-bedroom flats with associated balconies, landscaping, cycle parking and refuse storage.</t>
  </si>
  <si>
    <t>2023/1949</t>
  </si>
  <si>
    <t>35 Amies Street</t>
  </si>
  <si>
    <t>Change of Use from HMO (Use Class C4) to residential institution (Use Class C3b).</t>
  </si>
  <si>
    <t>2023/1964</t>
  </si>
  <si>
    <t>The Corner Pin, 10 Summerstown</t>
  </si>
  <si>
    <t>Alterations including erection of first floor rear/side extension; erection of second floor side/main roof extension on north facing elevation and erection of two dormer windows in main roof on south facing elevation; installation of amended and new fenestration and creation of rear roof terraces. Alterations and extensions in connection with proposed use of the upper floors as 3 flats (1 x one-bedroom, 1 x two-bedroom and 1 x three-bedroom) with associated rear facing roof terraces at first and second floor levels accessed via French doors and with 1.7m high obscured glass surround; provision of associated cycle parking and refuse store facilities; retention of existing public house use on ground floor. [This re-consultation is to clarify the description of development].</t>
  </si>
  <si>
    <t>2023/2195</t>
  </si>
  <si>
    <t>74 Lightermans Walk</t>
  </si>
  <si>
    <t>Alterations in connection with change of use from office (Class E) to residential (Class C3) to provide 1 x 2-bedroom flat.</t>
  </si>
  <si>
    <t>2023/2199</t>
  </si>
  <si>
    <t>19 Ruvigny Gardens</t>
  </si>
  <si>
    <t>Alterations in connection with deconversion of two flats into single dwelling house.</t>
  </si>
  <si>
    <t>2023/2211</t>
  </si>
  <si>
    <t>199-201 Wandsworth High Street</t>
  </si>
  <si>
    <t>Amendments to planning permission ref 2022/2092 (Alterations erection of a mansard roof above the existing single-storey rear addition including raising the ridge of the roof by 350mm; erection of a single storey rear extension; works including change of use of rear ground floor to provide 1 x 1-bed flat and 1 x 3-bed house with associated cycle and refuse storage; retention of commercial unit (Class E) to the front of the site) to provide a 2-bedroom flat.</t>
  </si>
  <si>
    <t>3.1.1</t>
  </si>
  <si>
    <t>2023/2269</t>
  </si>
  <si>
    <t>Amalgamation of Unit BH11.23 and Unit BH11.25 located on the 11th floor of the Power Station Boiler House (Phase 2 of the Battersea Power Station masterplan) to create one residential unit.</t>
  </si>
  <si>
    <t>2023/2315</t>
  </si>
  <si>
    <t>27 Nightingale Lane</t>
  </si>
  <si>
    <t>Demolition of existing garages and erection of part single/part three-storey building to provide 2 x studio flats and communal living area to be used for specialist/supported housing (sui generis). Alterations including erection of replacement boundary treatment and cycle/waste stores to front garden and works to trees.</t>
  </si>
  <si>
    <t>2023/2430</t>
  </si>
  <si>
    <t>177 Garratt Lane</t>
  </si>
  <si>
    <t>Alterations including erection of mansard roof extension to main rear roof, including raising the ridge by 30cm, installation of velux roof windows to the front roof, erection of roof extension over two-storey back addition with formation of a roof terrace with glazed 1.7m screen surround, alterations of window openings to rear and side elevation and installation of french doors and safety railings; and conversion of existing the 1st and 2nd floor maisonette flat at 177 to 3 x 1-bedroom flats with associated cycle and refuse storage</t>
  </si>
  <si>
    <t>2023/2447</t>
  </si>
  <si>
    <t>5 Albert Bridge Road</t>
  </si>
  <si>
    <t>Demolition of property except for front and side elevations with 'like for like' re-build of replacement rear elevation and two-storey back addition with slim-line double glazed windows to all elevations. Alterations including excavation to create a basement with the formation of a front and side lightwell and erection of a replacement roof with dormer extension to main rear/side roof. Erection of single-storey side/rear extension. Demolition of existing garage at rear and erection of replacement single-storey garage building. Alterations to boundary wall and piers.</t>
  </si>
  <si>
    <t>2023/2651</t>
  </si>
  <si>
    <t>The Marmalade Caterpillar Nursery School, 14a Boundaries Road</t>
  </si>
  <si>
    <t>Alterations including the part demolition of the existing property and the erection of a three storey building in connection with change of use from nursery school (Class E) to residential (Class C3) to create 1 x 1-bedroom and 2 x 2-bedroom flats with associated balconies, cycle and refuse storage and boundary treatment.</t>
  </si>
  <si>
    <t>2023/2687</t>
  </si>
  <si>
    <t>195 Garratt Lane</t>
  </si>
  <si>
    <t>Change of use of  existing ground floor and basement commercial unit to flexible use for shop Class E(a), professional services Class E(c), Indoor sport, recreation or fitness Class E(d), health services Class E(e), offices Class E(g)(i), provision of education Class F1(a), display of art Class F1(b); use of part of the ground floor to provide 1 x 1 bedroom flat with associated cycle and refuse storage; erection of single-storey rear and side extension; installation of a new shopfront.</t>
  </si>
  <si>
    <t>Mews House</t>
  </si>
  <si>
    <t>2023/2781</t>
  </si>
  <si>
    <t>Studio 5 Dovedale Studios, 465 Battersea Park Road</t>
  </si>
  <si>
    <t>Determination as to whether prior approval is required for change of use from office (Class B1a) to 1 x 2-bedroom flat (Class C3).</t>
  </si>
  <si>
    <t>2023/2832</t>
  </si>
  <si>
    <t>Land adjoining, 45 Tooting Bec Road</t>
  </si>
  <si>
    <t>Demolition of existing single-storey building and erection of a two-storey building plus basement with lightwells to front and rear to provide 1 x 1-bedroom and 1 x 2-bedroom dwellings (Class C3) with associated refuse and cycle storage. Change of use from Class B1 to Class C3.</t>
  </si>
  <si>
    <t>2023/2843</t>
  </si>
  <si>
    <t>191 Garratt Lane</t>
  </si>
  <si>
    <t>Alterations including erection of a dormer roof extension to main rear roof and extension above part of two-storey back addition to provide 1 x 1-bedroom flat and 
1 x 2-bedroom flat. 
Construction of a rear mansard and dormer with 1 x one bedroom flat and 1 x two bedroom flat</t>
  </si>
  <si>
    <t>2020/2172</t>
  </si>
  <si>
    <t>38 Rookstone Road</t>
  </si>
  <si>
    <t>Demolition of existing building and erection of three storey (plus basement and roof level accommodation) building with front a rear lightwells to provide 4 x 1-bedroom, 3 x 2-bedroom and 2 x 3-bedroom flats with associated refuse and cycle storage.</t>
  </si>
  <si>
    <t>2023/2928</t>
  </si>
  <si>
    <t>2a Balham Grove</t>
  </si>
  <si>
    <t>Alterations to include erection of extension above two-storey rear additon and erection of two-storey extension above rear part of ground floor extension to create 1 x 1 bedroom and 1 x studio flats.</t>
  </si>
  <si>
    <t>2023/3040</t>
  </si>
  <si>
    <t>Determination as to whether prior approval is required for change of use from cafe unit (Class E) to 1 x 1-bedroom flat (Class C3).</t>
  </si>
  <si>
    <t>2023/3180</t>
  </si>
  <si>
    <t>2d Forthbridge Road</t>
  </si>
  <si>
    <t>Proposed alterations including the deconversion of ground floor and first floor flats into a single dwelling house.</t>
  </si>
  <si>
    <t>2023/3217</t>
  </si>
  <si>
    <t>5 Queensmere Road</t>
  </si>
  <si>
    <t>Erection of a five bedroom dwelling.</t>
  </si>
  <si>
    <t>2023/3243</t>
  </si>
  <si>
    <t>9 Fernlea Road</t>
  </si>
  <si>
    <t>Alteration  including erection of mansard roof extension to main rear roof and two storey rear extension;  conversion property 1 x 3-bedroom, 1 x 2-bedroom and 1 x 1-bedroom flats including part change of use of rear part of the ground floor retail unit to residential with associated cycle storage.</t>
  </si>
  <si>
    <t>2023/3277</t>
  </si>
  <si>
    <t>Eustace Building - marketing office and ancillary space, 372 Queenstown Road</t>
  </si>
  <si>
    <t>Change of use of part of the first floor of the Eustace Building from commercial floorspace to form a 3 bedroom residential unit, along with associated internal and external alterations, including the creation of a private external terrace to the east of the unit.</t>
  </si>
  <si>
    <t>2023/3308</t>
  </si>
  <si>
    <t>50 Trinity Road</t>
  </si>
  <si>
    <t>Erection of additional second floor over existing main roof and over existing two-storey rear addition (with mansard roof &amp; dormers), erection of a single-storey rear extension, associated external and internal alterations to facilitate subdivision of the part ground floor (retention of retail space) and upper floors into 3 x  one-bedroom self-contained flats.</t>
  </si>
  <si>
    <t>2023/3367</t>
  </si>
  <si>
    <t>Determination as to whether prior approval is required for change of use from 
cafe (Class E) to 1 x 1-bedroom residential flat (Class C3).</t>
  </si>
  <si>
    <t>2023/3403</t>
  </si>
  <si>
    <t>New House, 83 Roehampton Lane</t>
  </si>
  <si>
    <t>Demolition of existing building and erection of 3 storey building (Class C2) to provide 8 x self contained apartments for assisted living with associated parking.</t>
  </si>
  <si>
    <t>2023/3442</t>
  </si>
  <si>
    <t>Land south of and west of 5 St James Drive, 124 Trinity Road</t>
  </si>
  <si>
    <t>Erection of single-storey (plus roof level and basement level accommodation) dwellinghouse (1 x 2- bedroom) with associated alterations to Trinity Road boundary treatment, cycle and refuse storage and removal of tree.</t>
  </si>
  <si>
    <t>2023/3473</t>
  </si>
  <si>
    <t>Alterations including erection of additional floor of accommodation in connection with the conversion of the existing flat above the ground floor commercial premises for the creation of 3 x 1 bedroom unit. Formation of 3 external balconies to the rear.</t>
  </si>
  <si>
    <t>2023/3485</t>
  </si>
  <si>
    <t>2 Ingate Place</t>
  </si>
  <si>
    <t>Determination as to whether prior approval is required for change of use of 
commercial  use at ground and first floor levels from (Class E) to residential (Class C3)  to provide a 1 bedroom house with associated external refuse storage.</t>
  </si>
  <si>
    <t>2023/3532</t>
  </si>
  <si>
    <t>60 St Anns Hill</t>
  </si>
  <si>
    <t>Conversion of property into 2 flats (1 x 3 bed and 1 x 2 bed). Erection of a single-storey rear/side extension at ground floor and enlargement of existing roof extension with roof and parapet wall raised.</t>
  </si>
  <si>
    <t>2023/3597</t>
  </si>
  <si>
    <t>2 Dagnan Road</t>
  </si>
  <si>
    <t>Alterations including erection of hip to gable roof extension to main roof, extension above two storey back addition (with French doors) and formation of a roof terrace with a high wall surround. Replacement of first floor window with French doors and safety balustrade. Erection of a single storey rear/side extension in connection with change of use of existing retail unit (Class E) to provide 1 x 2-bedroom and 1 x 3-bedroom flats, with associated cycle and refuse storage private outside amenity space (Class C3). Demolition of front boundary wall, erection of a replacement front boundary wall, and landscaping.</t>
  </si>
  <si>
    <t>2023/3648</t>
  </si>
  <si>
    <t>68 West Hill</t>
  </si>
  <si>
    <t>Determination as to whether prior approval is required for change of use from Non-Residential Institutions (Class E) to residential (Class C3) and to 3 x 1-bedroom flat</t>
  </si>
  <si>
    <t>2023/3690</t>
  </si>
  <si>
    <t>Unit D, Molasses House, Clove Hitch Quay (Plantation Wharf)</t>
  </si>
  <si>
    <t>Determination as to whether prior approval is required for change of use from office at ground floor level from (Class E) to residential (Class C3) to provide 1 x 2-bedroom flat and 2 x studio flats.</t>
  </si>
  <si>
    <t>2023/3708</t>
  </si>
  <si>
    <t>Alterations including erection of mansard roof extension to main rear roof, including raising the ridge by 300mm. Extension above two-storey back addition with French doors and formation of a roof terrace with glazed 1.7m screen surround; Installation of French doors and safety railings to first and second floor back addition replacing existing windows; installation of 2 x windows to second floor, and replacement windows to first floor side elevation of back addition, in connection with the conversion of the existing 1 x 3-bedroom flat to 3 x 1-bedroom flats. Associated cycle and refuse storage.</t>
  </si>
  <si>
    <t>2023/3713</t>
  </si>
  <si>
    <t>Alterations including installation of replacement shopfront, erection of single-storey rear side extension, in connection with the change of use of part ground floor to class C3 to replace the existing studio flat to a 1 x 1 bedroom flat with associated cycle and refuse storage. Change of use of remaining existing ground floor and basement commercial unit to Class E(a), professional services Class E(c), Indoor sport, recreation or fitness Class E(d), health services Class E(e), offices Class E(g)(i)</t>
  </si>
  <si>
    <t>2023/3746</t>
  </si>
  <si>
    <t>28 Trinity Road</t>
  </si>
  <si>
    <t>Alterations including erection of single storey side/rear extension; mansard roof extension to main rear roof to form additional storey; extension above back addition and formation of roof terrace with 1.7m obscured glass screening and access dormer above extension above back addition. Installation of windows to ground floor side elevation and new entrance; installation/replacement of side windows and installation of rear French doors with railings at first floor. Part change of use from commercial (Class E) to residential (Class C3) in connection with creation of 2 x 1-bedroom and 1 x 3-bedroom flats.</t>
  </si>
  <si>
    <t>2023/3764</t>
  </si>
  <si>
    <t>834-836 Garratt Lane</t>
  </si>
  <si>
    <t>Determination as to whether prior approval is required for change of use from retail (Class E) to 1 x 1-bedroom flat (class C3)_x000D_.</t>
  </si>
  <si>
    <t>2023/3860</t>
  </si>
  <si>
    <t>45 Lynwood Road</t>
  </si>
  <si>
    <t>Use of existing dwellinghouse as a childrens home</t>
  </si>
  <si>
    <t>2022/4594</t>
  </si>
  <si>
    <t>Land and Garages Between Phelps House and The Platt Christian Centre, Felsham Road (Platt South)</t>
  </si>
  <si>
    <t>Variation of condition 2 (in accordance approved drawings) of planning permission dated 25/04/2022 ref 2021/2879 (Demolition of existing garages and erection of a four storey building providing 9 x 1-bed and 2 x 2-bed flats, with roof terraces and balconies to all elevations and covered refuse and cycle storage.) to allow a reduction in the number of dwellings to 8, alterations to fenestration, alterations to roof design, omission of basement plant level, and various minor design amendments.</t>
  </si>
  <si>
    <t>2021/1445</t>
  </si>
  <si>
    <t>36-44 Aldrington Road</t>
  </si>
  <si>
    <t>Demolition of existing single storey garages, residents refuse and ancillary storage sheds and redevelopment of the site for affordable residential units within a part three, four and six storey building together with ancillary residents storage, car parking, bicycle storage, refuse storage, landscaping and communal amenity space.</t>
  </si>
  <si>
    <t>2022/1694</t>
  </si>
  <si>
    <t>223 Balham High Road</t>
  </si>
  <si>
    <t>Demolition of existing ground floor commercial unit and erection of a part 3/4/5 storey building with basement to provide commercial (Class E) on the basement and front ground floor and 42 residential units (Class C3) to the rear ground floor and above with private and communal amenity spaces. Provision of cycle storage, refuse storage and landscaping.</t>
  </si>
  <si>
    <t>LDN Affordable Rent</t>
  </si>
  <si>
    <t>2023/2779</t>
  </si>
  <si>
    <t>Garages and car parking spaces west of 27-33 and 34-40 Highcross Way, Bessborough Road</t>
  </si>
  <si>
    <t>Demolition of all existing structures and garages and erection of a part single, part two/three storey building to provide eight (8) independent supported housing units (Use Class C3) with associated cycle, vehicle parking and landscaping.</t>
  </si>
  <si>
    <t>2023/3888</t>
  </si>
  <si>
    <t>84-88 Mitcham Road</t>
  </si>
  <si>
    <t>Alterations including additional side and rear windows in connection with conversion of part ground floor and upper floors of 88 Mitcham Road from Commercial, Business and Service (Class Ea) to residential (Class C3) to create 1 x 3 bedroom and 1 x 2-bedroom flats. Formation of roof terrace at first and second floor levels with 1.7m high screen, reconfiguration of existing first floor flat and provision of cycle/refuse stores.</t>
  </si>
  <si>
    <t>2023/4002</t>
  </si>
  <si>
    <t>Alterations including part change of use of rear ground floors from commercial (Class E) to residential (Class C3) in connection with creation of 2 x studio flats with amenity space. Alterations and relocation of rear external staircase to first floor; infill front extension to commercial units and alterations to shopfronts.</t>
  </si>
  <si>
    <t>2023/4187</t>
  </si>
  <si>
    <t>Unit 1 Thorpe Court, 864 Garratt lane</t>
  </si>
  <si>
    <t>Determination as to whether prior approval is required for change of use from retail (Class E) at ground floor level to residential (Class C3) to provide 1-bedroom flat.</t>
  </si>
  <si>
    <t>2023/4304</t>
  </si>
  <si>
    <t>116 A Putney High Street</t>
  </si>
  <si>
    <t>Alterations including erection of a roof extension to main roof to provide an additional level of accommodation; extensions to the rear at  first/second and third floor level in connection with 1 x 1-bedroom and 2 x 2-bedroom flats, with associated cycle and refuse storage and internal reconfiguration.</t>
  </si>
  <si>
    <t>2023/4400</t>
  </si>
  <si>
    <t>Garages to the east of Playground and north of 32, Swanton Gardens</t>
  </si>
  <si>
    <t>Demolition of existing garages and erection of 3-storey building to provide 1 x 1-bedroom and 2 x 2-bedroom flats with associated vehicle and cycle parking, refuse storage and landscaping.</t>
  </si>
  <si>
    <t>2023/4401</t>
  </si>
  <si>
    <t>Garages to the South East of 63-75, Skeena Hill</t>
  </si>
  <si>
    <t>Demolition of existing garages and erection of 2-storey building to provide 3 x 1-bedroom and 3 x 2-bedroom flats with associated car and cycle parking, refuse storage and landscaping.</t>
  </si>
  <si>
    <t>2023/4432</t>
  </si>
  <si>
    <t>21 Battersea Church Road</t>
  </si>
  <si>
    <t>Alterations in connection with conversion of two flats into single dwelling house.</t>
  </si>
  <si>
    <t>2023/4501</t>
  </si>
  <si>
    <t>157 157A 159, Blackshaw Road</t>
  </si>
  <si>
    <t>Market Rent</t>
  </si>
  <si>
    <t>Alterations including erection of a dormer extension to main rear roof, erection of a first floor side/rear extension and single storey rear extension and single storey side extension to three flats and conversion of upper floor flat into two x 1-bedroom flats. Alterations to fenestration.</t>
  </si>
  <si>
    <t>2023/4632</t>
  </si>
  <si>
    <t>The Grapes Public House, 39 Fairfield Street</t>
  </si>
  <si>
    <t>Retention of existing public house and erection of 1no. single-storey dwelling (Class C3) with associated landscaping following demolition of outbuilding. (see also Listed Building Consent application 2023/4692 Part demolition of existing brick wall.)</t>
  </si>
  <si>
    <t>2023/4669</t>
  </si>
  <si>
    <t>96 Mitcham Lane</t>
  </si>
  <si>
    <t>Determination as to whether prior notification is required for change of use from retail (Class E) to 1 x 1-bedroom and 1 x studio flats (Class C3).</t>
  </si>
  <si>
    <t>2023/4715</t>
  </si>
  <si>
    <t>94 Mitcham Lane</t>
  </si>
  <si>
    <t>Determination as to whether prior approval is required for change of use from retail (Class E) to 1 x studio and 1 x 1-bedroom flats (Class C3).</t>
  </si>
  <si>
    <t>2023/4888</t>
  </si>
  <si>
    <t>14 Dryburgh Road</t>
  </si>
  <si>
    <t>Conversion of three flats into a 5-bedroom single-dwelling to include the demolition of the existing rear addition and erection of a single-storey rear/side extension. Installation of crittal style glazing and skylights, new side door to easter elevation alongside new window. Alterations to include brick renovation and redocoration of all brick elevations. All existing timber windows to be replaced with hardwood sash and casement windows and reinstatement of front door. Demolition of existing front boundary brick wall and replaced with 9 inch thickness brick wall and wrought iron railings. Installation of sliding wrought iron secure vehicle access gates, landscaping and all other associated works.</t>
  </si>
  <si>
    <t>2024/0125</t>
  </si>
  <si>
    <t>Tailors Court, 2 North Drive</t>
  </si>
  <si>
    <t>Conversion of assisted bathroom and ancillary rooms into a self-contained one-bedroom flat.</t>
  </si>
  <si>
    <t>2024/0257</t>
  </si>
  <si>
    <t>71 Mysore Road</t>
  </si>
  <si>
    <t>House to small HMO</t>
  </si>
  <si>
    <t>Change of use from residential dwelling house (Class C3) to HMO use (Class C4).</t>
  </si>
  <si>
    <t>04 Subject to Legal Agreement</t>
  </si>
  <si>
    <t>2021/4679</t>
  </si>
  <si>
    <t>Alterations, restoration and repair works in connection with the proposed conversion of Fir Tower, Oak Tower and Teak Tower within part of the Main Building (Grade II listed) to  residential use (Class C3) to provide 32 flats (10 x one-bedroom; 16 x two-bedroom and 6 x three-bedroom), together with associated landscaping and servicing works. [See associated listed building application ref. 2021/4827]. NOTE: This is a standalone application that falls outside that covered by the outline planning permission (ref. 2010/3703 dated 20/06/2012, as varied by applications no. 2014/6585 dated 04/06/2015; 2016/4760 dated 24/04/2018 and 2019/2495 dated 28/02/2020, and associated Reserved Matters applications for the conversion of the remainder of the Main Building.</t>
  </si>
  <si>
    <t>SLA</t>
  </si>
  <si>
    <t>2022/4356</t>
  </si>
  <si>
    <t>The Kalos Centre, 48 Endlesham Road</t>
  </si>
  <si>
    <t>Demolition of the existing building and erection of a part-single, part-three storey building to provide a community centre at ground floor level (Class F), and 8 x studio and 1 x 1-bed flats above (Class C3), with associated landscaping, refuse and cycle storage.</t>
  </si>
  <si>
    <t>2023/0892</t>
  </si>
  <si>
    <t>57-59 Lombard Road</t>
  </si>
  <si>
    <t>Discount Market Rent</t>
  </si>
  <si>
    <t>Proposed erection of a mixed-use development up to 24 storeys comprising of Build to Rent residential units (Class C3) with affordable housing, ground floor retail (approximately 316 sqm GIA floorspace Class E), landscaping and all associated works.</t>
  </si>
  <si>
    <t>London Affordable Rent</t>
  </si>
  <si>
    <t>2023/4762</t>
  </si>
  <si>
    <t>Land adjacent to Farnborough House , Rushmere House &amp; Chilcombe House, Fontley Way</t>
  </si>
  <si>
    <t>Social Rent</t>
  </si>
  <si>
    <t>Demolition of all existing structures and erection of three, residential  blocks (five-storeys) comprising of 38 units (12 x 1-bedroom, 18 x 2-bedroom and 8 x 3-bedroom flats) with associated landscaping/tree planting, car parking, cycle, refuse storage and play area</t>
  </si>
  <si>
    <t>06 Identified Site</t>
  </si>
  <si>
    <t>36-46 St John's Road and 17 Severus Road</t>
  </si>
  <si>
    <t>Redevelopment</t>
  </si>
  <si>
    <t>NONE</t>
  </si>
  <si>
    <t>CJ7</t>
  </si>
  <si>
    <t>55-61 Putney High Road (Former M&amp;S site), SW15 1SP</t>
  </si>
  <si>
    <t>PUT6</t>
  </si>
  <si>
    <t>Crewkerne Court Garages, Battersea Church Road (Somerset Estate)</t>
  </si>
  <si>
    <t>RIV11</t>
  </si>
  <si>
    <t>Land on the corner of Grant Road and, Falcon Road</t>
  </si>
  <si>
    <t>CJ3</t>
  </si>
  <si>
    <t>104 Friars Avenue, Roehampton Vale Campus Kingston University, SW15 3DW</t>
  </si>
  <si>
    <t>259-311 Battersea Park Road, SW 11 (Doddington Estate part)</t>
  </si>
  <si>
    <t>OUT2</t>
  </si>
  <si>
    <t>282 Mitcham Lane, SW16</t>
  </si>
  <si>
    <t>36 Lombard Road</t>
  </si>
  <si>
    <t>RIV6</t>
  </si>
  <si>
    <t>50  56 Tooting High Street, Tooting, SW17</t>
  </si>
  <si>
    <t>TO3</t>
  </si>
  <si>
    <t>56-70, 56-66 Putney High Street (Wereldhave Site)</t>
  </si>
  <si>
    <t>PUT1</t>
  </si>
  <si>
    <t>65-71 Wandsworth High Street incl. Spread Eagle Public House; Wandsworth High Street and 5 Garratt Lane, SW18</t>
  </si>
  <si>
    <t>WT18</t>
  </si>
  <si>
    <t>70 - 90 Putney Bridge Road and 1-2 Adelaide Road, SW18</t>
  </si>
  <si>
    <t>WT21</t>
  </si>
  <si>
    <t>80 Gwynne Road, 19 Lombard Road</t>
  </si>
  <si>
    <t>RIV8</t>
  </si>
  <si>
    <t>8-10 Chelverton Road, Putney Bus Garage, SW15 1RH</t>
  </si>
  <si>
    <t>Asda, Lidl and Boots Sites, Falcon Lane</t>
  </si>
  <si>
    <t>CJ1</t>
  </si>
  <si>
    <t>Ashburton Community Centre, Westleigh Avenue (Ashburton South Estate)</t>
  </si>
  <si>
    <t>Balham Health Centre, 120 Bedford Hill</t>
  </si>
  <si>
    <t>OUT1</t>
  </si>
  <si>
    <t>Battersea Park Road (between Stewarts Road and Thessally road)</t>
  </si>
  <si>
    <t>NE13</t>
  </si>
  <si>
    <t>Bridgelane Medical Group Practice, 20 Bridge Ln, Battersea, London SW11 3AD</t>
  </si>
  <si>
    <t>OUT5</t>
  </si>
  <si>
    <t>Brooks Court, 1-10 Cringle Street</t>
  </si>
  <si>
    <t>NE5</t>
  </si>
  <si>
    <t>Cable and Wireless Ballymore Site 6, 2a Battersea Park Road</t>
  </si>
  <si>
    <t>NE1</t>
  </si>
  <si>
    <t>Cemex Battersea Plant, Cringle Street (Kirtling Wharf)</t>
  </si>
  <si>
    <t>NE9</t>
  </si>
  <si>
    <t>Chelsea Cars and KwikFit, Armoury Way</t>
  </si>
  <si>
    <t>WT1</t>
  </si>
  <si>
    <t>Clapham Junction Station Approach, SW12</t>
  </si>
  <si>
    <t>CJ2</t>
  </si>
  <si>
    <t>Cloisters Business Centre, Battersea Park Road</t>
  </si>
  <si>
    <t>Battersea Ring Main</t>
  </si>
  <si>
    <t>NE14</t>
  </si>
  <si>
    <t>Cringle Dock, Nine Elms, SW8</t>
  </si>
  <si>
    <t>NE11</t>
  </si>
  <si>
    <t>Dovercourt site, York Road, SW11</t>
  </si>
  <si>
    <t>RIV2</t>
  </si>
  <si>
    <t>Feathers Wharf, The Causeway</t>
  </si>
  <si>
    <t>WT9</t>
  </si>
  <si>
    <t>Frogmore Depot, Dormay Street</t>
  </si>
  <si>
    <t>WT6</t>
  </si>
  <si>
    <t>Gartons Industrial Estate, Gartons Way</t>
  </si>
  <si>
    <t>RIV4</t>
  </si>
  <si>
    <t>Hunts Trucks and adjoining gasholder, Armoury Way</t>
  </si>
  <si>
    <t>WT4</t>
  </si>
  <si>
    <t>Jubilee House and cinema, 230-232 Putney Bridge Road</t>
  </si>
  <si>
    <t>PUT2</t>
  </si>
  <si>
    <t>Keltbray Site Wentworth House and adjacent land at, Dormay Street</t>
  </si>
  <si>
    <t>WT5</t>
  </si>
  <si>
    <t>Land adjacent to 102 Roehampton Vale, SW15 3RX</t>
  </si>
  <si>
    <t>Land at Clapham Junction station, SW11</t>
  </si>
  <si>
    <t>CJ4</t>
  </si>
  <si>
    <t>Land at the Causeway, The Causeway</t>
  </si>
  <si>
    <t>WT10</t>
  </si>
  <si>
    <t>Land South of Fawe Park Road, London, SW15 2EG</t>
  </si>
  <si>
    <t>Market Area, Tooting High Street</t>
  </si>
  <si>
    <t>TO1</t>
  </si>
  <si>
    <t>McDonald's, Swandon Way (1 Marl Road)</t>
  </si>
  <si>
    <t>WT14</t>
  </si>
  <si>
    <t>Mercedes Benz and Bemco, Bridgend Road</t>
  </si>
  <si>
    <t>WT15</t>
  </si>
  <si>
    <t>Metropolitan Police Warehouse Garage, Ponton Road</t>
  </si>
  <si>
    <t>NE4</t>
  </si>
  <si>
    <t>Middle Wharf, Nine Elms, SW8</t>
  </si>
  <si>
    <t>NE10</t>
  </si>
  <si>
    <t>Mount Clare, Minstead Gardens, Roehampton, SW15</t>
  </si>
  <si>
    <t>RO2</t>
  </si>
  <si>
    <t>Panorama Antennas, Dormay Street</t>
  </si>
  <si>
    <t>WT7</t>
  </si>
  <si>
    <t>Patmore Estate, Stewart's Road, Thessaly Road, SW8 4LB</t>
  </si>
  <si>
    <t>Pier Wharf, SW18</t>
  </si>
  <si>
    <t>WT22</t>
  </si>
  <si>
    <t>Putney Telephone Exchange, Montserrat Road</t>
  </si>
  <si>
    <t>PUT4</t>
  </si>
  <si>
    <t>Queen Mary's Hospital car park, SW15</t>
  </si>
  <si>
    <t>RO3</t>
  </si>
  <si>
    <t>Railway arches , Grant Road, SW11 2NU</t>
  </si>
  <si>
    <t>Railway arches adjacent to Battersea Dogs and Cats Home, 6 Battersea Park Road, SW8 4AA</t>
  </si>
  <si>
    <t>Railway arches, 14 Winthorpe Road, SW15 2LW</t>
  </si>
  <si>
    <t>Railway land, Falcon Lane, SW11 2LG</t>
  </si>
  <si>
    <t>Sainsbury's Car Park, Bedford Hill</t>
  </si>
  <si>
    <t>BA1</t>
  </si>
  <si>
    <t>Sainsbury's, 2-6 Werter Road</t>
  </si>
  <si>
    <t>PUT5</t>
  </si>
  <si>
    <t>Securicor Site, 80 Kirtling Street</t>
  </si>
  <si>
    <t>NE3</t>
  </si>
  <si>
    <t>Southfields Library  and adjoining carpark to the west, 300 Wimbledon Park Road, SW19 6NL</t>
  </si>
  <si>
    <t>Southside Shopping Centre, Wandsworth High Street, SW18</t>
  </si>
  <si>
    <t>WT20</t>
  </si>
  <si>
    <t>St George's Hospital, Blackshaw SW17</t>
  </si>
  <si>
    <t>TO2</t>
  </si>
  <si>
    <t>Travelodge Hotel, 200 York Road</t>
  </si>
  <si>
    <t>RIV10</t>
  </si>
  <si>
    <t>Travis Perkins, 37 Lombard Road</t>
  </si>
  <si>
    <t>RIV7</t>
  </si>
  <si>
    <t>Wandsworth Bridge Roundabout</t>
  </si>
  <si>
    <t>WT16</t>
  </si>
  <si>
    <t>Wandsworth Bus Garage, Jews Row</t>
  </si>
  <si>
    <t>WT17</t>
  </si>
  <si>
    <t>Wandsworth Town Hall, Wandsworth High Street, SW18</t>
  </si>
  <si>
    <t>WT19</t>
  </si>
  <si>
    <t>Wimbledon Park Estate, Wimbledon Park Road, SW19 6PF</t>
  </si>
  <si>
    <t>07 SHLAA Potential Site</t>
  </si>
  <si>
    <t>Borough-wide</t>
  </si>
  <si>
    <t>08 SHLAA Small Sites</t>
  </si>
  <si>
    <t>Existing Hostel Rooms</t>
  </si>
  <si>
    <t>Proposed Hostel Rooms</t>
  </si>
  <si>
    <t>Net Hostel Rooms</t>
  </si>
  <si>
    <t>Net Hostel Rooms ratio applied</t>
  </si>
  <si>
    <t>Existing Home Rooms</t>
  </si>
  <si>
    <t>Proposed Home Rooms</t>
  </si>
  <si>
    <t>Net Home Rooms</t>
  </si>
  <si>
    <t>Net Home Rooms ratio applied</t>
  </si>
  <si>
    <t>Existing Staff Rooms</t>
  </si>
  <si>
    <t>Proposed Staff Rooms</t>
  </si>
  <si>
    <t>Net Staff Rooms</t>
  </si>
  <si>
    <t>Net Staff Rooms ratio applied</t>
  </si>
  <si>
    <t>Existing Student Rooms</t>
  </si>
  <si>
    <t>Proposed Student Rooms</t>
  </si>
  <si>
    <t>Net Student Rooms</t>
  </si>
  <si>
    <t>Net Student Rooms ratio applied</t>
  </si>
  <si>
    <t>Existing House in Multiple Occupation Rooms</t>
  </si>
  <si>
    <t>Proposed House in Multiple Occupation Rooms</t>
  </si>
  <si>
    <t>Net House in Multiple Occupation Rooms</t>
  </si>
  <si>
    <t>Net House in Multiple Occupation Rooms ratio applied</t>
  </si>
  <si>
    <t>Net Non-Self-Contained Rooms ratio applied</t>
  </si>
  <si>
    <t>Non-Self-Contained Rooms Construction Date</t>
  </si>
  <si>
    <t>Non-Self-Contained Rooms Completion Date</t>
  </si>
  <si>
    <t>Special Needs</t>
  </si>
  <si>
    <t>Special Needs Type</t>
  </si>
  <si>
    <t>2020/5033</t>
  </si>
  <si>
    <t>5 Spalding Road</t>
  </si>
  <si>
    <t>Alterations including erection of part two, part three storey extension over existing four-storey student accommodation building at Furzedown Hall (Class C2) and enclosure of fire escape stairs and lifts to each level. Erection of part three, part four storey student accommodation building to eastern side of Furzedown Hall (Class C2); associated landscaping, boundaries treatment, refuse and bike storages.</t>
  </si>
  <si>
    <t>2010/3703</t>
  </si>
  <si>
    <t>Redevelopment of Springfield Hospital site entailing the erection of 25,000 sq m replacement mental health facilities (Use Class C2/C2A); 839 residential dwellings (including up to 262 dwellings within the converted Main Building and Elizabeth Newton Wing and 56 extra care residential apartments) (Use Class C3); 9,200 sq m elderly persons' care home (including up to 50 close care units) (Use Class C2); 240 sqm of retail floorspace (Use Class A1); a school Use Class (D1); 3,500 sq m of flexible non-residential floor space (Use Class A1 (up to 250 sq m), A2 (up to 300 sq m), A3 (up to 500 sq m), A4 (up to 250 sq m), B1 (up to 1,000 sq m), D1 (up to 750 sq m), or D2 (up to 750 sq m)); 240 sqm of retail floorspace (Use Class A1); landscaped public park; other private and public open space; construction of a combined cooling, heat and power energy centre; associated landscaping, parking, roads, access and infrastructure and other associated works. (Outline application with appearance, landscaping and scale reserved).</t>
  </si>
  <si>
    <t>EW</t>
  </si>
  <si>
    <t>2022/3163</t>
  </si>
  <si>
    <t>Application under Section 96a of the Town and Country Planning Act 1990 for amendments to conditions 8 (floorspace restrictions) and 11 (maximum floorspace per development zone) to planning permission 2014/2837 dated 05/12/2014 (for "Amendments to the planning permission dated the 29/04/14 (ref: 2013/6639) for the restoration, extension, alterations and conversion of the Power Station building to provide retail, residential flats, business, cultural, hotel and conference facilities, event space and incidental accommodation; the demolition of  other buildings and development of the land surrounding the Power Station and adjacent/nearby sites to provide retail, restaurants bars and cafes, offices, hotel, residential, community and cultural space, assembly and leisure space, student housing, serviced apartments, an energy centre and basement plant; parking for cars, coaches, motorcycles and bicycles; new access and internal road system and servicing; 'off-site' highway works; works to the jetty and riverwall to facilitate river transport and fuel delivery; provision of open space and landscaping.") The amendments relate to the change of use of five commercial units within phase 3A of the development from retail (class A1) to food and drink (class A3).</t>
  </si>
  <si>
    <t>2020/0444</t>
  </si>
  <si>
    <t>29 Honeywell Road</t>
  </si>
  <si>
    <t>Alterations to include erection of a single-storey rear/side extension to increase HMO from 7 to 8 rooms.</t>
  </si>
  <si>
    <t>2020/2825</t>
  </si>
  <si>
    <t>93 Garratt Terrace</t>
  </si>
  <si>
    <t>Alterations including roof extension above three storey back addition; Erection of single-storey rear/side extension, installation of rooflights to front roof slope, in connection with conversion of existing property from 7 x bed HMO (Sui generis) to 9 x bed HMO (Sui generis).</t>
  </si>
  <si>
    <t>2022/2653</t>
  </si>
  <si>
    <t>63 Elmfield Road</t>
  </si>
  <si>
    <t>Alterations to existing garage in connection with change of use from residential (Class C3) to a 2-person, 1-bed, short-term (holiday) let (Class C1).</t>
  </si>
  <si>
    <t>2020/4513</t>
  </si>
  <si>
    <t>11-25 and 41-47, Chatfield Road</t>
  </si>
  <si>
    <t>Variation of conditions 2 (in accordance with approved drawings) and 44 (shared-living and hotel room numbers) pursuant to planning permission dated 30/11/2020 ref 2019/5484 (Demolition of the existing buildings and erection of a podium building with two blocks above (up to 7- and 8-storeys) fronting Chatfield Road and Mendip Road comprising shared-living rooms (Sui Generis) and hotel (Class C1) with associated internal and external amenity space, office space (Class B1a), cafe/restaurant space (Class A3), flexible workspace and community space (Class B1/D1), landscaping, plant and associated works.) to allow 50 hotel rooms to become shared-living rooms, internal re-configuration including 7 additional shared-living rooms created following changes to internal amenity spaces (239 shared-living rooms and 31 hotel rooms now proposed) . Alterations to design and layout of windows and doors to ground floor of east and west elevations and first and seventh floors of north elevation.</t>
  </si>
  <si>
    <t>10.6</t>
  </si>
  <si>
    <t>WH</t>
  </si>
  <si>
    <t>2023/1052</t>
  </si>
  <si>
    <t>The Richard Cusden Homes, 6-8 Aldrington Road (Redclyffe Care Home)</t>
  </si>
  <si>
    <t>Alterations including installation of panoramic lift to front elevation, replacement of front window with doors to create new entrance with staircase and canopy; alterations to layout of front car parking spaces with landscaping and installation of bin store; single storey rear extension, installation of pergola to rear garden, and installation of external air conditioning units in connection with use as rehabilitation centre (Class C2).</t>
  </si>
  <si>
    <t>Other</t>
  </si>
  <si>
    <t>2021/5545</t>
  </si>
  <si>
    <t>Palmerston Court, 1-3 Havelock Terrace</t>
  </si>
  <si>
    <t>Non-Material Amendment under S96a of the Town and Country Planning Act (1990) to planning permission dated 08/03/2021 ref 2020/2837 (Demolition of all existing buildings and construction of 4 buildings ranging from double basement and ground plus up to 12 storeys to ground plus up to 20 storeys, comprising student accommodation and associated amenity areas (Sui-generis); office and enterprise business accommodation (Use Class B1); retail/cafe unit (Use Class A1); drinking establishment (Use Class A4) and other ancillary uses; public realm improvements; hard and soft landscaping works; plant equipment; servicing facilities including cycle parking and other associated works. An Environmental Statement has been submitted with the application under the Town and Country Planning (Environmental Impact Assessment) Regulations 2017 (as amended). Amendments to allow refinements to the building basses and entrances; fenestration and facade articulation and amendments to roof level to alter the parapet heights of Blocks B and D; the approved floor plan playouts; the student amenity provision and the student unit numbers.</t>
  </si>
  <si>
    <t>2020/2560</t>
  </si>
  <si>
    <t>Hazel Court, Haydon Way</t>
  </si>
  <si>
    <t>Demolition of existing building and the erection of a part 2 and 6 storey building comprising 159 co-living rooms (Sui Generis) including internal amenity space (with flexible events and community floor space), external amenities spaces (with external roof terraces at second, fourth and fifth floor levels), landscaping, plant, refuse and bicycle stores, and associated works.</t>
  </si>
  <si>
    <t>2021/2594</t>
  </si>
  <si>
    <t>Altura Tower, Bridges Court Road</t>
  </si>
  <si>
    <t>Change of use from hotel and associated facilities (Class C1) on part of basement to mezzanine floors and on the first to fifth floors and thirteenth floor to 96 bedroom care home (Class C2) and associated facilities.</t>
  </si>
  <si>
    <t>2021/5013</t>
  </si>
  <si>
    <t>3 Culvert Road</t>
  </si>
  <si>
    <t>Erection of buildings upto 18-storeys high plus basement comprising upto 213 shared-living units with associated internal and external amenity spaces (including outdoor terraces, gym, café, bar, lounge, workspace and kitchens), cycle storage, landscaping, servicing and associated works.</t>
  </si>
  <si>
    <t>Conventional Supply Housing Trajectory Assumptions</t>
  </si>
  <si>
    <t>New Build Development</t>
  </si>
  <si>
    <t>Criteria</t>
  </si>
  <si>
    <t>New build sites completed by 31 March 2024</t>
  </si>
  <si>
    <t>Completions between 1 April 2023 and 31 March 2024 are counted in the reporting year.</t>
  </si>
  <si>
    <t>New build sites of less than twenty new residential units under construction at 31 March 2024</t>
  </si>
  <si>
    <t>Phasing based on responses to the annual survey of applicants and agents.</t>
  </si>
  <si>
    <t>Sites known to be under construction between 1 April 2023 and 30 September 2023 are phased in the first year of the five-year supply, 2024/25.</t>
  </si>
  <si>
    <t>Sites not known to be under construction in the first six months of 2023/24 are phased over the first two years of the five-year supply, 2024/25 and 2025/26.</t>
  </si>
  <si>
    <t>New build sites of twenty or more new residential units under construction at 31 March 2024</t>
  </si>
  <si>
    <t>Phasing based on responses to the annual survey of applicants and agents or Starts and Completions annual survey.</t>
  </si>
  <si>
    <t>Where it has not been possible to contact the applicant or agent and no alternative source of phasing is available, sites are phased in the five-year supply, over the four years between 2025/26 and 2028/29.</t>
  </si>
  <si>
    <t xml:space="preserve">New build sites with unimplemented planning permission (full, outline or subject to legal agreement) at 31 March 2024 for less than six new residential units </t>
  </si>
  <si>
    <t>Phased in the five-year supply, over the four years between 2025/26 and 2028/29.</t>
  </si>
  <si>
    <t>New build sites with unimplemented planning permission (full, outline or subject to legal agreement) at 31 March 2024 for six or more new residential units</t>
  </si>
  <si>
    <t>Where it has not been possible to contact the applicant or agent and no alternative source of phasing is available, outline permissions for ten or more new residential units or permissions approved subject to legal agreements being made are phased outside the five-year supply, in the three years between 2029/30 and 2031/32.</t>
  </si>
  <si>
    <t>Where it has not been possible to contact the applicant or agent and no alternative source of phasing is available, other permissions are phased within the five-year supply, in the three years between 2027/28 and 2029/30.</t>
  </si>
  <si>
    <t>Conversion, Change of Use, Extension or Mixed Development</t>
  </si>
  <si>
    <t>Conversion, change of use, extension or mixed development sites completed by 31 March 2024</t>
  </si>
  <si>
    <t>Conversion, change of use, extension or mixed development sites under construction at 31 March 2024</t>
  </si>
  <si>
    <t xml:space="preserve">Phasing based on responses to the annual survey of applicants and agents. </t>
  </si>
  <si>
    <t>Sites known to be under construction between 1 April 2023 and 30 September 2023 are phased in the first year of the five-year supply 2024/25.</t>
  </si>
  <si>
    <t>Conversion, change of use, extension or mixed development sites with unimplemented planning permission (full, outline or subject to legal agreement) for less than six new residential units at 31 March 2024</t>
  </si>
  <si>
    <t>Sites are phased in the first four years of the five-year supply, between 2024/25 and 2027/28.</t>
  </si>
  <si>
    <t>Conversion, change of use, extension or mixed development sites with unimplemented planning permission (full, outline or subject to legal agreement) for six or more new residential units at 31 March 2024</t>
  </si>
  <si>
    <t>Where it has not been possible to contact the applicant or agent and no alternative source of phasing is available and sites are outline permissions or subject to legal agreement and are for ten or more units, these are phased outside the five-year supply, in the four years between 2029/30 and 2032/33.</t>
  </si>
  <si>
    <t>Where it has not been possible to contact the applicant or agent and no alternative source of phasing is available, other permissions are phased within the five-year supply, in the four years between 2024/25 and 2027/28.</t>
  </si>
  <si>
    <t>Identified sites outside of VNEB</t>
  </si>
  <si>
    <t>Phasing and capacity figures are based on the broad assumptions used in the Wandsworth Housing and Economic Land Availability Assessment (HELAA) 2022 and in the London Strategic Housing Land Availability Assessment (SHLAA) 2017. Figures used are estimates and do not necessarily reflect or pre-determine the acceptable housing capacity of a site. The appropriate level of development for any given site would be determined through planning application discussions with the Council and reflect the planning policies in place at the time. Phasing is adjusted to remove sites from the five-year housing land supply unless alternative evidence is available.</t>
  </si>
  <si>
    <t>Identified sites in VNEB</t>
  </si>
  <si>
    <r>
      <t xml:space="preserve">Based on a VNEB trajectory using delivery information provided by developers, or, where this was not available, the </t>
    </r>
    <r>
      <rPr>
        <i/>
        <sz val="10"/>
        <rFont val="Arial"/>
        <family val="2"/>
        <scheme val="minor"/>
      </rPr>
      <t>2016 Update to Phasing of Development and Infrastructure Funding Requirements in the Nine Elms Vauxhall Area</t>
    </r>
    <r>
      <rPr>
        <sz val="10"/>
        <rFont val="Arial"/>
        <family val="2"/>
        <scheme val="minor"/>
      </rPr>
      <t>, undertaken by BNP Paribas Real Estate. Site capacity is based on extant planning permissions, or other assumptions about the site.</t>
    </r>
  </si>
  <si>
    <t>SHLAA Sites</t>
  </si>
  <si>
    <t>SHLAA potential sites</t>
  </si>
  <si>
    <t>These are SHLAA 2017 high probability sites. However, due to the probability approach to assessing potential sites, information on individual potential sites is confidential. The release of detailed information on these sites could lead to misunderstanding as to its status and to its misapplication. Therefore the total for all potential sites is shown in the trajectory. Phasing is matched to the SHLAA 2017, with adjustments to remove sites from the five-year housing land supply unless alternative evidence is available.</t>
  </si>
  <si>
    <t>SHLAA small sites trend</t>
  </si>
  <si>
    <t>The 2017 SHLAA includes a trend- and model-based approach for sites less than 0.25ha. The trend rate rather than the model-based approach has been used as this is consistent with previous years' reporting, and data is available to report on this at a ward level.  Between 2022/23 and 2028/29 the small sites trend is applied lessing the capacity on small sites which already have planning permission and are therefore included elsewhere.</t>
  </si>
  <si>
    <t>Sites requiring correction</t>
  </si>
  <si>
    <t>Completions incorrectly recorded in previous years' reports are identified.</t>
  </si>
  <si>
    <t>Non-Self-Contained Supply Trajectory Assumptions</t>
  </si>
  <si>
    <t>Phasing Assumptions</t>
  </si>
  <si>
    <t>Sites completed by 31 March 2024</t>
  </si>
  <si>
    <t>Sites of less than fifty new rooms under construction at 31 March 2024</t>
  </si>
  <si>
    <t>Sites not known to be under construction in the first six months of 2023/24 are phased between 2024/25 and 2025/26.</t>
  </si>
  <si>
    <t>Sites of fifty or more new rooms under construction at 31 March 2024</t>
  </si>
  <si>
    <t>Phasing based on responses to the annual survey of applicants and agents, or Starts and Completions annual survey.</t>
  </si>
  <si>
    <t>Where it has not been possible to contact the applicant or agent and no alternative source of phasing is available sites are phased within the five-year supply, between the four years of 2025/26 and 2028/29.</t>
  </si>
  <si>
    <t>Sites with unimplemented planning permission (full, outline or subject to legal agreement) at 31 March 2024 for less than fifty new rooms</t>
  </si>
  <si>
    <t>Phased within the five-year supply, between the four years of 2025/26 and 2028/29.</t>
  </si>
  <si>
    <t>Sites with unimplemented planning permission (full, outline or subject to legal agreement) at 31 March 2024 for fifty or more new rooms</t>
  </si>
  <si>
    <t>Where it has not been possible to contact the applicant or agent and no alternative source of phasing is available and sites are outline permissions or subject to legal agreement, these are phased outside the five-year supply, between the four years of 2029/30 and 2032/33.</t>
  </si>
  <si>
    <t>Where it has not been possible to contact the applicant or agent and no alternative source of phasing is available, other permissions are phased mostly within the five-year supply, between the three years of 2027/28 and 2029/30.</t>
  </si>
  <si>
    <t>Abbreviations</t>
  </si>
  <si>
    <t>AF</t>
  </si>
  <si>
    <t>Full application</t>
  </si>
  <si>
    <t>AO</t>
  </si>
  <si>
    <t>Outline application</t>
  </si>
  <si>
    <t>Details/reserve matters</t>
  </si>
  <si>
    <t>Lawful development certificate</t>
  </si>
  <si>
    <t>Lawful development certificate existing</t>
  </si>
  <si>
    <t>Lawful development certificate proposed</t>
  </si>
  <si>
    <t>No status - identified potential</t>
  </si>
  <si>
    <t>NPA</t>
  </si>
  <si>
    <t>Notification of prior approval</t>
  </si>
  <si>
    <t>Prior approval given</t>
  </si>
  <si>
    <t>Prior approval not required</t>
  </si>
  <si>
    <t>PAR</t>
  </si>
  <si>
    <t>Prior approval refused</t>
  </si>
  <si>
    <t>Full planning permission</t>
  </si>
  <si>
    <t>Full permission with legal agreement signed</t>
  </si>
  <si>
    <t>PIPA</t>
  </si>
  <si>
    <t>Permission in Principle Application</t>
  </si>
  <si>
    <t>Permission in Principle</t>
  </si>
  <si>
    <t>Outline planning permission</t>
  </si>
  <si>
    <t>Outline planning permission with legal agreement signed</t>
  </si>
  <si>
    <t>Refused permission</t>
  </si>
  <si>
    <t>Minor material amendment</t>
  </si>
  <si>
    <t>Non-material amendment</t>
  </si>
  <si>
    <t>Variation to legal agreement</t>
  </si>
  <si>
    <t>Permission subject to legal agreement</t>
  </si>
  <si>
    <t>TDA</t>
  </si>
  <si>
    <t>Technical details application</t>
  </si>
  <si>
    <t>TDC</t>
  </si>
  <si>
    <t>Technical details consent</t>
  </si>
  <si>
    <t>APD</t>
  </si>
  <si>
    <t>Appeal dismissed</t>
  </si>
  <si>
    <t>Appeal granted</t>
  </si>
  <si>
    <t>APP</t>
  </si>
  <si>
    <t>Appeal submitted</t>
  </si>
  <si>
    <t>APW</t>
  </si>
  <si>
    <t>Appeal withdrawn</t>
  </si>
  <si>
    <t>No appeal</t>
  </si>
  <si>
    <t>Brownfield</t>
  </si>
  <si>
    <t>GF</t>
  </si>
  <si>
    <t>Greenfield</t>
  </si>
  <si>
    <t>Garden land</t>
  </si>
  <si>
    <t>Conversion</t>
  </si>
  <si>
    <t>Change of use</t>
  </si>
  <si>
    <t>Extension to existing</t>
  </si>
  <si>
    <t>Combination</t>
  </si>
  <si>
    <t>Residential conversion / change of use (10+ units)</t>
  </si>
  <si>
    <t>Not applicable (minor residential)</t>
  </si>
  <si>
    <t>New build (10+ units)</t>
  </si>
  <si>
    <t>Office conversion / change of use (10+ units)</t>
  </si>
  <si>
    <t>Other non-residential conversion / change of use (10+ units)</t>
  </si>
  <si>
    <t>House&gt;flats</t>
  </si>
  <si>
    <t>Flats&gt;house</t>
  </si>
  <si>
    <t>Subdivision of flats reducing number of units</t>
  </si>
  <si>
    <t>Subdivision of flats creating more units</t>
  </si>
  <si>
    <t>Conversion of ancillary residential (coach houses etc.)</t>
  </si>
  <si>
    <t>Change of use from A1 (shop)</t>
  </si>
  <si>
    <t>Change of use from B1/A2</t>
  </si>
  <si>
    <t>Change of use from other non-residential (workshops etc.)</t>
  </si>
  <si>
    <t>Loss of residential to non-residential</t>
  </si>
  <si>
    <t>Change of use to live/work</t>
  </si>
  <si>
    <t>Subdivision of houses reducing number of houses</t>
  </si>
  <si>
    <t>Subdivision of houses creating more houses</t>
  </si>
  <si>
    <t>New build 1-9 units</t>
  </si>
  <si>
    <t>o</t>
  </si>
  <si>
    <t>HMO&gt;house</t>
  </si>
  <si>
    <t>p</t>
  </si>
  <si>
    <t>House&gt;HMO</t>
  </si>
  <si>
    <t>Not applicable (large res)</t>
  </si>
  <si>
    <t>A/I</t>
  </si>
  <si>
    <t>Affordable or Intermediate</t>
  </si>
  <si>
    <t>Affordable - Affordable Rent</t>
  </si>
  <si>
    <t>Affordable - Council</t>
  </si>
  <si>
    <t>Affordable - London Affordable Rent</t>
  </si>
  <si>
    <t>Affordable - Social Rent</t>
  </si>
  <si>
    <t>Affordable - Unknown</t>
  </si>
  <si>
    <t>IFH</t>
  </si>
  <si>
    <t>Intermediate - Sale - First Homes</t>
  </si>
  <si>
    <t>Intermediate - Rent</t>
  </si>
  <si>
    <t>Intermediate - Rent - Discount Market Rent</t>
  </si>
  <si>
    <t>Intermediate - Rent - London Living Rent</t>
  </si>
  <si>
    <t>Intermediate - Sale - Discount Market Sale</t>
  </si>
  <si>
    <t>Intermediate - Sale - Shared Equity</t>
  </si>
  <si>
    <t>ISH</t>
  </si>
  <si>
    <t>Intermediate - Sale - Starter Homes</t>
  </si>
  <si>
    <t>Intermediate - Sale - Shared Ownership</t>
  </si>
  <si>
    <t>Intermediate - Unknown</t>
  </si>
  <si>
    <t>Open Market - Rent</t>
  </si>
  <si>
    <t>OK</t>
  </si>
  <si>
    <t>Other - Key Worker</t>
  </si>
  <si>
    <t>Row Labels</t>
  </si>
  <si>
    <t>Sum of Phase Net Units</t>
  </si>
  <si>
    <t>Grand Total</t>
  </si>
  <si>
    <t>Sum of Net Non-Self-Contained Rooms ratio applied</t>
  </si>
  <si>
    <t>Column Labels</t>
  </si>
  <si>
    <t>(Multiple Items)</t>
  </si>
  <si>
    <t>Sum of Phase Proposed Units</t>
  </si>
  <si>
    <t>Total Sum of Phase Proposed Units</t>
  </si>
  <si>
    <t>Total Sum of Phase Net Units</t>
  </si>
  <si>
    <t>(blank)</t>
  </si>
  <si>
    <t>(blank) Total</t>
  </si>
  <si>
    <t>Y Total</t>
  </si>
  <si>
    <t>03 Planning Total</t>
  </si>
  <si>
    <t>02 Under Construction Total</t>
  </si>
  <si>
    <t>01 Completion Total</t>
  </si>
  <si>
    <t>Sum of Net Studio Units</t>
  </si>
  <si>
    <t>Sum of Net 1 Bed Units</t>
  </si>
  <si>
    <t>Sum of Net 2 Bed Units</t>
  </si>
  <si>
    <t>Sum of Net 3 Bed Units</t>
  </si>
  <si>
    <t>Sum of Net 4 Bed Units</t>
  </si>
  <si>
    <t>Sum of Net 5+ Bed Units</t>
  </si>
  <si>
    <t>Sum of Net Not Known Bed Units</t>
  </si>
  <si>
    <t>In 2023/24, 2,815 net units were completed in Wandsworth, comprising 2,662 units of conventional supply and 153 non-self-contained units. Of all conventional supply completions, 31% were affordable. Of the 824 affordable units, 378 were Social/Affordable Rent and 446 were Intermediate. This equates to 46% Social/Affordable rent and 54% Intermediate tenure which generally aligns with the Councils adopted Local Plan requiring a 50:50 tenure split of Social/Affordable rent to Intermediate tenure. Although the completed tenure mix does not currently reflect the Councils aspiration to prioritise Social Rent, the tenure mix permitted in 2023/24 was 97% Social/Affordable rent (496 dwellings) to 3% Intermediate tenure (17 dwellings), which more closely reflects the Councils aspirations to priortise the Social Rented housing as detailed in emerging Local Plan Partial Review policies.</t>
  </si>
  <si>
    <t>In 2023/24, the Council approved a total of 1,655 net units, comprising 1,520 new builds and 135 conversions. This represents a decrease compared to previous years, which can be attributed to various factors. In part this is due to Registered Providers (RP's), also known as Affordable Housing Providers focusing on improvements to their existing stock due to a need to react to recent legislation changes, including fire safety regulations, cladding replacement, repair issues and mould/damp prevention as well as the cost of meeting higher sustainability and climate change requirements, meaning RP's are less likely to partner on a new scheme with a developer. This can lead to uncertainty within the development industry. The current pressure on RP's coupled with a softer housing market, and the sudden interest and inflation increases seen between 2022-23 has put additional pressure on the development industry. All these factors are very likely to have impacted on sites being submitted for planning permission. Within a report by the HBF (House Builders Federation), the following trend was identified nationally; "53,862 homes were approved in the first quarter of 2024, “the lowest quarterly total since Q2 2015”. This is 19 per cent less than the previous quarter and down 13 per cent on the same period in 2023", with london showing a higher reduction; "In London, 7,613 homes were approved in Q1 2024, the lowest quarterly figure since 2012 and a 39 per cent drop on the same period last year. It is a 51 per cent drop compared with Q4 2023". The data illustrates that housing market suppression is impacting development activity in London and nationally.</t>
  </si>
  <si>
    <t>Gross completions on developments of 10 or more dwellings in 2023/24</t>
  </si>
  <si>
    <t>Completed</t>
  </si>
  <si>
    <t>Units granted planning permission on developments of 10 or more dwellings by tenure in 2023/24</t>
  </si>
  <si>
    <t>Table 8e</t>
  </si>
  <si>
    <t>Last updated 02/01/2025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</si>
</sst>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quot;£&quot;* #,##0.00_-;_-&quot;£&quot;* &quot;-&quot;??_-;_-@_-"/>
    <numFmt numFmtId="43" formatCode="_-* #,##0.00_-;\-* #,##0.00_-;_-* &quot;-&quot;??_-;_-@_-"/>
    <numFmt numFmtId="164" formatCode="dd/mm/yyyy;@"/>
    <numFmt numFmtId="165" formatCode="0.000"/>
    <numFmt numFmtId="166" formatCode="#,##0.000"/>
    <numFmt numFmtId="167" formatCode="_-* #,##0_-;\-* #,##0_-;_-* &quot;-&quot;??_-;_-@_-"/>
  </numFmts>
  <fonts count="49" x14ac:knownFonts="1">
    <font>
      <sz val="10"/>
      <color theme="1"/>
      <name val="Arial"/>
      <family val="2"/>
    </font>
    <font>
      <sz val="10"/>
      <color theme="1"/>
      <name val="Arial"/>
      <family val="2"/>
    </font>
    <font>
      <sz val="10"/>
      <name val="Arial"/>
      <family val="2"/>
    </font>
    <font>
      <sz val="8"/>
      <name val="Arial"/>
      <family val="2"/>
    </font>
    <font>
      <sz val="9"/>
      <name val="Arial"/>
      <family val="2"/>
    </font>
    <font>
      <b/>
      <sz val="9"/>
      <name val="Arial"/>
      <family val="2"/>
    </font>
    <font>
      <b/>
      <sz val="8"/>
      <name val="Arial"/>
      <family val="2"/>
    </font>
    <font>
      <sz val="9"/>
      <color indexed="10"/>
      <name val="Arial"/>
      <family val="2"/>
    </font>
    <font>
      <sz val="10"/>
      <color indexed="8"/>
      <name val="Arial"/>
      <family val="2"/>
    </font>
    <font>
      <sz val="8"/>
      <color indexed="8"/>
      <name val="Arial"/>
      <family val="2"/>
    </font>
    <font>
      <sz val="8"/>
      <color indexed="10"/>
      <name val="Arial"/>
      <family val="2"/>
    </font>
    <font>
      <b/>
      <sz val="8"/>
      <color indexed="17"/>
      <name val="Arial"/>
      <family val="2"/>
    </font>
    <font>
      <b/>
      <sz val="10"/>
      <name val="Arial"/>
      <family val="2"/>
    </font>
    <font>
      <b/>
      <sz val="10"/>
      <color theme="1"/>
      <name val="Arial"/>
      <family val="2"/>
    </font>
    <font>
      <sz val="10"/>
      <color theme="0"/>
      <name val="Arial"/>
      <family val="2"/>
    </font>
    <font>
      <sz val="10"/>
      <color rgb="FF9C0006"/>
      <name val="Arial"/>
      <family val="2"/>
    </font>
    <font>
      <b/>
      <sz val="10"/>
      <color rgb="FFFA7D00"/>
      <name val="Arial"/>
      <family val="2"/>
    </font>
    <font>
      <b/>
      <sz val="10"/>
      <color theme="0"/>
      <name val="Arial"/>
      <family val="2"/>
    </font>
    <font>
      <i/>
      <sz val="10"/>
      <color rgb="FF7F7F7F"/>
      <name val="Arial"/>
      <family val="2"/>
    </font>
    <font>
      <sz val="10"/>
      <color rgb="FF006100"/>
      <name val="Arial"/>
      <family val="2"/>
    </font>
    <font>
      <b/>
      <sz val="11"/>
      <color theme="3"/>
      <name val="Arial"/>
      <family val="2"/>
    </font>
    <font>
      <sz val="10"/>
      <color rgb="FF3F3F76"/>
      <name val="Arial"/>
      <family val="2"/>
    </font>
    <font>
      <sz val="10"/>
      <color rgb="FFFA7D00"/>
      <name val="Arial"/>
      <family val="2"/>
    </font>
    <font>
      <sz val="10"/>
      <color rgb="FF9C6500"/>
      <name val="Arial"/>
      <family val="2"/>
    </font>
    <font>
      <sz val="10"/>
      <color theme="1"/>
      <name val="Arial"/>
      <family val="2"/>
    </font>
    <font>
      <b/>
      <sz val="10"/>
      <color rgb="FF3F3F3F"/>
      <name val="Arial"/>
      <family val="2"/>
    </font>
    <font>
      <sz val="10"/>
      <color rgb="FFFF0000"/>
      <name val="Arial"/>
      <family val="2"/>
    </font>
    <font>
      <b/>
      <sz val="14"/>
      <name val="Arial"/>
      <family val="2"/>
    </font>
    <font>
      <sz val="14"/>
      <color theme="1"/>
      <name val="Arial"/>
      <family val="2"/>
    </font>
    <font>
      <sz val="9"/>
      <color theme="1"/>
      <name val="Arial"/>
      <family val="2"/>
    </font>
    <font>
      <b/>
      <sz val="12"/>
      <name val="Arial"/>
      <family val="2"/>
    </font>
    <font>
      <b/>
      <sz val="12"/>
      <name val="Arial"/>
      <family val="2"/>
      <scheme val="major"/>
    </font>
    <font>
      <sz val="10"/>
      <color theme="1"/>
      <name val="Arial"/>
      <family val="2"/>
      <scheme val="minor"/>
    </font>
    <font>
      <b/>
      <sz val="12"/>
      <name val="Arial"/>
      <family val="2"/>
      <scheme val="minor"/>
    </font>
    <font>
      <sz val="12"/>
      <color theme="1"/>
      <name val="Arial"/>
      <family val="2"/>
      <scheme val="minor"/>
    </font>
    <font>
      <sz val="10"/>
      <name val="Arial"/>
      <family val="2"/>
      <scheme val="minor"/>
    </font>
    <font>
      <b/>
      <sz val="10"/>
      <name val="Arial"/>
      <family val="2"/>
      <scheme val="minor"/>
    </font>
    <font>
      <i/>
      <sz val="10"/>
      <name val="Arial"/>
      <family val="2"/>
      <scheme val="minor"/>
    </font>
    <font>
      <b/>
      <sz val="10"/>
      <color theme="1"/>
      <name val="Arial"/>
      <family val="2"/>
      <scheme val="minor"/>
    </font>
    <font>
      <sz val="10"/>
      <color rgb="FF000000"/>
      <name val="Arial"/>
      <family val="2"/>
      <scheme val="minor"/>
    </font>
    <font>
      <sz val="9"/>
      <name val="Arial"/>
      <family val="2"/>
      <scheme val="minor"/>
    </font>
    <font>
      <b/>
      <sz val="9"/>
      <color rgb="FFFF0000"/>
      <name val="Arial"/>
      <family val="2"/>
    </font>
    <font>
      <sz val="8"/>
      <color rgb="FFFF0000"/>
      <name val="Arial"/>
      <family val="2"/>
    </font>
    <font>
      <sz val="9"/>
      <color rgb="FFFF0000"/>
      <name val="Arial"/>
      <family val="2"/>
    </font>
    <font>
      <b/>
      <sz val="8"/>
      <color rgb="FFFF0000"/>
      <name val="Arial"/>
      <family val="2"/>
    </font>
    <font>
      <b/>
      <sz val="7"/>
      <color rgb="FFFF0000"/>
      <name val="Arial"/>
      <family val="2"/>
    </font>
    <font>
      <b/>
      <sz val="10"/>
      <color rgb="FFFF0000"/>
      <name val="Arial"/>
      <family val="2"/>
    </font>
    <font>
      <b/>
      <u/>
      <sz val="8"/>
      <name val="Arial"/>
      <family val="2"/>
    </font>
    <font>
      <sz val="10"/>
      <color rgb="FF000000"/>
      <name val="Arial"/>
      <family val="2"/>
    </font>
  </fonts>
  <fills count="37">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6"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6" tint="0.39997558519241921"/>
        <bgColor indexed="64"/>
      </patternFill>
    </fill>
  </fills>
  <borders count="55">
    <border>
      <left/>
      <right/>
      <top/>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style="thin">
        <color theme="0" tint="-0.499984740745262"/>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style="thin">
        <color theme="0" tint="-0.499984740745262"/>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bottom style="thin">
        <color theme="0" tint="-0.499984740745262"/>
      </bottom>
      <diagonal/>
    </border>
    <border>
      <left/>
      <right/>
      <top style="thin">
        <color theme="0" tint="-0.499984740745262"/>
      </top>
      <bottom/>
      <diagonal/>
    </border>
    <border>
      <left/>
      <right/>
      <top/>
      <bottom style="thin">
        <color theme="0" tint="-0.499984740745262"/>
      </bottom>
      <diagonal/>
    </border>
    <border>
      <left/>
      <right style="thin">
        <color theme="0" tint="-0.499984740745262"/>
      </right>
      <top/>
      <bottom/>
      <diagonal/>
    </border>
    <border>
      <left style="thin">
        <color theme="0" tint="-0.499984740745262"/>
      </left>
      <right style="thin">
        <color theme="0" tint="-0.499984740745262"/>
      </right>
      <top/>
      <bottom/>
      <diagonal/>
    </border>
    <border>
      <left/>
      <right/>
      <top/>
      <bottom style="thin">
        <color theme="1" tint="0.499984740745262"/>
      </bottom>
      <diagonal/>
    </border>
    <border>
      <left/>
      <right style="thin">
        <color theme="1" tint="0.499984740745262"/>
      </right>
      <top style="thin">
        <color theme="0" tint="-0.499984740745262"/>
      </top>
      <bottom style="thin">
        <color theme="0" tint="-0.499984740745262"/>
      </bottom>
      <diagonal/>
    </border>
    <border>
      <left style="thin">
        <color theme="1" tint="0.499984740745262"/>
      </left>
      <right/>
      <top/>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bottom/>
      <diagonal/>
    </border>
    <border>
      <left style="thin">
        <color theme="1" tint="0.499984740745262"/>
      </left>
      <right style="thin">
        <color theme="1" tint="0.499984740745262"/>
      </right>
      <top style="thin">
        <color theme="1" tint="0.499984740745262"/>
      </top>
      <bottom/>
      <diagonal/>
    </border>
    <border>
      <left/>
      <right/>
      <top style="thin">
        <color theme="1" tint="0.499984740745262"/>
      </top>
      <bottom/>
      <diagonal/>
    </border>
    <border>
      <left style="thin">
        <color theme="1" tint="0.499984740745262"/>
      </left>
      <right/>
      <top style="thin">
        <color theme="1" tint="0.499984740745262"/>
      </top>
      <bottom style="thin">
        <color theme="1" tint="0.499984740745262"/>
      </bottom>
      <diagonal/>
    </border>
    <border>
      <left/>
      <right style="thin">
        <color theme="1" tint="0.499984740745262"/>
      </right>
      <top style="thin">
        <color theme="0" tint="-0.499984740745262"/>
      </top>
      <bottom/>
      <diagonal/>
    </border>
    <border>
      <left/>
      <right style="thin">
        <color theme="1" tint="0.499984740745262"/>
      </right>
      <top/>
      <bottom style="thin">
        <color theme="0" tint="-0.499984740745262"/>
      </bottom>
      <diagonal/>
    </border>
    <border>
      <left/>
      <right style="thin">
        <color theme="1" tint="0.499984740745262"/>
      </right>
      <top/>
      <bottom/>
      <diagonal/>
    </border>
    <border>
      <left style="thin">
        <color theme="0" tint="-0.499984740745262"/>
      </left>
      <right style="thin">
        <color theme="1" tint="0.499984740745262"/>
      </right>
      <top style="thin">
        <color theme="0" tint="-0.499984740745262"/>
      </top>
      <bottom style="thin">
        <color theme="1" tint="0.499984740745262"/>
      </bottom>
      <diagonal/>
    </border>
    <border>
      <left style="thin">
        <color theme="1" tint="0.499984740745262"/>
      </left>
      <right/>
      <top/>
      <bottom style="thin">
        <color theme="1" tint="0.499984740745262"/>
      </bottom>
      <diagonal/>
    </border>
    <border>
      <left/>
      <right style="thin">
        <color theme="1" tint="0.499984740745262"/>
      </right>
      <top/>
      <bottom style="thin">
        <color theme="1" tint="0.499984740745262"/>
      </bottom>
      <diagonal/>
    </border>
    <border>
      <left style="thin">
        <color theme="1" tint="0.499984740745262"/>
      </left>
      <right/>
      <top style="thin">
        <color theme="0" tint="-0.499984740745262"/>
      </top>
      <bottom style="thin">
        <color theme="0" tint="-0.499984740745262"/>
      </bottom>
      <diagonal/>
    </border>
    <border>
      <left style="thin">
        <color theme="1" tint="0.499984740745262"/>
      </left>
      <right/>
      <top/>
      <bottom style="thin">
        <color theme="0" tint="-0.499984740745262"/>
      </bottom>
      <diagonal/>
    </border>
    <border>
      <left style="thin">
        <color theme="1" tint="0.499984740745262"/>
      </left>
      <right/>
      <top style="thin">
        <color theme="0" tint="-0.499984740745262"/>
      </top>
      <bottom/>
      <diagonal/>
    </border>
    <border>
      <left/>
      <right style="thin">
        <color rgb="FF000000"/>
      </right>
      <top style="thin">
        <color theme="0" tint="-0.499984740745262"/>
      </top>
      <bottom style="thin">
        <color theme="0" tint="-0.499984740745262"/>
      </bottom>
      <diagonal/>
    </border>
    <border>
      <left/>
      <right style="thin">
        <color rgb="FF000000"/>
      </right>
      <top style="thin">
        <color theme="0" tint="-0.499984740745262"/>
      </top>
      <bottom/>
      <diagonal/>
    </border>
    <border>
      <left/>
      <right style="thin">
        <color rgb="FF000000"/>
      </right>
      <top/>
      <bottom style="thin">
        <color theme="0" tint="-0.499984740745262"/>
      </bottom>
      <diagonal/>
    </border>
    <border>
      <left/>
      <right style="thin">
        <color rgb="FF000000"/>
      </right>
      <top/>
      <bottom/>
      <diagonal/>
    </border>
    <border>
      <left style="thin">
        <color theme="0" tint="-0.499984740745262"/>
      </left>
      <right style="thin">
        <color indexed="64"/>
      </right>
      <top style="thin">
        <color theme="0" tint="-0.499984740745262"/>
      </top>
      <bottom style="thin">
        <color theme="0" tint="-0.499984740745262"/>
      </bottom>
      <diagonal/>
    </border>
    <border>
      <left style="thin">
        <color theme="1" tint="0.499984740745262"/>
      </left>
      <right/>
      <top style="thin">
        <color theme="1" tint="0.499984740745262"/>
      </top>
      <bottom/>
      <diagonal/>
    </border>
    <border>
      <left style="thin">
        <color theme="1" tint="0.499984740745262"/>
      </left>
      <right/>
      <top style="thin">
        <color theme="0" tint="-0.499984740745262"/>
      </top>
      <bottom style="thin">
        <color theme="1" tint="0.499984740745262"/>
      </bottom>
      <diagonal/>
    </border>
    <border>
      <left/>
      <right/>
      <top style="thin">
        <color theme="0" tint="-0.499984740745262"/>
      </top>
      <bottom style="thin">
        <color theme="1" tint="0.499984740745262"/>
      </bottom>
      <diagonal/>
    </border>
    <border>
      <left/>
      <right style="thin">
        <color rgb="FF000000"/>
      </right>
      <top style="thin">
        <color theme="0" tint="-0.499984740745262"/>
      </top>
      <bottom style="thin">
        <color theme="1" tint="0.499984740745262"/>
      </bottom>
      <diagonal/>
    </border>
    <border>
      <left style="thin">
        <color theme="0" tint="-0.499984740745262"/>
      </left>
      <right style="thin">
        <color theme="1" tint="0.499984740745262"/>
      </right>
      <top style="thin">
        <color theme="0" tint="-0.499984740745262"/>
      </top>
      <bottom style="thin">
        <color theme="0" tint="-0.499984740745262"/>
      </bottom>
      <diagonal/>
    </border>
    <border>
      <left style="thin">
        <color rgb="FFD0D7E5"/>
      </left>
      <right style="thin">
        <color rgb="FFD0D7E5"/>
      </right>
      <top style="thin">
        <color rgb="FFD0D7E5"/>
      </top>
      <bottom style="thin">
        <color rgb="FFD0D7E5"/>
      </bottom>
      <diagonal/>
    </border>
    <border>
      <left style="thin">
        <color theme="0" tint="-0.499984740745262"/>
      </left>
      <right style="thin">
        <color theme="0" tint="-0.499984740745262"/>
      </right>
      <top style="thin">
        <color theme="1" tint="0.499984740745262"/>
      </top>
      <bottom style="thin">
        <color theme="0"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right style="thin">
        <color theme="1" tint="0.499984740745262"/>
      </right>
      <top style="thin">
        <color theme="1" tint="0.499984740745262"/>
      </top>
      <bottom/>
      <diagonal/>
    </border>
  </borders>
  <cellStyleXfs count="45">
    <xf numFmtId="0" fontId="0" fillId="3" borderId="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4" fillId="15" borderId="0" applyNumberFormat="0" applyBorder="0" applyAlignment="0" applyProtection="0"/>
    <xf numFmtId="0" fontId="14" fillId="19" borderId="0" applyNumberFormat="0" applyBorder="0" applyAlignment="0" applyProtection="0"/>
    <xf numFmtId="0" fontId="14" fillId="23" borderId="0" applyNumberFormat="0" applyBorder="0" applyAlignment="0" applyProtection="0"/>
    <xf numFmtId="0" fontId="14" fillId="27" borderId="0" applyNumberFormat="0" applyBorder="0" applyAlignment="0" applyProtection="0"/>
    <xf numFmtId="0" fontId="14" fillId="31" borderId="0" applyNumberFormat="0" applyBorder="0" applyAlignment="0" applyProtection="0"/>
    <xf numFmtId="0" fontId="14" fillId="35" borderId="0" applyNumberFormat="0" applyBorder="0" applyAlignment="0" applyProtection="0"/>
    <xf numFmtId="0" fontId="14" fillId="12" borderId="0" applyNumberFormat="0" applyBorder="0" applyAlignment="0" applyProtection="0"/>
    <xf numFmtId="0" fontId="14" fillId="16" borderId="0" applyNumberFormat="0" applyBorder="0" applyAlignment="0" applyProtection="0"/>
    <xf numFmtId="0" fontId="14" fillId="20" borderId="0" applyNumberFormat="0" applyBorder="0" applyAlignment="0" applyProtection="0"/>
    <xf numFmtId="0" fontId="14" fillId="24" borderId="0" applyNumberFormat="0" applyBorder="0" applyAlignment="0" applyProtection="0"/>
    <xf numFmtId="0" fontId="14" fillId="28" borderId="0" applyNumberFormat="0" applyBorder="0" applyAlignment="0" applyProtection="0"/>
    <xf numFmtId="0" fontId="14" fillId="32" borderId="0" applyNumberFormat="0" applyBorder="0" applyAlignment="0" applyProtection="0"/>
    <xf numFmtId="0" fontId="15" fillId="6" borderId="0" applyNumberFormat="0" applyBorder="0" applyAlignment="0" applyProtection="0"/>
    <xf numFmtId="0" fontId="16" fillId="9" borderId="2" applyNumberFormat="0" applyAlignment="0" applyProtection="0"/>
    <xf numFmtId="0" fontId="17" fillId="10" borderId="5" applyNumberFormat="0" applyAlignment="0" applyProtection="0"/>
    <xf numFmtId="44" fontId="2" fillId="0" borderId="0" applyFont="0" applyFill="0" applyBorder="0" applyAlignment="0" applyProtection="0"/>
    <xf numFmtId="0" fontId="18" fillId="0" borderId="0" applyNumberFormat="0" applyFill="0" applyBorder="0" applyAlignment="0" applyProtection="0"/>
    <xf numFmtId="0" fontId="19" fillId="5" borderId="0" applyNumberFormat="0" applyBorder="0" applyAlignment="0" applyProtection="0"/>
    <xf numFmtId="0" fontId="30" fillId="0" borderId="0" applyNumberFormat="0" applyFill="0" applyBorder="0" applyAlignment="0" applyProtection="0"/>
    <xf numFmtId="0" fontId="12" fillId="0" borderId="0" applyNumberFormat="0" applyFill="0" applyAlignment="0" applyProtection="0"/>
    <xf numFmtId="0" fontId="20" fillId="0" borderId="1" applyNumberFormat="0" applyFill="0" applyAlignment="0" applyProtection="0"/>
    <xf numFmtId="0" fontId="20" fillId="0" borderId="0" applyNumberFormat="0" applyFill="0" applyBorder="0" applyAlignment="0" applyProtection="0"/>
    <xf numFmtId="0" fontId="21" fillId="8" borderId="2" applyNumberFormat="0" applyAlignment="0" applyProtection="0"/>
    <xf numFmtId="0" fontId="22" fillId="0" borderId="4" applyNumberFormat="0" applyFill="0" applyAlignment="0" applyProtection="0"/>
    <xf numFmtId="0" fontId="23" fillId="7" borderId="0" applyNumberFormat="0" applyBorder="0" applyAlignment="0" applyProtection="0"/>
    <xf numFmtId="0" fontId="24" fillId="11" borderId="6" applyNumberFormat="0" applyFont="0" applyAlignment="0" applyProtection="0"/>
    <xf numFmtId="0" fontId="25" fillId="9" borderId="3" applyNumberFormat="0" applyAlignment="0" applyProtection="0"/>
    <xf numFmtId="9" fontId="2" fillId="0" borderId="0" applyFont="0" applyFill="0" applyBorder="0" applyAlignment="0" applyProtection="0"/>
    <xf numFmtId="0" fontId="31" fillId="0" borderId="0" applyNumberFormat="0" applyFill="0" applyBorder="0" applyAlignment="0" applyProtection="0"/>
    <xf numFmtId="0" fontId="13" fillId="0" borderId="7" applyNumberFormat="0" applyFill="0" applyAlignment="0" applyProtection="0"/>
    <xf numFmtId="0" fontId="26" fillId="0" borderId="0" applyNumberFormat="0" applyFill="0" applyBorder="0" applyAlignment="0" applyProtection="0"/>
    <xf numFmtId="43" fontId="2" fillId="0" borderId="0" applyFont="0" applyFill="0" applyBorder="0" applyAlignment="0" applyProtection="0"/>
  </cellStyleXfs>
  <cellXfs count="432">
    <xf numFmtId="0" fontId="0" fillId="3" borderId="0" xfId="0"/>
    <xf numFmtId="0" fontId="8" fillId="2" borderId="0" xfId="0" applyFont="1" applyFill="1"/>
    <xf numFmtId="0" fontId="0" fillId="2" borderId="0" xfId="0" applyFill="1"/>
    <xf numFmtId="0" fontId="4" fillId="2" borderId="0" xfId="0" applyFont="1" applyFill="1"/>
    <xf numFmtId="0" fontId="5" fillId="2" borderId="0" xfId="0" applyFont="1" applyFill="1" applyAlignment="1">
      <alignment wrapText="1"/>
    </xf>
    <xf numFmtId="3" fontId="5" fillId="2" borderId="0" xfId="0" applyNumberFormat="1" applyFont="1" applyFill="1" applyAlignment="1">
      <alignment horizontal="center"/>
    </xf>
    <xf numFmtId="0" fontId="5" fillId="2" borderId="0" xfId="0" applyFont="1" applyFill="1"/>
    <xf numFmtId="0" fontId="4" fillId="2" borderId="0" xfId="0" applyFont="1" applyFill="1" applyAlignment="1">
      <alignment horizontal="center" vertical="center"/>
    </xf>
    <xf numFmtId="0" fontId="0" fillId="2" borderId="0" xfId="0" applyFill="1" applyAlignment="1">
      <alignment horizontal="center" vertical="center"/>
    </xf>
    <xf numFmtId="0" fontId="7" fillId="2" borderId="0" xfId="0" applyFont="1" applyFill="1"/>
    <xf numFmtId="3" fontId="11" fillId="2" borderId="0" xfId="0" applyNumberFormat="1" applyFont="1" applyFill="1" applyAlignment="1">
      <alignment horizontal="center"/>
    </xf>
    <xf numFmtId="9" fontId="6" fillId="4" borderId="8" xfId="40" applyFont="1" applyFill="1" applyBorder="1" applyAlignment="1">
      <alignment horizontal="right"/>
    </xf>
    <xf numFmtId="3" fontId="9" fillId="2" borderId="8" xfId="0" applyNumberFormat="1" applyFont="1" applyFill="1" applyBorder="1" applyAlignment="1">
      <alignment horizontal="right" vertical="center"/>
    </xf>
    <xf numFmtId="3" fontId="3" fillId="0" borderId="8" xfId="0" applyNumberFormat="1" applyFont="1" applyFill="1" applyBorder="1" applyAlignment="1">
      <alignment horizontal="right"/>
    </xf>
    <xf numFmtId="9" fontId="3" fillId="0" borderId="8" xfId="0" applyNumberFormat="1" applyFont="1" applyFill="1" applyBorder="1" applyAlignment="1">
      <alignment horizontal="right"/>
    </xf>
    <xf numFmtId="3" fontId="6" fillId="0" borderId="8" xfId="0" applyNumberFormat="1" applyFont="1" applyFill="1" applyBorder="1" applyAlignment="1">
      <alignment horizontal="right"/>
    </xf>
    <xf numFmtId="9" fontId="6" fillId="0" borderId="8" xfId="0" applyNumberFormat="1" applyFont="1" applyFill="1" applyBorder="1" applyAlignment="1">
      <alignment horizontal="right"/>
    </xf>
    <xf numFmtId="9" fontId="6" fillId="4" borderId="8" xfId="0" applyNumberFormat="1" applyFont="1" applyFill="1" applyBorder="1" applyAlignment="1">
      <alignment horizontal="right"/>
    </xf>
    <xf numFmtId="3" fontId="6" fillId="4" borderId="8" xfId="44" applyNumberFormat="1" applyFont="1" applyFill="1" applyBorder="1" applyAlignment="1">
      <alignment horizontal="right"/>
    </xf>
    <xf numFmtId="3" fontId="3" fillId="4" borderId="8" xfId="0" applyNumberFormat="1" applyFont="1" applyFill="1" applyBorder="1" applyAlignment="1">
      <alignment horizontal="right"/>
    </xf>
    <xf numFmtId="0" fontId="3" fillId="3" borderId="0" xfId="0" applyFont="1" applyAlignment="1">
      <alignment horizontal="left" vertical="center" wrapText="1"/>
    </xf>
    <xf numFmtId="0" fontId="3" fillId="3" borderId="0" xfId="0" applyFont="1" applyAlignment="1">
      <alignment horizontal="center" vertical="center" wrapText="1"/>
    </xf>
    <xf numFmtId="4" fontId="3" fillId="3" borderId="0" xfId="0" applyNumberFormat="1" applyFont="1" applyAlignment="1">
      <alignment horizontal="right" vertical="center" wrapText="1"/>
    </xf>
    <xf numFmtId="0" fontId="4" fillId="3" borderId="0" xfId="0" applyFont="1"/>
    <xf numFmtId="3" fontId="6" fillId="4" borderId="8" xfId="0" applyNumberFormat="1" applyFont="1" applyFill="1" applyBorder="1" applyAlignment="1">
      <alignment horizontal="right"/>
    </xf>
    <xf numFmtId="0" fontId="6" fillId="3" borderId="0" xfId="0" applyFont="1" applyAlignment="1">
      <alignment wrapText="1"/>
    </xf>
    <xf numFmtId="3" fontId="6" fillId="3" borderId="0" xfId="0" applyNumberFormat="1" applyFont="1" applyAlignment="1">
      <alignment horizontal="right"/>
    </xf>
    <xf numFmtId="9" fontId="6" fillId="3" borderId="0" xfId="40" applyFont="1" applyFill="1" applyBorder="1" applyAlignment="1">
      <alignment horizontal="right"/>
    </xf>
    <xf numFmtId="0" fontId="0" fillId="3" borderId="0" xfId="0" applyAlignment="1">
      <alignment horizontal="left"/>
    </xf>
    <xf numFmtId="0" fontId="0" fillId="3" borderId="0" xfId="0" pivotButton="1"/>
    <xf numFmtId="0" fontId="3" fillId="3" borderId="9" xfId="0" applyFont="1" applyBorder="1" applyAlignment="1">
      <alignment horizontal="center" vertical="center" wrapText="1"/>
    </xf>
    <xf numFmtId="0" fontId="3" fillId="3" borderId="0" xfId="0" applyFont="1" applyAlignment="1">
      <alignment vertical="center" wrapText="1"/>
    </xf>
    <xf numFmtId="0" fontId="5" fillId="36" borderId="19" xfId="0" applyFont="1" applyFill="1" applyBorder="1"/>
    <xf numFmtId="0" fontId="5" fillId="3" borderId="14" xfId="0" applyFont="1" applyBorder="1"/>
    <xf numFmtId="0" fontId="3" fillId="36" borderId="8" xfId="0" applyFont="1" applyFill="1" applyBorder="1" applyAlignment="1">
      <alignment horizontal="center" vertical="center"/>
    </xf>
    <xf numFmtId="0" fontId="28" fillId="3" borderId="0" xfId="0" applyFont="1"/>
    <xf numFmtId="0" fontId="6" fillId="36" borderId="8" xfId="0" applyFont="1" applyFill="1" applyBorder="1" applyAlignment="1">
      <alignment horizontal="center"/>
    </xf>
    <xf numFmtId="0" fontId="6" fillId="4" borderId="8" xfId="0" applyFont="1" applyFill="1" applyBorder="1"/>
    <xf numFmtId="0" fontId="3" fillId="2" borderId="11" xfId="0" applyFont="1" applyFill="1" applyBorder="1"/>
    <xf numFmtId="0" fontId="3" fillId="2" borderId="9" xfId="0" applyFont="1" applyFill="1" applyBorder="1"/>
    <xf numFmtId="0" fontId="5" fillId="3" borderId="0" xfId="0" applyFont="1" applyAlignment="1">
      <alignment horizontal="left"/>
    </xf>
    <xf numFmtId="0" fontId="0" fillId="2" borderId="0" xfId="0" applyFill="1" applyAlignment="1">
      <alignment vertical="center"/>
    </xf>
    <xf numFmtId="0" fontId="12" fillId="2" borderId="0" xfId="0" applyFont="1" applyFill="1" applyAlignment="1">
      <alignment wrapText="1"/>
    </xf>
    <xf numFmtId="0" fontId="3" fillId="3" borderId="19" xfId="0" applyFont="1" applyBorder="1"/>
    <xf numFmtId="3" fontId="6" fillId="3" borderId="19" xfId="0" applyNumberFormat="1" applyFont="1" applyBorder="1" applyAlignment="1">
      <alignment horizontal="right"/>
    </xf>
    <xf numFmtId="0" fontId="10" fillId="2" borderId="0" xfId="0" applyFont="1" applyFill="1"/>
    <xf numFmtId="0" fontId="0" fillId="2" borderId="19" xfId="0" applyFill="1" applyBorder="1"/>
    <xf numFmtId="0" fontId="6" fillId="2" borderId="0" xfId="0" applyFont="1" applyFill="1"/>
    <xf numFmtId="0" fontId="4" fillId="36" borderId="11" xfId="0" applyFont="1" applyFill="1" applyBorder="1"/>
    <xf numFmtId="14" fontId="4" fillId="36" borderId="10" xfId="0" applyNumberFormat="1" applyFont="1" applyFill="1" applyBorder="1" applyAlignment="1">
      <alignment horizontal="right"/>
    </xf>
    <xf numFmtId="0" fontId="5" fillId="36" borderId="12" xfId="0" applyFont="1" applyFill="1" applyBorder="1"/>
    <xf numFmtId="0" fontId="5" fillId="36" borderId="13" xfId="0" applyFont="1" applyFill="1" applyBorder="1"/>
    <xf numFmtId="0" fontId="3" fillId="3" borderId="8" xfId="0" applyFont="1" applyBorder="1" applyAlignment="1">
      <alignment horizontal="center" vertical="center" wrapText="1"/>
    </xf>
    <xf numFmtId="0" fontId="6" fillId="36" borderId="8" xfId="0" applyFont="1" applyFill="1" applyBorder="1" applyAlignment="1">
      <alignment horizontal="left" vertical="center"/>
    </xf>
    <xf numFmtId="0" fontId="3" fillId="2" borderId="8" xfId="0" applyFont="1" applyFill="1" applyBorder="1"/>
    <xf numFmtId="0" fontId="6" fillId="0" borderId="8" xfId="0" applyFont="1" applyFill="1" applyBorder="1"/>
    <xf numFmtId="0" fontId="6" fillId="2" borderId="8" xfId="0" applyFont="1" applyFill="1" applyBorder="1"/>
    <xf numFmtId="0" fontId="6" fillId="3" borderId="0" xfId="0" applyFont="1" applyAlignment="1">
      <alignment horizontal="left"/>
    </xf>
    <xf numFmtId="3" fontId="6" fillId="3" borderId="0" xfId="0" applyNumberFormat="1" applyFont="1" applyAlignment="1">
      <alignment horizontal="right" vertical="center" wrapText="1"/>
    </xf>
    <xf numFmtId="9" fontId="6" fillId="3" borderId="0" xfId="40" applyFont="1" applyFill="1" applyBorder="1" applyAlignment="1">
      <alignment horizontal="right" vertical="center" wrapText="1"/>
    </xf>
    <xf numFmtId="0" fontId="3" fillId="2" borderId="0" xfId="0" applyFont="1" applyFill="1"/>
    <xf numFmtId="0" fontId="27" fillId="3" borderId="0" xfId="0" applyFont="1"/>
    <xf numFmtId="0" fontId="4" fillId="2" borderId="8" xfId="0" applyFont="1" applyFill="1" applyBorder="1" applyAlignment="1">
      <alignment vertical="top"/>
    </xf>
    <xf numFmtId="0" fontId="29" fillId="2" borderId="8" xfId="0" applyFont="1" applyFill="1" applyBorder="1" applyAlignment="1">
      <alignment vertical="top"/>
    </xf>
    <xf numFmtId="0" fontId="29" fillId="2" borderId="0" xfId="0" applyFont="1" applyFill="1" applyAlignment="1">
      <alignment vertical="center"/>
    </xf>
    <xf numFmtId="0" fontId="4" fillId="2" borderId="8" xfId="0" applyFont="1" applyFill="1" applyBorder="1"/>
    <xf numFmtId="0" fontId="4" fillId="2" borderId="18" xfId="0" applyFont="1" applyFill="1" applyBorder="1"/>
    <xf numFmtId="0" fontId="3" fillId="0" borderId="8" xfId="0" applyFont="1" applyFill="1" applyBorder="1"/>
    <xf numFmtId="3" fontId="3" fillId="2" borderId="8" xfId="0" applyNumberFormat="1" applyFont="1" applyFill="1" applyBorder="1" applyAlignment="1">
      <alignment horizontal="right"/>
    </xf>
    <xf numFmtId="0" fontId="30" fillId="3" borderId="0" xfId="31" applyFill="1" applyBorder="1" applyAlignment="1">
      <alignment horizontal="left"/>
    </xf>
    <xf numFmtId="0" fontId="30" fillId="3" borderId="0" xfId="31" applyFill="1" applyBorder="1" applyAlignment="1">
      <alignment horizontal="center" vertical="center" wrapText="1"/>
    </xf>
    <xf numFmtId="0" fontId="30" fillId="2" borderId="0" xfId="31" applyFill="1" applyBorder="1" applyAlignment="1">
      <alignment horizontal="left"/>
    </xf>
    <xf numFmtId="0" fontId="30" fillId="2" borderId="0" xfId="31" applyFill="1" applyBorder="1"/>
    <xf numFmtId="0" fontId="12" fillId="2" borderId="0" xfId="32" applyFill="1"/>
    <xf numFmtId="0" fontId="30" fillId="2" borderId="0" xfId="31" applyFill="1" applyAlignment="1">
      <alignment horizontal="left"/>
    </xf>
    <xf numFmtId="0" fontId="3" fillId="4" borderId="8" xfId="0" applyFont="1" applyFill="1" applyBorder="1"/>
    <xf numFmtId="3" fontId="3" fillId="4" borderId="8" xfId="0" applyNumberFormat="1" applyFont="1" applyFill="1" applyBorder="1" applyAlignment="1">
      <alignment horizontal="right" vertical="center"/>
    </xf>
    <xf numFmtId="9" fontId="3" fillId="0" borderId="8" xfId="40" applyFont="1" applyFill="1" applyBorder="1" applyAlignment="1">
      <alignment horizontal="right"/>
    </xf>
    <xf numFmtId="3" fontId="3" fillId="3" borderId="0" xfId="0" applyNumberFormat="1" applyFont="1" applyAlignment="1">
      <alignment horizontal="right"/>
    </xf>
    <xf numFmtId="9" fontId="3" fillId="4" borderId="8" xfId="0" applyNumberFormat="1" applyFont="1" applyFill="1" applyBorder="1" applyAlignment="1">
      <alignment horizontal="right"/>
    </xf>
    <xf numFmtId="9" fontId="3" fillId="2" borderId="8" xfId="0" applyNumberFormat="1" applyFont="1" applyFill="1" applyBorder="1" applyAlignment="1">
      <alignment horizontal="right"/>
    </xf>
    <xf numFmtId="0" fontId="3" fillId="2" borderId="0" xfId="0" applyFont="1" applyFill="1" applyAlignment="1">
      <alignment wrapText="1"/>
    </xf>
    <xf numFmtId="3" fontId="3" fillId="2" borderId="0" xfId="0" applyNumberFormat="1" applyFont="1" applyFill="1" applyAlignment="1">
      <alignment horizontal="center"/>
    </xf>
    <xf numFmtId="3" fontId="3" fillId="2" borderId="8" xfId="0" applyNumberFormat="1" applyFont="1" applyFill="1" applyBorder="1" applyAlignment="1">
      <alignment horizontal="right" vertical="center"/>
    </xf>
    <xf numFmtId="3" fontId="3" fillId="2" borderId="8" xfId="44" applyNumberFormat="1" applyFont="1" applyFill="1" applyBorder="1" applyAlignment="1">
      <alignment horizontal="right"/>
    </xf>
    <xf numFmtId="0" fontId="3" fillId="0" borderId="9" xfId="0" applyFont="1" applyFill="1" applyBorder="1"/>
    <xf numFmtId="0" fontId="3" fillId="0" borderId="9" xfId="0" applyFont="1" applyFill="1" applyBorder="1" applyAlignment="1">
      <alignment horizontal="center" vertical="center" wrapText="1"/>
    </xf>
    <xf numFmtId="1" fontId="0" fillId="3" borderId="0" xfId="0" applyNumberFormat="1"/>
    <xf numFmtId="3" fontId="3" fillId="3" borderId="18" xfId="0" applyNumberFormat="1" applyFont="1" applyBorder="1" applyAlignment="1">
      <alignment horizontal="right" wrapText="1"/>
    </xf>
    <xf numFmtId="3" fontId="3" fillId="3" borderId="15" xfId="0" applyNumberFormat="1" applyFont="1" applyBorder="1" applyAlignment="1">
      <alignment wrapText="1"/>
    </xf>
    <xf numFmtId="9" fontId="3" fillId="3" borderId="44" xfId="0" applyNumberFormat="1" applyFont="1" applyBorder="1" applyAlignment="1">
      <alignment wrapText="1"/>
    </xf>
    <xf numFmtId="3" fontId="3" fillId="3" borderId="0" xfId="0" applyNumberFormat="1" applyFont="1" applyAlignment="1">
      <alignment horizontal="right" wrapText="1"/>
    </xf>
    <xf numFmtId="9" fontId="3" fillId="3" borderId="0" xfId="0" applyNumberFormat="1" applyFont="1" applyAlignment="1">
      <alignment horizontal="right" wrapText="1"/>
    </xf>
    <xf numFmtId="0" fontId="3" fillId="3" borderId="0" xfId="0" applyFont="1" applyAlignment="1">
      <alignment vertical="center"/>
    </xf>
    <xf numFmtId="0" fontId="4" fillId="2" borderId="25" xfId="0" applyFont="1" applyFill="1" applyBorder="1" applyAlignment="1">
      <alignment horizontal="center" vertical="center"/>
    </xf>
    <xf numFmtId="0" fontId="3" fillId="36" borderId="49" xfId="0" applyFont="1" applyFill="1" applyBorder="1" applyAlignment="1">
      <alignment horizontal="center" vertical="center"/>
    </xf>
    <xf numFmtId="3" fontId="6" fillId="36" borderId="51" xfId="0" applyNumberFormat="1" applyFont="1" applyFill="1" applyBorder="1" applyAlignment="1">
      <alignment horizontal="center" vertical="center" wrapText="1"/>
    </xf>
    <xf numFmtId="0" fontId="6" fillId="36" borderId="51" xfId="0" applyFont="1" applyFill="1" applyBorder="1" applyAlignment="1">
      <alignment horizontal="center" vertical="center" wrapText="1"/>
    </xf>
    <xf numFmtId="0" fontId="3" fillId="0" borderId="10" xfId="0" applyFont="1" applyFill="1" applyBorder="1"/>
    <xf numFmtId="0" fontId="32" fillId="0" borderId="0" xfId="0" applyFont="1" applyFill="1"/>
    <xf numFmtId="0" fontId="32" fillId="0" borderId="0" xfId="0" applyFont="1" applyFill="1" applyAlignment="1">
      <alignment horizontal="center"/>
    </xf>
    <xf numFmtId="1" fontId="32" fillId="0" borderId="0" xfId="0" applyNumberFormat="1" applyFont="1" applyFill="1" applyAlignment="1">
      <alignment horizontal="center"/>
    </xf>
    <xf numFmtId="0" fontId="32" fillId="0" borderId="50" xfId="0" applyFont="1" applyFill="1" applyBorder="1"/>
    <xf numFmtId="14" fontId="32" fillId="0" borderId="50" xfId="0" applyNumberFormat="1" applyFont="1" applyFill="1" applyBorder="1"/>
    <xf numFmtId="165" fontId="32" fillId="0" borderId="50" xfId="0" applyNumberFormat="1" applyFont="1" applyFill="1" applyBorder="1"/>
    <xf numFmtId="0" fontId="32" fillId="0" borderId="50" xfId="0" applyFont="1" applyFill="1" applyBorder="1" applyAlignment="1">
      <alignment horizontal="center"/>
    </xf>
    <xf numFmtId="0" fontId="6" fillId="36" borderId="10" xfId="0" applyFont="1" applyFill="1" applyBorder="1" applyAlignment="1">
      <alignment horizontal="center"/>
    </xf>
    <xf numFmtId="0" fontId="6" fillId="36" borderId="8" xfId="0" applyFont="1" applyFill="1" applyBorder="1" applyAlignment="1">
      <alignment horizontal="center" vertical="center" wrapText="1"/>
    </xf>
    <xf numFmtId="0" fontId="34" fillId="2" borderId="0" xfId="0" applyFont="1" applyFill="1" applyAlignment="1">
      <alignment vertical="center" wrapText="1"/>
    </xf>
    <xf numFmtId="0" fontId="32" fillId="2" borderId="0" xfId="0" applyFont="1" applyFill="1" applyAlignment="1">
      <alignment vertical="center" wrapText="1"/>
    </xf>
    <xf numFmtId="0" fontId="35" fillId="2" borderId="0" xfId="0" applyFont="1" applyFill="1" applyAlignment="1">
      <alignment horizontal="left" vertical="top" wrapText="1"/>
    </xf>
    <xf numFmtId="0" fontId="32" fillId="2" borderId="0" xfId="0" applyFont="1" applyFill="1" applyAlignment="1">
      <alignment wrapText="1"/>
    </xf>
    <xf numFmtId="0" fontId="36" fillId="36" borderId="8" xfId="0" applyFont="1" applyFill="1" applyBorder="1" applyAlignment="1">
      <alignment vertical="top" wrapText="1"/>
    </xf>
    <xf numFmtId="0" fontId="32" fillId="2" borderId="8" xfId="0" applyFont="1" applyFill="1" applyBorder="1" applyAlignment="1">
      <alignment horizontal="center" vertical="center" wrapText="1"/>
    </xf>
    <xf numFmtId="0" fontId="35" fillId="0" borderId="8" xfId="0" applyFont="1" applyFill="1" applyBorder="1" applyAlignment="1">
      <alignment vertical="center" wrapText="1"/>
    </xf>
    <xf numFmtId="0" fontId="32" fillId="2" borderId="18" xfId="0" applyFont="1" applyFill="1" applyBorder="1" applyAlignment="1">
      <alignment horizontal="center" vertical="center" wrapText="1"/>
    </xf>
    <xf numFmtId="0" fontId="34" fillId="2" borderId="0" xfId="0" applyFont="1" applyFill="1" applyAlignment="1">
      <alignment wrapText="1"/>
    </xf>
    <xf numFmtId="0" fontId="32" fillId="3" borderId="19" xfId="0" applyFont="1" applyBorder="1" applyAlignment="1">
      <alignment horizontal="center" vertical="center" wrapText="1"/>
    </xf>
    <xf numFmtId="0" fontId="35" fillId="3" borderId="19" xfId="0" applyFont="1" applyBorder="1" applyAlignment="1">
      <alignment vertical="center" wrapText="1"/>
    </xf>
    <xf numFmtId="0" fontId="32" fillId="3" borderId="20" xfId="0" applyFont="1" applyBorder="1" applyAlignment="1">
      <alignment horizontal="center" vertical="center" wrapText="1"/>
    </xf>
    <xf numFmtId="0" fontId="35" fillId="3" borderId="20" xfId="0" applyFont="1" applyBorder="1" applyAlignment="1">
      <alignment vertical="center" wrapText="1"/>
    </xf>
    <xf numFmtId="0" fontId="32" fillId="0" borderId="8" xfId="0" applyFont="1" applyFill="1" applyBorder="1" applyAlignment="1">
      <alignment horizontal="center" vertical="center" wrapText="1"/>
    </xf>
    <xf numFmtId="0" fontId="35" fillId="2" borderId="8" xfId="0" applyFont="1" applyFill="1" applyBorder="1" applyAlignment="1">
      <alignment horizontal="left" vertical="center" wrapText="1"/>
    </xf>
    <xf numFmtId="0" fontId="35" fillId="2" borderId="8" xfId="0" applyFont="1" applyFill="1" applyBorder="1" applyAlignment="1">
      <alignment vertical="center" wrapText="1"/>
    </xf>
    <xf numFmtId="0" fontId="32" fillId="2" borderId="19" xfId="0" applyFont="1" applyFill="1" applyBorder="1" applyAlignment="1">
      <alignment horizontal="center" vertical="center" wrapText="1"/>
    </xf>
    <xf numFmtId="0" fontId="35" fillId="2" borderId="19" xfId="0" applyFont="1" applyFill="1" applyBorder="1" applyAlignment="1">
      <alignment vertical="center" wrapText="1"/>
    </xf>
    <xf numFmtId="0" fontId="32" fillId="2" borderId="20" xfId="0" applyFont="1" applyFill="1" applyBorder="1" applyAlignment="1">
      <alignment horizontal="center" vertical="center" wrapText="1"/>
    </xf>
    <xf numFmtId="0" fontId="35" fillId="2" borderId="20" xfId="0" applyFont="1" applyFill="1" applyBorder="1" applyAlignment="1">
      <alignment vertical="center" wrapText="1"/>
    </xf>
    <xf numFmtId="0" fontId="35" fillId="0" borderId="8" xfId="0" applyFont="1" applyFill="1" applyBorder="1" applyAlignment="1">
      <alignment horizontal="left" vertical="center" wrapText="1"/>
    </xf>
    <xf numFmtId="0" fontId="32" fillId="2" borderId="0" xfId="0" applyFont="1" applyFill="1" applyAlignment="1">
      <alignment horizontal="center" vertical="center" wrapText="1"/>
    </xf>
    <xf numFmtId="0" fontId="35" fillId="2" borderId="0" xfId="0" applyFont="1" applyFill="1" applyAlignment="1">
      <alignment vertical="center" wrapText="1"/>
    </xf>
    <xf numFmtId="0" fontId="36" fillId="0" borderId="0" xfId="0" applyFont="1" applyFill="1" applyAlignment="1">
      <alignment horizontal="left" vertical="top" wrapText="1"/>
    </xf>
    <xf numFmtId="14" fontId="36" fillId="0" borderId="0" xfId="0" applyNumberFormat="1" applyFont="1" applyFill="1" applyAlignment="1">
      <alignment horizontal="left" vertical="top" wrapText="1"/>
    </xf>
    <xf numFmtId="3" fontId="36" fillId="0" borderId="0" xfId="0" applyNumberFormat="1" applyFont="1" applyFill="1" applyAlignment="1">
      <alignment horizontal="left" vertical="top" wrapText="1"/>
    </xf>
    <xf numFmtId="14" fontId="32" fillId="0" borderId="0" xfId="0" applyNumberFormat="1" applyFont="1" applyFill="1" applyAlignment="1">
      <alignment horizontal="center"/>
    </xf>
    <xf numFmtId="1" fontId="39" fillId="0" borderId="0" xfId="0" applyNumberFormat="1" applyFont="1" applyFill="1" applyAlignment="1">
      <alignment horizontal="center" vertical="center"/>
    </xf>
    <xf numFmtId="0" fontId="39" fillId="0" borderId="0" xfId="0" applyFont="1" applyFill="1" applyAlignment="1">
      <alignment horizontal="center" vertical="center"/>
    </xf>
    <xf numFmtId="0" fontId="39" fillId="0" borderId="0" xfId="0" applyFont="1" applyFill="1" applyAlignment="1">
      <alignment vertical="center"/>
    </xf>
    <xf numFmtId="0" fontId="39" fillId="0" borderId="0" xfId="0" applyFont="1" applyFill="1" applyAlignment="1">
      <alignment horizontal="right" vertical="center"/>
    </xf>
    <xf numFmtId="14" fontId="39" fillId="0" borderId="0" xfId="0" applyNumberFormat="1" applyFont="1" applyFill="1" applyAlignment="1">
      <alignment horizontal="center" vertical="center"/>
    </xf>
    <xf numFmtId="14" fontId="39" fillId="0" borderId="0" xfId="0" applyNumberFormat="1" applyFont="1" applyFill="1" applyAlignment="1">
      <alignment horizontal="right" vertical="center"/>
    </xf>
    <xf numFmtId="14" fontId="32" fillId="0" borderId="0" xfId="0" applyNumberFormat="1" applyFont="1" applyFill="1"/>
    <xf numFmtId="0" fontId="35" fillId="0" borderId="0" xfId="0" applyFont="1" applyFill="1" applyAlignment="1">
      <alignment horizontal="center"/>
    </xf>
    <xf numFmtId="0" fontId="35" fillId="0" borderId="0" xfId="0" applyFont="1" applyFill="1"/>
    <xf numFmtId="14" fontId="35" fillId="0" borderId="0" xfId="0" applyNumberFormat="1" applyFont="1" applyFill="1" applyAlignment="1">
      <alignment horizontal="center"/>
    </xf>
    <xf numFmtId="0" fontId="35" fillId="0" borderId="0" xfId="0" applyFont="1" applyFill="1" applyAlignment="1">
      <alignment horizontal="right"/>
    </xf>
    <xf numFmtId="3" fontId="35" fillId="0" borderId="0" xfId="0" applyNumberFormat="1" applyFont="1" applyFill="1"/>
    <xf numFmtId="164" fontId="36" fillId="0" borderId="0" xfId="0" applyNumberFormat="1" applyFont="1" applyFill="1" applyAlignment="1">
      <alignment horizontal="left" vertical="top" wrapText="1"/>
    </xf>
    <xf numFmtId="166" fontId="36" fillId="0" borderId="0" xfId="0" applyNumberFormat="1" applyFont="1" applyFill="1" applyAlignment="1">
      <alignment horizontal="left" vertical="top" wrapText="1"/>
    </xf>
    <xf numFmtId="0" fontId="39" fillId="0" borderId="50" xfId="0" applyFont="1" applyFill="1" applyBorder="1" applyAlignment="1">
      <alignment horizontal="right" vertical="center"/>
    </xf>
    <xf numFmtId="0" fontId="39" fillId="0" borderId="50" xfId="0" applyFont="1" applyFill="1" applyBorder="1" applyAlignment="1">
      <alignment vertical="center"/>
    </xf>
    <xf numFmtId="14" fontId="39" fillId="0" borderId="50" xfId="0" applyNumberFormat="1" applyFont="1" applyFill="1" applyBorder="1" applyAlignment="1">
      <alignment horizontal="right" vertical="center"/>
    </xf>
    <xf numFmtId="0" fontId="39" fillId="0" borderId="50" xfId="0" applyFont="1" applyFill="1" applyBorder="1" applyAlignment="1">
      <alignment horizontal="center" vertical="center"/>
    </xf>
    <xf numFmtId="165" fontId="39" fillId="0" borderId="50" xfId="0" applyNumberFormat="1" applyFont="1" applyFill="1" applyBorder="1" applyAlignment="1">
      <alignment horizontal="right" vertical="center"/>
    </xf>
    <xf numFmtId="0" fontId="39" fillId="0" borderId="0" xfId="0" applyFont="1" applyFill="1" applyAlignment="1">
      <alignment horizontal="left" vertical="center"/>
    </xf>
    <xf numFmtId="0" fontId="40" fillId="0" borderId="0" xfId="0" applyFont="1" applyFill="1"/>
    <xf numFmtId="0" fontId="39" fillId="0" borderId="50" xfId="0" applyFont="1" applyFill="1" applyBorder="1" applyAlignment="1">
      <alignment horizontal="right" vertical="center" wrapText="1"/>
    </xf>
    <xf numFmtId="0" fontId="39" fillId="0" borderId="50" xfId="0" applyFont="1" applyFill="1" applyBorder="1" applyAlignment="1">
      <alignment vertical="center" wrapText="1"/>
    </xf>
    <xf numFmtId="2" fontId="39" fillId="0" borderId="50" xfId="0" applyNumberFormat="1" applyFont="1" applyFill="1" applyBorder="1" applyAlignment="1">
      <alignment horizontal="right" vertical="center" wrapText="1"/>
    </xf>
    <xf numFmtId="165" fontId="39" fillId="0" borderId="0" xfId="0" applyNumberFormat="1" applyFont="1" applyFill="1" applyAlignment="1">
      <alignment horizontal="right" vertical="center"/>
    </xf>
    <xf numFmtId="0" fontId="40" fillId="0" borderId="0" xfId="0" applyFont="1" applyFill="1" applyAlignment="1">
      <alignment horizontal="center"/>
    </xf>
    <xf numFmtId="14" fontId="40" fillId="0" borderId="0" xfId="0" applyNumberFormat="1" applyFont="1" applyFill="1" applyAlignment="1">
      <alignment horizontal="center"/>
    </xf>
    <xf numFmtId="164" fontId="40" fillId="0" borderId="0" xfId="0" applyNumberFormat="1" applyFont="1" applyFill="1" applyAlignment="1">
      <alignment horizontal="center"/>
    </xf>
    <xf numFmtId="3" fontId="40" fillId="0" borderId="0" xfId="0" applyNumberFormat="1" applyFont="1" applyFill="1" applyAlignment="1">
      <alignment horizontal="right"/>
    </xf>
    <xf numFmtId="166" fontId="40" fillId="0" borderId="0" xfId="0" applyNumberFormat="1" applyFont="1" applyFill="1" applyAlignment="1">
      <alignment horizontal="right"/>
    </xf>
    <xf numFmtId="3" fontId="40" fillId="0" borderId="0" xfId="0" applyNumberFormat="1" applyFont="1" applyFill="1" applyAlignment="1">
      <alignment horizontal="center"/>
    </xf>
    <xf numFmtId="0" fontId="40" fillId="0" borderId="0" xfId="0" applyFont="1" applyFill="1" applyAlignment="1">
      <alignment horizontal="left"/>
    </xf>
    <xf numFmtId="0" fontId="36" fillId="0" borderId="0" xfId="0" applyFont="1" applyFill="1" applyAlignment="1">
      <alignment horizontal="center" vertical="top" wrapText="1"/>
    </xf>
    <xf numFmtId="0" fontId="39" fillId="0" borderId="50" xfId="0" applyFont="1" applyFill="1" applyBorder="1" applyAlignment="1">
      <alignment horizontal="center" vertical="center" wrapText="1"/>
    </xf>
    <xf numFmtId="0" fontId="42" fillId="3" borderId="0" xfId="0" applyFont="1" applyAlignment="1">
      <alignment horizontal="left" vertical="center" wrapText="1"/>
    </xf>
    <xf numFmtId="0" fontId="42" fillId="3" borderId="0" xfId="0" applyFont="1" applyAlignment="1">
      <alignment horizontal="center" vertical="center" wrapText="1"/>
    </xf>
    <xf numFmtId="4" fontId="42" fillId="3" borderId="0" xfId="0" applyNumberFormat="1" applyFont="1" applyAlignment="1">
      <alignment horizontal="right" vertical="center" wrapText="1"/>
    </xf>
    <xf numFmtId="0" fontId="43" fillId="3" borderId="0" xfId="0" applyFont="1"/>
    <xf numFmtId="0" fontId="43" fillId="2" borderId="0" xfId="0" applyFont="1" applyFill="1"/>
    <xf numFmtId="0" fontId="26" fillId="2" borderId="0" xfId="0" applyFont="1" applyFill="1"/>
    <xf numFmtId="3" fontId="42" fillId="0" borderId="0" xfId="0" applyNumberFormat="1" applyFont="1" applyFill="1" applyAlignment="1">
      <alignment horizontal="center"/>
    </xf>
    <xf numFmtId="0" fontId="44" fillId="3" borderId="0" xfId="0" applyFont="1" applyAlignment="1">
      <alignment horizontal="center"/>
    </xf>
    <xf numFmtId="0" fontId="26" fillId="3" borderId="0" xfId="0" applyFont="1"/>
    <xf numFmtId="3" fontId="42" fillId="3" borderId="0" xfId="0" applyNumberFormat="1" applyFont="1" applyAlignment="1">
      <alignment horizontal="right"/>
    </xf>
    <xf numFmtId="3" fontId="44" fillId="3" borderId="0" xfId="0" applyNumberFormat="1" applyFont="1" applyAlignment="1">
      <alignment horizontal="right"/>
    </xf>
    <xf numFmtId="3" fontId="43" fillId="2" borderId="0" xfId="0" applyNumberFormat="1" applyFont="1" applyFill="1" applyAlignment="1">
      <alignment horizontal="center"/>
    </xf>
    <xf numFmtId="0" fontId="46" fillId="2" borderId="0" xfId="32" applyFont="1" applyFill="1" applyAlignment="1"/>
    <xf numFmtId="0" fontId="44" fillId="2" borderId="0" xfId="0" applyFont="1" applyFill="1"/>
    <xf numFmtId="3" fontId="44" fillId="2" borderId="0" xfId="0" applyNumberFormat="1" applyFont="1" applyFill="1" applyAlignment="1">
      <alignment horizontal="center"/>
    </xf>
    <xf numFmtId="0" fontId="41" fillId="2" borderId="0" xfId="0" applyFont="1" applyFill="1" applyAlignment="1">
      <alignment horizontal="left"/>
    </xf>
    <xf numFmtId="9" fontId="43" fillId="2" borderId="0" xfId="0" applyNumberFormat="1" applyFont="1" applyFill="1" applyAlignment="1">
      <alignment horizontal="center"/>
    </xf>
    <xf numFmtId="0" fontId="43" fillId="36" borderId="11" xfId="0" applyFont="1" applyFill="1" applyBorder="1"/>
    <xf numFmtId="3" fontId="43" fillId="0" borderId="0" xfId="0" applyNumberFormat="1" applyFont="1" applyFill="1" applyAlignment="1">
      <alignment horizontal="right" vertical="center"/>
    </xf>
    <xf numFmtId="0" fontId="43" fillId="3" borderId="0" xfId="0" applyFont="1" applyAlignment="1">
      <alignment horizontal="right"/>
    </xf>
    <xf numFmtId="0" fontId="2" fillId="2" borderId="0" xfId="0" applyFont="1" applyFill="1"/>
    <xf numFmtId="0" fontId="47" fillId="2" borderId="0" xfId="0" applyFont="1" applyFill="1" applyAlignment="1">
      <alignment horizontal="left" indent="1"/>
    </xf>
    <xf numFmtId="0" fontId="12" fillId="0" borderId="0" xfId="32" applyFill="1"/>
    <xf numFmtId="3" fontId="3" fillId="0" borderId="10" xfId="0" applyNumberFormat="1" applyFont="1" applyFill="1" applyBorder="1" applyAlignment="1">
      <alignment horizontal="right"/>
    </xf>
    <xf numFmtId="3" fontId="6" fillId="4" borderId="10" xfId="0" applyNumberFormat="1" applyFont="1" applyFill="1" applyBorder="1" applyAlignment="1">
      <alignment horizontal="right"/>
    </xf>
    <xf numFmtId="0" fontId="4" fillId="2" borderId="23" xfId="0" applyFont="1" applyFill="1" applyBorder="1"/>
    <xf numFmtId="3" fontId="6" fillId="36" borderId="26" xfId="0" applyNumberFormat="1" applyFont="1" applyFill="1" applyBorder="1" applyAlignment="1">
      <alignment horizontal="right"/>
    </xf>
    <xf numFmtId="3" fontId="3" fillId="0" borderId="26" xfId="0" applyNumberFormat="1" applyFont="1" applyFill="1" applyBorder="1" applyAlignment="1">
      <alignment horizontal="right"/>
    </xf>
    <xf numFmtId="3" fontId="3" fillId="0" borderId="28" xfId="0" applyNumberFormat="1" applyFont="1" applyFill="1" applyBorder="1" applyAlignment="1">
      <alignment horizontal="right"/>
    </xf>
    <xf numFmtId="3" fontId="3" fillId="0" borderId="27" xfId="0" applyNumberFormat="1" applyFont="1" applyFill="1" applyBorder="1" applyAlignment="1">
      <alignment horizontal="right"/>
    </xf>
    <xf numFmtId="3" fontId="3" fillId="3" borderId="26" xfId="0" applyNumberFormat="1" applyFont="1" applyBorder="1" applyAlignment="1">
      <alignment horizontal="right"/>
    </xf>
    <xf numFmtId="3" fontId="6" fillId="4" borderId="26" xfId="0" applyNumberFormat="1" applyFont="1" applyFill="1" applyBorder="1" applyAlignment="1">
      <alignment horizontal="right"/>
    </xf>
    <xf numFmtId="0" fontId="12" fillId="2" borderId="0" xfId="32" applyFill="1" applyAlignment="1"/>
    <xf numFmtId="3" fontId="4" fillId="2" borderId="0" xfId="0" applyNumberFormat="1" applyFont="1" applyFill="1" applyAlignment="1">
      <alignment horizontal="center"/>
    </xf>
    <xf numFmtId="0" fontId="12" fillId="2" borderId="0" xfId="32" applyFill="1" applyAlignment="1">
      <alignment horizontal="left"/>
    </xf>
    <xf numFmtId="0" fontId="2" fillId="3" borderId="0" xfId="0" applyFont="1"/>
    <xf numFmtId="9" fontId="4" fillId="2" borderId="0" xfId="0" applyNumberFormat="1" applyFont="1" applyFill="1" applyAlignment="1">
      <alignment horizontal="center"/>
    </xf>
    <xf numFmtId="0" fontId="6" fillId="2" borderId="0" xfId="0" applyFont="1" applyFill="1" applyAlignment="1">
      <alignment horizontal="left"/>
    </xf>
    <xf numFmtId="0" fontId="4" fillId="36" borderId="9" xfId="0" applyFont="1" applyFill="1" applyBorder="1"/>
    <xf numFmtId="3" fontId="5" fillId="36" borderId="11" xfId="0" applyNumberFormat="1" applyFont="1" applyFill="1" applyBorder="1" applyAlignment="1">
      <alignment vertical="center"/>
    </xf>
    <xf numFmtId="3" fontId="5" fillId="36" borderId="24" xfId="0" applyNumberFormat="1" applyFont="1" applyFill="1" applyBorder="1" applyAlignment="1">
      <alignment vertical="center"/>
    </xf>
    <xf numFmtId="3" fontId="5" fillId="36" borderId="37" xfId="0" applyNumberFormat="1" applyFont="1" applyFill="1" applyBorder="1" applyAlignment="1">
      <alignment vertical="center"/>
    </xf>
    <xf numFmtId="3" fontId="5" fillId="36" borderId="40" xfId="0" applyNumberFormat="1" applyFont="1" applyFill="1" applyBorder="1" applyAlignment="1">
      <alignment vertical="center"/>
    </xf>
    <xf numFmtId="0" fontId="5" fillId="4" borderId="14" xfId="0" applyFont="1" applyFill="1" applyBorder="1" applyAlignment="1">
      <alignment horizontal="right" vertical="center"/>
    </xf>
    <xf numFmtId="0" fontId="5" fillId="4" borderId="0" xfId="0" applyFont="1" applyFill="1" applyAlignment="1">
      <alignment horizontal="right" vertical="center"/>
    </xf>
    <xf numFmtId="0" fontId="5" fillId="4" borderId="31" xfId="0" applyFont="1" applyFill="1" applyBorder="1" applyAlignment="1">
      <alignment horizontal="right" vertical="center"/>
    </xf>
    <xf numFmtId="0" fontId="5" fillId="4" borderId="19" xfId="0" applyFont="1" applyFill="1" applyBorder="1" applyAlignment="1">
      <alignment horizontal="right" vertical="center"/>
    </xf>
    <xf numFmtId="0" fontId="5" fillId="4" borderId="46" xfId="0" applyFont="1" applyFill="1" applyBorder="1" applyAlignment="1">
      <alignment horizontal="right" vertical="center"/>
    </xf>
    <xf numFmtId="0" fontId="5" fillId="4" borderId="47" xfId="0" applyFont="1" applyFill="1" applyBorder="1" applyAlignment="1">
      <alignment horizontal="right" vertical="center"/>
    </xf>
    <xf numFmtId="0" fontId="5" fillId="4" borderId="48" xfId="0" applyFont="1" applyFill="1" applyBorder="1" applyAlignment="1">
      <alignment horizontal="right" vertical="center"/>
    </xf>
    <xf numFmtId="3" fontId="5" fillId="4" borderId="15" xfId="0" applyNumberFormat="1" applyFont="1" applyFill="1" applyBorder="1" applyAlignment="1">
      <alignment horizontal="right" vertical="center"/>
    </xf>
    <xf numFmtId="3" fontId="5" fillId="4" borderId="20" xfId="0" applyNumberFormat="1" applyFont="1" applyFill="1" applyBorder="1" applyAlignment="1">
      <alignment horizontal="right" vertical="center"/>
    </xf>
    <xf numFmtId="3" fontId="5" fillId="4" borderId="32" xfId="0" applyNumberFormat="1" applyFont="1" applyFill="1" applyBorder="1" applyAlignment="1">
      <alignment horizontal="right" vertical="center"/>
    </xf>
    <xf numFmtId="3" fontId="5" fillId="4" borderId="25" xfId="0" applyNumberFormat="1" applyFont="1" applyFill="1" applyBorder="1" applyAlignment="1">
      <alignment horizontal="right" vertical="center"/>
    </xf>
    <xf numFmtId="3" fontId="5" fillId="4" borderId="0" xfId="0" applyNumberFormat="1" applyFont="1" applyFill="1" applyAlignment="1">
      <alignment horizontal="right" vertical="center"/>
    </xf>
    <xf numFmtId="0" fontId="2" fillId="4" borderId="42" xfId="0" applyFont="1" applyFill="1" applyBorder="1"/>
    <xf numFmtId="0" fontId="4" fillId="4" borderId="13" xfId="0" applyFont="1" applyFill="1" applyBorder="1" applyAlignment="1">
      <alignment vertical="center" wrapText="1"/>
    </xf>
    <xf numFmtId="3" fontId="4" fillId="3" borderId="12" xfId="0" applyNumberFormat="1" applyFont="1" applyBorder="1" applyAlignment="1">
      <alignment horizontal="right" vertical="center"/>
    </xf>
    <xf numFmtId="3" fontId="4" fillId="3" borderId="19" xfId="0" applyNumberFormat="1" applyFont="1" applyBorder="1" applyAlignment="1">
      <alignment horizontal="right" vertical="center"/>
    </xf>
    <xf numFmtId="3" fontId="4" fillId="3" borderId="31" xfId="0" applyNumberFormat="1" applyFont="1" applyBorder="1" applyAlignment="1">
      <alignment horizontal="right" vertical="center"/>
    </xf>
    <xf numFmtId="3" fontId="4" fillId="3" borderId="45" xfId="0" applyNumberFormat="1" applyFont="1" applyBorder="1" applyAlignment="1">
      <alignment horizontal="right" vertical="center"/>
    </xf>
    <xf numFmtId="3" fontId="4" fillId="3" borderId="29" xfId="0" applyNumberFormat="1" applyFont="1" applyBorder="1" applyAlignment="1">
      <alignment horizontal="right" vertical="center"/>
    </xf>
    <xf numFmtId="0" fontId="2" fillId="3" borderId="19" xfId="0" applyFont="1" applyBorder="1"/>
    <xf numFmtId="0" fontId="2" fillId="3" borderId="43" xfId="0" applyFont="1" applyBorder="1"/>
    <xf numFmtId="0" fontId="4" fillId="4" borderId="21" xfId="0" applyFont="1" applyFill="1" applyBorder="1" applyAlignment="1">
      <alignment vertical="center" wrapText="1"/>
    </xf>
    <xf numFmtId="3" fontId="4" fillId="3" borderId="14" xfId="0" applyNumberFormat="1" applyFont="1" applyBorder="1" applyAlignment="1">
      <alignment horizontal="right" vertical="center"/>
    </xf>
    <xf numFmtId="3" fontId="4" fillId="3" borderId="0" xfId="0" applyNumberFormat="1" applyFont="1" applyAlignment="1">
      <alignment horizontal="right" vertical="center"/>
    </xf>
    <xf numFmtId="3" fontId="4" fillId="3" borderId="33" xfId="0" applyNumberFormat="1" applyFont="1" applyBorder="1" applyAlignment="1">
      <alignment horizontal="right" vertical="center"/>
    </xf>
    <xf numFmtId="3" fontId="4" fillId="3" borderId="25" xfId="0" applyNumberFormat="1" applyFont="1" applyBorder="1" applyAlignment="1">
      <alignment horizontal="right" vertical="center"/>
    </xf>
    <xf numFmtId="3" fontId="4" fillId="3" borderId="43" xfId="0" applyNumberFormat="1" applyFont="1" applyBorder="1" applyAlignment="1">
      <alignment horizontal="right" vertical="center"/>
    </xf>
    <xf numFmtId="0" fontId="4" fillId="4" borderId="16" xfId="0" applyFont="1" applyFill="1" applyBorder="1" applyAlignment="1">
      <alignment vertical="center" wrapText="1"/>
    </xf>
    <xf numFmtId="3" fontId="4" fillId="3" borderId="15" xfId="0" applyNumberFormat="1" applyFont="1" applyBorder="1" applyAlignment="1">
      <alignment horizontal="right" vertical="center"/>
    </xf>
    <xf numFmtId="3" fontId="4" fillId="3" borderId="20" xfId="0" applyNumberFormat="1" applyFont="1" applyBorder="1" applyAlignment="1">
      <alignment horizontal="right" vertical="center"/>
    </xf>
    <xf numFmtId="3" fontId="4" fillId="3" borderId="32" xfId="0" applyNumberFormat="1" applyFont="1" applyBorder="1" applyAlignment="1">
      <alignment horizontal="right" vertical="center"/>
    </xf>
    <xf numFmtId="3" fontId="4" fillId="3" borderId="42" xfId="0" applyNumberFormat="1" applyFont="1" applyBorder="1" applyAlignment="1">
      <alignment horizontal="right" vertical="center"/>
    </xf>
    <xf numFmtId="3" fontId="4" fillId="3" borderId="39" xfId="0" applyNumberFormat="1" applyFont="1" applyBorder="1" applyAlignment="1">
      <alignment horizontal="right" vertical="center"/>
    </xf>
    <xf numFmtId="3" fontId="4" fillId="3" borderId="41" xfId="0" applyNumberFormat="1" applyFont="1" applyBorder="1" applyAlignment="1">
      <alignment horizontal="right" vertical="center"/>
    </xf>
    <xf numFmtId="3" fontId="4" fillId="3" borderId="38" xfId="0" applyNumberFormat="1" applyFont="1" applyBorder="1" applyAlignment="1">
      <alignment horizontal="right" vertical="center"/>
    </xf>
    <xf numFmtId="0" fontId="4" fillId="4" borderId="34" xfId="0" applyFont="1" applyFill="1" applyBorder="1" applyAlignment="1">
      <alignment vertical="center" wrapText="1"/>
    </xf>
    <xf numFmtId="3" fontId="4" fillId="3" borderId="35" xfId="0" applyNumberFormat="1" applyFont="1" applyBorder="1" applyAlignment="1">
      <alignment horizontal="right" vertical="center"/>
    </xf>
    <xf numFmtId="3" fontId="4" fillId="3" borderId="23" xfId="0" applyNumberFormat="1" applyFont="1" applyBorder="1" applyAlignment="1">
      <alignment horizontal="right" vertical="center"/>
    </xf>
    <xf numFmtId="3" fontId="4" fillId="3" borderId="36" xfId="0" applyNumberFormat="1" applyFont="1" applyBorder="1" applyAlignment="1">
      <alignment horizontal="right" vertical="center"/>
    </xf>
    <xf numFmtId="0" fontId="2" fillId="3" borderId="20" xfId="0" applyFont="1" applyBorder="1"/>
    <xf numFmtId="0" fontId="2" fillId="3" borderId="42" xfId="0" applyFont="1" applyBorder="1"/>
    <xf numFmtId="0" fontId="45" fillId="3" borderId="0" xfId="0" applyFont="1" applyAlignment="1">
      <alignment horizontal="center" vertical="center" wrapText="1"/>
    </xf>
    <xf numFmtId="0" fontId="44" fillId="3" borderId="0" xfId="0" applyFont="1" applyAlignment="1">
      <alignment horizontal="center" vertical="center" wrapText="1"/>
    </xf>
    <xf numFmtId="3" fontId="42" fillId="3" borderId="0" xfId="40" applyNumberFormat="1" applyFont="1" applyFill="1" applyBorder="1" applyAlignment="1">
      <alignment horizontal="right" vertical="center" wrapText="1"/>
    </xf>
    <xf numFmtId="3" fontId="42" fillId="3" borderId="0" xfId="0" applyNumberFormat="1" applyFont="1" applyAlignment="1">
      <alignment horizontal="right" vertical="center" wrapText="1"/>
    </xf>
    <xf numFmtId="9" fontId="42" fillId="3" borderId="0" xfId="40" applyFont="1" applyFill="1" applyBorder="1" applyAlignment="1">
      <alignment horizontal="right" vertical="center" wrapText="1"/>
    </xf>
    <xf numFmtId="3" fontId="44" fillId="3" borderId="0" xfId="40" applyNumberFormat="1" applyFont="1" applyFill="1" applyBorder="1" applyAlignment="1">
      <alignment horizontal="right" vertical="center" wrapText="1"/>
    </xf>
    <xf numFmtId="3" fontId="44" fillId="3" borderId="0" xfId="0" applyNumberFormat="1" applyFont="1" applyAlignment="1">
      <alignment horizontal="right" vertical="center" wrapText="1"/>
    </xf>
    <xf numFmtId="9" fontId="44" fillId="3" borderId="0" xfId="40" applyFont="1" applyFill="1" applyBorder="1" applyAlignment="1">
      <alignment horizontal="right" vertical="center" wrapText="1"/>
    </xf>
    <xf numFmtId="0" fontId="5" fillId="0" borderId="0" xfId="0" applyFont="1" applyFill="1" applyAlignment="1">
      <alignment horizontal="left"/>
    </xf>
    <xf numFmtId="0" fontId="5" fillId="3" borderId="0" xfId="0" applyFont="1" applyAlignment="1">
      <alignment horizontal="left" vertical="center"/>
    </xf>
    <xf numFmtId="3" fontId="3" fillId="3" borderId="8" xfId="0" applyNumberFormat="1" applyFont="1" applyBorder="1" applyAlignment="1">
      <alignment horizontal="right"/>
    </xf>
    <xf numFmtId="0" fontId="3" fillId="3" borderId="8" xfId="0" applyFont="1" applyBorder="1" applyAlignment="1">
      <alignment horizontal="left"/>
    </xf>
    <xf numFmtId="0" fontId="3" fillId="3" borderId="8" xfId="0" applyFont="1" applyBorder="1" applyAlignment="1">
      <alignment horizontal="left" vertical="center" wrapText="1"/>
    </xf>
    <xf numFmtId="9" fontId="3" fillId="3" borderId="8" xfId="0" applyNumberFormat="1" applyFont="1" applyBorder="1" applyAlignment="1">
      <alignment horizontal="right"/>
    </xf>
    <xf numFmtId="3" fontId="32" fillId="0" borderId="0" xfId="0" applyNumberFormat="1" applyFont="1" applyFill="1" applyAlignment="1">
      <alignment horizontal="center"/>
    </xf>
    <xf numFmtId="9" fontId="0" fillId="3" borderId="0" xfId="40" applyFont="1" applyFill="1"/>
    <xf numFmtId="49" fontId="0" fillId="3" borderId="0" xfId="0" applyNumberFormat="1"/>
    <xf numFmtId="49" fontId="0" fillId="3" borderId="0" xfId="0" applyNumberFormat="1" applyAlignment="1">
      <alignment wrapText="1"/>
    </xf>
    <xf numFmtId="49" fontId="0" fillId="3" borderId="0" xfId="0" applyNumberFormat="1" applyAlignment="1">
      <alignment vertical="top"/>
    </xf>
    <xf numFmtId="0" fontId="0" fillId="3" borderId="0" xfId="0" applyAlignment="1">
      <alignment vertical="top"/>
    </xf>
    <xf numFmtId="49" fontId="26" fillId="3" borderId="0" xfId="0" applyNumberFormat="1" applyFont="1"/>
    <xf numFmtId="49" fontId="48" fillId="3" borderId="0" xfId="0" applyNumberFormat="1" applyFont="1" applyAlignment="1">
      <alignment horizontal="left" vertical="top" wrapText="1"/>
    </xf>
    <xf numFmtId="49" fontId="0" fillId="3" borderId="0" xfId="0" applyNumberFormat="1" applyAlignment="1">
      <alignment vertical="top" wrapText="1"/>
    </xf>
    <xf numFmtId="0" fontId="30" fillId="3" borderId="0" xfId="31" applyFill="1"/>
    <xf numFmtId="0" fontId="12" fillId="3" borderId="0" xfId="0" applyFont="1"/>
    <xf numFmtId="0" fontId="46" fillId="3" borderId="0" xfId="0" applyFont="1"/>
    <xf numFmtId="0" fontId="6" fillId="36" borderId="9" xfId="0" applyFont="1" applyFill="1" applyBorder="1" applyAlignment="1">
      <alignment horizontal="center"/>
    </xf>
    <xf numFmtId="3" fontId="3" fillId="2" borderId="0" xfId="0" applyNumberFormat="1" applyFont="1" applyFill="1" applyAlignment="1">
      <alignment horizontal="right"/>
    </xf>
    <xf numFmtId="0" fontId="3" fillId="3" borderId="0" xfId="0" applyFont="1"/>
    <xf numFmtId="9" fontId="3" fillId="3" borderId="0" xfId="0" applyNumberFormat="1" applyFont="1" applyAlignment="1">
      <alignment horizontal="right"/>
    </xf>
    <xf numFmtId="1" fontId="3" fillId="3" borderId="0" xfId="0" applyNumberFormat="1" applyFont="1" applyAlignment="1">
      <alignment horizontal="right"/>
    </xf>
    <xf numFmtId="0" fontId="6" fillId="3" borderId="0" xfId="0" applyFont="1"/>
    <xf numFmtId="9" fontId="6" fillId="3" borderId="0" xfId="0" applyNumberFormat="1" applyFont="1" applyAlignment="1">
      <alignment horizontal="right"/>
    </xf>
    <xf numFmtId="9" fontId="6" fillId="3" borderId="8" xfId="0" applyNumberFormat="1" applyFont="1" applyBorder="1" applyAlignment="1">
      <alignment horizontal="right"/>
    </xf>
    <xf numFmtId="0" fontId="6" fillId="3" borderId="0" xfId="0" applyFont="1" applyAlignment="1">
      <alignment vertical="center"/>
    </xf>
    <xf numFmtId="0" fontId="6" fillId="3" borderId="0" xfId="0" applyFont="1" applyAlignment="1">
      <alignment horizontal="center"/>
    </xf>
    <xf numFmtId="167" fontId="3" fillId="3" borderId="0" xfId="44" applyNumberFormat="1" applyFont="1" applyFill="1" applyBorder="1" applyAlignment="1">
      <alignment horizontal="right"/>
    </xf>
    <xf numFmtId="0" fontId="6" fillId="36" borderId="18" xfId="0" applyFont="1" applyFill="1" applyBorder="1" applyAlignment="1">
      <alignment horizontal="center"/>
    </xf>
    <xf numFmtId="0" fontId="6" fillId="36" borderId="15" xfId="0" applyFont="1" applyFill="1" applyBorder="1" applyAlignment="1">
      <alignment horizontal="center"/>
    </xf>
    <xf numFmtId="167" fontId="3" fillId="3" borderId="18" xfId="44" applyNumberFormat="1" applyFont="1" applyFill="1" applyBorder="1" applyAlignment="1">
      <alignment horizontal="right"/>
    </xf>
    <xf numFmtId="9" fontId="6" fillId="3" borderId="9" xfId="0" applyNumberFormat="1" applyFont="1" applyBorder="1" applyAlignment="1">
      <alignment horizontal="right"/>
    </xf>
    <xf numFmtId="3" fontId="6" fillId="2" borderId="26" xfId="0" applyNumberFormat="1" applyFont="1" applyFill="1" applyBorder="1" applyAlignment="1">
      <alignment horizontal="right"/>
    </xf>
    <xf numFmtId="0" fontId="3" fillId="0" borderId="9" xfId="0" applyFont="1" applyFill="1" applyBorder="1"/>
    <xf numFmtId="0" fontId="3" fillId="0" borderId="10" xfId="0" applyFont="1" applyFill="1" applyBorder="1"/>
    <xf numFmtId="0" fontId="6" fillId="36" borderId="45" xfId="0" applyFont="1" applyFill="1" applyBorder="1" applyAlignment="1">
      <alignment horizontal="center" vertical="center" wrapText="1"/>
    </xf>
    <xf numFmtId="0" fontId="6" fillId="36" borderId="29" xfId="0" applyFont="1" applyFill="1" applyBorder="1" applyAlignment="1">
      <alignment horizontal="center" vertical="center" wrapText="1"/>
    </xf>
    <xf numFmtId="0" fontId="6" fillId="36" borderId="35" xfId="0" applyFont="1" applyFill="1" applyBorder="1" applyAlignment="1">
      <alignment horizontal="center" vertical="center" wrapText="1"/>
    </xf>
    <xf numFmtId="0" fontId="6" fillId="36" borderId="23" xfId="0" applyFont="1" applyFill="1" applyBorder="1" applyAlignment="1">
      <alignment horizontal="center" vertical="center" wrapText="1"/>
    </xf>
    <xf numFmtId="0" fontId="6" fillId="36" borderId="45" xfId="0" applyFont="1" applyFill="1" applyBorder="1" applyAlignment="1">
      <alignment horizontal="center" vertical="center"/>
    </xf>
    <xf numFmtId="0" fontId="6" fillId="36" borderId="54" xfId="0" applyFont="1" applyFill="1" applyBorder="1" applyAlignment="1">
      <alignment horizontal="center" vertical="center"/>
    </xf>
    <xf numFmtId="0" fontId="6" fillId="36" borderId="25" xfId="0" applyFont="1" applyFill="1" applyBorder="1" applyAlignment="1">
      <alignment horizontal="center" vertical="center"/>
    </xf>
    <xf numFmtId="0" fontId="6" fillId="36" borderId="33" xfId="0" applyFont="1" applyFill="1" applyBorder="1" applyAlignment="1">
      <alignment horizontal="center" vertical="center"/>
    </xf>
    <xf numFmtId="0" fontId="6" fillId="36" borderId="17" xfId="0" applyFont="1" applyFill="1" applyBorder="1" applyAlignment="1">
      <alignment horizontal="center" vertical="center"/>
    </xf>
    <xf numFmtId="0" fontId="6" fillId="36" borderId="18" xfId="0" applyFont="1" applyFill="1" applyBorder="1" applyAlignment="1">
      <alignment horizontal="center" vertical="center"/>
    </xf>
    <xf numFmtId="0" fontId="6" fillId="36" borderId="26" xfId="0" applyFont="1" applyFill="1" applyBorder="1" applyAlignment="1">
      <alignment horizontal="center" vertical="center"/>
    </xf>
    <xf numFmtId="0" fontId="6" fillId="36" borderId="8" xfId="0" applyFont="1" applyFill="1" applyBorder="1" applyAlignment="1">
      <alignment horizontal="left" vertical="center" wrapText="1"/>
    </xf>
    <xf numFmtId="0" fontId="6" fillId="36" borderId="8" xfId="0" applyFont="1" applyFill="1" applyBorder="1" applyAlignment="1">
      <alignment horizontal="center"/>
    </xf>
    <xf numFmtId="44" fontId="6" fillId="36" borderId="8" xfId="28" applyFont="1" applyFill="1" applyBorder="1" applyAlignment="1">
      <alignment horizontal="center"/>
    </xf>
    <xf numFmtId="0" fontId="6" fillId="36" borderId="12" xfId="0" applyFont="1" applyFill="1" applyBorder="1" applyAlignment="1">
      <alignment horizontal="center" vertical="center"/>
    </xf>
    <xf numFmtId="0" fontId="6" fillId="36" borderId="19" xfId="0" applyFont="1" applyFill="1" applyBorder="1" applyAlignment="1">
      <alignment horizontal="center" vertical="center"/>
    </xf>
    <xf numFmtId="0" fontId="6" fillId="36" borderId="15" xfId="0" applyFont="1" applyFill="1" applyBorder="1" applyAlignment="1">
      <alignment horizontal="center" vertical="center"/>
    </xf>
    <xf numFmtId="0" fontId="6" fillId="36" borderId="20" xfId="0" applyFont="1" applyFill="1" applyBorder="1" applyAlignment="1">
      <alignment horizontal="center" vertical="center"/>
    </xf>
    <xf numFmtId="0" fontId="6" fillId="36" borderId="16" xfId="0" applyFont="1" applyFill="1" applyBorder="1" applyAlignment="1">
      <alignment horizontal="center" vertical="center"/>
    </xf>
    <xf numFmtId="0" fontId="6" fillId="36" borderId="30" xfId="0" applyFont="1" applyFill="1" applyBorder="1" applyAlignment="1">
      <alignment horizontal="center"/>
    </xf>
    <xf numFmtId="0" fontId="6" fillId="36" borderId="52" xfId="0" applyFont="1" applyFill="1" applyBorder="1" applyAlignment="1">
      <alignment horizontal="center"/>
    </xf>
    <xf numFmtId="0" fontId="3" fillId="0" borderId="9" xfId="0" applyFont="1" applyFill="1" applyBorder="1" applyAlignment="1">
      <alignment horizontal="left"/>
    </xf>
    <xf numFmtId="0" fontId="3" fillId="0" borderId="10" xfId="0" applyFont="1" applyFill="1" applyBorder="1" applyAlignment="1">
      <alignment horizontal="left"/>
    </xf>
    <xf numFmtId="0" fontId="3" fillId="0" borderId="8" xfId="0" applyFont="1" applyFill="1" applyBorder="1"/>
    <xf numFmtId="0" fontId="6" fillId="36" borderId="12" xfId="0" applyFont="1" applyFill="1" applyBorder="1" applyAlignment="1">
      <alignment horizontal="center" vertical="center" wrapText="1"/>
    </xf>
    <xf numFmtId="0" fontId="6" fillId="36" borderId="13" xfId="0" applyFont="1" applyFill="1" applyBorder="1" applyAlignment="1">
      <alignment horizontal="center" vertical="center" wrapText="1"/>
    </xf>
    <xf numFmtId="0" fontId="6" fillId="36" borderId="14" xfId="0" applyFont="1" applyFill="1" applyBorder="1" applyAlignment="1">
      <alignment horizontal="center" vertical="center" wrapText="1"/>
    </xf>
    <xf numFmtId="0" fontId="6" fillId="36" borderId="21" xfId="0" applyFont="1" applyFill="1" applyBorder="1" applyAlignment="1">
      <alignment horizontal="center" vertical="center" wrapText="1"/>
    </xf>
    <xf numFmtId="0" fontId="6" fillId="36" borderId="14" xfId="0" applyFont="1" applyFill="1" applyBorder="1" applyAlignment="1">
      <alignment horizontal="center" vertical="center"/>
    </xf>
    <xf numFmtId="0" fontId="6" fillId="36" borderId="0" xfId="0" applyFont="1" applyFill="1" applyAlignment="1">
      <alignment horizontal="center" vertical="center"/>
    </xf>
    <xf numFmtId="0" fontId="6" fillId="36" borderId="13" xfId="0" applyFont="1" applyFill="1" applyBorder="1" applyAlignment="1">
      <alignment horizontal="center" vertical="center"/>
    </xf>
    <xf numFmtId="0" fontId="3" fillId="3" borderId="8" xfId="0" applyFont="1" applyBorder="1"/>
    <xf numFmtId="0" fontId="3" fillId="2" borderId="8" xfId="0" applyFont="1" applyFill="1" applyBorder="1"/>
    <xf numFmtId="0" fontId="6" fillId="36" borderId="8" xfId="0" applyFont="1" applyFill="1" applyBorder="1" applyAlignment="1">
      <alignment horizontal="center" vertical="center"/>
    </xf>
    <xf numFmtId="0" fontId="6" fillId="36" borderId="21" xfId="0" applyFont="1" applyFill="1" applyBorder="1" applyAlignment="1">
      <alignment horizontal="center" vertical="center"/>
    </xf>
    <xf numFmtId="0" fontId="3" fillId="2" borderId="8" xfId="0" applyFont="1" applyFill="1" applyBorder="1" applyAlignment="1">
      <alignment horizontal="left"/>
    </xf>
    <xf numFmtId="0" fontId="6" fillId="4" borderId="8" xfId="0" applyFont="1" applyFill="1" applyBorder="1" applyAlignment="1">
      <alignment wrapText="1"/>
    </xf>
    <xf numFmtId="0" fontId="6" fillId="4" borderId="8" xfId="0" applyFont="1" applyFill="1" applyBorder="1" applyAlignment="1">
      <alignment horizontal="left"/>
    </xf>
    <xf numFmtId="0" fontId="6" fillId="36" borderId="9" xfId="0" applyFont="1" applyFill="1" applyBorder="1" applyAlignment="1">
      <alignment horizontal="center"/>
    </xf>
    <xf numFmtId="0" fontId="6" fillId="36" borderId="10" xfId="0" applyFont="1" applyFill="1" applyBorder="1" applyAlignment="1">
      <alignment horizontal="center"/>
    </xf>
    <xf numFmtId="0" fontId="6" fillId="36" borderId="17" xfId="0" applyFont="1" applyFill="1" applyBorder="1" applyAlignment="1">
      <alignment horizontal="center" vertical="center" wrapText="1"/>
    </xf>
    <xf numFmtId="0" fontId="6" fillId="36" borderId="18" xfId="0" applyFont="1" applyFill="1" applyBorder="1" applyAlignment="1">
      <alignment horizontal="center" vertical="center" wrapText="1"/>
    </xf>
    <xf numFmtId="0" fontId="6" fillId="4" borderId="8" xfId="0" applyFont="1" applyFill="1" applyBorder="1"/>
    <xf numFmtId="0" fontId="3" fillId="0" borderId="8" xfId="0" applyFont="1" applyFill="1" applyBorder="1" applyAlignment="1">
      <alignment horizontal="left"/>
    </xf>
    <xf numFmtId="0" fontId="6" fillId="3" borderId="0" xfId="0" applyFont="1" applyAlignment="1">
      <alignment horizontal="center" vertical="center" wrapText="1"/>
    </xf>
    <xf numFmtId="0" fontId="3" fillId="2" borderId="9" xfId="0" applyFont="1" applyFill="1" applyBorder="1" applyAlignment="1">
      <alignment horizontal="left"/>
    </xf>
    <xf numFmtId="0" fontId="3" fillId="2" borderId="11" xfId="0" applyFont="1" applyFill="1" applyBorder="1" applyAlignment="1">
      <alignment horizontal="left"/>
    </xf>
    <xf numFmtId="0" fontId="3" fillId="2" borderId="10" xfId="0" applyFont="1" applyFill="1" applyBorder="1" applyAlignment="1">
      <alignment horizontal="left"/>
    </xf>
    <xf numFmtId="3" fontId="3" fillId="0" borderId="8" xfId="0" applyNumberFormat="1" applyFont="1" applyFill="1" applyBorder="1" applyAlignment="1">
      <alignment horizontal="right"/>
    </xf>
    <xf numFmtId="0" fontId="6" fillId="36" borderId="8" xfId="0" applyFont="1" applyFill="1" applyBorder="1" applyAlignment="1">
      <alignment horizontal="center" vertical="center" wrapText="1"/>
    </xf>
    <xf numFmtId="0" fontId="31" fillId="3" borderId="0" xfId="41" applyFill="1" applyBorder="1" applyAlignment="1">
      <alignment horizontal="center" vertical="center" wrapText="1"/>
    </xf>
    <xf numFmtId="0" fontId="3" fillId="4" borderId="8" xfId="0" applyFont="1" applyFill="1" applyBorder="1"/>
    <xf numFmtId="0" fontId="6" fillId="36" borderId="19" xfId="0" applyFont="1" applyFill="1" applyBorder="1" applyAlignment="1">
      <alignment horizontal="center" vertical="center" wrapText="1"/>
    </xf>
    <xf numFmtId="0" fontId="6" fillId="36" borderId="22" xfId="0" applyFont="1" applyFill="1" applyBorder="1" applyAlignment="1">
      <alignment horizontal="center" vertical="center" wrapText="1"/>
    </xf>
    <xf numFmtId="0" fontId="3" fillId="3" borderId="9" xfId="0" applyFont="1" applyBorder="1" applyAlignment="1">
      <alignment horizontal="left"/>
    </xf>
    <xf numFmtId="0" fontId="3" fillId="3" borderId="10" xfId="0" applyFont="1" applyBorder="1" applyAlignment="1">
      <alignment horizontal="left"/>
    </xf>
    <xf numFmtId="0" fontId="6" fillId="4" borderId="9" xfId="0" applyFont="1" applyFill="1" applyBorder="1" applyAlignment="1">
      <alignment horizontal="left"/>
    </xf>
    <xf numFmtId="0" fontId="6" fillId="4" borderId="10" xfId="0" applyFont="1" applyFill="1" applyBorder="1" applyAlignment="1">
      <alignment horizontal="left"/>
    </xf>
    <xf numFmtId="0" fontId="6" fillId="4" borderId="9" xfId="0" applyFont="1" applyFill="1" applyBorder="1" applyAlignment="1">
      <alignment wrapText="1"/>
    </xf>
    <xf numFmtId="0" fontId="6" fillId="4" borderId="11" xfId="0" applyFont="1" applyFill="1" applyBorder="1" applyAlignment="1">
      <alignment wrapText="1"/>
    </xf>
    <xf numFmtId="0" fontId="6" fillId="4" borderId="10" xfId="0" applyFont="1" applyFill="1" applyBorder="1" applyAlignment="1">
      <alignment wrapText="1"/>
    </xf>
    <xf numFmtId="3" fontId="6" fillId="36" borderId="8" xfId="0" applyNumberFormat="1" applyFont="1" applyFill="1" applyBorder="1" applyAlignment="1">
      <alignment horizontal="center"/>
    </xf>
    <xf numFmtId="0" fontId="6" fillId="36" borderId="8" xfId="0" applyFont="1" applyFill="1" applyBorder="1" applyAlignment="1">
      <alignment vertical="center" wrapText="1"/>
    </xf>
    <xf numFmtId="0" fontId="6" fillId="36" borderId="26" xfId="0" applyFont="1" applyFill="1" applyBorder="1" applyAlignment="1">
      <alignment horizontal="left"/>
    </xf>
    <xf numFmtId="0" fontId="3" fillId="0" borderId="26" xfId="0" applyFont="1" applyFill="1" applyBorder="1" applyAlignment="1">
      <alignment horizontal="left"/>
    </xf>
    <xf numFmtId="0" fontId="6" fillId="4" borderId="26" xfId="0" applyFont="1" applyFill="1" applyBorder="1" applyAlignment="1">
      <alignment horizontal="left"/>
    </xf>
    <xf numFmtId="0" fontId="6" fillId="36" borderId="8" xfId="0" applyFont="1" applyFill="1" applyBorder="1"/>
    <xf numFmtId="0" fontId="3" fillId="2" borderId="9" xfId="0" applyFont="1" applyFill="1" applyBorder="1"/>
    <xf numFmtId="0" fontId="3" fillId="2" borderId="10" xfId="0" applyFont="1" applyFill="1" applyBorder="1"/>
    <xf numFmtId="0" fontId="3" fillId="0" borderId="8" xfId="0" applyFont="1" applyFill="1" applyBorder="1" applyAlignment="1">
      <alignment horizontal="left" vertical="center"/>
    </xf>
    <xf numFmtId="0" fontId="6" fillId="4" borderId="8" xfId="0" applyFont="1" applyFill="1" applyBorder="1" applyAlignment="1">
      <alignment horizontal="left" vertical="center"/>
    </xf>
    <xf numFmtId="0" fontId="3" fillId="4" borderId="9" xfId="0" applyFont="1" applyFill="1" applyBorder="1" applyAlignment="1">
      <alignment horizontal="left" wrapText="1"/>
    </xf>
    <xf numFmtId="0" fontId="3" fillId="4" borderId="11" xfId="0" applyFont="1" applyFill="1" applyBorder="1" applyAlignment="1">
      <alignment horizontal="left" wrapText="1"/>
    </xf>
    <xf numFmtId="0" fontId="3" fillId="4" borderId="10" xfId="0" applyFont="1" applyFill="1" applyBorder="1" applyAlignment="1">
      <alignment horizontal="left" wrapText="1"/>
    </xf>
    <xf numFmtId="0" fontId="6" fillId="36" borderId="15" xfId="0" applyFont="1" applyFill="1" applyBorder="1" applyAlignment="1">
      <alignment horizontal="center" vertical="center" wrapText="1"/>
    </xf>
    <xf numFmtId="0" fontId="6" fillId="36" borderId="20" xfId="0" applyFont="1" applyFill="1" applyBorder="1" applyAlignment="1">
      <alignment horizontal="center" vertical="center" wrapText="1"/>
    </xf>
    <xf numFmtId="0" fontId="6" fillId="36" borderId="16" xfId="0" applyFont="1" applyFill="1" applyBorder="1" applyAlignment="1">
      <alignment horizontal="center" vertical="center" wrapText="1"/>
    </xf>
    <xf numFmtId="0" fontId="3" fillId="0" borderId="9" xfId="0" applyFont="1" applyFill="1" applyBorder="1" applyAlignment="1">
      <alignment wrapText="1"/>
    </xf>
    <xf numFmtId="0" fontId="3" fillId="0" borderId="11" xfId="0" applyFont="1" applyFill="1" applyBorder="1" applyAlignment="1">
      <alignment wrapText="1"/>
    </xf>
    <xf numFmtId="0" fontId="3" fillId="0" borderId="10" xfId="0" applyFont="1" applyFill="1" applyBorder="1" applyAlignment="1">
      <alignment wrapText="1"/>
    </xf>
    <xf numFmtId="0" fontId="6" fillId="36" borderId="9" xfId="0" applyFont="1" applyFill="1" applyBorder="1" applyAlignment="1">
      <alignment horizontal="left"/>
    </xf>
    <xf numFmtId="0" fontId="6" fillId="36" borderId="10" xfId="0" applyFont="1" applyFill="1" applyBorder="1" applyAlignment="1">
      <alignment horizontal="left"/>
    </xf>
    <xf numFmtId="3" fontId="6" fillId="4" borderId="8" xfId="0" applyNumberFormat="1" applyFont="1" applyFill="1" applyBorder="1" applyAlignment="1">
      <alignment horizontal="left"/>
    </xf>
    <xf numFmtId="0" fontId="3" fillId="36" borderId="8" xfId="0" applyFont="1" applyFill="1" applyBorder="1"/>
    <xf numFmtId="0" fontId="3" fillId="36" borderId="8" xfId="0" applyFont="1" applyFill="1" applyBorder="1" applyAlignment="1">
      <alignment horizontal="center"/>
    </xf>
    <xf numFmtId="3" fontId="6" fillId="4" borderId="8" xfId="0" applyNumberFormat="1" applyFont="1" applyFill="1" applyBorder="1" applyAlignment="1">
      <alignment horizontal="right"/>
    </xf>
    <xf numFmtId="3" fontId="3" fillId="0" borderId="30" xfId="0" applyNumberFormat="1" applyFont="1" applyFill="1" applyBorder="1" applyAlignment="1">
      <alignment horizontal="left"/>
    </xf>
    <xf numFmtId="3" fontId="3" fillId="0" borderId="52" xfId="0" applyNumberFormat="1" applyFont="1" applyFill="1" applyBorder="1" applyAlignment="1">
      <alignment horizontal="left"/>
    </xf>
    <xf numFmtId="3" fontId="3" fillId="0" borderId="53" xfId="0" applyNumberFormat="1" applyFont="1" applyFill="1" applyBorder="1" applyAlignment="1">
      <alignment horizontal="left"/>
    </xf>
    <xf numFmtId="3" fontId="6" fillId="4" borderId="30" xfId="0" applyNumberFormat="1" applyFont="1" applyFill="1" applyBorder="1" applyAlignment="1">
      <alignment horizontal="left"/>
    </xf>
    <xf numFmtId="3" fontId="6" fillId="4" borderId="52" xfId="0" applyNumberFormat="1" applyFont="1" applyFill="1" applyBorder="1" applyAlignment="1">
      <alignment horizontal="left"/>
    </xf>
    <xf numFmtId="3" fontId="6" fillId="4" borderId="53" xfId="0" applyNumberFormat="1" applyFont="1" applyFill="1" applyBorder="1" applyAlignment="1">
      <alignment horizontal="left"/>
    </xf>
    <xf numFmtId="3" fontId="6" fillId="36" borderId="30" xfId="0" applyNumberFormat="1" applyFont="1" applyFill="1" applyBorder="1" applyAlignment="1">
      <alignment horizontal="left"/>
    </xf>
    <xf numFmtId="3" fontId="6" fillId="36" borderId="52" xfId="0" applyNumberFormat="1" applyFont="1" applyFill="1" applyBorder="1" applyAlignment="1">
      <alignment horizontal="left"/>
    </xf>
    <xf numFmtId="3" fontId="6" fillId="36" borderId="53" xfId="0" applyNumberFormat="1" applyFont="1" applyFill="1" applyBorder="1" applyAlignment="1">
      <alignment horizontal="left"/>
    </xf>
    <xf numFmtId="0" fontId="6" fillId="36" borderId="8" xfId="0" applyFont="1" applyFill="1" applyBorder="1" applyAlignment="1">
      <alignment horizontal="left" vertical="center"/>
    </xf>
    <xf numFmtId="0" fontId="3" fillId="2" borderId="11" xfId="0" applyFont="1" applyFill="1" applyBorder="1"/>
    <xf numFmtId="0" fontId="4" fillId="3" borderId="9" xfId="0" applyFont="1" applyBorder="1"/>
    <xf numFmtId="0" fontId="4" fillId="3" borderId="11" xfId="0" applyFont="1" applyBorder="1"/>
    <xf numFmtId="0" fontId="4" fillId="3" borderId="10" xfId="0" applyFont="1" applyBorder="1"/>
    <xf numFmtId="0" fontId="6" fillId="36" borderId="9" xfId="0" applyFont="1" applyFill="1" applyBorder="1" applyAlignment="1">
      <alignment horizontal="center" vertical="center" wrapText="1"/>
    </xf>
    <xf numFmtId="0" fontId="6" fillId="36" borderId="11" xfId="0" applyFont="1" applyFill="1" applyBorder="1" applyAlignment="1">
      <alignment horizontal="center" vertical="center" wrapText="1"/>
    </xf>
    <xf numFmtId="0" fontId="6" fillId="36" borderId="10" xfId="0" applyFont="1" applyFill="1" applyBorder="1" applyAlignment="1">
      <alignment horizontal="center" vertical="center" wrapText="1"/>
    </xf>
    <xf numFmtId="0" fontId="3" fillId="3" borderId="9" xfId="0" applyFont="1" applyBorder="1" applyAlignment="1">
      <alignment horizontal="left" wrapText="1"/>
    </xf>
    <xf numFmtId="0" fontId="3" fillId="3" borderId="11" xfId="0" applyFont="1" applyBorder="1" applyAlignment="1">
      <alignment horizontal="left" wrapText="1"/>
    </xf>
    <xf numFmtId="0" fontId="3" fillId="3" borderId="10" xfId="0" applyFont="1" applyBorder="1" applyAlignment="1">
      <alignment horizontal="left" wrapText="1"/>
    </xf>
    <xf numFmtId="0" fontId="6" fillId="36" borderId="26" xfId="0" applyFont="1" applyFill="1" applyBorder="1" applyAlignment="1">
      <alignment horizontal="center" vertical="center" wrapText="1"/>
    </xf>
    <xf numFmtId="0" fontId="6" fillId="36" borderId="9" xfId="0" applyFont="1" applyFill="1" applyBorder="1" applyAlignment="1">
      <alignment horizontal="center" vertical="center"/>
    </xf>
    <xf numFmtId="0" fontId="6" fillId="36" borderId="10" xfId="0" applyFont="1" applyFill="1" applyBorder="1" applyAlignment="1">
      <alignment horizontal="center" vertical="center"/>
    </xf>
    <xf numFmtId="0" fontId="5" fillId="36" borderId="14" xfId="0" applyFont="1" applyFill="1" applyBorder="1" applyAlignment="1">
      <alignment horizontal="left" vertical="center"/>
    </xf>
    <xf numFmtId="0" fontId="5" fillId="36" borderId="21" xfId="0" applyFont="1" applyFill="1" applyBorder="1" applyAlignment="1">
      <alignment horizontal="left" vertical="center"/>
    </xf>
    <xf numFmtId="0" fontId="5" fillId="36" borderId="17" xfId="0" applyFont="1" applyFill="1" applyBorder="1" applyAlignment="1">
      <alignment horizontal="center" vertical="center" wrapText="1"/>
    </xf>
    <xf numFmtId="0" fontId="5" fillId="36" borderId="22" xfId="0" applyFont="1" applyFill="1" applyBorder="1" applyAlignment="1">
      <alignment horizontal="center" vertical="center" wrapText="1"/>
    </xf>
    <xf numFmtId="0" fontId="5" fillId="36" borderId="18" xfId="0" applyFont="1" applyFill="1" applyBorder="1" applyAlignment="1">
      <alignment horizontal="center" vertical="center" wrapText="1"/>
    </xf>
    <xf numFmtId="0" fontId="5" fillId="36" borderId="9" xfId="0" applyFont="1" applyFill="1" applyBorder="1" applyAlignment="1">
      <alignment horizontal="left" vertical="center"/>
    </xf>
    <xf numFmtId="0" fontId="5" fillId="36" borderId="10" xfId="0" applyFont="1" applyFill="1" applyBorder="1" applyAlignment="1">
      <alignment horizontal="left" vertical="center"/>
    </xf>
    <xf numFmtId="0" fontId="33" fillId="0" borderId="0" xfId="31" applyFont="1" applyFill="1" applyBorder="1" applyAlignment="1">
      <alignment horizontal="left" wrapText="1"/>
    </xf>
    <xf numFmtId="0" fontId="36" fillId="36" borderId="9" xfId="0" applyFont="1" applyFill="1" applyBorder="1" applyAlignment="1">
      <alignment vertical="top" wrapText="1"/>
    </xf>
    <xf numFmtId="0" fontId="36" fillId="36" borderId="10" xfId="0" applyFont="1" applyFill="1" applyBorder="1" applyAlignment="1">
      <alignment vertical="top" wrapText="1"/>
    </xf>
    <xf numFmtId="0" fontId="38" fillId="2" borderId="0" xfId="0" applyFont="1" applyFill="1" applyAlignment="1">
      <alignment vertical="center" wrapText="1"/>
    </xf>
    <xf numFmtId="0" fontId="35" fillId="0" borderId="17" xfId="0" applyFont="1" applyFill="1" applyBorder="1" applyAlignment="1">
      <alignment horizontal="left" vertical="center" wrapText="1"/>
    </xf>
    <xf numFmtId="0" fontId="35" fillId="0" borderId="22" xfId="0" applyFont="1" applyFill="1" applyBorder="1" applyAlignment="1">
      <alignment horizontal="left" vertical="center" wrapText="1"/>
    </xf>
    <xf numFmtId="0" fontId="35" fillId="0" borderId="18" xfId="0" applyFont="1" applyFill="1" applyBorder="1" applyAlignment="1">
      <alignment horizontal="left" vertical="center" wrapText="1"/>
    </xf>
    <xf numFmtId="0" fontId="36" fillId="3" borderId="0" xfId="32" applyNumberFormat="1" applyFont="1" applyFill="1" applyAlignment="1">
      <alignment horizontal="left" vertical="center" wrapText="1"/>
    </xf>
    <xf numFmtId="0" fontId="35" fillId="2" borderId="17" xfId="0" applyFont="1" applyFill="1" applyBorder="1" applyAlignment="1">
      <alignment vertical="center" wrapText="1"/>
    </xf>
    <xf numFmtId="0" fontId="35" fillId="2" borderId="22" xfId="0" applyFont="1" applyFill="1" applyBorder="1" applyAlignment="1">
      <alignment vertical="center" wrapText="1"/>
    </xf>
    <xf numFmtId="0" fontId="35" fillId="2" borderId="18" xfId="0" applyFont="1" applyFill="1" applyBorder="1" applyAlignment="1">
      <alignment vertical="center" wrapText="1"/>
    </xf>
    <xf numFmtId="0" fontId="36" fillId="2" borderId="0" xfId="32" applyNumberFormat="1" applyFont="1" applyFill="1" applyAlignment="1">
      <alignment horizontal="left" vertical="center" wrapText="1"/>
    </xf>
    <xf numFmtId="0" fontId="38" fillId="2" borderId="0" xfId="0" applyFont="1" applyFill="1" applyAlignment="1">
      <alignment horizontal="left" vertical="center" wrapText="1"/>
    </xf>
    <xf numFmtId="0" fontId="33" fillId="2" borderId="0" xfId="32" applyNumberFormat="1" applyFont="1" applyFill="1" applyAlignment="1">
      <alignment vertical="center" wrapText="1"/>
    </xf>
    <xf numFmtId="0" fontId="35" fillId="0" borderId="17" xfId="0" applyFont="1" applyFill="1" applyBorder="1" applyAlignment="1">
      <alignment vertical="center" wrapText="1"/>
    </xf>
    <xf numFmtId="0" fontId="35" fillId="0" borderId="18" xfId="0" applyFont="1" applyFill="1" applyBorder="1" applyAlignment="1">
      <alignment vertical="center" wrapText="1"/>
    </xf>
    <xf numFmtId="0" fontId="5" fillId="36" borderId="9" xfId="0" applyFont="1" applyFill="1" applyBorder="1"/>
    <xf numFmtId="0" fontId="5" fillId="36" borderId="10" xfId="0" applyFont="1" applyFill="1" applyBorder="1"/>
    <xf numFmtId="0" fontId="30" fillId="3" borderId="0" xfId="31" applyFill="1" applyBorder="1" applyAlignment="1"/>
  </cellXfs>
  <cellStyles count="45">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xfId="44" builtinId="3"/>
    <cellStyle name="Currency" xfId="28" builtinId="4"/>
    <cellStyle name="Explanatory Text" xfId="29" builtinId="53" customBuiltin="1"/>
    <cellStyle name="Good" xfId="30" builtinId="26" customBuiltin="1"/>
    <cellStyle name="Heading 1" xfId="31" builtinId="16" customBuiltin="1"/>
    <cellStyle name="Heading 2" xfId="32" builtinId="17" customBuiltin="1"/>
    <cellStyle name="Heading 3" xfId="33" builtinId="18" customBuiltin="1"/>
    <cellStyle name="Heading 4" xfId="34" builtinId="19" customBuiltin="1"/>
    <cellStyle name="Input" xfId="35" builtinId="20" customBuiltin="1"/>
    <cellStyle name="Linked Cell" xfId="36" builtinId="24" customBuiltin="1"/>
    <cellStyle name="Neutral" xfId="37" builtinId="28" customBuiltin="1"/>
    <cellStyle name="Normal" xfId="0" builtinId="0" customBuiltin="1"/>
    <cellStyle name="Note" xfId="38" builtinId="10" customBuiltin="1"/>
    <cellStyle name="Output" xfId="39" builtinId="21" customBuiltin="1"/>
    <cellStyle name="Percent" xfId="40" builtinId="5"/>
    <cellStyle name="Title" xfId="41" builtinId="15" customBuiltin="1"/>
    <cellStyle name="Total" xfId="42" builtinId="25" customBuiltin="1"/>
    <cellStyle name="Warning Text" xfId="43" builtinId="11" customBuiltin="1"/>
  </cellStyles>
  <dxfs count="2">
    <dxf>
      <numFmt numFmtId="1" formatCode="0"/>
    </dxf>
    <dxf>
      <numFmt numFmtId="1" formatCode="0"/>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E3E3E3"/>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66"/>
      <color rgb="FFBEBEBE"/>
      <color rgb="FF9966FF"/>
      <color rgb="FF66FFFF"/>
      <color rgb="FFFF9900"/>
      <color rgb="FF99CC00"/>
      <color rgb="FFFFFFCC"/>
      <color rgb="FF990033"/>
      <color rgb="FF669900"/>
      <color rgb="FFCC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pivotCacheDefinition" Target="pivotCache/pivotCacheDefinition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pivotCacheDefinition" Target="pivotCache/pivotCacheDefinition2.xml"/><Relationship Id="rId40" Type="http://schemas.openxmlformats.org/officeDocument/2006/relationships/styles" Target="styles.xml"/><Relationship Id="rId45"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pivotCacheDefinition" Target="pivotCache/pivotCacheDefinition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ustomXml" Target="../customXml/item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pPr>
            <a:r>
              <a:rPr lang="en-GB" sz="900"/>
              <a:t>Breakdown of development pipeline (net dwellings)</a:t>
            </a:r>
          </a:p>
        </c:rich>
      </c:tx>
      <c:layout>
        <c:manualLayout>
          <c:xMode val="edge"/>
          <c:yMode val="edge"/>
          <c:x val="0.21170876367726763"/>
          <c:y val="4.1044590096628985E-3"/>
        </c:manualLayout>
      </c:layout>
      <c:overlay val="0"/>
    </c:title>
    <c:autoTitleDeleted val="0"/>
    <c:plotArea>
      <c:layout>
        <c:manualLayout>
          <c:layoutTarget val="inner"/>
          <c:xMode val="edge"/>
          <c:yMode val="edge"/>
          <c:x val="2.3867654356417294E-2"/>
          <c:y val="0.12198068991376078"/>
          <c:w val="0.82887633922808834"/>
          <c:h val="0.80159955005624295"/>
        </c:manualLayout>
      </c:layout>
      <c:barChart>
        <c:barDir val="col"/>
        <c:grouping val="clustered"/>
        <c:varyColors val="0"/>
        <c:ser>
          <c:idx val="0"/>
          <c:order val="0"/>
          <c:invertIfNegative val="0"/>
          <c:dPt>
            <c:idx val="0"/>
            <c:invertIfNegative val="0"/>
            <c:bubble3D val="0"/>
            <c:extLst>
              <c:ext xmlns:c16="http://schemas.microsoft.com/office/drawing/2014/chart" uri="{C3380CC4-5D6E-409C-BE32-E72D297353CC}">
                <c16:uniqueId val="{00000000-DCDE-4A53-BB5F-2C95ECFE0B4E}"/>
              </c:ext>
            </c:extLst>
          </c:dPt>
          <c:dPt>
            <c:idx val="1"/>
            <c:invertIfNegative val="0"/>
            <c:bubble3D val="0"/>
            <c:extLst>
              <c:ext xmlns:c16="http://schemas.microsoft.com/office/drawing/2014/chart" uri="{C3380CC4-5D6E-409C-BE32-E72D297353CC}">
                <c16:uniqueId val="{00000001-DCDE-4A53-BB5F-2C95ECFE0B4E}"/>
              </c:ext>
            </c:extLst>
          </c:dPt>
          <c:dPt>
            <c:idx val="2"/>
            <c:invertIfNegative val="0"/>
            <c:bubble3D val="0"/>
            <c:extLst>
              <c:ext xmlns:c16="http://schemas.microsoft.com/office/drawing/2014/chart" uri="{C3380CC4-5D6E-409C-BE32-E72D297353CC}">
                <c16:uniqueId val="{00000002-DCDE-4A53-BB5F-2C95ECFE0B4E}"/>
              </c:ext>
            </c:extLst>
          </c:dPt>
          <c:dPt>
            <c:idx val="3"/>
            <c:invertIfNegative val="0"/>
            <c:bubble3D val="0"/>
            <c:extLst>
              <c:ext xmlns:c16="http://schemas.microsoft.com/office/drawing/2014/chart" uri="{C3380CC4-5D6E-409C-BE32-E72D297353CC}">
                <c16:uniqueId val="{00000003-DCDE-4A53-BB5F-2C95ECFE0B4E}"/>
              </c:ext>
            </c:extLst>
          </c:dPt>
          <c:cat>
            <c:strRef>
              <c:f>'Summary Tables'!$A$36:$C$39</c:f>
              <c:strCache>
                <c:ptCount val="4"/>
                <c:pt idx="0">
                  <c:v>Under Construction</c:v>
                </c:pt>
                <c:pt idx="1">
                  <c:v>Planning Permissions</c:v>
                </c:pt>
                <c:pt idx="2">
                  <c:v>Applications Subject to Legal Agreement</c:v>
                </c:pt>
                <c:pt idx="3">
                  <c:v>Identified Sites</c:v>
                </c:pt>
              </c:strCache>
            </c:strRef>
          </c:cat>
          <c:val>
            <c:numRef>
              <c:f>'Summary Tables'!$I$36:$I$39</c:f>
              <c:numCache>
                <c:formatCode>#,##0</c:formatCode>
                <c:ptCount val="4"/>
                <c:pt idx="0">
                  <c:v>4701</c:v>
                </c:pt>
                <c:pt idx="1">
                  <c:v>8044</c:v>
                </c:pt>
                <c:pt idx="2">
                  <c:v>373</c:v>
                </c:pt>
                <c:pt idx="3">
                  <c:v>5335</c:v>
                </c:pt>
              </c:numCache>
            </c:numRef>
          </c:val>
          <c:extLst>
            <c:ext xmlns:c16="http://schemas.microsoft.com/office/drawing/2014/chart" uri="{C3380CC4-5D6E-409C-BE32-E72D297353CC}">
              <c16:uniqueId val="{00000004-DCDE-4A53-BB5F-2C95ECFE0B4E}"/>
            </c:ext>
          </c:extLst>
        </c:ser>
        <c:dLbls>
          <c:showLegendKey val="0"/>
          <c:showVal val="0"/>
          <c:showCatName val="0"/>
          <c:showSerName val="0"/>
          <c:showPercent val="0"/>
          <c:showBubbleSize val="0"/>
        </c:dLbls>
        <c:gapWidth val="40"/>
        <c:axId val="140401280"/>
        <c:axId val="140399744"/>
      </c:barChart>
      <c:valAx>
        <c:axId val="140399744"/>
        <c:scaling>
          <c:orientation val="minMax"/>
        </c:scaling>
        <c:delete val="0"/>
        <c:axPos val="l"/>
        <c:majorGridlines/>
        <c:numFmt formatCode="#,##0" sourceLinked="1"/>
        <c:majorTickMark val="out"/>
        <c:minorTickMark val="none"/>
        <c:tickLblPos val="nextTo"/>
        <c:crossAx val="140401280"/>
        <c:crosses val="autoZero"/>
        <c:crossBetween val="between"/>
      </c:valAx>
      <c:catAx>
        <c:axId val="140401280"/>
        <c:scaling>
          <c:orientation val="minMax"/>
        </c:scaling>
        <c:delete val="0"/>
        <c:axPos val="b"/>
        <c:numFmt formatCode="General" sourceLinked="0"/>
        <c:majorTickMark val="out"/>
        <c:minorTickMark val="none"/>
        <c:tickLblPos val="nextTo"/>
        <c:crossAx val="140399744"/>
        <c:crossesAt val="0"/>
        <c:auto val="0"/>
        <c:lblAlgn val="ctr"/>
        <c:lblOffset val="100"/>
        <c:noMultiLvlLbl val="0"/>
      </c:catAx>
    </c:plotArea>
    <c:plotVisOnly val="1"/>
    <c:dispBlanksAs val="zero"/>
    <c:showDLblsOverMax val="0"/>
  </c:chart>
  <c:spPr>
    <a:ln>
      <a:noFill/>
    </a:ln>
  </c:spPr>
  <c:txPr>
    <a:bodyPr/>
    <a:lstStyle/>
    <a:p>
      <a:pPr>
        <a:defRPr sz="800"/>
      </a:pPr>
      <a:endParaRPr lang="en-US"/>
    </a:p>
  </c:txPr>
  <c:printSettings>
    <c:headerFooter alignWithMargins="0"/>
    <c:pageMargins b="1" l="0.75" r="0.75" t="1" header="0.5" footer="0.5"/>
    <c:pageSetup paperSize="9" orientation="landscape" verticalDpi="1200"/>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833362720710506"/>
          <c:y val="6.9767441860465115E-2"/>
          <c:w val="0.86111344703083503"/>
          <c:h val="0.78604651162790695"/>
        </c:manualLayout>
      </c:layout>
      <c:barChart>
        <c:barDir val="col"/>
        <c:grouping val="stacked"/>
        <c:varyColors val="0"/>
        <c:ser>
          <c:idx val="0"/>
          <c:order val="0"/>
          <c:tx>
            <c:strRef>
              <c:f>'Summary Tables'!$A$96</c:f>
              <c:strCache>
                <c:ptCount val="1"/>
                <c:pt idx="0">
                  <c:v>New Build</c:v>
                </c:pt>
              </c:strCache>
            </c:strRef>
          </c:tx>
          <c:invertIfNegative val="0"/>
          <c:cat>
            <c:strRef>
              <c:f>'Summary Tables'!$C$95:$E$95</c:f>
              <c:strCache>
                <c:ptCount val="3"/>
                <c:pt idx="0">
                  <c:v>Permissions</c:v>
                </c:pt>
                <c:pt idx="1">
                  <c:v>Starts</c:v>
                </c:pt>
                <c:pt idx="2">
                  <c:v>Completions</c:v>
                </c:pt>
              </c:strCache>
            </c:strRef>
          </c:cat>
          <c:val>
            <c:numRef>
              <c:f>'Summary Tables'!$C$96:$E$96</c:f>
              <c:numCache>
                <c:formatCode>#,##0</c:formatCode>
                <c:ptCount val="3"/>
                <c:pt idx="0">
                  <c:v>1520</c:v>
                </c:pt>
                <c:pt idx="1">
                  <c:v>674</c:v>
                </c:pt>
                <c:pt idx="2">
                  <c:v>2559</c:v>
                </c:pt>
              </c:numCache>
            </c:numRef>
          </c:val>
          <c:extLst>
            <c:ext xmlns:c16="http://schemas.microsoft.com/office/drawing/2014/chart" uri="{C3380CC4-5D6E-409C-BE32-E72D297353CC}">
              <c16:uniqueId val="{00000000-AA58-44DE-BF79-54EFAC11D956}"/>
            </c:ext>
          </c:extLst>
        </c:ser>
        <c:ser>
          <c:idx val="1"/>
          <c:order val="1"/>
          <c:tx>
            <c:strRef>
              <c:f>'Summary Tables'!$A$97</c:f>
              <c:strCache>
                <c:ptCount val="1"/>
                <c:pt idx="0">
                  <c:v>Conversions</c:v>
                </c:pt>
              </c:strCache>
            </c:strRef>
          </c:tx>
          <c:invertIfNegative val="0"/>
          <c:cat>
            <c:strRef>
              <c:f>'Summary Tables'!$C$95:$E$95</c:f>
              <c:strCache>
                <c:ptCount val="3"/>
                <c:pt idx="0">
                  <c:v>Permissions</c:v>
                </c:pt>
                <c:pt idx="1">
                  <c:v>Starts</c:v>
                </c:pt>
                <c:pt idx="2">
                  <c:v>Completions</c:v>
                </c:pt>
              </c:strCache>
            </c:strRef>
          </c:cat>
          <c:val>
            <c:numRef>
              <c:f>'Summary Tables'!$C$97:$E$97</c:f>
              <c:numCache>
                <c:formatCode>#,##0</c:formatCode>
                <c:ptCount val="3"/>
                <c:pt idx="0">
                  <c:v>135</c:v>
                </c:pt>
                <c:pt idx="1">
                  <c:v>123</c:v>
                </c:pt>
                <c:pt idx="2">
                  <c:v>103</c:v>
                </c:pt>
              </c:numCache>
            </c:numRef>
          </c:val>
          <c:extLst>
            <c:ext xmlns:c16="http://schemas.microsoft.com/office/drawing/2014/chart" uri="{C3380CC4-5D6E-409C-BE32-E72D297353CC}">
              <c16:uniqueId val="{00000001-AA58-44DE-BF79-54EFAC11D956}"/>
            </c:ext>
          </c:extLst>
        </c:ser>
        <c:dLbls>
          <c:showLegendKey val="0"/>
          <c:showVal val="0"/>
          <c:showCatName val="0"/>
          <c:showSerName val="0"/>
          <c:showPercent val="0"/>
          <c:showBubbleSize val="0"/>
        </c:dLbls>
        <c:gapWidth val="56"/>
        <c:overlap val="100"/>
        <c:axId val="141655040"/>
        <c:axId val="141656832"/>
      </c:barChart>
      <c:catAx>
        <c:axId val="141655040"/>
        <c:scaling>
          <c:orientation val="minMax"/>
        </c:scaling>
        <c:delete val="0"/>
        <c:axPos val="b"/>
        <c:numFmt formatCode="General" sourceLinked="1"/>
        <c:majorTickMark val="out"/>
        <c:minorTickMark val="none"/>
        <c:tickLblPos val="nextTo"/>
        <c:txPr>
          <a:bodyPr rot="0" vert="horz"/>
          <a:lstStyle/>
          <a:p>
            <a:pPr>
              <a:defRPr/>
            </a:pPr>
            <a:endParaRPr lang="en-US"/>
          </a:p>
        </c:txPr>
        <c:crossAx val="141656832"/>
        <c:crosses val="autoZero"/>
        <c:auto val="1"/>
        <c:lblAlgn val="ctr"/>
        <c:lblOffset val="100"/>
        <c:tickLblSkip val="1"/>
        <c:tickMarkSkip val="1"/>
        <c:noMultiLvlLbl val="0"/>
      </c:catAx>
      <c:valAx>
        <c:axId val="141656832"/>
        <c:scaling>
          <c:orientation val="minMax"/>
        </c:scaling>
        <c:delete val="0"/>
        <c:axPos val="l"/>
        <c:majorGridlines/>
        <c:numFmt formatCode="#,##0" sourceLinked="1"/>
        <c:majorTickMark val="out"/>
        <c:minorTickMark val="none"/>
        <c:tickLblPos val="nextTo"/>
        <c:txPr>
          <a:bodyPr rot="0" vert="horz"/>
          <a:lstStyle/>
          <a:p>
            <a:pPr>
              <a:defRPr/>
            </a:pPr>
            <a:endParaRPr lang="en-US"/>
          </a:p>
        </c:txPr>
        <c:crossAx val="141655040"/>
        <c:crosses val="autoZero"/>
        <c:crossBetween val="between"/>
      </c:valAx>
    </c:plotArea>
    <c:legend>
      <c:legendPos val="r"/>
      <c:layout>
        <c:manualLayout>
          <c:xMode val="edge"/>
          <c:yMode val="edge"/>
          <c:x val="0.41593729070146346"/>
          <c:y val="0.11948270628506447"/>
          <c:w val="0.2048997772828508"/>
          <c:h val="0.17154811715481172"/>
        </c:manualLayout>
      </c:layout>
      <c:overlay val="0"/>
      <c:spPr>
        <a:solidFill>
          <a:sysClr val="window" lastClr="FFFFFF"/>
        </a:solidFill>
      </c:spPr>
    </c:legend>
    <c:plotVisOnly val="1"/>
    <c:dispBlanksAs val="gap"/>
    <c:showDLblsOverMax val="0"/>
  </c:chart>
  <c:spPr>
    <a:ln>
      <a:noFill/>
    </a:ln>
  </c:spPr>
  <c:txPr>
    <a:bodyPr/>
    <a:lstStyle/>
    <a:p>
      <a:pPr>
        <a:defRPr sz="800"/>
      </a:pPr>
      <a:endParaRPr lang="en-US"/>
    </a:p>
  </c:txPr>
  <c:printSettings>
    <c:headerFooter alignWithMargins="0"/>
    <c:pageMargins b="1" l="0.75" r="0.75" t="1" header="0.5" footer="0.5"/>
    <c:pageSetup paperSize="9" orientation="landscape"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344840027565073"/>
          <c:y val="5.1903201880139423E-2"/>
          <c:w val="0.84618486063704224"/>
          <c:h val="0.76470717436738744"/>
        </c:manualLayout>
      </c:layout>
      <c:barChart>
        <c:barDir val="col"/>
        <c:grouping val="stacked"/>
        <c:varyColors val="0"/>
        <c:ser>
          <c:idx val="0"/>
          <c:order val="0"/>
          <c:tx>
            <c:strRef>
              <c:f>'Summary Tables'!$B$222:$C$222</c:f>
              <c:strCache>
                <c:ptCount val="1"/>
                <c:pt idx="0">
                  <c:v>Open Market</c:v>
                </c:pt>
              </c:strCache>
            </c:strRef>
          </c:tx>
          <c:invertIfNegative val="0"/>
          <c:cat>
            <c:strRef>
              <c:f>'Summary Tables'!$A$224:$A$241</c:f>
              <c:strCache>
                <c:ptCount val="18"/>
                <c:pt idx="0">
                  <c:v>2006/07</c:v>
                </c:pt>
                <c:pt idx="1">
                  <c:v>2007/08</c:v>
                </c:pt>
                <c:pt idx="2">
                  <c:v>2008/09</c:v>
                </c:pt>
                <c:pt idx="3">
                  <c:v>2009/10</c:v>
                </c:pt>
                <c:pt idx="4">
                  <c:v>2010/11</c:v>
                </c:pt>
                <c:pt idx="5">
                  <c:v>2011/12</c:v>
                </c:pt>
                <c:pt idx="6">
                  <c:v>2012/13</c:v>
                </c:pt>
                <c:pt idx="7">
                  <c:v>2013/14</c:v>
                </c:pt>
                <c:pt idx="8">
                  <c:v>2014/15</c:v>
                </c:pt>
                <c:pt idx="9">
                  <c:v>2015/16</c:v>
                </c:pt>
                <c:pt idx="10">
                  <c:v>2016/17</c:v>
                </c:pt>
                <c:pt idx="11">
                  <c:v>2017/18</c:v>
                </c:pt>
                <c:pt idx="12">
                  <c:v>2018/19</c:v>
                </c:pt>
                <c:pt idx="13">
                  <c:v>2019/20</c:v>
                </c:pt>
                <c:pt idx="14">
                  <c:v>2020/21</c:v>
                </c:pt>
                <c:pt idx="15">
                  <c:v>2021/22</c:v>
                </c:pt>
                <c:pt idx="16">
                  <c:v>2022/23</c:v>
                </c:pt>
                <c:pt idx="17">
                  <c:v>2023/24</c:v>
                </c:pt>
              </c:strCache>
            </c:strRef>
          </c:cat>
          <c:val>
            <c:numRef>
              <c:f>'Summary Tables'!$B$224:$B$241</c:f>
              <c:numCache>
                <c:formatCode>#,##0</c:formatCode>
                <c:ptCount val="18"/>
                <c:pt idx="0">
                  <c:v>1300</c:v>
                </c:pt>
                <c:pt idx="1">
                  <c:v>974</c:v>
                </c:pt>
                <c:pt idx="2">
                  <c:v>482</c:v>
                </c:pt>
                <c:pt idx="3">
                  <c:v>358</c:v>
                </c:pt>
                <c:pt idx="4">
                  <c:v>1127</c:v>
                </c:pt>
                <c:pt idx="5">
                  <c:v>1728</c:v>
                </c:pt>
                <c:pt idx="6">
                  <c:v>1075</c:v>
                </c:pt>
                <c:pt idx="7">
                  <c:v>2053</c:v>
                </c:pt>
                <c:pt idx="8">
                  <c:v>914</c:v>
                </c:pt>
                <c:pt idx="9">
                  <c:v>1686</c:v>
                </c:pt>
                <c:pt idx="10">
                  <c:v>2776</c:v>
                </c:pt>
                <c:pt idx="11">
                  <c:v>1669</c:v>
                </c:pt>
                <c:pt idx="12">
                  <c:v>1276</c:v>
                </c:pt>
                <c:pt idx="13">
                  <c:v>2884</c:v>
                </c:pt>
                <c:pt idx="14">
                  <c:v>1152</c:v>
                </c:pt>
                <c:pt idx="15">
                  <c:v>842</c:v>
                </c:pt>
                <c:pt idx="16">
                  <c:v>1547</c:v>
                </c:pt>
                <c:pt idx="17">
                  <c:v>612</c:v>
                </c:pt>
              </c:numCache>
            </c:numRef>
          </c:val>
          <c:extLst>
            <c:ext xmlns:c16="http://schemas.microsoft.com/office/drawing/2014/chart" uri="{C3380CC4-5D6E-409C-BE32-E72D297353CC}">
              <c16:uniqueId val="{00000000-F492-46E1-B835-A12F26DDF8C1}"/>
            </c:ext>
          </c:extLst>
        </c:ser>
        <c:ser>
          <c:idx val="1"/>
          <c:order val="1"/>
          <c:tx>
            <c:strRef>
              <c:f>'Summary Tables'!$H$222</c:f>
              <c:strCache>
                <c:ptCount val="1"/>
                <c:pt idx="0">
                  <c:v>Total Affordable</c:v>
                </c:pt>
              </c:strCache>
            </c:strRef>
          </c:tx>
          <c:invertIfNegative val="0"/>
          <c:cat>
            <c:strRef>
              <c:f>'Summary Tables'!$A$224:$A$241</c:f>
              <c:strCache>
                <c:ptCount val="18"/>
                <c:pt idx="0">
                  <c:v>2006/07</c:v>
                </c:pt>
                <c:pt idx="1">
                  <c:v>2007/08</c:v>
                </c:pt>
                <c:pt idx="2">
                  <c:v>2008/09</c:v>
                </c:pt>
                <c:pt idx="3">
                  <c:v>2009/10</c:v>
                </c:pt>
                <c:pt idx="4">
                  <c:v>2010/11</c:v>
                </c:pt>
                <c:pt idx="5">
                  <c:v>2011/12</c:v>
                </c:pt>
                <c:pt idx="6">
                  <c:v>2012/13</c:v>
                </c:pt>
                <c:pt idx="7">
                  <c:v>2013/14</c:v>
                </c:pt>
                <c:pt idx="8">
                  <c:v>2014/15</c:v>
                </c:pt>
                <c:pt idx="9">
                  <c:v>2015/16</c:v>
                </c:pt>
                <c:pt idx="10">
                  <c:v>2016/17</c:v>
                </c:pt>
                <c:pt idx="11">
                  <c:v>2017/18</c:v>
                </c:pt>
                <c:pt idx="12">
                  <c:v>2018/19</c:v>
                </c:pt>
                <c:pt idx="13">
                  <c:v>2019/20</c:v>
                </c:pt>
                <c:pt idx="14">
                  <c:v>2020/21</c:v>
                </c:pt>
                <c:pt idx="15">
                  <c:v>2021/22</c:v>
                </c:pt>
                <c:pt idx="16">
                  <c:v>2022/23</c:v>
                </c:pt>
                <c:pt idx="17">
                  <c:v>2023/24</c:v>
                </c:pt>
              </c:strCache>
            </c:strRef>
          </c:cat>
          <c:val>
            <c:numRef>
              <c:f>'Summary Tables'!$H$224:$H$241</c:f>
              <c:numCache>
                <c:formatCode>#,##0</c:formatCode>
                <c:ptCount val="18"/>
                <c:pt idx="0">
                  <c:v>624</c:v>
                </c:pt>
                <c:pt idx="1">
                  <c:v>662</c:v>
                </c:pt>
                <c:pt idx="2">
                  <c:v>119</c:v>
                </c:pt>
                <c:pt idx="3">
                  <c:v>104</c:v>
                </c:pt>
                <c:pt idx="4">
                  <c:v>402</c:v>
                </c:pt>
                <c:pt idx="5">
                  <c:v>432</c:v>
                </c:pt>
                <c:pt idx="6">
                  <c:v>122</c:v>
                </c:pt>
                <c:pt idx="7">
                  <c:v>339</c:v>
                </c:pt>
                <c:pt idx="8">
                  <c:v>220</c:v>
                </c:pt>
                <c:pt idx="9">
                  <c:v>237</c:v>
                </c:pt>
                <c:pt idx="10">
                  <c:v>465</c:v>
                </c:pt>
                <c:pt idx="11">
                  <c:v>431</c:v>
                </c:pt>
                <c:pt idx="12">
                  <c:v>582</c:v>
                </c:pt>
                <c:pt idx="13">
                  <c:v>1004</c:v>
                </c:pt>
                <c:pt idx="14">
                  <c:v>89</c:v>
                </c:pt>
                <c:pt idx="15">
                  <c:v>490</c:v>
                </c:pt>
                <c:pt idx="16">
                  <c:v>380</c:v>
                </c:pt>
                <c:pt idx="17">
                  <c:v>186</c:v>
                </c:pt>
              </c:numCache>
            </c:numRef>
          </c:val>
          <c:extLst>
            <c:ext xmlns:c16="http://schemas.microsoft.com/office/drawing/2014/chart" uri="{C3380CC4-5D6E-409C-BE32-E72D297353CC}">
              <c16:uniqueId val="{00000001-F492-46E1-B835-A12F26DDF8C1}"/>
            </c:ext>
          </c:extLst>
        </c:ser>
        <c:dLbls>
          <c:showLegendKey val="0"/>
          <c:showVal val="0"/>
          <c:showCatName val="0"/>
          <c:showSerName val="0"/>
          <c:showPercent val="0"/>
          <c:showBubbleSize val="0"/>
        </c:dLbls>
        <c:gapWidth val="40"/>
        <c:overlap val="100"/>
        <c:axId val="160195712"/>
        <c:axId val="160197248"/>
      </c:barChart>
      <c:catAx>
        <c:axId val="160195712"/>
        <c:scaling>
          <c:orientation val="minMax"/>
        </c:scaling>
        <c:delete val="0"/>
        <c:axPos val="b"/>
        <c:numFmt formatCode="General" sourceLinked="1"/>
        <c:majorTickMark val="out"/>
        <c:minorTickMark val="none"/>
        <c:tickLblPos val="nextTo"/>
        <c:txPr>
          <a:bodyPr rot="3000000" vert="horz"/>
          <a:lstStyle/>
          <a:p>
            <a:pPr>
              <a:defRPr/>
            </a:pPr>
            <a:endParaRPr lang="en-US"/>
          </a:p>
        </c:txPr>
        <c:crossAx val="160197248"/>
        <c:crosses val="autoZero"/>
        <c:auto val="1"/>
        <c:lblAlgn val="ctr"/>
        <c:lblOffset val="100"/>
        <c:tickLblSkip val="1"/>
        <c:tickMarkSkip val="1"/>
        <c:noMultiLvlLbl val="0"/>
      </c:catAx>
      <c:valAx>
        <c:axId val="160197248"/>
        <c:scaling>
          <c:orientation val="minMax"/>
        </c:scaling>
        <c:delete val="0"/>
        <c:axPos val="l"/>
        <c:majorGridlines/>
        <c:numFmt formatCode="#,##0" sourceLinked="1"/>
        <c:majorTickMark val="out"/>
        <c:minorTickMark val="none"/>
        <c:tickLblPos val="nextTo"/>
        <c:txPr>
          <a:bodyPr rot="0" vert="horz"/>
          <a:lstStyle/>
          <a:p>
            <a:pPr>
              <a:defRPr/>
            </a:pPr>
            <a:endParaRPr lang="en-US"/>
          </a:p>
        </c:txPr>
        <c:crossAx val="160195712"/>
        <c:crosses val="autoZero"/>
        <c:crossBetween val="between"/>
      </c:valAx>
    </c:plotArea>
    <c:legend>
      <c:legendPos val="r"/>
      <c:layout>
        <c:manualLayout>
          <c:xMode val="edge"/>
          <c:yMode val="edge"/>
          <c:x val="0.10295748850063978"/>
          <c:y val="6.4846894138232719E-2"/>
          <c:w val="0.24597060922057706"/>
          <c:h val="0.14186851211072665"/>
        </c:manualLayout>
      </c:layout>
      <c:overlay val="0"/>
      <c:spPr>
        <a:solidFill>
          <a:sysClr val="window" lastClr="FFFFFF"/>
        </a:solidFill>
      </c:spPr>
    </c:legend>
    <c:plotVisOnly val="1"/>
    <c:dispBlanksAs val="gap"/>
    <c:showDLblsOverMax val="0"/>
  </c:chart>
  <c:spPr>
    <a:ln>
      <a:noFill/>
    </a:ln>
  </c:spPr>
  <c:txPr>
    <a:bodyPr/>
    <a:lstStyle/>
    <a:p>
      <a:pPr>
        <a:defRPr sz="800"/>
      </a:pPr>
      <a:endParaRPr lang="en-US"/>
    </a:p>
  </c:txPr>
  <c:printSettings>
    <c:headerFooter alignWithMargins="0"/>
    <c:pageMargins b="1" l="0.75" r="0.75" t="1" header="0.5" footer="0.5"/>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2914345009199429E-2"/>
          <c:y val="4.3553869790666409E-2"/>
          <c:w val="0.91696096127518945"/>
          <c:h val="0.78192429893631721"/>
        </c:manualLayout>
      </c:layout>
      <c:barChart>
        <c:barDir val="col"/>
        <c:grouping val="stacked"/>
        <c:varyColors val="0"/>
        <c:ser>
          <c:idx val="0"/>
          <c:order val="0"/>
          <c:tx>
            <c:strRef>
              <c:f>'Summary Tables'!$B$197:$C$197</c:f>
              <c:strCache>
                <c:ptCount val="1"/>
                <c:pt idx="0">
                  <c:v>New Build</c:v>
                </c:pt>
              </c:strCache>
            </c:strRef>
          </c:tx>
          <c:invertIfNegative val="0"/>
          <c:dPt>
            <c:idx val="8"/>
            <c:invertIfNegative val="0"/>
            <c:bubble3D val="0"/>
            <c:extLst>
              <c:ext xmlns:c16="http://schemas.microsoft.com/office/drawing/2014/chart" uri="{C3380CC4-5D6E-409C-BE32-E72D297353CC}">
                <c16:uniqueId val="{00000000-C577-487E-A539-63264F86A722}"/>
              </c:ext>
            </c:extLst>
          </c:dPt>
          <c:cat>
            <c:strRef>
              <c:f>'Summary Tables'!$A$199:$A$216</c:f>
              <c:strCache>
                <c:ptCount val="18"/>
                <c:pt idx="0">
                  <c:v>2006/07</c:v>
                </c:pt>
                <c:pt idx="1">
                  <c:v>2007/08</c:v>
                </c:pt>
                <c:pt idx="2">
                  <c:v>2008/09</c:v>
                </c:pt>
                <c:pt idx="3">
                  <c:v>2009/10</c:v>
                </c:pt>
                <c:pt idx="4">
                  <c:v>2010/11</c:v>
                </c:pt>
                <c:pt idx="5">
                  <c:v>2011/12</c:v>
                </c:pt>
                <c:pt idx="6">
                  <c:v>2012/13</c:v>
                </c:pt>
                <c:pt idx="7">
                  <c:v>2013/14</c:v>
                </c:pt>
                <c:pt idx="8">
                  <c:v>2014/15</c:v>
                </c:pt>
                <c:pt idx="9">
                  <c:v>2015/16</c:v>
                </c:pt>
                <c:pt idx="10">
                  <c:v>2016/17</c:v>
                </c:pt>
                <c:pt idx="11">
                  <c:v>2017/18</c:v>
                </c:pt>
                <c:pt idx="12">
                  <c:v>2018/19</c:v>
                </c:pt>
                <c:pt idx="13">
                  <c:v>2019/20</c:v>
                </c:pt>
                <c:pt idx="14">
                  <c:v>2020/21</c:v>
                </c:pt>
                <c:pt idx="15">
                  <c:v>2021/22</c:v>
                </c:pt>
                <c:pt idx="16">
                  <c:v>2022/23</c:v>
                </c:pt>
                <c:pt idx="17">
                  <c:v>2023/24</c:v>
                </c:pt>
              </c:strCache>
            </c:strRef>
          </c:cat>
          <c:val>
            <c:numRef>
              <c:f>'Summary Tables'!$C$199:$C$216</c:f>
              <c:numCache>
                <c:formatCode>#,##0</c:formatCode>
                <c:ptCount val="18"/>
                <c:pt idx="0">
                  <c:v>1080</c:v>
                </c:pt>
                <c:pt idx="1">
                  <c:v>840</c:v>
                </c:pt>
                <c:pt idx="2">
                  <c:v>1385</c:v>
                </c:pt>
                <c:pt idx="3">
                  <c:v>1413</c:v>
                </c:pt>
                <c:pt idx="4">
                  <c:v>340</c:v>
                </c:pt>
                <c:pt idx="5">
                  <c:v>851</c:v>
                </c:pt>
                <c:pt idx="6">
                  <c:v>721</c:v>
                </c:pt>
                <c:pt idx="7">
                  <c:v>1079</c:v>
                </c:pt>
                <c:pt idx="8">
                  <c:v>812</c:v>
                </c:pt>
                <c:pt idx="9">
                  <c:v>2639</c:v>
                </c:pt>
                <c:pt idx="10">
                  <c:v>1968</c:v>
                </c:pt>
                <c:pt idx="11">
                  <c:v>1912</c:v>
                </c:pt>
                <c:pt idx="12">
                  <c:v>1623</c:v>
                </c:pt>
                <c:pt idx="13">
                  <c:v>1071</c:v>
                </c:pt>
                <c:pt idx="14">
                  <c:v>1214</c:v>
                </c:pt>
                <c:pt idx="15">
                  <c:v>1509</c:v>
                </c:pt>
                <c:pt idx="16">
                  <c:v>1761</c:v>
                </c:pt>
                <c:pt idx="17">
                  <c:v>2559</c:v>
                </c:pt>
              </c:numCache>
            </c:numRef>
          </c:val>
          <c:extLst>
            <c:ext xmlns:c16="http://schemas.microsoft.com/office/drawing/2014/chart" uri="{C3380CC4-5D6E-409C-BE32-E72D297353CC}">
              <c16:uniqueId val="{00000001-C577-487E-A539-63264F86A722}"/>
            </c:ext>
          </c:extLst>
        </c:ser>
        <c:ser>
          <c:idx val="1"/>
          <c:order val="1"/>
          <c:tx>
            <c:strRef>
              <c:f>'Summary Tables'!$D$197:$E$197</c:f>
              <c:strCache>
                <c:ptCount val="1"/>
                <c:pt idx="0">
                  <c:v>Conversions</c:v>
                </c:pt>
              </c:strCache>
            </c:strRef>
          </c:tx>
          <c:invertIfNegative val="0"/>
          <c:cat>
            <c:strRef>
              <c:f>'Summary Tables'!$A$199:$A$216</c:f>
              <c:strCache>
                <c:ptCount val="18"/>
                <c:pt idx="0">
                  <c:v>2006/07</c:v>
                </c:pt>
                <c:pt idx="1">
                  <c:v>2007/08</c:v>
                </c:pt>
                <c:pt idx="2">
                  <c:v>2008/09</c:v>
                </c:pt>
                <c:pt idx="3">
                  <c:v>2009/10</c:v>
                </c:pt>
                <c:pt idx="4">
                  <c:v>2010/11</c:v>
                </c:pt>
                <c:pt idx="5">
                  <c:v>2011/12</c:v>
                </c:pt>
                <c:pt idx="6">
                  <c:v>2012/13</c:v>
                </c:pt>
                <c:pt idx="7">
                  <c:v>2013/14</c:v>
                </c:pt>
                <c:pt idx="8">
                  <c:v>2014/15</c:v>
                </c:pt>
                <c:pt idx="9">
                  <c:v>2015/16</c:v>
                </c:pt>
                <c:pt idx="10">
                  <c:v>2016/17</c:v>
                </c:pt>
                <c:pt idx="11">
                  <c:v>2017/18</c:v>
                </c:pt>
                <c:pt idx="12">
                  <c:v>2018/19</c:v>
                </c:pt>
                <c:pt idx="13">
                  <c:v>2019/20</c:v>
                </c:pt>
                <c:pt idx="14">
                  <c:v>2020/21</c:v>
                </c:pt>
                <c:pt idx="15">
                  <c:v>2021/22</c:v>
                </c:pt>
                <c:pt idx="16">
                  <c:v>2022/23</c:v>
                </c:pt>
                <c:pt idx="17">
                  <c:v>2023/24</c:v>
                </c:pt>
              </c:strCache>
            </c:strRef>
          </c:cat>
          <c:val>
            <c:numRef>
              <c:f>'Summary Tables'!$E$199:$E$216</c:f>
              <c:numCache>
                <c:formatCode>#,##0</c:formatCode>
                <c:ptCount val="18"/>
                <c:pt idx="0">
                  <c:v>198</c:v>
                </c:pt>
                <c:pt idx="1">
                  <c:v>191</c:v>
                </c:pt>
                <c:pt idx="2">
                  <c:v>175</c:v>
                </c:pt>
                <c:pt idx="3">
                  <c:v>126</c:v>
                </c:pt>
                <c:pt idx="4">
                  <c:v>141</c:v>
                </c:pt>
                <c:pt idx="5">
                  <c:v>128</c:v>
                </c:pt>
                <c:pt idx="6">
                  <c:v>121</c:v>
                </c:pt>
                <c:pt idx="7">
                  <c:v>118</c:v>
                </c:pt>
                <c:pt idx="8">
                  <c:v>124</c:v>
                </c:pt>
                <c:pt idx="9">
                  <c:v>137</c:v>
                </c:pt>
                <c:pt idx="10">
                  <c:v>377</c:v>
                </c:pt>
                <c:pt idx="11">
                  <c:v>124</c:v>
                </c:pt>
                <c:pt idx="12">
                  <c:v>228</c:v>
                </c:pt>
                <c:pt idx="13">
                  <c:v>259</c:v>
                </c:pt>
                <c:pt idx="14">
                  <c:v>185</c:v>
                </c:pt>
                <c:pt idx="15">
                  <c:v>450</c:v>
                </c:pt>
                <c:pt idx="16">
                  <c:v>238</c:v>
                </c:pt>
                <c:pt idx="17">
                  <c:v>103</c:v>
                </c:pt>
              </c:numCache>
            </c:numRef>
          </c:val>
          <c:extLst>
            <c:ext xmlns:c16="http://schemas.microsoft.com/office/drawing/2014/chart" uri="{C3380CC4-5D6E-409C-BE32-E72D297353CC}">
              <c16:uniqueId val="{00000002-C577-487E-A539-63264F86A722}"/>
            </c:ext>
          </c:extLst>
        </c:ser>
        <c:dLbls>
          <c:showLegendKey val="0"/>
          <c:showVal val="0"/>
          <c:showCatName val="0"/>
          <c:showSerName val="0"/>
          <c:showPercent val="0"/>
          <c:showBubbleSize val="0"/>
        </c:dLbls>
        <c:gapWidth val="40"/>
        <c:overlap val="100"/>
        <c:axId val="160238592"/>
        <c:axId val="160240384"/>
      </c:barChart>
      <c:catAx>
        <c:axId val="160238592"/>
        <c:scaling>
          <c:orientation val="minMax"/>
        </c:scaling>
        <c:delete val="0"/>
        <c:axPos val="b"/>
        <c:numFmt formatCode="General" sourceLinked="1"/>
        <c:majorTickMark val="out"/>
        <c:minorTickMark val="none"/>
        <c:tickLblPos val="nextTo"/>
        <c:txPr>
          <a:bodyPr rot="2280000" vert="horz"/>
          <a:lstStyle/>
          <a:p>
            <a:pPr>
              <a:defRPr/>
            </a:pPr>
            <a:endParaRPr lang="en-US"/>
          </a:p>
        </c:txPr>
        <c:crossAx val="160240384"/>
        <c:crosses val="autoZero"/>
        <c:auto val="1"/>
        <c:lblAlgn val="ctr"/>
        <c:lblOffset val="100"/>
        <c:tickLblSkip val="1"/>
        <c:noMultiLvlLbl val="0"/>
      </c:catAx>
      <c:valAx>
        <c:axId val="160240384"/>
        <c:scaling>
          <c:orientation val="minMax"/>
        </c:scaling>
        <c:delete val="0"/>
        <c:axPos val="l"/>
        <c:majorGridlines/>
        <c:numFmt formatCode="#,##0" sourceLinked="1"/>
        <c:majorTickMark val="out"/>
        <c:minorTickMark val="none"/>
        <c:tickLblPos val="nextTo"/>
        <c:txPr>
          <a:bodyPr rot="0" vert="horz"/>
          <a:lstStyle/>
          <a:p>
            <a:pPr>
              <a:defRPr/>
            </a:pPr>
            <a:endParaRPr lang="en-US"/>
          </a:p>
        </c:txPr>
        <c:crossAx val="160238592"/>
        <c:crosses val="autoZero"/>
        <c:crossBetween val="between"/>
      </c:valAx>
    </c:plotArea>
    <c:legend>
      <c:legendPos val="r"/>
      <c:layout>
        <c:manualLayout>
          <c:xMode val="edge"/>
          <c:yMode val="edge"/>
          <c:x val="7.641198696316806E-2"/>
          <c:y val="9.6359085549088966E-2"/>
          <c:w val="0.15644486746848948"/>
          <c:h val="0.11474852599946746"/>
        </c:manualLayout>
      </c:layout>
      <c:overlay val="0"/>
      <c:spPr>
        <a:solidFill>
          <a:sysClr val="window" lastClr="FFFFFF"/>
        </a:solidFill>
      </c:spPr>
    </c:legend>
    <c:plotVisOnly val="1"/>
    <c:dispBlanksAs val="gap"/>
    <c:showDLblsOverMax val="0"/>
  </c:chart>
  <c:spPr>
    <a:ln>
      <a:noFill/>
    </a:ln>
  </c:spPr>
  <c:txPr>
    <a:bodyPr/>
    <a:lstStyle/>
    <a:p>
      <a:pPr>
        <a:defRPr sz="800"/>
      </a:pPr>
      <a:endParaRPr lang="en-US"/>
    </a:p>
  </c:txPr>
  <c:printSettings>
    <c:headerFooter alignWithMargins="0"/>
    <c:pageMargins b="1" l="0.75" r="0.75" t="1" header="0.5" footer="0.5"/>
    <c:pageSetup paperSize="9" orientation="landscape"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pPr>
            <a:r>
              <a:rPr lang="en-GB" sz="900"/>
              <a:t>Total net completions by tenure 2006/07 to 2023/24</a:t>
            </a:r>
          </a:p>
        </c:rich>
      </c:tx>
      <c:layout>
        <c:manualLayout>
          <c:xMode val="edge"/>
          <c:yMode val="edge"/>
          <c:x val="2.5613632466795922E-3"/>
          <c:y val="0.12239741771409007"/>
        </c:manualLayout>
      </c:layout>
      <c:overlay val="0"/>
    </c:title>
    <c:autoTitleDeleted val="0"/>
    <c:plotArea>
      <c:layout>
        <c:manualLayout>
          <c:layoutTarget val="inner"/>
          <c:xMode val="edge"/>
          <c:yMode val="edge"/>
          <c:x val="6.9681500486596465E-2"/>
          <c:y val="0.21365157480314961"/>
          <c:w val="0.56325370845498257"/>
          <c:h val="0.69624416739574224"/>
        </c:manualLayout>
      </c:layout>
      <c:pieChart>
        <c:varyColors val="1"/>
        <c:ser>
          <c:idx val="0"/>
          <c:order val="0"/>
          <c:dPt>
            <c:idx val="0"/>
            <c:bubble3D val="0"/>
            <c:extLst>
              <c:ext xmlns:c16="http://schemas.microsoft.com/office/drawing/2014/chart" uri="{C3380CC4-5D6E-409C-BE32-E72D297353CC}">
                <c16:uniqueId val="{00000000-E5D0-419B-A63C-9E095E3EEC4D}"/>
              </c:ext>
            </c:extLst>
          </c:dPt>
          <c:dPt>
            <c:idx val="1"/>
            <c:bubble3D val="0"/>
            <c:extLst>
              <c:ext xmlns:c16="http://schemas.microsoft.com/office/drawing/2014/chart" uri="{C3380CC4-5D6E-409C-BE32-E72D297353CC}">
                <c16:uniqueId val="{00000001-E5D0-419B-A63C-9E095E3EEC4D}"/>
              </c:ext>
            </c:extLst>
          </c:dPt>
          <c:dPt>
            <c:idx val="2"/>
            <c:bubble3D val="0"/>
            <c:extLst>
              <c:ext xmlns:c16="http://schemas.microsoft.com/office/drawing/2014/chart" uri="{C3380CC4-5D6E-409C-BE32-E72D297353CC}">
                <c16:uniqueId val="{00000002-E5D0-419B-A63C-9E095E3EEC4D}"/>
              </c:ext>
            </c:extLst>
          </c:dPt>
          <c:dLbls>
            <c:numFmt formatCode="0%" sourceLinked="0"/>
            <c:spPr>
              <a:noFill/>
              <a:ln>
                <a:noFill/>
              </a:ln>
              <a:effectLst/>
            </c:spPr>
            <c:dLblPos val="bestFit"/>
            <c:showLegendKey val="0"/>
            <c:showVal val="0"/>
            <c:showCatName val="0"/>
            <c:showSerName val="0"/>
            <c:showPercent val="1"/>
            <c:showBubbleSize val="0"/>
            <c:showLeaderLines val="1"/>
            <c:extLst>
              <c:ext xmlns:c15="http://schemas.microsoft.com/office/drawing/2012/chart" uri="{CE6537A1-D6FC-4f65-9D91-7224C49458BB}"/>
            </c:extLst>
          </c:dLbls>
          <c:cat>
            <c:strRef>
              <c:f>('Summary Tables'!$B$112,'Summary Tables'!$D$112,'Summary Tables'!$F$112)</c:f>
              <c:strCache>
                <c:ptCount val="3"/>
                <c:pt idx="0">
                  <c:v> Open Market</c:v>
                </c:pt>
                <c:pt idx="1">
                  <c:v>  Intermediate </c:v>
                </c:pt>
                <c:pt idx="2">
                  <c:v>  Social/Affordable Rent </c:v>
                </c:pt>
              </c:strCache>
            </c:strRef>
          </c:cat>
          <c:val>
            <c:numRef>
              <c:f>('Summary Tables'!$B$132,'Summary Tables'!$D$132,'Summary Tables'!$F$132)</c:f>
              <c:numCache>
                <c:formatCode>#,##0</c:formatCode>
                <c:ptCount val="3"/>
                <c:pt idx="0">
                  <c:v>21839</c:v>
                </c:pt>
                <c:pt idx="1">
                  <c:v>4419</c:v>
                </c:pt>
                <c:pt idx="2">
                  <c:v>1942</c:v>
                </c:pt>
              </c:numCache>
            </c:numRef>
          </c:val>
          <c:extLst>
            <c:ext xmlns:c16="http://schemas.microsoft.com/office/drawing/2014/chart" uri="{C3380CC4-5D6E-409C-BE32-E72D297353CC}">
              <c16:uniqueId val="{00000003-E5D0-419B-A63C-9E095E3EEC4D}"/>
            </c:ext>
          </c:extLst>
        </c:ser>
        <c:dLbls>
          <c:showLegendKey val="0"/>
          <c:showVal val="0"/>
          <c:showCatName val="0"/>
          <c:showSerName val="0"/>
          <c:showPercent val="0"/>
          <c:showBubbleSize val="0"/>
          <c:showLeaderLines val="1"/>
        </c:dLbls>
        <c:firstSliceAng val="0"/>
      </c:pieChart>
    </c:plotArea>
    <c:legend>
      <c:legendPos val="r"/>
      <c:layout>
        <c:manualLayout>
          <c:xMode val="edge"/>
          <c:yMode val="edge"/>
          <c:x val="0.6513478151914428"/>
          <c:y val="0.49175037902870838"/>
          <c:w val="0.34503092892282938"/>
          <c:h val="0.14752808072903933"/>
        </c:manualLayout>
      </c:layout>
      <c:overlay val="0"/>
    </c:legend>
    <c:plotVisOnly val="1"/>
    <c:dispBlanksAs val="zero"/>
    <c:showDLblsOverMax val="0"/>
  </c:chart>
  <c:spPr>
    <a:ln>
      <a:noFill/>
    </a:ln>
  </c:spPr>
  <c:txPr>
    <a:bodyPr/>
    <a:lstStyle/>
    <a:p>
      <a:pPr>
        <a:defRPr sz="800"/>
      </a:pPr>
      <a:endParaRPr lang="en-US"/>
    </a:p>
  </c:txPr>
  <c:printSettings>
    <c:headerFooter alignWithMargins="0"/>
    <c:pageMargins b="1" l="0.75" r="0.75" t="1" header="0.5" footer="0.5"/>
    <c:pageSetup paperSize="9" orientation="landscape" verticalDpi="12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6331011068010791E-2"/>
          <c:y val="5.1724137931034482E-2"/>
          <c:w val="0.90647561621411332"/>
          <c:h val="0.78620689655172415"/>
        </c:manualLayout>
      </c:layout>
      <c:barChart>
        <c:barDir val="col"/>
        <c:grouping val="stacked"/>
        <c:varyColors val="0"/>
        <c:ser>
          <c:idx val="0"/>
          <c:order val="0"/>
          <c:tx>
            <c:strRef>
              <c:f>'Summary Tables'!$B$247:$C$247</c:f>
              <c:strCache>
                <c:ptCount val="1"/>
                <c:pt idx="0">
                  <c:v> New Build</c:v>
                </c:pt>
              </c:strCache>
            </c:strRef>
          </c:tx>
          <c:invertIfNegative val="0"/>
          <c:cat>
            <c:strRef>
              <c:f>'Summary Tables'!$A$249:$A$266</c:f>
              <c:strCache>
                <c:ptCount val="18"/>
                <c:pt idx="0">
                  <c:v>2006/07</c:v>
                </c:pt>
                <c:pt idx="1">
                  <c:v>2007/08</c:v>
                </c:pt>
                <c:pt idx="2">
                  <c:v>2008/09</c:v>
                </c:pt>
                <c:pt idx="3">
                  <c:v>2009/10</c:v>
                </c:pt>
                <c:pt idx="4">
                  <c:v>2010/11</c:v>
                </c:pt>
                <c:pt idx="5">
                  <c:v>2011/12</c:v>
                </c:pt>
                <c:pt idx="6">
                  <c:v>2012/13</c:v>
                </c:pt>
                <c:pt idx="7">
                  <c:v>2013/14</c:v>
                </c:pt>
                <c:pt idx="8">
                  <c:v>2014/15</c:v>
                </c:pt>
                <c:pt idx="9">
                  <c:v>2015/16</c:v>
                </c:pt>
                <c:pt idx="10">
                  <c:v>2016/17</c:v>
                </c:pt>
                <c:pt idx="11">
                  <c:v>2017/18</c:v>
                </c:pt>
                <c:pt idx="12">
                  <c:v>2018/19</c:v>
                </c:pt>
                <c:pt idx="13">
                  <c:v>2019/20</c:v>
                </c:pt>
                <c:pt idx="14">
                  <c:v>2020/21</c:v>
                </c:pt>
                <c:pt idx="15">
                  <c:v>2021/22</c:v>
                </c:pt>
                <c:pt idx="16">
                  <c:v>2022/23</c:v>
                </c:pt>
                <c:pt idx="17">
                  <c:v>2023/24</c:v>
                </c:pt>
              </c:strCache>
            </c:strRef>
          </c:cat>
          <c:val>
            <c:numRef>
              <c:f>'Summary Tables'!$C$249:$C$266</c:f>
              <c:numCache>
                <c:formatCode>#,##0</c:formatCode>
                <c:ptCount val="18"/>
                <c:pt idx="0">
                  <c:v>2423</c:v>
                </c:pt>
                <c:pt idx="1">
                  <c:v>1798</c:v>
                </c:pt>
                <c:pt idx="2">
                  <c:v>1486</c:v>
                </c:pt>
                <c:pt idx="3">
                  <c:v>1131</c:v>
                </c:pt>
                <c:pt idx="4">
                  <c:v>2756</c:v>
                </c:pt>
                <c:pt idx="5">
                  <c:v>10302</c:v>
                </c:pt>
                <c:pt idx="6">
                  <c:v>4632</c:v>
                </c:pt>
                <c:pt idx="7">
                  <c:v>1590</c:v>
                </c:pt>
                <c:pt idx="8">
                  <c:v>4512</c:v>
                </c:pt>
                <c:pt idx="9">
                  <c:v>3107</c:v>
                </c:pt>
                <c:pt idx="10">
                  <c:v>2785</c:v>
                </c:pt>
                <c:pt idx="11">
                  <c:v>5457</c:v>
                </c:pt>
                <c:pt idx="12">
                  <c:v>5625</c:v>
                </c:pt>
                <c:pt idx="13">
                  <c:v>2888</c:v>
                </c:pt>
                <c:pt idx="14">
                  <c:v>4334</c:v>
                </c:pt>
                <c:pt idx="15">
                  <c:v>4515</c:v>
                </c:pt>
                <c:pt idx="16">
                  <c:v>2343</c:v>
                </c:pt>
                <c:pt idx="17">
                  <c:v>1520</c:v>
                </c:pt>
              </c:numCache>
            </c:numRef>
          </c:val>
          <c:extLst>
            <c:ext xmlns:c16="http://schemas.microsoft.com/office/drawing/2014/chart" uri="{C3380CC4-5D6E-409C-BE32-E72D297353CC}">
              <c16:uniqueId val="{00000000-12CE-4C48-9CDD-7BECE07775DD}"/>
            </c:ext>
          </c:extLst>
        </c:ser>
        <c:ser>
          <c:idx val="1"/>
          <c:order val="1"/>
          <c:tx>
            <c:strRef>
              <c:f>'Summary Tables'!$D$247:$E$247</c:f>
              <c:strCache>
                <c:ptCount val="1"/>
                <c:pt idx="0">
                  <c:v> Conversions</c:v>
                </c:pt>
              </c:strCache>
            </c:strRef>
          </c:tx>
          <c:invertIfNegative val="0"/>
          <c:cat>
            <c:strRef>
              <c:f>'Summary Tables'!$A$249:$A$266</c:f>
              <c:strCache>
                <c:ptCount val="18"/>
                <c:pt idx="0">
                  <c:v>2006/07</c:v>
                </c:pt>
                <c:pt idx="1">
                  <c:v>2007/08</c:v>
                </c:pt>
                <c:pt idx="2">
                  <c:v>2008/09</c:v>
                </c:pt>
                <c:pt idx="3">
                  <c:v>2009/10</c:v>
                </c:pt>
                <c:pt idx="4">
                  <c:v>2010/11</c:v>
                </c:pt>
                <c:pt idx="5">
                  <c:v>2011/12</c:v>
                </c:pt>
                <c:pt idx="6">
                  <c:v>2012/13</c:v>
                </c:pt>
                <c:pt idx="7">
                  <c:v>2013/14</c:v>
                </c:pt>
                <c:pt idx="8">
                  <c:v>2014/15</c:v>
                </c:pt>
                <c:pt idx="9">
                  <c:v>2015/16</c:v>
                </c:pt>
                <c:pt idx="10">
                  <c:v>2016/17</c:v>
                </c:pt>
                <c:pt idx="11">
                  <c:v>2017/18</c:v>
                </c:pt>
                <c:pt idx="12">
                  <c:v>2018/19</c:v>
                </c:pt>
                <c:pt idx="13">
                  <c:v>2019/20</c:v>
                </c:pt>
                <c:pt idx="14">
                  <c:v>2020/21</c:v>
                </c:pt>
                <c:pt idx="15">
                  <c:v>2021/22</c:v>
                </c:pt>
                <c:pt idx="16">
                  <c:v>2022/23</c:v>
                </c:pt>
                <c:pt idx="17">
                  <c:v>2023/24</c:v>
                </c:pt>
              </c:strCache>
            </c:strRef>
          </c:cat>
          <c:val>
            <c:numRef>
              <c:f>'Summary Tables'!$E$249:$E$266</c:f>
              <c:numCache>
                <c:formatCode>#,##0</c:formatCode>
                <c:ptCount val="18"/>
                <c:pt idx="0">
                  <c:v>229</c:v>
                </c:pt>
                <c:pt idx="1">
                  <c:v>239</c:v>
                </c:pt>
                <c:pt idx="2">
                  <c:v>219</c:v>
                </c:pt>
                <c:pt idx="3">
                  <c:v>139</c:v>
                </c:pt>
                <c:pt idx="4">
                  <c:v>178</c:v>
                </c:pt>
                <c:pt idx="5">
                  <c:v>196</c:v>
                </c:pt>
                <c:pt idx="6">
                  <c:v>143</c:v>
                </c:pt>
                <c:pt idx="7">
                  <c:v>416</c:v>
                </c:pt>
                <c:pt idx="8">
                  <c:v>460</c:v>
                </c:pt>
                <c:pt idx="9">
                  <c:v>232</c:v>
                </c:pt>
                <c:pt idx="10">
                  <c:v>343</c:v>
                </c:pt>
                <c:pt idx="11">
                  <c:v>626</c:v>
                </c:pt>
                <c:pt idx="12">
                  <c:v>366</c:v>
                </c:pt>
                <c:pt idx="13">
                  <c:v>242</c:v>
                </c:pt>
                <c:pt idx="14">
                  <c:v>575</c:v>
                </c:pt>
                <c:pt idx="15">
                  <c:v>607</c:v>
                </c:pt>
                <c:pt idx="16">
                  <c:v>227</c:v>
                </c:pt>
                <c:pt idx="17">
                  <c:v>135</c:v>
                </c:pt>
              </c:numCache>
            </c:numRef>
          </c:val>
          <c:extLst>
            <c:ext xmlns:c16="http://schemas.microsoft.com/office/drawing/2014/chart" uri="{C3380CC4-5D6E-409C-BE32-E72D297353CC}">
              <c16:uniqueId val="{00000001-12CE-4C48-9CDD-7BECE07775DD}"/>
            </c:ext>
          </c:extLst>
        </c:ser>
        <c:dLbls>
          <c:showLegendKey val="0"/>
          <c:showVal val="0"/>
          <c:showCatName val="0"/>
          <c:showSerName val="0"/>
          <c:showPercent val="0"/>
          <c:showBubbleSize val="0"/>
        </c:dLbls>
        <c:gapWidth val="50"/>
        <c:overlap val="100"/>
        <c:axId val="160290688"/>
        <c:axId val="160292224"/>
      </c:barChart>
      <c:catAx>
        <c:axId val="160290688"/>
        <c:scaling>
          <c:orientation val="minMax"/>
        </c:scaling>
        <c:delete val="0"/>
        <c:axPos val="b"/>
        <c:numFmt formatCode="General" sourceLinked="1"/>
        <c:majorTickMark val="out"/>
        <c:minorTickMark val="none"/>
        <c:tickLblPos val="nextTo"/>
        <c:txPr>
          <a:bodyPr rot="2280000" vert="horz"/>
          <a:lstStyle/>
          <a:p>
            <a:pPr>
              <a:defRPr/>
            </a:pPr>
            <a:endParaRPr lang="en-US"/>
          </a:p>
        </c:txPr>
        <c:crossAx val="160292224"/>
        <c:crosses val="autoZero"/>
        <c:auto val="1"/>
        <c:lblAlgn val="ctr"/>
        <c:lblOffset val="100"/>
        <c:noMultiLvlLbl val="0"/>
      </c:catAx>
      <c:valAx>
        <c:axId val="160292224"/>
        <c:scaling>
          <c:orientation val="minMax"/>
          <c:max val="11000"/>
          <c:min val="0"/>
        </c:scaling>
        <c:delete val="0"/>
        <c:axPos val="l"/>
        <c:majorGridlines/>
        <c:numFmt formatCode="#,##0" sourceLinked="1"/>
        <c:majorTickMark val="out"/>
        <c:minorTickMark val="none"/>
        <c:tickLblPos val="nextTo"/>
        <c:txPr>
          <a:bodyPr rot="0" vert="horz"/>
          <a:lstStyle/>
          <a:p>
            <a:pPr>
              <a:defRPr/>
            </a:pPr>
            <a:endParaRPr lang="en-US"/>
          </a:p>
        </c:txPr>
        <c:crossAx val="160290688"/>
        <c:crosses val="autoZero"/>
        <c:crossBetween val="between"/>
      </c:valAx>
    </c:plotArea>
    <c:legend>
      <c:legendPos val="r"/>
      <c:layout>
        <c:manualLayout>
          <c:xMode val="edge"/>
          <c:yMode val="edge"/>
          <c:x val="8.7931034482758616E-2"/>
          <c:y val="6.2068965517241378E-2"/>
          <c:w val="0.15532247262195673"/>
          <c:h val="0.13899370421834525"/>
        </c:manualLayout>
      </c:layout>
      <c:overlay val="0"/>
      <c:spPr>
        <a:solidFill>
          <a:sysClr val="window" lastClr="FFFFFF"/>
        </a:solidFill>
      </c:spPr>
    </c:legend>
    <c:plotVisOnly val="1"/>
    <c:dispBlanksAs val="gap"/>
    <c:showDLblsOverMax val="0"/>
  </c:chart>
  <c:spPr>
    <a:ln>
      <a:noFill/>
    </a:ln>
  </c:spPr>
  <c:txPr>
    <a:bodyPr/>
    <a:lstStyle/>
    <a:p>
      <a:pPr>
        <a:defRPr sz="800"/>
      </a:pPr>
      <a:endParaRPr lang="en-US"/>
    </a:p>
  </c:txPr>
  <c:printSettings>
    <c:headerFooter alignWithMargins="0"/>
    <c:pageMargins b="1" l="0.75" r="0.75" t="1" header="0.5" footer="0.5"/>
    <c:pageSetup paperSize="9" orientation="landscape" horizontalDpi="-3"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'Summary Tables'!$B$74</c:f>
              <c:strCache>
                <c:ptCount val="1"/>
                <c:pt idx="0">
                  <c:v> Permissions</c:v>
                </c:pt>
              </c:strCache>
            </c:strRef>
          </c:tx>
          <c:invertIfNegative val="0"/>
          <c:cat>
            <c:strRef>
              <c:f>'Summary Tables'!$A$75:$A$92</c:f>
              <c:strCache>
                <c:ptCount val="18"/>
                <c:pt idx="0">
                  <c:v>2006/07</c:v>
                </c:pt>
                <c:pt idx="1">
                  <c:v>2007/08</c:v>
                </c:pt>
                <c:pt idx="2">
                  <c:v>2008/09</c:v>
                </c:pt>
                <c:pt idx="3">
                  <c:v>2009/10</c:v>
                </c:pt>
                <c:pt idx="4">
                  <c:v>2010/11</c:v>
                </c:pt>
                <c:pt idx="5">
                  <c:v>2011/12</c:v>
                </c:pt>
                <c:pt idx="6">
                  <c:v>2012/13</c:v>
                </c:pt>
                <c:pt idx="7">
                  <c:v>2013/14</c:v>
                </c:pt>
                <c:pt idx="8">
                  <c:v>2014/15</c:v>
                </c:pt>
                <c:pt idx="9">
                  <c:v>2015/16</c:v>
                </c:pt>
                <c:pt idx="10">
                  <c:v>2016/17</c:v>
                </c:pt>
                <c:pt idx="11">
                  <c:v>2017/18</c:v>
                </c:pt>
                <c:pt idx="12">
                  <c:v>2018/19</c:v>
                </c:pt>
                <c:pt idx="13">
                  <c:v>2019/20</c:v>
                </c:pt>
                <c:pt idx="14">
                  <c:v>2020/21</c:v>
                </c:pt>
                <c:pt idx="15">
                  <c:v>2021/22</c:v>
                </c:pt>
                <c:pt idx="16">
                  <c:v>2022/23</c:v>
                </c:pt>
                <c:pt idx="17">
                  <c:v>2023/24</c:v>
                </c:pt>
              </c:strCache>
            </c:strRef>
          </c:cat>
          <c:val>
            <c:numRef>
              <c:f>'Summary Tables'!$B$75:$B$92</c:f>
              <c:numCache>
                <c:formatCode>#,##0</c:formatCode>
                <c:ptCount val="18"/>
                <c:pt idx="0">
                  <c:v>2652</c:v>
                </c:pt>
                <c:pt idx="1">
                  <c:v>2037</c:v>
                </c:pt>
                <c:pt idx="2">
                  <c:v>1705</c:v>
                </c:pt>
                <c:pt idx="3">
                  <c:v>1270</c:v>
                </c:pt>
                <c:pt idx="4">
                  <c:v>2934</c:v>
                </c:pt>
                <c:pt idx="5">
                  <c:v>10498</c:v>
                </c:pt>
                <c:pt idx="6">
                  <c:v>4775</c:v>
                </c:pt>
                <c:pt idx="7">
                  <c:v>2006</c:v>
                </c:pt>
                <c:pt idx="8">
                  <c:v>4972</c:v>
                </c:pt>
                <c:pt idx="9">
                  <c:v>3339</c:v>
                </c:pt>
                <c:pt idx="10">
                  <c:v>3128</c:v>
                </c:pt>
                <c:pt idx="11">
                  <c:v>6083</c:v>
                </c:pt>
                <c:pt idx="12">
                  <c:v>5991</c:v>
                </c:pt>
                <c:pt idx="13">
                  <c:v>3130</c:v>
                </c:pt>
                <c:pt idx="14">
                  <c:v>4909</c:v>
                </c:pt>
                <c:pt idx="15">
                  <c:v>5122</c:v>
                </c:pt>
                <c:pt idx="16">
                  <c:v>2570</c:v>
                </c:pt>
                <c:pt idx="17">
                  <c:v>1655</c:v>
                </c:pt>
              </c:numCache>
            </c:numRef>
          </c:val>
          <c:extLst>
            <c:ext xmlns:c16="http://schemas.microsoft.com/office/drawing/2014/chart" uri="{C3380CC4-5D6E-409C-BE32-E72D297353CC}">
              <c16:uniqueId val="{00000000-CB61-4C4D-91C4-D64C6C0229CA}"/>
            </c:ext>
          </c:extLst>
        </c:ser>
        <c:ser>
          <c:idx val="1"/>
          <c:order val="1"/>
          <c:tx>
            <c:strRef>
              <c:f>'Summary Tables'!$C$74</c:f>
              <c:strCache>
                <c:ptCount val="1"/>
                <c:pt idx="0">
                  <c:v> Starts</c:v>
                </c:pt>
              </c:strCache>
            </c:strRef>
          </c:tx>
          <c:invertIfNegative val="0"/>
          <c:cat>
            <c:strRef>
              <c:f>'Summary Tables'!$A$75:$A$92</c:f>
              <c:strCache>
                <c:ptCount val="18"/>
                <c:pt idx="0">
                  <c:v>2006/07</c:v>
                </c:pt>
                <c:pt idx="1">
                  <c:v>2007/08</c:v>
                </c:pt>
                <c:pt idx="2">
                  <c:v>2008/09</c:v>
                </c:pt>
                <c:pt idx="3">
                  <c:v>2009/10</c:v>
                </c:pt>
                <c:pt idx="4">
                  <c:v>2010/11</c:v>
                </c:pt>
                <c:pt idx="5">
                  <c:v>2011/12</c:v>
                </c:pt>
                <c:pt idx="6">
                  <c:v>2012/13</c:v>
                </c:pt>
                <c:pt idx="7">
                  <c:v>2013/14</c:v>
                </c:pt>
                <c:pt idx="8">
                  <c:v>2014/15</c:v>
                </c:pt>
                <c:pt idx="9">
                  <c:v>2015/16</c:v>
                </c:pt>
                <c:pt idx="10">
                  <c:v>2016/17</c:v>
                </c:pt>
                <c:pt idx="11">
                  <c:v>2017/18</c:v>
                </c:pt>
                <c:pt idx="12">
                  <c:v>2018/19</c:v>
                </c:pt>
                <c:pt idx="13">
                  <c:v>2019/20</c:v>
                </c:pt>
                <c:pt idx="14">
                  <c:v>2020/21</c:v>
                </c:pt>
                <c:pt idx="15">
                  <c:v>2021/22</c:v>
                </c:pt>
                <c:pt idx="16">
                  <c:v>2022/23</c:v>
                </c:pt>
                <c:pt idx="17">
                  <c:v>2023/24</c:v>
                </c:pt>
              </c:strCache>
            </c:strRef>
          </c:cat>
          <c:val>
            <c:numRef>
              <c:f>'Summary Tables'!$C$75:$C$92</c:f>
              <c:numCache>
                <c:formatCode>#,##0</c:formatCode>
                <c:ptCount val="18"/>
                <c:pt idx="0">
                  <c:v>1924</c:v>
                </c:pt>
                <c:pt idx="1">
                  <c:v>1636</c:v>
                </c:pt>
                <c:pt idx="2">
                  <c:v>601</c:v>
                </c:pt>
                <c:pt idx="3">
                  <c:v>462</c:v>
                </c:pt>
                <c:pt idx="4">
                  <c:v>1529</c:v>
                </c:pt>
                <c:pt idx="5">
                  <c:v>2160</c:v>
                </c:pt>
                <c:pt idx="6">
                  <c:v>1197</c:v>
                </c:pt>
                <c:pt idx="7">
                  <c:v>2392</c:v>
                </c:pt>
                <c:pt idx="8">
                  <c:v>1134</c:v>
                </c:pt>
                <c:pt idx="9">
                  <c:v>1923</c:v>
                </c:pt>
                <c:pt idx="10">
                  <c:v>3241</c:v>
                </c:pt>
                <c:pt idx="11">
                  <c:v>2100</c:v>
                </c:pt>
                <c:pt idx="12">
                  <c:v>1858</c:v>
                </c:pt>
                <c:pt idx="13">
                  <c:v>3888</c:v>
                </c:pt>
                <c:pt idx="14">
                  <c:v>1241</c:v>
                </c:pt>
                <c:pt idx="15">
                  <c:v>1332</c:v>
                </c:pt>
                <c:pt idx="16">
                  <c:v>1926</c:v>
                </c:pt>
                <c:pt idx="17">
                  <c:v>797</c:v>
                </c:pt>
              </c:numCache>
            </c:numRef>
          </c:val>
          <c:extLst>
            <c:ext xmlns:c16="http://schemas.microsoft.com/office/drawing/2014/chart" uri="{C3380CC4-5D6E-409C-BE32-E72D297353CC}">
              <c16:uniqueId val="{00000001-CB61-4C4D-91C4-D64C6C0229CA}"/>
            </c:ext>
          </c:extLst>
        </c:ser>
        <c:ser>
          <c:idx val="2"/>
          <c:order val="2"/>
          <c:tx>
            <c:strRef>
              <c:f>'Summary Tables'!$D$74</c:f>
              <c:strCache>
                <c:ptCount val="1"/>
                <c:pt idx="0">
                  <c:v> Completions</c:v>
                </c:pt>
              </c:strCache>
            </c:strRef>
          </c:tx>
          <c:invertIfNegative val="0"/>
          <c:cat>
            <c:strRef>
              <c:f>'Summary Tables'!$A$75:$A$92</c:f>
              <c:strCache>
                <c:ptCount val="18"/>
                <c:pt idx="0">
                  <c:v>2006/07</c:v>
                </c:pt>
                <c:pt idx="1">
                  <c:v>2007/08</c:v>
                </c:pt>
                <c:pt idx="2">
                  <c:v>2008/09</c:v>
                </c:pt>
                <c:pt idx="3">
                  <c:v>2009/10</c:v>
                </c:pt>
                <c:pt idx="4">
                  <c:v>2010/11</c:v>
                </c:pt>
                <c:pt idx="5">
                  <c:v>2011/12</c:v>
                </c:pt>
                <c:pt idx="6">
                  <c:v>2012/13</c:v>
                </c:pt>
                <c:pt idx="7">
                  <c:v>2013/14</c:v>
                </c:pt>
                <c:pt idx="8">
                  <c:v>2014/15</c:v>
                </c:pt>
                <c:pt idx="9">
                  <c:v>2015/16</c:v>
                </c:pt>
                <c:pt idx="10">
                  <c:v>2016/17</c:v>
                </c:pt>
                <c:pt idx="11">
                  <c:v>2017/18</c:v>
                </c:pt>
                <c:pt idx="12">
                  <c:v>2018/19</c:v>
                </c:pt>
                <c:pt idx="13">
                  <c:v>2019/20</c:v>
                </c:pt>
                <c:pt idx="14">
                  <c:v>2020/21</c:v>
                </c:pt>
                <c:pt idx="15">
                  <c:v>2021/22</c:v>
                </c:pt>
                <c:pt idx="16">
                  <c:v>2022/23</c:v>
                </c:pt>
                <c:pt idx="17">
                  <c:v>2023/24</c:v>
                </c:pt>
              </c:strCache>
            </c:strRef>
          </c:cat>
          <c:val>
            <c:numRef>
              <c:f>'Summary Tables'!$D$75:$D$92</c:f>
              <c:numCache>
                <c:formatCode>#,##0</c:formatCode>
                <c:ptCount val="18"/>
                <c:pt idx="0">
                  <c:v>1278</c:v>
                </c:pt>
                <c:pt idx="1">
                  <c:v>1031</c:v>
                </c:pt>
                <c:pt idx="2">
                  <c:v>1560</c:v>
                </c:pt>
                <c:pt idx="3">
                  <c:v>1539</c:v>
                </c:pt>
                <c:pt idx="4">
                  <c:v>481</c:v>
                </c:pt>
                <c:pt idx="5">
                  <c:v>979</c:v>
                </c:pt>
                <c:pt idx="6">
                  <c:v>774</c:v>
                </c:pt>
                <c:pt idx="7">
                  <c:v>1197</c:v>
                </c:pt>
                <c:pt idx="8">
                  <c:v>936</c:v>
                </c:pt>
                <c:pt idx="9">
                  <c:v>2776</c:v>
                </c:pt>
                <c:pt idx="10">
                  <c:v>2345</c:v>
                </c:pt>
                <c:pt idx="11">
                  <c:v>2036</c:v>
                </c:pt>
                <c:pt idx="12">
                  <c:v>1851</c:v>
                </c:pt>
                <c:pt idx="13">
                  <c:v>1330</c:v>
                </c:pt>
                <c:pt idx="14">
                  <c:v>1399</c:v>
                </c:pt>
                <c:pt idx="15">
                  <c:v>1959</c:v>
                </c:pt>
                <c:pt idx="16">
                  <c:v>1999</c:v>
                </c:pt>
                <c:pt idx="17">
                  <c:v>2662</c:v>
                </c:pt>
              </c:numCache>
            </c:numRef>
          </c:val>
          <c:extLst>
            <c:ext xmlns:c16="http://schemas.microsoft.com/office/drawing/2014/chart" uri="{C3380CC4-5D6E-409C-BE32-E72D297353CC}">
              <c16:uniqueId val="{00000002-CB61-4C4D-91C4-D64C6C0229CA}"/>
            </c:ext>
          </c:extLst>
        </c:ser>
        <c:dLbls>
          <c:showLegendKey val="0"/>
          <c:showVal val="0"/>
          <c:showCatName val="0"/>
          <c:showSerName val="0"/>
          <c:showPercent val="0"/>
          <c:showBubbleSize val="0"/>
        </c:dLbls>
        <c:gapWidth val="150"/>
        <c:axId val="160396032"/>
        <c:axId val="160397568"/>
      </c:barChart>
      <c:catAx>
        <c:axId val="160396032"/>
        <c:scaling>
          <c:orientation val="minMax"/>
        </c:scaling>
        <c:delete val="0"/>
        <c:axPos val="b"/>
        <c:numFmt formatCode="General" sourceLinked="0"/>
        <c:majorTickMark val="out"/>
        <c:minorTickMark val="none"/>
        <c:tickLblPos val="nextTo"/>
        <c:txPr>
          <a:bodyPr rot="1800000"/>
          <a:lstStyle/>
          <a:p>
            <a:pPr>
              <a:defRPr/>
            </a:pPr>
            <a:endParaRPr lang="en-US"/>
          </a:p>
        </c:txPr>
        <c:crossAx val="160397568"/>
        <c:crosses val="autoZero"/>
        <c:auto val="1"/>
        <c:lblAlgn val="ctr"/>
        <c:lblOffset val="100"/>
        <c:noMultiLvlLbl val="0"/>
      </c:catAx>
      <c:valAx>
        <c:axId val="160397568"/>
        <c:scaling>
          <c:orientation val="minMax"/>
        </c:scaling>
        <c:delete val="0"/>
        <c:axPos val="l"/>
        <c:majorGridlines/>
        <c:numFmt formatCode="#,##0" sourceLinked="1"/>
        <c:majorTickMark val="out"/>
        <c:minorTickMark val="none"/>
        <c:tickLblPos val="nextTo"/>
        <c:crossAx val="160396032"/>
        <c:crosses val="autoZero"/>
        <c:crossBetween val="between"/>
      </c:valAx>
      <c:spPr>
        <a:ln>
          <a:noFill/>
        </a:ln>
      </c:spPr>
    </c:plotArea>
    <c:legend>
      <c:legendPos val="r"/>
      <c:layout>
        <c:manualLayout>
          <c:xMode val="edge"/>
          <c:yMode val="edge"/>
          <c:x val="0.83898274960518793"/>
          <c:y val="0.10975564793713601"/>
          <c:w val="9.8510514652821679E-2"/>
          <c:h val="0.1946962695236866"/>
        </c:manualLayout>
      </c:layout>
      <c:overlay val="1"/>
      <c:spPr>
        <a:solidFill>
          <a:schemeClr val="bg1"/>
        </a:solidFill>
      </c:spPr>
    </c:legend>
    <c:plotVisOnly val="1"/>
    <c:dispBlanksAs val="gap"/>
    <c:showDLblsOverMax val="0"/>
  </c:chart>
  <c:spPr>
    <a:ln>
      <a:noFill/>
    </a:ln>
  </c:spPr>
  <c:txPr>
    <a:bodyPr/>
    <a:lstStyle/>
    <a:p>
      <a:pPr>
        <a:defRPr sz="800"/>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pPr>
            <a:r>
              <a:rPr lang="en-GB" sz="900"/>
              <a:t>2017/18 conversions – net completions</a:t>
            </a:r>
          </a:p>
        </c:rich>
      </c:tx>
      <c:overlay val="0"/>
    </c:title>
    <c:autoTitleDeleted val="0"/>
    <c:plotArea>
      <c:layout/>
      <c:pieChart>
        <c:varyColors val="1"/>
        <c:ser>
          <c:idx val="1"/>
          <c:order val="1"/>
          <c:tx>
            <c:strRef>
              <c:f>'Summary Tables'!$D$366</c:f>
              <c:strCache>
                <c:ptCount val="1"/>
                <c:pt idx="0">
                  <c:v>2018/19</c:v>
                </c:pt>
              </c:strCache>
            </c:strRef>
          </c:tx>
          <c:dLbls>
            <c:delete val="1"/>
          </c:dLbls>
          <c:cat>
            <c:strRef>
              <c:f>'Summary Tables'!$A$367:$B$372</c:f>
              <c:strCache>
                <c:ptCount val="6"/>
                <c:pt idx="0">
                  <c:v>House &gt; Flats</c:v>
                </c:pt>
                <c:pt idx="1">
                  <c:v>Flats &gt; House</c:v>
                </c:pt>
                <c:pt idx="2">
                  <c:v>Flats &gt; Flats</c:v>
                </c:pt>
                <c:pt idx="3">
                  <c:v>Houses &gt; Houses</c:v>
                </c:pt>
                <c:pt idx="4">
                  <c:v>Change of Use</c:v>
                </c:pt>
                <c:pt idx="5">
                  <c:v>Vertical Extension</c:v>
                </c:pt>
              </c:strCache>
            </c:strRef>
          </c:cat>
          <c:val>
            <c:numRef>
              <c:f>'Summary Tables'!$D$367:$D$372</c:f>
              <c:numCache>
                <c:formatCode>#,##0</c:formatCode>
                <c:ptCount val="6"/>
                <c:pt idx="0">
                  <c:v>78</c:v>
                </c:pt>
                <c:pt idx="1">
                  <c:v>11</c:v>
                </c:pt>
                <c:pt idx="2">
                  <c:v>96</c:v>
                </c:pt>
                <c:pt idx="3">
                  <c:v>0</c:v>
                </c:pt>
                <c:pt idx="4">
                  <c:v>134</c:v>
                </c:pt>
                <c:pt idx="5">
                  <c:v>23</c:v>
                </c:pt>
              </c:numCache>
            </c:numRef>
          </c:val>
          <c:extLst>
            <c:ext xmlns:c16="http://schemas.microsoft.com/office/drawing/2014/chart" uri="{C3380CC4-5D6E-409C-BE32-E72D297353CC}">
              <c16:uniqueId val="{00000000-E340-47B6-AFCE-CC94A516A8EF}"/>
            </c:ext>
          </c:extLst>
        </c:ser>
        <c:ser>
          <c:idx val="0"/>
          <c:order val="0"/>
          <c:tx>
            <c:strRef>
              <c:f>'Summary Tables'!$D$366</c:f>
              <c:strCache>
                <c:ptCount val="1"/>
                <c:pt idx="0">
                  <c:v>2018/19</c:v>
                </c:pt>
              </c:strCache>
            </c:strRef>
          </c:tx>
          <c:dLbls>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'Summary Tables'!$A$367:$B$372</c:f>
              <c:strCache>
                <c:ptCount val="6"/>
                <c:pt idx="0">
                  <c:v>House &gt; Flats</c:v>
                </c:pt>
                <c:pt idx="1">
                  <c:v>Flats &gt; House</c:v>
                </c:pt>
                <c:pt idx="2">
                  <c:v>Flats &gt; Flats</c:v>
                </c:pt>
                <c:pt idx="3">
                  <c:v>Houses &gt; Houses</c:v>
                </c:pt>
                <c:pt idx="4">
                  <c:v>Change of Use</c:v>
                </c:pt>
                <c:pt idx="5">
                  <c:v>Vertical Extension</c:v>
                </c:pt>
              </c:strCache>
            </c:strRef>
          </c:cat>
          <c:val>
            <c:numRef>
              <c:f>'Summary Tables'!$D$367:$D$372</c:f>
              <c:numCache>
                <c:formatCode>#,##0</c:formatCode>
                <c:ptCount val="6"/>
                <c:pt idx="0">
                  <c:v>78</c:v>
                </c:pt>
                <c:pt idx="1">
                  <c:v>11</c:v>
                </c:pt>
                <c:pt idx="2">
                  <c:v>96</c:v>
                </c:pt>
                <c:pt idx="3">
                  <c:v>0</c:v>
                </c:pt>
                <c:pt idx="4">
                  <c:v>134</c:v>
                </c:pt>
                <c:pt idx="5">
                  <c:v>23</c:v>
                </c:pt>
              </c:numCache>
            </c:numRef>
          </c:val>
          <c:extLst>
            <c:ext xmlns:c16="http://schemas.microsoft.com/office/drawing/2014/chart" uri="{C3380CC4-5D6E-409C-BE32-E72D297353CC}">
              <c16:uniqueId val="{00000001-E340-47B6-AFCE-CC94A516A8EF}"/>
            </c:ext>
          </c:extLst>
        </c:ser>
        <c:dLbls>
          <c:showLegendKey val="0"/>
          <c:showVal val="0"/>
          <c:showCatName val="0"/>
          <c:showSerName val="0"/>
          <c:showPercent val="1"/>
          <c:showBubbleSize val="0"/>
          <c:showLeaderLines val="1"/>
        </c:dLbls>
        <c:firstSliceAng val="0"/>
      </c:pieChart>
    </c:plotArea>
    <c:legend>
      <c:legendPos val="b"/>
      <c:layout>
        <c:manualLayout>
          <c:xMode val="edge"/>
          <c:yMode val="edge"/>
          <c:x val="0.11018518518518519"/>
          <c:y val="0.68303495805355618"/>
          <c:w val="0.77731481481481479"/>
          <c:h val="0.21208637263900296"/>
        </c:manualLayout>
      </c:layout>
      <c:overlay val="0"/>
      <c:spPr>
        <a:solidFill>
          <a:sysClr val="window" lastClr="FFFFFF"/>
        </a:solidFill>
      </c:spPr>
    </c:legend>
    <c:plotVisOnly val="1"/>
    <c:dispBlanksAs val="zero"/>
    <c:showDLblsOverMax val="0"/>
  </c:chart>
  <c:spPr>
    <a:ln>
      <a:noFill/>
    </a:ln>
  </c:spPr>
  <c:txPr>
    <a:bodyPr/>
    <a:lstStyle/>
    <a:p>
      <a:pPr>
        <a:defRPr sz="800"/>
      </a:pPr>
      <a:endParaRPr lang="en-US"/>
    </a:p>
  </c:txPr>
  <c:printSettings>
    <c:headerFooter alignWithMargins="0"/>
    <c:pageMargins b="1" l="0.75" r="0.75" t="1" header="0.5" footer="0.5"/>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pPr>
            <a:r>
              <a:rPr lang="en-GB" sz="900"/>
              <a:t>Completed conversions</a:t>
            </a:r>
            <a:r>
              <a:rPr lang="en-GB" sz="900" baseline="0"/>
              <a:t> </a:t>
            </a:r>
            <a:r>
              <a:rPr lang="en-GB" sz="900"/>
              <a:t>(gross</a:t>
            </a:r>
            <a:r>
              <a:rPr lang="en-GB" sz="900" baseline="0"/>
              <a:t> units)</a:t>
            </a:r>
            <a:endParaRPr lang="en-GB" sz="900"/>
          </a:p>
        </c:rich>
      </c:tx>
      <c:overlay val="0"/>
    </c:title>
    <c:autoTitleDeleted val="0"/>
    <c:plotArea>
      <c:layout/>
      <c:pieChart>
        <c:varyColors val="1"/>
        <c:ser>
          <c:idx val="1"/>
          <c:order val="1"/>
          <c:tx>
            <c:strRef>
              <c:f>'Summary Tables'!$H$366</c:f>
              <c:strCache>
                <c:ptCount val="1"/>
                <c:pt idx="0">
                  <c:v>2022/23</c:v>
                </c:pt>
              </c:strCache>
            </c:strRef>
          </c:tx>
          <c:dLbls>
            <c:spPr>
              <a:noFill/>
              <a:ln>
                <a:noFill/>
              </a:ln>
              <a:effectLst/>
            </c:spPr>
            <c:dLblPos val="bestFit"/>
            <c:showLegendKey val="0"/>
            <c:showVal val="0"/>
            <c:showCatName val="0"/>
            <c:showSerName val="0"/>
            <c:showPercent val="1"/>
            <c:showBubbleSize val="0"/>
            <c:showLeaderLines val="1"/>
            <c:extLst>
              <c:ext xmlns:c15="http://schemas.microsoft.com/office/drawing/2012/chart" uri="{CE6537A1-D6FC-4f65-9D91-7224C49458BB}"/>
            </c:extLst>
          </c:dLbls>
          <c:cat>
            <c:strRef>
              <c:f>'Summary Tables'!$A$367:$B$372</c:f>
              <c:strCache>
                <c:ptCount val="6"/>
                <c:pt idx="0">
                  <c:v>House &gt; Flats</c:v>
                </c:pt>
                <c:pt idx="1">
                  <c:v>Flats &gt; House</c:v>
                </c:pt>
                <c:pt idx="2">
                  <c:v>Flats &gt; Flats</c:v>
                </c:pt>
                <c:pt idx="3">
                  <c:v>Houses &gt; Houses</c:v>
                </c:pt>
                <c:pt idx="4">
                  <c:v>Change of Use</c:v>
                </c:pt>
                <c:pt idx="5">
                  <c:v>Vertical Extension</c:v>
                </c:pt>
              </c:strCache>
            </c:strRef>
          </c:cat>
          <c:val>
            <c:numRef>
              <c:f>'Summary Tables'!$I$367:$I$372</c:f>
              <c:numCache>
                <c:formatCode>#,##0</c:formatCode>
                <c:ptCount val="6"/>
                <c:pt idx="0">
                  <c:v>25</c:v>
                </c:pt>
                <c:pt idx="1">
                  <c:v>16</c:v>
                </c:pt>
                <c:pt idx="2">
                  <c:v>47</c:v>
                </c:pt>
                <c:pt idx="3">
                  <c:v>31</c:v>
                </c:pt>
                <c:pt idx="4">
                  <c:v>46</c:v>
                </c:pt>
                <c:pt idx="5">
                  <c:v>43</c:v>
                </c:pt>
              </c:numCache>
            </c:numRef>
          </c:val>
          <c:extLst>
            <c:ext xmlns:c16="http://schemas.microsoft.com/office/drawing/2014/chart" uri="{C3380CC4-5D6E-409C-BE32-E72D297353CC}">
              <c16:uniqueId val="{00000000-25D9-4A10-84C6-75189B976FFB}"/>
            </c:ext>
          </c:extLst>
        </c:ser>
        <c:ser>
          <c:idx val="0"/>
          <c:order val="0"/>
          <c:tx>
            <c:strRef>
              <c:f>'Summary Tables'!$H$366</c:f>
              <c:strCache>
                <c:ptCount val="1"/>
                <c:pt idx="0">
                  <c:v>2022/23</c:v>
                </c:pt>
              </c:strCache>
            </c:strRef>
          </c:tx>
          <c:dLbls>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'Summary Tables'!$A$367:$B$372</c:f>
              <c:strCache>
                <c:ptCount val="6"/>
                <c:pt idx="0">
                  <c:v>House &gt; Flats</c:v>
                </c:pt>
                <c:pt idx="1">
                  <c:v>Flats &gt; House</c:v>
                </c:pt>
                <c:pt idx="2">
                  <c:v>Flats &gt; Flats</c:v>
                </c:pt>
                <c:pt idx="3">
                  <c:v>Houses &gt; Houses</c:v>
                </c:pt>
                <c:pt idx="4">
                  <c:v>Change of Use</c:v>
                </c:pt>
                <c:pt idx="5">
                  <c:v>Vertical Extension</c:v>
                </c:pt>
              </c:strCache>
            </c:strRef>
          </c:cat>
          <c:val>
            <c:numRef>
              <c:f>'Summary Tables'!$I$367:$I$372</c:f>
              <c:numCache>
                <c:formatCode>#,##0</c:formatCode>
                <c:ptCount val="6"/>
                <c:pt idx="0">
                  <c:v>25</c:v>
                </c:pt>
                <c:pt idx="1">
                  <c:v>16</c:v>
                </c:pt>
                <c:pt idx="2">
                  <c:v>47</c:v>
                </c:pt>
                <c:pt idx="3">
                  <c:v>31</c:v>
                </c:pt>
                <c:pt idx="4">
                  <c:v>46</c:v>
                </c:pt>
                <c:pt idx="5">
                  <c:v>43</c:v>
                </c:pt>
              </c:numCache>
            </c:numRef>
          </c:val>
          <c:extLst>
            <c:ext xmlns:c16="http://schemas.microsoft.com/office/drawing/2014/chart" uri="{C3380CC4-5D6E-409C-BE32-E72D297353CC}">
              <c16:uniqueId val="{00000001-25D9-4A10-84C6-75189B976FFB}"/>
            </c:ext>
          </c:extLst>
        </c:ser>
        <c:dLbls>
          <c:showLegendKey val="0"/>
          <c:showVal val="0"/>
          <c:showCatName val="0"/>
          <c:showSerName val="0"/>
          <c:showPercent val="1"/>
          <c:showBubbleSize val="0"/>
          <c:showLeaderLines val="1"/>
        </c:dLbls>
        <c:firstSliceAng val="0"/>
      </c:pieChart>
    </c:plotArea>
    <c:plotVisOnly val="1"/>
    <c:dispBlanksAs val="zero"/>
    <c:showDLblsOverMax val="0"/>
  </c:chart>
  <c:spPr>
    <a:ln>
      <a:noFill/>
    </a:ln>
  </c:spPr>
  <c:txPr>
    <a:bodyPr/>
    <a:lstStyle/>
    <a:p>
      <a:pPr>
        <a:defRPr sz="800"/>
      </a:pPr>
      <a:endParaRPr lang="en-US"/>
    </a:p>
  </c:txPr>
  <c:printSettings>
    <c:headerFooter alignWithMargins="0"/>
    <c:pageMargins b="1" l="0.75" r="0.75" t="1" header="0.5" footer="0.5"/>
    <c:pageSetup orientation="portrait"/>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pPr>
            <a:r>
              <a:rPr lang="en-GB" sz="900"/>
              <a:t>Conversions with planning permission (gross units)</a:t>
            </a:r>
          </a:p>
        </c:rich>
      </c:tx>
      <c:overlay val="0"/>
    </c:title>
    <c:autoTitleDeleted val="0"/>
    <c:plotArea>
      <c:layout/>
      <c:pieChart>
        <c:varyColors val="1"/>
        <c:ser>
          <c:idx val="0"/>
          <c:order val="0"/>
          <c:tx>
            <c:strRef>
              <c:f>'Summary Tables'!$H$376</c:f>
              <c:strCache>
                <c:ptCount val="1"/>
                <c:pt idx="0">
                  <c:v>2022/23</c:v>
                </c:pt>
              </c:strCache>
            </c:strRef>
          </c:tx>
          <c:dLbls>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'Summary Tables'!$A$377:$B$382</c:f>
              <c:strCache>
                <c:ptCount val="6"/>
                <c:pt idx="0">
                  <c:v>House &gt; Flats</c:v>
                </c:pt>
                <c:pt idx="1">
                  <c:v>Flats &gt; House</c:v>
                </c:pt>
                <c:pt idx="2">
                  <c:v>Flats &gt; Flats</c:v>
                </c:pt>
                <c:pt idx="3">
                  <c:v>Houses &gt; Houses</c:v>
                </c:pt>
                <c:pt idx="4">
                  <c:v>Change of Use</c:v>
                </c:pt>
                <c:pt idx="5">
                  <c:v>Vertical Extension</c:v>
                </c:pt>
              </c:strCache>
            </c:strRef>
          </c:cat>
          <c:val>
            <c:numRef>
              <c:f>'Summary Tables'!$I$377:$I$382</c:f>
              <c:numCache>
                <c:formatCode>#,##0</c:formatCode>
                <c:ptCount val="6"/>
                <c:pt idx="0">
                  <c:v>97</c:v>
                </c:pt>
                <c:pt idx="1">
                  <c:v>30</c:v>
                </c:pt>
                <c:pt idx="2">
                  <c:v>123</c:v>
                </c:pt>
                <c:pt idx="3">
                  <c:v>1</c:v>
                </c:pt>
                <c:pt idx="4">
                  <c:v>425</c:v>
                </c:pt>
                <c:pt idx="5">
                  <c:v>266</c:v>
                </c:pt>
              </c:numCache>
            </c:numRef>
          </c:val>
          <c:extLst>
            <c:ext xmlns:c16="http://schemas.microsoft.com/office/drawing/2014/chart" uri="{C3380CC4-5D6E-409C-BE32-E72D297353CC}">
              <c16:uniqueId val="{00000000-302E-4BB2-94E9-9B0E6D1878CA}"/>
            </c:ext>
          </c:extLst>
        </c:ser>
        <c:dLbls>
          <c:showLegendKey val="0"/>
          <c:showVal val="0"/>
          <c:showCatName val="0"/>
          <c:showSerName val="0"/>
          <c:showPercent val="1"/>
          <c:showBubbleSize val="0"/>
          <c:showLeaderLines val="1"/>
        </c:dLbls>
        <c:firstSliceAng val="0"/>
      </c:pieChart>
    </c:plotArea>
    <c:plotVisOnly val="1"/>
    <c:dispBlanksAs val="zero"/>
    <c:showDLblsOverMax val="0"/>
  </c:chart>
  <c:spPr>
    <a:ln>
      <a:noFill/>
    </a:ln>
  </c:spPr>
  <c:txPr>
    <a:bodyPr/>
    <a:lstStyle/>
    <a:p>
      <a:pPr>
        <a:defRPr sz="800"/>
      </a:pPr>
      <a:endParaRPr lang="en-US"/>
    </a:p>
  </c:txPr>
  <c:printSettings>
    <c:headerFooter alignWithMargins="0"/>
    <c:pageMargins b="1" l="0.75" r="0.75" t="1" header="0.5" footer="0.5"/>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'Summary Tables'!$B$112:$C$112</c:f>
              <c:strCache>
                <c:ptCount val="1"/>
                <c:pt idx="0">
                  <c:v> Open Market</c:v>
                </c:pt>
              </c:strCache>
            </c:strRef>
          </c:tx>
          <c:invertIfNegative val="0"/>
          <c:cat>
            <c:strRef>
              <c:f>'Summary Tables'!$A$114:$A$131</c:f>
              <c:strCache>
                <c:ptCount val="18"/>
                <c:pt idx="0">
                  <c:v>2006/07</c:v>
                </c:pt>
                <c:pt idx="1">
                  <c:v>2007/08</c:v>
                </c:pt>
                <c:pt idx="2">
                  <c:v>2008/09</c:v>
                </c:pt>
                <c:pt idx="3">
                  <c:v>2009/10</c:v>
                </c:pt>
                <c:pt idx="4">
                  <c:v>2010/11</c:v>
                </c:pt>
                <c:pt idx="5">
                  <c:v>2011/12</c:v>
                </c:pt>
                <c:pt idx="6">
                  <c:v>2012/13</c:v>
                </c:pt>
                <c:pt idx="7">
                  <c:v>2013/14</c:v>
                </c:pt>
                <c:pt idx="8">
                  <c:v>2014/15</c:v>
                </c:pt>
                <c:pt idx="9">
                  <c:v>2015/16</c:v>
                </c:pt>
                <c:pt idx="10">
                  <c:v>2016/17</c:v>
                </c:pt>
                <c:pt idx="11">
                  <c:v>2017/18</c:v>
                </c:pt>
                <c:pt idx="12">
                  <c:v>2018/19</c:v>
                </c:pt>
                <c:pt idx="13">
                  <c:v>2019/20</c:v>
                </c:pt>
                <c:pt idx="14">
                  <c:v>2020/21</c:v>
                </c:pt>
                <c:pt idx="15">
                  <c:v>2021/22</c:v>
                </c:pt>
                <c:pt idx="16">
                  <c:v>2022/23</c:v>
                </c:pt>
                <c:pt idx="17">
                  <c:v>2023/24</c:v>
                </c:pt>
              </c:strCache>
            </c:strRef>
          </c:cat>
          <c:val>
            <c:numRef>
              <c:f>'Summary Tables'!$B$114:$B$131</c:f>
              <c:numCache>
                <c:formatCode>#,##0</c:formatCode>
                <c:ptCount val="18"/>
                <c:pt idx="0">
                  <c:v>1039</c:v>
                </c:pt>
                <c:pt idx="1">
                  <c:v>728</c:v>
                </c:pt>
                <c:pt idx="2">
                  <c:v>1079</c:v>
                </c:pt>
                <c:pt idx="3">
                  <c:v>1061</c:v>
                </c:pt>
                <c:pt idx="4">
                  <c:v>371</c:v>
                </c:pt>
                <c:pt idx="5">
                  <c:v>713</c:v>
                </c:pt>
                <c:pt idx="6">
                  <c:v>633</c:v>
                </c:pt>
                <c:pt idx="7">
                  <c:v>969</c:v>
                </c:pt>
                <c:pt idx="8">
                  <c:v>805</c:v>
                </c:pt>
                <c:pt idx="9">
                  <c:v>2212</c:v>
                </c:pt>
                <c:pt idx="10">
                  <c:v>1968</c:v>
                </c:pt>
                <c:pt idx="11">
                  <c:v>1834</c:v>
                </c:pt>
                <c:pt idx="12">
                  <c:v>1545</c:v>
                </c:pt>
                <c:pt idx="13">
                  <c:v>947</c:v>
                </c:pt>
                <c:pt idx="14">
                  <c:v>1071</c:v>
                </c:pt>
                <c:pt idx="15">
                  <c:v>1616</c:v>
                </c:pt>
                <c:pt idx="16">
                  <c:v>1410</c:v>
                </c:pt>
                <c:pt idx="17">
                  <c:v>1838</c:v>
                </c:pt>
              </c:numCache>
            </c:numRef>
          </c:val>
          <c:extLst>
            <c:ext xmlns:c16="http://schemas.microsoft.com/office/drawing/2014/chart" uri="{C3380CC4-5D6E-409C-BE32-E72D297353CC}">
              <c16:uniqueId val="{00000000-B3E4-4282-9112-A8EAC7AE9806}"/>
            </c:ext>
          </c:extLst>
        </c:ser>
        <c:ser>
          <c:idx val="1"/>
          <c:order val="1"/>
          <c:tx>
            <c:strRef>
              <c:f>'Summary Tables'!$D$112:$E$112</c:f>
              <c:strCache>
                <c:ptCount val="1"/>
                <c:pt idx="0">
                  <c:v>  Intermediate </c:v>
                </c:pt>
              </c:strCache>
            </c:strRef>
          </c:tx>
          <c:invertIfNegative val="0"/>
          <c:cat>
            <c:strRef>
              <c:f>'Summary Tables'!$A$114:$A$131</c:f>
              <c:strCache>
                <c:ptCount val="18"/>
                <c:pt idx="0">
                  <c:v>2006/07</c:v>
                </c:pt>
                <c:pt idx="1">
                  <c:v>2007/08</c:v>
                </c:pt>
                <c:pt idx="2">
                  <c:v>2008/09</c:v>
                </c:pt>
                <c:pt idx="3">
                  <c:v>2009/10</c:v>
                </c:pt>
                <c:pt idx="4">
                  <c:v>2010/11</c:v>
                </c:pt>
                <c:pt idx="5">
                  <c:v>2011/12</c:v>
                </c:pt>
                <c:pt idx="6">
                  <c:v>2012/13</c:v>
                </c:pt>
                <c:pt idx="7">
                  <c:v>2013/14</c:v>
                </c:pt>
                <c:pt idx="8">
                  <c:v>2014/15</c:v>
                </c:pt>
                <c:pt idx="9">
                  <c:v>2015/16</c:v>
                </c:pt>
                <c:pt idx="10">
                  <c:v>2016/17</c:v>
                </c:pt>
                <c:pt idx="11">
                  <c:v>2017/18</c:v>
                </c:pt>
                <c:pt idx="12">
                  <c:v>2018/19</c:v>
                </c:pt>
                <c:pt idx="13">
                  <c:v>2019/20</c:v>
                </c:pt>
                <c:pt idx="14">
                  <c:v>2020/21</c:v>
                </c:pt>
                <c:pt idx="15">
                  <c:v>2021/22</c:v>
                </c:pt>
                <c:pt idx="16">
                  <c:v>2022/23</c:v>
                </c:pt>
                <c:pt idx="17">
                  <c:v>2023/24</c:v>
                </c:pt>
              </c:strCache>
            </c:strRef>
          </c:cat>
          <c:val>
            <c:numRef>
              <c:f>'Summary Tables'!$D$114:$D$131</c:f>
              <c:numCache>
                <c:formatCode>#,##0</c:formatCode>
                <c:ptCount val="18"/>
                <c:pt idx="0">
                  <c:v>206</c:v>
                </c:pt>
                <c:pt idx="1">
                  <c:v>281</c:v>
                </c:pt>
                <c:pt idx="2">
                  <c:v>393</c:v>
                </c:pt>
                <c:pt idx="3">
                  <c:v>453</c:v>
                </c:pt>
                <c:pt idx="4">
                  <c:v>103</c:v>
                </c:pt>
                <c:pt idx="5">
                  <c:v>198</c:v>
                </c:pt>
                <c:pt idx="6">
                  <c:v>118</c:v>
                </c:pt>
                <c:pt idx="7">
                  <c:v>175</c:v>
                </c:pt>
                <c:pt idx="8">
                  <c:v>109</c:v>
                </c:pt>
                <c:pt idx="9">
                  <c:v>325</c:v>
                </c:pt>
                <c:pt idx="10" formatCode="General">
                  <c:v>298</c:v>
                </c:pt>
                <c:pt idx="11">
                  <c:v>142</c:v>
                </c:pt>
                <c:pt idx="12">
                  <c:v>173</c:v>
                </c:pt>
                <c:pt idx="13">
                  <c:v>196</c:v>
                </c:pt>
                <c:pt idx="14">
                  <c:v>220</c:v>
                </c:pt>
                <c:pt idx="15">
                  <c:v>224</c:v>
                </c:pt>
                <c:pt idx="16">
                  <c:v>359</c:v>
                </c:pt>
                <c:pt idx="17">
                  <c:v>446</c:v>
                </c:pt>
              </c:numCache>
            </c:numRef>
          </c:val>
          <c:extLst>
            <c:ext xmlns:c16="http://schemas.microsoft.com/office/drawing/2014/chart" uri="{C3380CC4-5D6E-409C-BE32-E72D297353CC}">
              <c16:uniqueId val="{00000001-B3E4-4282-9112-A8EAC7AE9806}"/>
            </c:ext>
          </c:extLst>
        </c:ser>
        <c:ser>
          <c:idx val="2"/>
          <c:order val="2"/>
          <c:tx>
            <c:strRef>
              <c:f>'Summary Tables'!$F$112:$G$112</c:f>
              <c:strCache>
                <c:ptCount val="1"/>
                <c:pt idx="0">
                  <c:v>  Social/Affordable Rent </c:v>
                </c:pt>
              </c:strCache>
            </c:strRef>
          </c:tx>
          <c:invertIfNegative val="0"/>
          <c:cat>
            <c:strRef>
              <c:f>'Summary Tables'!$A$114:$A$131</c:f>
              <c:strCache>
                <c:ptCount val="18"/>
                <c:pt idx="0">
                  <c:v>2006/07</c:v>
                </c:pt>
                <c:pt idx="1">
                  <c:v>2007/08</c:v>
                </c:pt>
                <c:pt idx="2">
                  <c:v>2008/09</c:v>
                </c:pt>
                <c:pt idx="3">
                  <c:v>2009/10</c:v>
                </c:pt>
                <c:pt idx="4">
                  <c:v>2010/11</c:v>
                </c:pt>
                <c:pt idx="5">
                  <c:v>2011/12</c:v>
                </c:pt>
                <c:pt idx="6">
                  <c:v>2012/13</c:v>
                </c:pt>
                <c:pt idx="7">
                  <c:v>2013/14</c:v>
                </c:pt>
                <c:pt idx="8">
                  <c:v>2014/15</c:v>
                </c:pt>
                <c:pt idx="9">
                  <c:v>2015/16</c:v>
                </c:pt>
                <c:pt idx="10">
                  <c:v>2016/17</c:v>
                </c:pt>
                <c:pt idx="11">
                  <c:v>2017/18</c:v>
                </c:pt>
                <c:pt idx="12">
                  <c:v>2018/19</c:v>
                </c:pt>
                <c:pt idx="13">
                  <c:v>2019/20</c:v>
                </c:pt>
                <c:pt idx="14">
                  <c:v>2020/21</c:v>
                </c:pt>
                <c:pt idx="15">
                  <c:v>2021/22</c:v>
                </c:pt>
                <c:pt idx="16">
                  <c:v>2022/23</c:v>
                </c:pt>
                <c:pt idx="17">
                  <c:v>2023/24</c:v>
                </c:pt>
              </c:strCache>
            </c:strRef>
          </c:cat>
          <c:val>
            <c:numRef>
              <c:f>'Summary Tables'!$F$114:$F$131</c:f>
              <c:numCache>
                <c:formatCode>#,##0</c:formatCode>
                <c:ptCount val="18"/>
                <c:pt idx="0">
                  <c:v>33</c:v>
                </c:pt>
                <c:pt idx="1">
                  <c:v>22</c:v>
                </c:pt>
                <c:pt idx="2">
                  <c:v>88</c:v>
                </c:pt>
                <c:pt idx="3">
                  <c:v>25</c:v>
                </c:pt>
                <c:pt idx="4">
                  <c:v>7</c:v>
                </c:pt>
                <c:pt idx="5">
                  <c:v>68</c:v>
                </c:pt>
                <c:pt idx="6">
                  <c:v>91</c:v>
                </c:pt>
                <c:pt idx="7">
                  <c:v>53</c:v>
                </c:pt>
                <c:pt idx="8">
                  <c:v>22</c:v>
                </c:pt>
                <c:pt idx="9">
                  <c:v>239</c:v>
                </c:pt>
                <c:pt idx="10" formatCode="General">
                  <c:v>79</c:v>
                </c:pt>
                <c:pt idx="11">
                  <c:v>60</c:v>
                </c:pt>
                <c:pt idx="12">
                  <c:v>133</c:v>
                </c:pt>
                <c:pt idx="13">
                  <c:v>187</c:v>
                </c:pt>
                <c:pt idx="14">
                  <c:v>108</c:v>
                </c:pt>
                <c:pt idx="15">
                  <c:v>119</c:v>
                </c:pt>
                <c:pt idx="16">
                  <c:v>230</c:v>
                </c:pt>
                <c:pt idx="17">
                  <c:v>378</c:v>
                </c:pt>
              </c:numCache>
            </c:numRef>
          </c:val>
          <c:extLst>
            <c:ext xmlns:c16="http://schemas.microsoft.com/office/drawing/2014/chart" uri="{C3380CC4-5D6E-409C-BE32-E72D297353CC}">
              <c16:uniqueId val="{00000002-B3E4-4282-9112-A8EAC7AE9806}"/>
            </c:ext>
          </c:extLst>
        </c:ser>
        <c:dLbls>
          <c:showLegendKey val="0"/>
          <c:showVal val="0"/>
          <c:showCatName val="0"/>
          <c:showSerName val="0"/>
          <c:showPercent val="0"/>
          <c:showBubbleSize val="0"/>
        </c:dLbls>
        <c:gapWidth val="150"/>
        <c:axId val="142842880"/>
        <c:axId val="142848768"/>
      </c:barChart>
      <c:catAx>
        <c:axId val="142842880"/>
        <c:scaling>
          <c:orientation val="minMax"/>
        </c:scaling>
        <c:delete val="0"/>
        <c:axPos val="b"/>
        <c:numFmt formatCode="General" sourceLinked="0"/>
        <c:majorTickMark val="out"/>
        <c:minorTickMark val="none"/>
        <c:tickLblPos val="nextTo"/>
        <c:crossAx val="142848768"/>
        <c:crosses val="autoZero"/>
        <c:auto val="1"/>
        <c:lblAlgn val="ctr"/>
        <c:lblOffset val="100"/>
        <c:noMultiLvlLbl val="0"/>
      </c:catAx>
      <c:valAx>
        <c:axId val="142848768"/>
        <c:scaling>
          <c:orientation val="minMax"/>
        </c:scaling>
        <c:delete val="0"/>
        <c:axPos val="l"/>
        <c:majorGridlines/>
        <c:numFmt formatCode="#,##0" sourceLinked="1"/>
        <c:majorTickMark val="out"/>
        <c:minorTickMark val="none"/>
        <c:tickLblPos val="nextTo"/>
        <c:crossAx val="142842880"/>
        <c:crosses val="autoZero"/>
        <c:crossBetween val="between"/>
      </c:valAx>
    </c:plotArea>
    <c:legend>
      <c:legendPos val="l"/>
      <c:layout>
        <c:manualLayout>
          <c:xMode val="edge"/>
          <c:yMode val="edge"/>
          <c:x val="8.1957186544342503E-2"/>
          <c:y val="0.10372739865850102"/>
          <c:w val="0.11891720745482928"/>
          <c:h val="0.20909282466452256"/>
        </c:manualLayout>
      </c:layout>
      <c:overlay val="1"/>
      <c:spPr>
        <a:solidFill>
          <a:sysClr val="window" lastClr="FFFFFF"/>
        </a:solidFill>
      </c:spPr>
    </c:legend>
    <c:plotVisOnly val="1"/>
    <c:dispBlanksAs val="gap"/>
    <c:showDLblsOverMax val="0"/>
  </c:chart>
  <c:spPr>
    <a:ln>
      <a:noFill/>
    </a:ln>
  </c:spPr>
  <c:txPr>
    <a:bodyPr/>
    <a:lstStyle/>
    <a:p>
      <a:pPr>
        <a:defRPr sz="800"/>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pPr>
            <a:r>
              <a:rPr lang="en-US" sz="900"/>
              <a:t>Completions by ward in 2023/24</a:t>
            </a:r>
          </a:p>
        </c:rich>
      </c:tx>
      <c:overlay val="0"/>
    </c:title>
    <c:autoTitleDeleted val="0"/>
    <c:plotArea>
      <c:layout/>
      <c:barChart>
        <c:barDir val="bar"/>
        <c:grouping val="clustered"/>
        <c:varyColors val="0"/>
        <c:ser>
          <c:idx val="0"/>
          <c:order val="0"/>
          <c:tx>
            <c:strRef>
              <c:f>'Summary Tables'!$G$304</c:f>
              <c:strCache>
                <c:ptCount val="1"/>
                <c:pt idx="0">
                  <c:v>Completions</c:v>
                </c:pt>
              </c:strCache>
            </c:strRef>
          </c:tx>
          <c:invertIfNegative val="0"/>
          <c:cat>
            <c:strRef>
              <c:f>'Summary Tables'!$A$306:$C$327</c:f>
              <c:strCache>
                <c:ptCount val="22"/>
                <c:pt idx="0">
                  <c:v>Balham</c:v>
                </c:pt>
                <c:pt idx="1">
                  <c:v>Battersea Park</c:v>
                </c:pt>
                <c:pt idx="2">
                  <c:v>East Putney</c:v>
                </c:pt>
                <c:pt idx="3">
                  <c:v>Falconbrook</c:v>
                </c:pt>
                <c:pt idx="4">
                  <c:v>Furzedown</c:v>
                </c:pt>
                <c:pt idx="5">
                  <c:v>Lavender</c:v>
                </c:pt>
                <c:pt idx="6">
                  <c:v>Nine Elms</c:v>
                </c:pt>
                <c:pt idx="7">
                  <c:v>Northcote</c:v>
                </c:pt>
                <c:pt idx="8">
                  <c:v>Roehampton</c:v>
                </c:pt>
                <c:pt idx="9">
                  <c:v>Shaftesbury &amp; Queenstown</c:v>
                </c:pt>
                <c:pt idx="10">
                  <c:v>South Balham</c:v>
                </c:pt>
                <c:pt idx="11">
                  <c:v>Southfields</c:v>
                </c:pt>
                <c:pt idx="12">
                  <c:v>St Mary's</c:v>
                </c:pt>
                <c:pt idx="13">
                  <c:v>Thamesfield</c:v>
                </c:pt>
                <c:pt idx="14">
                  <c:v>Tooting Bec</c:v>
                </c:pt>
                <c:pt idx="15">
                  <c:v>Tooting Broadway</c:v>
                </c:pt>
                <c:pt idx="16">
                  <c:v>Trinity</c:v>
                </c:pt>
                <c:pt idx="17">
                  <c:v>Wandle</c:v>
                </c:pt>
                <c:pt idx="18">
                  <c:v>Wandsworth Common</c:v>
                </c:pt>
                <c:pt idx="19">
                  <c:v>Wandsworth Town</c:v>
                </c:pt>
                <c:pt idx="20">
                  <c:v>West Hill</c:v>
                </c:pt>
                <c:pt idx="21">
                  <c:v>West Putney</c:v>
                </c:pt>
              </c:strCache>
            </c:strRef>
          </c:cat>
          <c:val>
            <c:numRef>
              <c:f>'Summary Tables'!$G$306:$G$327</c:f>
              <c:numCache>
                <c:formatCode>#,##0</c:formatCode>
                <c:ptCount val="22"/>
                <c:pt idx="0">
                  <c:v>8</c:v>
                </c:pt>
                <c:pt idx="1">
                  <c:v>2</c:v>
                </c:pt>
                <c:pt idx="2">
                  <c:v>3</c:v>
                </c:pt>
                <c:pt idx="3">
                  <c:v>1</c:v>
                </c:pt>
                <c:pt idx="4">
                  <c:v>20</c:v>
                </c:pt>
                <c:pt idx="5">
                  <c:v>-73</c:v>
                </c:pt>
                <c:pt idx="6">
                  <c:v>1747</c:v>
                </c:pt>
                <c:pt idx="7">
                  <c:v>6</c:v>
                </c:pt>
                <c:pt idx="8">
                  <c:v>7</c:v>
                </c:pt>
                <c:pt idx="9">
                  <c:v>5</c:v>
                </c:pt>
                <c:pt idx="10">
                  <c:v>6</c:v>
                </c:pt>
                <c:pt idx="11">
                  <c:v>6</c:v>
                </c:pt>
                <c:pt idx="12">
                  <c:v>643</c:v>
                </c:pt>
                <c:pt idx="13">
                  <c:v>31</c:v>
                </c:pt>
                <c:pt idx="14">
                  <c:v>-39</c:v>
                </c:pt>
                <c:pt idx="15">
                  <c:v>36</c:v>
                </c:pt>
                <c:pt idx="16">
                  <c:v>-3</c:v>
                </c:pt>
                <c:pt idx="17">
                  <c:v>18</c:v>
                </c:pt>
                <c:pt idx="18">
                  <c:v>215</c:v>
                </c:pt>
                <c:pt idx="19">
                  <c:v>20</c:v>
                </c:pt>
                <c:pt idx="20">
                  <c:v>1</c:v>
                </c:pt>
                <c:pt idx="21">
                  <c:v>2</c:v>
                </c:pt>
              </c:numCache>
            </c:numRef>
          </c:val>
          <c:extLst>
            <c:ext xmlns:c16="http://schemas.microsoft.com/office/drawing/2014/chart" uri="{C3380CC4-5D6E-409C-BE32-E72D297353CC}">
              <c16:uniqueId val="{00000000-6D94-4A1E-AA09-62B00EDE4BA6}"/>
            </c:ext>
          </c:extLst>
        </c:ser>
        <c:dLbls>
          <c:showLegendKey val="0"/>
          <c:showVal val="0"/>
          <c:showCatName val="0"/>
          <c:showSerName val="0"/>
          <c:showPercent val="0"/>
          <c:showBubbleSize val="0"/>
        </c:dLbls>
        <c:gapWidth val="150"/>
        <c:axId val="142934400"/>
        <c:axId val="142935936"/>
      </c:barChart>
      <c:catAx>
        <c:axId val="142934400"/>
        <c:scaling>
          <c:orientation val="maxMin"/>
        </c:scaling>
        <c:delete val="0"/>
        <c:axPos val="l"/>
        <c:numFmt formatCode="General" sourceLinked="0"/>
        <c:majorTickMark val="out"/>
        <c:minorTickMark val="none"/>
        <c:tickLblPos val="nextTo"/>
        <c:crossAx val="142935936"/>
        <c:crosses val="autoZero"/>
        <c:auto val="1"/>
        <c:lblAlgn val="ctr"/>
        <c:lblOffset val="150"/>
        <c:noMultiLvlLbl val="0"/>
      </c:catAx>
      <c:valAx>
        <c:axId val="142935936"/>
        <c:scaling>
          <c:orientation val="minMax"/>
          <c:min val="0"/>
        </c:scaling>
        <c:delete val="0"/>
        <c:axPos val="t"/>
        <c:majorGridlines/>
        <c:numFmt formatCode="#,##0" sourceLinked="1"/>
        <c:majorTickMark val="out"/>
        <c:minorTickMark val="none"/>
        <c:tickLblPos val="nextTo"/>
        <c:spPr>
          <a:noFill/>
          <a:ln>
            <a:noFill/>
          </a:ln>
        </c:spPr>
        <c:crossAx val="142934400"/>
        <c:crosses val="autoZero"/>
        <c:crossBetween val="between"/>
      </c:valAx>
    </c:plotArea>
    <c:plotVisOnly val="1"/>
    <c:dispBlanksAs val="gap"/>
    <c:showDLblsOverMax val="0"/>
  </c:chart>
  <c:spPr>
    <a:ln>
      <a:noFill/>
    </a:ln>
  </c:spPr>
  <c:txPr>
    <a:bodyPr/>
    <a:lstStyle/>
    <a:p>
      <a:pPr>
        <a:defRPr sz="800"/>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a:lstStyle/>
          <a:p>
            <a:pPr>
              <a:defRPr sz="900"/>
            </a:pPr>
            <a:r>
              <a:rPr lang="en-US" sz="900"/>
              <a:t>Net new build units completed</a:t>
            </a:r>
          </a:p>
        </c:rich>
      </c:tx>
      <c:overlay val="0"/>
    </c:title>
    <c:autoTitleDeleted val="0"/>
    <c:plotArea>
      <c:layout/>
      <c:pieChart>
        <c:varyColors val="1"/>
        <c:ser>
          <c:idx val="1"/>
          <c:order val="0"/>
          <c:tx>
            <c:strRef>
              <c:f>'Summary Tables'!$B$340</c:f>
              <c:strCache>
                <c:ptCount val="1"/>
                <c:pt idx="0">
                  <c:v>Net new build units completed by unit size and tenure</c:v>
                </c:pt>
              </c:strCache>
            </c:strRef>
          </c:tx>
          <c:cat>
            <c:strRef>
              <c:f>'Summary Tables'!$C$341:$I$341</c:f>
              <c:strCache>
                <c:ptCount val="7"/>
                <c:pt idx="0">
                  <c:v>Studio</c:v>
                </c:pt>
                <c:pt idx="1">
                  <c:v>1 bed</c:v>
                </c:pt>
                <c:pt idx="2">
                  <c:v>2 bed</c:v>
                </c:pt>
                <c:pt idx="3">
                  <c:v>3 bed</c:v>
                </c:pt>
                <c:pt idx="4">
                  <c:v>4 bed</c:v>
                </c:pt>
                <c:pt idx="5">
                  <c:v>5+ bed</c:v>
                </c:pt>
                <c:pt idx="6">
                  <c:v>Not Known</c:v>
                </c:pt>
              </c:strCache>
            </c:strRef>
          </c:cat>
          <c:val>
            <c:numRef>
              <c:f>'Summary Tables'!$C$348:$I$348</c:f>
              <c:numCache>
                <c:formatCode>#,##0</c:formatCode>
                <c:ptCount val="7"/>
                <c:pt idx="0">
                  <c:v>165</c:v>
                </c:pt>
                <c:pt idx="1">
                  <c:v>709</c:v>
                </c:pt>
                <c:pt idx="2">
                  <c:v>1306</c:v>
                </c:pt>
                <c:pt idx="3">
                  <c:v>367</c:v>
                </c:pt>
                <c:pt idx="4">
                  <c:v>79</c:v>
                </c:pt>
                <c:pt idx="5">
                  <c:v>4</c:v>
                </c:pt>
                <c:pt idx="6">
                  <c:v>-71</c:v>
                </c:pt>
              </c:numCache>
            </c:numRef>
          </c:val>
          <c:extLst>
            <c:ext xmlns:c16="http://schemas.microsoft.com/office/drawing/2014/chart" uri="{C3380CC4-5D6E-409C-BE32-E72D297353CC}">
              <c16:uniqueId val="{00000000-4A98-439B-9FB2-8984BFAF562D}"/>
            </c:ext>
          </c:extLst>
        </c:ser>
        <c:dLbls>
          <c:showLegendKey val="0"/>
          <c:showVal val="0"/>
          <c:showCatName val="0"/>
          <c:showSerName val="0"/>
          <c:showPercent val="0"/>
          <c:showBubbleSize val="0"/>
          <c:showLeaderLines val="1"/>
        </c:dLbls>
        <c:firstSliceAng val="0"/>
      </c:pieChart>
    </c:plotArea>
    <c:legend>
      <c:legendPos val="r"/>
      <c:overlay val="1"/>
    </c:legend>
    <c:plotVisOnly val="1"/>
    <c:dispBlanksAs val="gap"/>
    <c:showDLblsOverMax val="0"/>
  </c:chart>
  <c:spPr>
    <a:noFill/>
    <a:ln>
      <a:noFill/>
    </a:ln>
  </c:spPr>
  <c:txPr>
    <a:bodyPr/>
    <a:lstStyle/>
    <a:p>
      <a:pPr>
        <a:defRPr sz="800"/>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a:lstStyle/>
          <a:p>
            <a:pPr>
              <a:defRPr sz="900"/>
            </a:pPr>
            <a:r>
              <a:rPr lang="en-US" sz="900"/>
              <a:t>Net new build units with planning permission</a:t>
            </a:r>
          </a:p>
        </c:rich>
      </c:tx>
      <c:overlay val="0"/>
    </c:title>
    <c:autoTitleDeleted val="0"/>
    <c:plotArea>
      <c:layout/>
      <c:pieChart>
        <c:varyColors val="1"/>
        <c:ser>
          <c:idx val="0"/>
          <c:order val="0"/>
          <c:tx>
            <c:strRef>
              <c:f>'Summary Tables'!$B$352</c:f>
              <c:strCache>
                <c:ptCount val="1"/>
                <c:pt idx="0">
                  <c:v>Net new build units with planning permission by unit size and tenure</c:v>
                </c:pt>
              </c:strCache>
            </c:strRef>
          </c:tx>
          <c:cat>
            <c:strRef>
              <c:f>'Summary Tables'!$C$341:$I$341</c:f>
              <c:strCache>
                <c:ptCount val="7"/>
                <c:pt idx="0">
                  <c:v>Studio</c:v>
                </c:pt>
                <c:pt idx="1">
                  <c:v>1 bed</c:v>
                </c:pt>
                <c:pt idx="2">
                  <c:v>2 bed</c:v>
                </c:pt>
                <c:pt idx="3">
                  <c:v>3 bed</c:v>
                </c:pt>
                <c:pt idx="4">
                  <c:v>4 bed</c:v>
                </c:pt>
                <c:pt idx="5">
                  <c:v>5+ bed</c:v>
                </c:pt>
                <c:pt idx="6">
                  <c:v>Not Known</c:v>
                </c:pt>
              </c:strCache>
            </c:strRef>
          </c:cat>
          <c:val>
            <c:numRef>
              <c:f>'Summary Tables'!$C$360:$I$360</c:f>
              <c:numCache>
                <c:formatCode>#,##0</c:formatCode>
                <c:ptCount val="7"/>
                <c:pt idx="0">
                  <c:v>381</c:v>
                </c:pt>
                <c:pt idx="1">
                  <c:v>3122</c:v>
                </c:pt>
                <c:pt idx="2">
                  <c:v>4282</c:v>
                </c:pt>
                <c:pt idx="3">
                  <c:v>1455</c:v>
                </c:pt>
                <c:pt idx="4">
                  <c:v>179</c:v>
                </c:pt>
                <c:pt idx="5">
                  <c:v>172</c:v>
                </c:pt>
                <c:pt idx="6">
                  <c:v>2458</c:v>
                </c:pt>
              </c:numCache>
            </c:numRef>
          </c:val>
          <c:extLst>
            <c:ext xmlns:c16="http://schemas.microsoft.com/office/drawing/2014/chart" uri="{C3380CC4-5D6E-409C-BE32-E72D297353CC}">
              <c16:uniqueId val="{00000000-4B72-4B47-8122-D9AE3530D72D}"/>
            </c:ext>
          </c:extLst>
        </c:ser>
        <c:dLbls>
          <c:showLegendKey val="0"/>
          <c:showVal val="0"/>
          <c:showCatName val="0"/>
          <c:showSerName val="0"/>
          <c:showPercent val="0"/>
          <c:showBubbleSize val="0"/>
          <c:showLeaderLines val="1"/>
        </c:dLbls>
        <c:firstSliceAng val="0"/>
      </c:pieChart>
    </c:plotArea>
    <c:legend>
      <c:legendPos val="r"/>
      <c:overlay val="1"/>
    </c:legend>
    <c:plotVisOnly val="1"/>
    <c:dispBlanksAs val="gap"/>
    <c:showDLblsOverMax val="0"/>
  </c:chart>
  <c:spPr>
    <a:noFill/>
    <a:ln>
      <a:noFill/>
    </a:ln>
  </c:spPr>
  <c:txPr>
    <a:bodyPr/>
    <a:lstStyle/>
    <a:p>
      <a:pPr>
        <a:defRPr sz="800"/>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pPr>
            <a:r>
              <a:rPr lang="en-US" sz="900"/>
              <a:t>Completions by ward in 2023/24 excluding Nine Elms</a:t>
            </a:r>
          </a:p>
        </c:rich>
      </c:tx>
      <c:overlay val="0"/>
    </c:title>
    <c:autoTitleDeleted val="0"/>
    <c:plotArea>
      <c:layout/>
      <c:barChart>
        <c:barDir val="bar"/>
        <c:grouping val="clustered"/>
        <c:varyColors val="0"/>
        <c:ser>
          <c:idx val="0"/>
          <c:order val="0"/>
          <c:tx>
            <c:strRef>
              <c:f>'Summary Tables'!$G$304</c:f>
              <c:strCache>
                <c:ptCount val="1"/>
                <c:pt idx="0">
                  <c:v>Completions</c:v>
                </c:pt>
              </c:strCache>
            </c:strRef>
          </c:tx>
          <c:invertIfNegative val="0"/>
          <c:cat>
            <c:strRef>
              <c:extLst>
                <c:ext xmlns:c15="http://schemas.microsoft.com/office/drawing/2012/chart" uri="{02D57815-91ED-43cb-92C2-25804820EDAC}">
                  <c15:fullRef>
                    <c15:sqref>'Summary Tables'!$A$306:$C$327</c15:sqref>
                  </c15:fullRef>
                </c:ext>
              </c:extLst>
              <c:f>('Summary Tables'!$A$306:$C$311,'Summary Tables'!$A$313:$C$315,'Summary Tables'!$A$317:$C$327)</c:f>
              <c:strCache>
                <c:ptCount val="20"/>
                <c:pt idx="0">
                  <c:v>Balham</c:v>
                </c:pt>
                <c:pt idx="1">
                  <c:v>Battersea Park</c:v>
                </c:pt>
                <c:pt idx="2">
                  <c:v>East Putney</c:v>
                </c:pt>
                <c:pt idx="3">
                  <c:v>Falconbrook</c:v>
                </c:pt>
                <c:pt idx="4">
                  <c:v>Furzedown</c:v>
                </c:pt>
                <c:pt idx="5">
                  <c:v>Lavender</c:v>
                </c:pt>
                <c:pt idx="6">
                  <c:v>Northcote</c:v>
                </c:pt>
                <c:pt idx="7">
                  <c:v>Roehampton</c:v>
                </c:pt>
                <c:pt idx="8">
                  <c:v>Shaftesbury &amp; Queenstown</c:v>
                </c:pt>
                <c:pt idx="9">
                  <c:v>Southfields</c:v>
                </c:pt>
                <c:pt idx="10">
                  <c:v>St Mary's</c:v>
                </c:pt>
                <c:pt idx="11">
                  <c:v>Thamesfield</c:v>
                </c:pt>
                <c:pt idx="12">
                  <c:v>Tooting Bec</c:v>
                </c:pt>
                <c:pt idx="13">
                  <c:v>Tooting Broadway</c:v>
                </c:pt>
                <c:pt idx="14">
                  <c:v>Trinity</c:v>
                </c:pt>
                <c:pt idx="15">
                  <c:v>Wandle</c:v>
                </c:pt>
                <c:pt idx="16">
                  <c:v>Wandsworth Common</c:v>
                </c:pt>
                <c:pt idx="17">
                  <c:v>Wandsworth Town</c:v>
                </c:pt>
                <c:pt idx="18">
                  <c:v>West Hill</c:v>
                </c:pt>
                <c:pt idx="19">
                  <c:v>West Putney</c:v>
                </c:pt>
              </c:strCache>
            </c:strRef>
          </c:cat>
          <c:val>
            <c:numRef>
              <c:extLst>
                <c:ext xmlns:c15="http://schemas.microsoft.com/office/drawing/2012/chart" uri="{02D57815-91ED-43cb-92C2-25804820EDAC}">
                  <c15:fullRef>
                    <c15:sqref>'Summary Tables'!$G$306:$G$327</c15:sqref>
                  </c15:fullRef>
                </c:ext>
              </c:extLst>
              <c:f>('Summary Tables'!$G$306:$G$311,'Summary Tables'!$G$313:$G$315,'Summary Tables'!$G$317:$G$327)</c:f>
              <c:numCache>
                <c:formatCode>#,##0</c:formatCode>
                <c:ptCount val="20"/>
                <c:pt idx="0">
                  <c:v>8</c:v>
                </c:pt>
                <c:pt idx="1">
                  <c:v>2</c:v>
                </c:pt>
                <c:pt idx="2">
                  <c:v>3</c:v>
                </c:pt>
                <c:pt idx="3">
                  <c:v>1</c:v>
                </c:pt>
                <c:pt idx="4">
                  <c:v>20</c:v>
                </c:pt>
                <c:pt idx="5">
                  <c:v>-73</c:v>
                </c:pt>
                <c:pt idx="6">
                  <c:v>6</c:v>
                </c:pt>
                <c:pt idx="7">
                  <c:v>7</c:v>
                </c:pt>
                <c:pt idx="8">
                  <c:v>5</c:v>
                </c:pt>
                <c:pt idx="9">
                  <c:v>6</c:v>
                </c:pt>
                <c:pt idx="10">
                  <c:v>643</c:v>
                </c:pt>
                <c:pt idx="11">
                  <c:v>31</c:v>
                </c:pt>
                <c:pt idx="12">
                  <c:v>-39</c:v>
                </c:pt>
                <c:pt idx="13">
                  <c:v>36</c:v>
                </c:pt>
                <c:pt idx="14">
                  <c:v>-3</c:v>
                </c:pt>
                <c:pt idx="15">
                  <c:v>18</c:v>
                </c:pt>
                <c:pt idx="16">
                  <c:v>215</c:v>
                </c:pt>
                <c:pt idx="17">
                  <c:v>20</c:v>
                </c:pt>
                <c:pt idx="18">
                  <c:v>1</c:v>
                </c:pt>
                <c:pt idx="19">
                  <c:v>2</c:v>
                </c:pt>
              </c:numCache>
            </c:numRef>
          </c:val>
          <c:extLst>
            <c:ext xmlns:c16="http://schemas.microsoft.com/office/drawing/2014/chart" uri="{C3380CC4-5D6E-409C-BE32-E72D297353CC}">
              <c16:uniqueId val="{00000000-4E64-40FD-A0CB-6C1F3A8D0B72}"/>
            </c:ext>
          </c:extLst>
        </c:ser>
        <c:dLbls>
          <c:showLegendKey val="0"/>
          <c:showVal val="0"/>
          <c:showCatName val="0"/>
          <c:showSerName val="0"/>
          <c:showPercent val="0"/>
          <c:showBubbleSize val="0"/>
        </c:dLbls>
        <c:gapWidth val="150"/>
        <c:axId val="142934400"/>
        <c:axId val="142935936"/>
      </c:barChart>
      <c:catAx>
        <c:axId val="142934400"/>
        <c:scaling>
          <c:orientation val="maxMin"/>
        </c:scaling>
        <c:delete val="0"/>
        <c:axPos val="l"/>
        <c:numFmt formatCode="General" sourceLinked="0"/>
        <c:majorTickMark val="out"/>
        <c:minorTickMark val="none"/>
        <c:tickLblPos val="nextTo"/>
        <c:crossAx val="142935936"/>
        <c:crosses val="autoZero"/>
        <c:auto val="1"/>
        <c:lblAlgn val="ctr"/>
        <c:lblOffset val="150"/>
        <c:noMultiLvlLbl val="0"/>
      </c:catAx>
      <c:valAx>
        <c:axId val="142935936"/>
        <c:scaling>
          <c:orientation val="minMax"/>
          <c:min val="0"/>
        </c:scaling>
        <c:delete val="0"/>
        <c:axPos val="t"/>
        <c:majorGridlines/>
        <c:numFmt formatCode="#,##0" sourceLinked="1"/>
        <c:majorTickMark val="out"/>
        <c:minorTickMark val="none"/>
        <c:tickLblPos val="nextTo"/>
        <c:spPr>
          <a:noFill/>
          <a:ln>
            <a:noFill/>
          </a:ln>
        </c:spPr>
        <c:crossAx val="142934400"/>
        <c:crosses val="autoZero"/>
        <c:crossBetween val="between"/>
      </c:valAx>
    </c:plotArea>
    <c:plotVisOnly val="1"/>
    <c:dispBlanksAs val="gap"/>
    <c:showDLblsOverMax val="0"/>
  </c:chart>
  <c:spPr>
    <a:ln>
      <a:noFill/>
    </a:ln>
  </c:spPr>
  <c:txPr>
    <a:bodyPr/>
    <a:lstStyle/>
    <a:p>
      <a:pPr>
        <a:defRPr sz="800"/>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Housing Delivery</a:t>
            </a:r>
            <a:r>
              <a:rPr lang="en-GB" baseline="0"/>
              <a:t> Trajectory and Managed Target</a:t>
            </a:r>
            <a:endParaRPr lang="en-GB"/>
          </a:p>
        </c:rich>
      </c:tx>
      <c:overlay val="0"/>
    </c:title>
    <c:autoTitleDeleted val="0"/>
    <c:plotArea>
      <c:layout/>
      <c:barChart>
        <c:barDir val="col"/>
        <c:grouping val="clustered"/>
        <c:varyColors val="0"/>
        <c:ser>
          <c:idx val="0"/>
          <c:order val="0"/>
          <c:tx>
            <c:strRef>
              <c:f>'Housing Trajectory'!$B$6</c:f>
              <c:strCache>
                <c:ptCount val="1"/>
                <c:pt idx="0">
                  <c:v>Past Completions</c:v>
                </c:pt>
              </c:strCache>
            </c:strRef>
          </c:tx>
          <c:spPr>
            <a:solidFill>
              <a:schemeClr val="tx2"/>
            </a:solidFill>
          </c:spPr>
          <c:invertIfNegative val="0"/>
          <c:dLbls>
            <c:dLbl>
              <c:idx val="5"/>
              <c:spPr>
                <a:noFill/>
                <a:ln>
                  <a:noFill/>
                </a:ln>
                <a:effectLst/>
              </c:spPr>
              <c:txPr>
                <a:bodyPr wrap="square" lIns="38100" tIns="19050" rIns="38100" bIns="19050" anchor="ctr">
                  <a:spAutoFit/>
                </a:bodyPr>
                <a:lstStyle/>
                <a:p>
                  <a:pPr>
                    <a:defRPr b="1"/>
                  </a:pPr>
                  <a:endParaRPr lang="en-US"/>
                </a:p>
              </c:txPr>
              <c:dLblPos val="outEnd"/>
              <c:showLegendKey val="0"/>
              <c:showVal val="1"/>
              <c:showCatName val="0"/>
              <c:showSerName val="0"/>
              <c:showPercent val="0"/>
              <c:showBubbleSize val="0"/>
              <c:extLst>
                <c:ext xmlns:c16="http://schemas.microsoft.com/office/drawing/2014/chart" uri="{C3380CC4-5D6E-409C-BE32-E72D297353CC}">
                  <c16:uniqueId val="{00000000-DD91-4378-B4FA-E80BDB073341}"/>
                </c:ext>
              </c:extLst>
            </c:dLbl>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'Housing Trajectory'!$C$4:$X$4</c:f>
              <c:strCache>
                <c:ptCount val="22"/>
                <c:pt idx="0">
                  <c:v>2016/17</c:v>
                </c:pt>
                <c:pt idx="1">
                  <c:v>2017/18</c:v>
                </c:pt>
                <c:pt idx="2">
                  <c:v>2018/19</c:v>
                </c:pt>
                <c:pt idx="3">
                  <c:v>2019/20</c:v>
                </c:pt>
                <c:pt idx="4">
                  <c:v>2020/21</c:v>
                </c:pt>
                <c:pt idx="5">
                  <c:v>2021/22</c:v>
                </c:pt>
                <c:pt idx="6">
                  <c:v>2022/23</c:v>
                </c:pt>
                <c:pt idx="7">
                  <c:v>2023/24</c:v>
                </c:pt>
                <c:pt idx="8">
                  <c:v>2024/25</c:v>
                </c:pt>
                <c:pt idx="9">
                  <c:v>2025/26</c:v>
                </c:pt>
                <c:pt idx="10">
                  <c:v>2026/27</c:v>
                </c:pt>
                <c:pt idx="11">
                  <c:v>2027/28</c:v>
                </c:pt>
                <c:pt idx="12">
                  <c:v>2028/29</c:v>
                </c:pt>
                <c:pt idx="13">
                  <c:v>2029/30</c:v>
                </c:pt>
                <c:pt idx="14">
                  <c:v>2030/31</c:v>
                </c:pt>
                <c:pt idx="15">
                  <c:v>2031/32</c:v>
                </c:pt>
                <c:pt idx="16">
                  <c:v>2032/33</c:v>
                </c:pt>
                <c:pt idx="17">
                  <c:v>2033/34</c:v>
                </c:pt>
                <c:pt idx="18">
                  <c:v>2034/35</c:v>
                </c:pt>
                <c:pt idx="19">
                  <c:v>2035/36</c:v>
                </c:pt>
                <c:pt idx="20">
                  <c:v>2036/37</c:v>
                </c:pt>
                <c:pt idx="21">
                  <c:v>2037/38</c:v>
                </c:pt>
              </c:strCache>
            </c:strRef>
          </c:cat>
          <c:val>
            <c:numRef>
              <c:f>'Housing Trajectory'!$C$6:$U$6</c:f>
              <c:numCache>
                <c:formatCode>#,##0</c:formatCode>
                <c:ptCount val="19"/>
                <c:pt idx="0">
                  <c:v>2710</c:v>
                </c:pt>
                <c:pt idx="1">
                  <c:v>2025</c:v>
                </c:pt>
                <c:pt idx="2">
                  <c:v>1877</c:v>
                </c:pt>
                <c:pt idx="3">
                  <c:v>1359</c:v>
                </c:pt>
                <c:pt idx="4">
                  <c:v>1470</c:v>
                </c:pt>
                <c:pt idx="5">
                  <c:v>1974</c:v>
                </c:pt>
                <c:pt idx="6">
                  <c:v>2264</c:v>
                </c:pt>
                <c:pt idx="7">
                  <c:v>2815.333333333333</c:v>
                </c:pt>
              </c:numCache>
            </c:numRef>
          </c:val>
          <c:extLst>
            <c:ext xmlns:c16="http://schemas.microsoft.com/office/drawing/2014/chart" uri="{C3380CC4-5D6E-409C-BE32-E72D297353CC}">
              <c16:uniqueId val="{00000000-A337-458F-AA58-DC058BEC71FC}"/>
            </c:ext>
          </c:extLst>
        </c:ser>
        <c:ser>
          <c:idx val="1"/>
          <c:order val="1"/>
          <c:tx>
            <c:strRef>
              <c:f>'Housing Trajectory'!$B$7</c:f>
              <c:strCache>
                <c:ptCount val="1"/>
                <c:pt idx="0">
                  <c:v>Projected Completions</c:v>
                </c:pt>
              </c:strCache>
            </c:strRef>
          </c:tx>
          <c:spPr>
            <a:solidFill>
              <a:schemeClr val="accent1"/>
            </a:solidFill>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'Housing Trajectory'!$C$4:$X$4</c:f>
              <c:strCache>
                <c:ptCount val="22"/>
                <c:pt idx="0">
                  <c:v>2016/17</c:v>
                </c:pt>
                <c:pt idx="1">
                  <c:v>2017/18</c:v>
                </c:pt>
                <c:pt idx="2">
                  <c:v>2018/19</c:v>
                </c:pt>
                <c:pt idx="3">
                  <c:v>2019/20</c:v>
                </c:pt>
                <c:pt idx="4">
                  <c:v>2020/21</c:v>
                </c:pt>
                <c:pt idx="5">
                  <c:v>2021/22</c:v>
                </c:pt>
                <c:pt idx="6">
                  <c:v>2022/23</c:v>
                </c:pt>
                <c:pt idx="7">
                  <c:v>2023/24</c:v>
                </c:pt>
                <c:pt idx="8">
                  <c:v>2024/25</c:v>
                </c:pt>
                <c:pt idx="9">
                  <c:v>2025/26</c:v>
                </c:pt>
                <c:pt idx="10">
                  <c:v>2026/27</c:v>
                </c:pt>
                <c:pt idx="11">
                  <c:v>2027/28</c:v>
                </c:pt>
                <c:pt idx="12">
                  <c:v>2028/29</c:v>
                </c:pt>
                <c:pt idx="13">
                  <c:v>2029/30</c:v>
                </c:pt>
                <c:pt idx="14">
                  <c:v>2030/31</c:v>
                </c:pt>
                <c:pt idx="15">
                  <c:v>2031/32</c:v>
                </c:pt>
                <c:pt idx="16">
                  <c:v>2032/33</c:v>
                </c:pt>
                <c:pt idx="17">
                  <c:v>2033/34</c:v>
                </c:pt>
                <c:pt idx="18">
                  <c:v>2034/35</c:v>
                </c:pt>
                <c:pt idx="19">
                  <c:v>2035/36</c:v>
                </c:pt>
                <c:pt idx="20">
                  <c:v>2036/37</c:v>
                </c:pt>
                <c:pt idx="21">
                  <c:v>2037/38</c:v>
                </c:pt>
              </c:strCache>
            </c:strRef>
          </c:cat>
          <c:val>
            <c:numRef>
              <c:f>'Housing Trajectory'!$C$7:$X$7</c:f>
              <c:numCache>
                <c:formatCode>#,##0</c:formatCode>
                <c:ptCount val="22"/>
                <c:pt idx="8">
                  <c:v>2198.1888888888889</c:v>
                </c:pt>
                <c:pt idx="9">
                  <c:v>1316.9722222222222</c:v>
                </c:pt>
                <c:pt idx="10">
                  <c:v>1810.8944444444446</c:v>
                </c:pt>
                <c:pt idx="11">
                  <c:v>3668.3526143790855</c:v>
                </c:pt>
                <c:pt idx="12">
                  <c:v>3617.116900093371</c:v>
                </c:pt>
                <c:pt idx="13">
                  <c:v>3354.7224556489259</c:v>
                </c:pt>
                <c:pt idx="14">
                  <c:v>914.86134453781506</c:v>
                </c:pt>
                <c:pt idx="15">
                  <c:v>1351.1113445378148</c:v>
                </c:pt>
                <c:pt idx="16">
                  <c:v>1197.5613445378151</c:v>
                </c:pt>
                <c:pt idx="17">
                  <c:v>844.0613445378151</c:v>
                </c:pt>
                <c:pt idx="18">
                  <c:v>747.81134453781488</c:v>
                </c:pt>
                <c:pt idx="19">
                  <c:v>747.81134453781488</c:v>
                </c:pt>
                <c:pt idx="20">
                  <c:v>610.61134453781506</c:v>
                </c:pt>
                <c:pt idx="21">
                  <c:v>624.85420168067219</c:v>
                </c:pt>
              </c:numCache>
            </c:numRef>
          </c:val>
          <c:extLst>
            <c:ext xmlns:c16="http://schemas.microsoft.com/office/drawing/2014/chart" uri="{C3380CC4-5D6E-409C-BE32-E72D297353CC}">
              <c16:uniqueId val="{00000001-A337-458F-AA58-DC058BEC71FC}"/>
            </c:ext>
          </c:extLst>
        </c:ser>
        <c:dLbls>
          <c:showLegendKey val="0"/>
          <c:showVal val="0"/>
          <c:showCatName val="0"/>
          <c:showSerName val="0"/>
          <c:showPercent val="0"/>
          <c:showBubbleSize val="0"/>
        </c:dLbls>
        <c:gapWidth val="100"/>
        <c:overlap val="100"/>
        <c:axId val="143106048"/>
        <c:axId val="143107968"/>
      </c:barChart>
      <c:lineChart>
        <c:grouping val="standard"/>
        <c:varyColors val="0"/>
        <c:ser>
          <c:idx val="2"/>
          <c:order val="2"/>
          <c:tx>
            <c:strRef>
              <c:f>'Housing Trajectory'!$B$9</c:f>
              <c:strCache>
                <c:ptCount val="1"/>
                <c:pt idx="0">
                  <c:v>Annual Target</c:v>
                </c:pt>
              </c:strCache>
            </c:strRef>
          </c:tx>
          <c:spPr>
            <a:ln>
              <a:solidFill>
                <a:schemeClr val="accent6">
                  <a:lumMod val="50000"/>
                </a:schemeClr>
              </a:solidFill>
            </a:ln>
          </c:spPr>
          <c:marker>
            <c:symbol val="none"/>
          </c:marker>
          <c:val>
            <c:numRef>
              <c:f>'Housing Trajectory'!$C$9:$X$9</c:f>
              <c:numCache>
                <c:formatCode>#,##0</c:formatCode>
                <c:ptCount val="22"/>
                <c:pt idx="0">
                  <c:v>1812</c:v>
                </c:pt>
                <c:pt idx="1">
                  <c:v>1812</c:v>
                </c:pt>
                <c:pt idx="2">
                  <c:v>1812</c:v>
                </c:pt>
                <c:pt idx="3">
                  <c:v>1812</c:v>
                </c:pt>
                <c:pt idx="4">
                  <c:v>1812</c:v>
                </c:pt>
                <c:pt idx="5">
                  <c:v>1950</c:v>
                </c:pt>
                <c:pt idx="6">
                  <c:v>1950</c:v>
                </c:pt>
                <c:pt idx="7">
                  <c:v>1950</c:v>
                </c:pt>
                <c:pt idx="8">
                  <c:v>1950</c:v>
                </c:pt>
                <c:pt idx="9">
                  <c:v>1950</c:v>
                </c:pt>
                <c:pt idx="10">
                  <c:v>1950</c:v>
                </c:pt>
                <c:pt idx="11">
                  <c:v>1950</c:v>
                </c:pt>
                <c:pt idx="12">
                  <c:v>1950</c:v>
                </c:pt>
                <c:pt idx="13">
                  <c:v>957</c:v>
                </c:pt>
                <c:pt idx="14">
                  <c:v>957</c:v>
                </c:pt>
                <c:pt idx="15">
                  <c:v>957</c:v>
                </c:pt>
                <c:pt idx="16">
                  <c:v>957</c:v>
                </c:pt>
                <c:pt idx="17">
                  <c:v>957</c:v>
                </c:pt>
                <c:pt idx="18">
                  <c:v>957</c:v>
                </c:pt>
                <c:pt idx="19">
                  <c:v>957</c:v>
                </c:pt>
                <c:pt idx="20">
                  <c:v>957</c:v>
                </c:pt>
                <c:pt idx="21">
                  <c:v>957</c:v>
                </c:pt>
              </c:numCache>
            </c:numRef>
          </c:val>
          <c:smooth val="0"/>
          <c:extLst>
            <c:ext xmlns:c16="http://schemas.microsoft.com/office/drawing/2014/chart" uri="{C3380CC4-5D6E-409C-BE32-E72D297353CC}">
              <c16:uniqueId val="{00000002-A337-458F-AA58-DC058BEC71FC}"/>
            </c:ext>
          </c:extLst>
        </c:ser>
        <c:ser>
          <c:idx val="3"/>
          <c:order val="3"/>
          <c:tx>
            <c:strRef>
              <c:f>'Housing Trajectory'!$B$12</c:f>
              <c:strCache>
                <c:ptCount val="1"/>
                <c:pt idx="0">
                  <c:v>Managed Annual Target Taking Account of Past and Projected Completions</c:v>
                </c:pt>
              </c:strCache>
            </c:strRef>
          </c:tx>
          <c:spPr>
            <a:ln>
              <a:solidFill>
                <a:schemeClr val="accent6"/>
              </a:solidFill>
              <a:prstDash val="solid"/>
            </a:ln>
          </c:spPr>
          <c:marker>
            <c:symbol val="none"/>
          </c:marker>
          <c:val>
            <c:numRef>
              <c:f>'Housing Trajectory'!$C$12:$X$12</c:f>
              <c:numCache>
                <c:formatCode>#,##0</c:formatCode>
                <c:ptCount val="22"/>
                <c:pt idx="0">
                  <c:v>1812</c:v>
                </c:pt>
                <c:pt idx="1">
                  <c:v>1712.2222222222222</c:v>
                </c:pt>
                <c:pt idx="2">
                  <c:v>1673.125</c:v>
                </c:pt>
                <c:pt idx="3">
                  <c:v>1644</c:v>
                </c:pt>
                <c:pt idx="4">
                  <c:v>1691.5</c:v>
                </c:pt>
                <c:pt idx="5">
                  <c:v>1950</c:v>
                </c:pt>
                <c:pt idx="6">
                  <c:v>1946.5714285714287</c:v>
                </c:pt>
                <c:pt idx="7">
                  <c:v>1893.6666666666667</c:v>
                </c:pt>
                <c:pt idx="8">
                  <c:v>1709.3333333333335</c:v>
                </c:pt>
                <c:pt idx="9">
                  <c:v>1587.1194444444445</c:v>
                </c:pt>
                <c:pt idx="10">
                  <c:v>1677.1685185185186</c:v>
                </c:pt>
                <c:pt idx="11">
                  <c:v>1610.3055555555557</c:v>
                </c:pt>
                <c:pt idx="12">
                  <c:v>0</c:v>
                </c:pt>
              </c:numCache>
            </c:numRef>
          </c:val>
          <c:smooth val="0"/>
          <c:extLst>
            <c:ext xmlns:c16="http://schemas.microsoft.com/office/drawing/2014/chart" uri="{C3380CC4-5D6E-409C-BE32-E72D297353CC}">
              <c16:uniqueId val="{00000003-A337-458F-AA58-DC058BEC71FC}"/>
            </c:ext>
          </c:extLst>
        </c:ser>
        <c:dLbls>
          <c:showLegendKey val="0"/>
          <c:showVal val="0"/>
          <c:showCatName val="0"/>
          <c:showSerName val="0"/>
          <c:showPercent val="0"/>
          <c:showBubbleSize val="0"/>
        </c:dLbls>
        <c:marker val="1"/>
        <c:smooth val="0"/>
        <c:axId val="143106048"/>
        <c:axId val="143107968"/>
      </c:lineChart>
      <c:catAx>
        <c:axId val="143106048"/>
        <c:scaling>
          <c:orientation val="minMax"/>
        </c:scaling>
        <c:delete val="0"/>
        <c:axPos val="b"/>
        <c:title>
          <c:tx>
            <c:rich>
              <a:bodyPr/>
              <a:lstStyle/>
              <a:p>
                <a:pPr>
                  <a:defRPr/>
                </a:pPr>
                <a:r>
                  <a:rPr lang="en-GB"/>
                  <a:t>Year</a:t>
                </a:r>
              </a:p>
            </c:rich>
          </c:tx>
          <c:overlay val="0"/>
        </c:title>
        <c:numFmt formatCode="General" sourceLinked="0"/>
        <c:majorTickMark val="out"/>
        <c:minorTickMark val="none"/>
        <c:tickLblPos val="nextTo"/>
        <c:crossAx val="143107968"/>
        <c:crosses val="autoZero"/>
        <c:auto val="1"/>
        <c:lblAlgn val="ctr"/>
        <c:lblOffset val="100"/>
        <c:noMultiLvlLbl val="0"/>
      </c:catAx>
      <c:valAx>
        <c:axId val="143107968"/>
        <c:scaling>
          <c:orientation val="minMax"/>
        </c:scaling>
        <c:delete val="0"/>
        <c:axPos val="l"/>
        <c:majorGridlines>
          <c:spPr>
            <a:ln>
              <a:noFill/>
            </a:ln>
          </c:spPr>
        </c:majorGridlines>
        <c:title>
          <c:tx>
            <c:rich>
              <a:bodyPr rot="-5400000" vert="horz"/>
              <a:lstStyle/>
              <a:p>
                <a:pPr>
                  <a:defRPr/>
                </a:pPr>
                <a:r>
                  <a:rPr lang="en-US"/>
                  <a:t>Net Completions</a:t>
                </a:r>
              </a:p>
            </c:rich>
          </c:tx>
          <c:overlay val="0"/>
        </c:title>
        <c:numFmt formatCode="#,##0" sourceLinked="1"/>
        <c:majorTickMark val="out"/>
        <c:minorTickMark val="none"/>
        <c:tickLblPos val="nextTo"/>
        <c:crossAx val="143106048"/>
        <c:crosses val="autoZero"/>
        <c:crossBetween val="between"/>
      </c:valAx>
    </c:plotArea>
    <c:legend>
      <c:legendPos val="b"/>
      <c:overlay val="0"/>
    </c:legend>
    <c:plotVisOnly val="1"/>
    <c:dispBlanksAs val="gap"/>
    <c:showDLblsOverMax val="0"/>
  </c:chart>
  <c:spPr>
    <a:ln w="6350">
      <a:solidFill>
        <a:schemeClr val="bg1">
          <a:lumMod val="50000"/>
        </a:schemeClr>
      </a:solidFill>
    </a:ln>
  </c:spPr>
  <c:txPr>
    <a:bodyPr/>
    <a:lstStyle/>
    <a:p>
      <a:pPr>
        <a:defRPr sz="900"/>
      </a:pPr>
      <a:endParaRPr lang="en-US"/>
    </a:p>
  </c:txPr>
  <c:printSettings>
    <c:headerFooter/>
    <c:pageMargins b="0.75" l="0.7" r="0.7" t="0.75" header="0.3" footer="0.3"/>
    <c:pageSetup orientation="portrait"/>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Housing Delivery above or below</a:t>
            </a:r>
            <a:r>
              <a:rPr lang="en-US" baseline="0"/>
              <a:t> the Target over Time</a:t>
            </a:r>
            <a:endParaRPr lang="en-US"/>
          </a:p>
        </c:rich>
      </c:tx>
      <c:overlay val="0"/>
    </c:title>
    <c:autoTitleDeleted val="0"/>
    <c:plotArea>
      <c:layout/>
      <c:lineChart>
        <c:grouping val="standard"/>
        <c:varyColors val="0"/>
        <c:ser>
          <c:idx val="0"/>
          <c:order val="0"/>
          <c:tx>
            <c:strRef>
              <c:f>'Housing Trajectory'!$B$11</c:f>
              <c:strCache>
                <c:ptCount val="1"/>
                <c:pt idx="0">
                  <c:v>Cumulative Completions above Cumulative Target</c:v>
                </c:pt>
              </c:strCache>
            </c:strRef>
          </c:tx>
          <c:spPr>
            <a:ln>
              <a:solidFill>
                <a:schemeClr val="accent6">
                  <a:lumMod val="50000"/>
                </a:schemeClr>
              </a:solidFill>
            </a:ln>
          </c:spPr>
          <c:marker>
            <c:symbol val="none"/>
          </c:marker>
          <c:cat>
            <c:strRef>
              <c:f>'Housing Trajectory'!$C$4:$U$4</c:f>
              <c:strCache>
                <c:ptCount val="19"/>
                <c:pt idx="0">
                  <c:v>2016/17</c:v>
                </c:pt>
                <c:pt idx="1">
                  <c:v>2017/18</c:v>
                </c:pt>
                <c:pt idx="2">
                  <c:v>2018/19</c:v>
                </c:pt>
                <c:pt idx="3">
                  <c:v>2019/20</c:v>
                </c:pt>
                <c:pt idx="4">
                  <c:v>2020/21</c:v>
                </c:pt>
                <c:pt idx="5">
                  <c:v>2021/22</c:v>
                </c:pt>
                <c:pt idx="6">
                  <c:v>2022/23</c:v>
                </c:pt>
                <c:pt idx="7">
                  <c:v>2023/24</c:v>
                </c:pt>
                <c:pt idx="8">
                  <c:v>2024/25</c:v>
                </c:pt>
                <c:pt idx="9">
                  <c:v>2025/26</c:v>
                </c:pt>
                <c:pt idx="10">
                  <c:v>2026/27</c:v>
                </c:pt>
                <c:pt idx="11">
                  <c:v>2027/28</c:v>
                </c:pt>
                <c:pt idx="12">
                  <c:v>2028/29</c:v>
                </c:pt>
                <c:pt idx="13">
                  <c:v>2029/30</c:v>
                </c:pt>
                <c:pt idx="14">
                  <c:v>2030/31</c:v>
                </c:pt>
                <c:pt idx="15">
                  <c:v>2031/32</c:v>
                </c:pt>
                <c:pt idx="16">
                  <c:v>2032/33</c:v>
                </c:pt>
                <c:pt idx="17">
                  <c:v>2033/34</c:v>
                </c:pt>
                <c:pt idx="18">
                  <c:v>2034/35</c:v>
                </c:pt>
              </c:strCache>
            </c:strRef>
          </c:cat>
          <c:val>
            <c:numRef>
              <c:f>'Housing Trajectory'!$C$11:$X$11</c:f>
              <c:numCache>
                <c:formatCode>#,##0</c:formatCode>
                <c:ptCount val="22"/>
                <c:pt idx="0">
                  <c:v>898</c:v>
                </c:pt>
                <c:pt idx="1">
                  <c:v>1111</c:v>
                </c:pt>
                <c:pt idx="2">
                  <c:v>1176</c:v>
                </c:pt>
                <c:pt idx="3">
                  <c:v>723</c:v>
                </c:pt>
                <c:pt idx="4">
                  <c:v>381</c:v>
                </c:pt>
                <c:pt idx="5">
                  <c:v>24</c:v>
                </c:pt>
                <c:pt idx="6">
                  <c:v>338</c:v>
                </c:pt>
                <c:pt idx="7">
                  <c:v>1203.333333333333</c:v>
                </c:pt>
                <c:pt idx="8">
                  <c:v>1451.5222222222219</c:v>
                </c:pt>
                <c:pt idx="9">
                  <c:v>818.49444444444453</c:v>
                </c:pt>
                <c:pt idx="10">
                  <c:v>679.38888888888869</c:v>
                </c:pt>
                <c:pt idx="11">
                  <c:v>2397.7415032679746</c:v>
                </c:pt>
                <c:pt idx="12">
                  <c:v>4064.8584033613442</c:v>
                </c:pt>
                <c:pt idx="13">
                  <c:v>6462.5808590102715</c:v>
                </c:pt>
                <c:pt idx="14">
                  <c:v>6420.4422035480857</c:v>
                </c:pt>
                <c:pt idx="15">
                  <c:v>6814.5535480858998</c:v>
                </c:pt>
                <c:pt idx="16">
                  <c:v>7055.1148926237147</c:v>
                </c:pt>
                <c:pt idx="17">
                  <c:v>6942.1762371615296</c:v>
                </c:pt>
                <c:pt idx="18">
                  <c:v>6732.9875816993444</c:v>
                </c:pt>
                <c:pt idx="19">
                  <c:v>6523.7989262371593</c:v>
                </c:pt>
                <c:pt idx="20">
                  <c:v>6177.4102707749735</c:v>
                </c:pt>
                <c:pt idx="21">
                  <c:v>5845.2644724556449</c:v>
                </c:pt>
              </c:numCache>
            </c:numRef>
          </c:val>
          <c:smooth val="0"/>
          <c:extLst>
            <c:ext xmlns:c16="http://schemas.microsoft.com/office/drawing/2014/chart" uri="{C3380CC4-5D6E-409C-BE32-E72D297353CC}">
              <c16:uniqueId val="{00000000-2C77-49E0-8C01-4F3899661AED}"/>
            </c:ext>
          </c:extLst>
        </c:ser>
        <c:dLbls>
          <c:showLegendKey val="0"/>
          <c:showVal val="0"/>
          <c:showCatName val="0"/>
          <c:showSerName val="0"/>
          <c:showPercent val="0"/>
          <c:showBubbleSize val="0"/>
        </c:dLbls>
        <c:smooth val="0"/>
        <c:axId val="143144064"/>
        <c:axId val="143145984"/>
      </c:lineChart>
      <c:catAx>
        <c:axId val="143144064"/>
        <c:scaling>
          <c:orientation val="minMax"/>
        </c:scaling>
        <c:delete val="0"/>
        <c:axPos val="b"/>
        <c:title>
          <c:tx>
            <c:rich>
              <a:bodyPr/>
              <a:lstStyle/>
              <a:p>
                <a:pPr>
                  <a:defRPr/>
                </a:pPr>
                <a:r>
                  <a:rPr lang="en-GB"/>
                  <a:t>Year</a:t>
                </a:r>
              </a:p>
            </c:rich>
          </c:tx>
          <c:overlay val="0"/>
        </c:title>
        <c:numFmt formatCode="General" sourceLinked="0"/>
        <c:majorTickMark val="out"/>
        <c:minorTickMark val="none"/>
        <c:tickLblPos val="nextTo"/>
        <c:crossAx val="143145984"/>
        <c:crosses val="autoZero"/>
        <c:auto val="1"/>
        <c:lblAlgn val="ctr"/>
        <c:lblOffset val="100"/>
        <c:noMultiLvlLbl val="0"/>
      </c:catAx>
      <c:valAx>
        <c:axId val="143145984"/>
        <c:scaling>
          <c:orientation val="minMax"/>
        </c:scaling>
        <c:delete val="0"/>
        <c:axPos val="l"/>
        <c:majorGridlines>
          <c:spPr>
            <a:ln>
              <a:noFill/>
            </a:ln>
          </c:spPr>
        </c:majorGridlines>
        <c:title>
          <c:tx>
            <c:rich>
              <a:bodyPr rot="-5400000" vert="horz"/>
              <a:lstStyle/>
              <a:p>
                <a:pPr>
                  <a:defRPr/>
                </a:pPr>
                <a:r>
                  <a:rPr lang="en-GB"/>
                  <a:t>Net Completions</a:t>
                </a:r>
              </a:p>
            </c:rich>
          </c:tx>
          <c:overlay val="0"/>
        </c:title>
        <c:numFmt formatCode="#,##0" sourceLinked="1"/>
        <c:majorTickMark val="out"/>
        <c:minorTickMark val="none"/>
        <c:tickLblPos val="nextTo"/>
        <c:crossAx val="143144064"/>
        <c:crosses val="autoZero"/>
        <c:crossBetween val="between"/>
      </c:valAx>
    </c:plotArea>
    <c:legend>
      <c:legendPos val="b"/>
      <c:overlay val="0"/>
    </c:legend>
    <c:plotVisOnly val="1"/>
    <c:dispBlanksAs val="gap"/>
    <c:showDLblsOverMax val="0"/>
  </c:chart>
  <c:spPr>
    <a:ln w="6350">
      <a:solidFill>
        <a:schemeClr val="bg1">
          <a:lumMod val="50000"/>
        </a:schemeClr>
      </a:solidFill>
    </a:ln>
  </c:spPr>
  <c:txPr>
    <a:bodyPr/>
    <a:lstStyle/>
    <a:p>
      <a:pPr>
        <a:defRPr sz="900"/>
      </a:pPr>
      <a:endParaRPr lang="en-US"/>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5" Type="http://schemas.openxmlformats.org/officeDocument/2006/relationships/chart" Target="../charts/chart1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s>
</file>

<file path=xl/drawings/_rels/drawing2.xml.rels><?xml version="1.0" encoding="UTF-8" standalone="yes"?>
<Relationships xmlns="http://schemas.openxmlformats.org/package/2006/relationships"><Relationship Id="rId2" Type="http://schemas.openxmlformats.org/officeDocument/2006/relationships/chart" Target="../charts/chart17.xml"/><Relationship Id="rId1" Type="http://schemas.openxmlformats.org/officeDocument/2006/relationships/chart" Target="../charts/chart16.xml"/></Relationships>
</file>

<file path=xl/drawings/drawing1.xml><?xml version="1.0" encoding="utf-8"?>
<xdr:wsDr xmlns:xdr="http://schemas.openxmlformats.org/drawingml/2006/spreadsheetDrawing" xmlns:a="http://schemas.openxmlformats.org/drawingml/2006/main">
  <xdr:twoCellAnchor>
    <xdr:from>
      <xdr:col>9</xdr:col>
      <xdr:colOff>381001</xdr:colOff>
      <xdr:row>31</xdr:row>
      <xdr:rowOff>19050</xdr:rowOff>
    </xdr:from>
    <xdr:to>
      <xdr:col>16</xdr:col>
      <xdr:colOff>457201</xdr:colOff>
      <xdr:row>44</xdr:row>
      <xdr:rowOff>104775</xdr:rowOff>
    </xdr:to>
    <xdr:graphicFrame macro="">
      <xdr:nvGraphicFramePr>
        <xdr:cNvPr id="62356" name="Chart 1">
          <a:extLst>
            <a:ext uri="{FF2B5EF4-FFF2-40B4-BE49-F238E27FC236}">
              <a16:creationId xmlns:a16="http://schemas.microsoft.com/office/drawing/2014/main" id="{00000000-0008-0000-0000-000094F3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xdr:col>
      <xdr:colOff>26670</xdr:colOff>
      <xdr:row>87</xdr:row>
      <xdr:rowOff>65754</xdr:rowOff>
    </xdr:from>
    <xdr:to>
      <xdr:col>23</xdr:col>
      <xdr:colOff>533020</xdr:colOff>
      <xdr:row>105</xdr:row>
      <xdr:rowOff>95250</xdr:rowOff>
    </xdr:to>
    <xdr:graphicFrame macro="">
      <xdr:nvGraphicFramePr>
        <xdr:cNvPr id="62358" name="Chart 20">
          <a:extLst>
            <a:ext uri="{FF2B5EF4-FFF2-40B4-BE49-F238E27FC236}">
              <a16:creationId xmlns:a16="http://schemas.microsoft.com/office/drawing/2014/main" id="{00000000-0008-0000-0000-000096F30000}"/>
            </a:ext>
            <a:ext uri="{147F2762-F138-4A5C-976F-8EAC2B608ADB}">
              <a16:predDERef xmlns:a16="http://schemas.microsoft.com/office/drawing/2014/main" pred="{00000000-0008-0000-0000-000094F3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28575</xdr:colOff>
      <xdr:row>221</xdr:row>
      <xdr:rowOff>0</xdr:rowOff>
    </xdr:from>
    <xdr:to>
      <xdr:col>17</xdr:col>
      <xdr:colOff>0</xdr:colOff>
      <xdr:row>242</xdr:row>
      <xdr:rowOff>0</xdr:rowOff>
    </xdr:to>
    <xdr:graphicFrame macro="">
      <xdr:nvGraphicFramePr>
        <xdr:cNvPr id="62359" name="Chart 23">
          <a:extLst>
            <a:ext uri="{FF2B5EF4-FFF2-40B4-BE49-F238E27FC236}">
              <a16:creationId xmlns:a16="http://schemas.microsoft.com/office/drawing/2014/main" id="{00000000-0008-0000-0000-000097F30000}"/>
            </a:ext>
            <a:ext uri="{147F2762-F138-4A5C-976F-8EAC2B608ADB}">
              <a16:predDERef xmlns:a16="http://schemas.microsoft.com/office/drawing/2014/main" pred="{00000000-0008-0000-0000-000096F3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219075</xdr:colOff>
      <xdr:row>196</xdr:row>
      <xdr:rowOff>0</xdr:rowOff>
    </xdr:from>
    <xdr:to>
      <xdr:col>16</xdr:col>
      <xdr:colOff>466725</xdr:colOff>
      <xdr:row>217</xdr:row>
      <xdr:rowOff>47625</xdr:rowOff>
    </xdr:to>
    <xdr:graphicFrame macro="">
      <xdr:nvGraphicFramePr>
        <xdr:cNvPr id="62360" name="Chart 26">
          <a:extLst>
            <a:ext uri="{FF2B5EF4-FFF2-40B4-BE49-F238E27FC236}">
              <a16:creationId xmlns:a16="http://schemas.microsoft.com/office/drawing/2014/main" id="{00000000-0008-0000-0000-000098F30000}"/>
            </a:ext>
            <a:ext uri="{147F2762-F138-4A5C-976F-8EAC2B608ADB}">
              <a16:predDERef xmlns:a16="http://schemas.microsoft.com/office/drawing/2014/main" pred="{00000000-0008-0000-0000-000097F3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10</xdr:col>
      <xdr:colOff>409575</xdr:colOff>
      <xdr:row>111</xdr:row>
      <xdr:rowOff>9526</xdr:rowOff>
    </xdr:from>
    <xdr:to>
      <xdr:col>16</xdr:col>
      <xdr:colOff>485775</xdr:colOff>
      <xdr:row>132</xdr:row>
      <xdr:rowOff>19050</xdr:rowOff>
    </xdr:to>
    <xdr:graphicFrame macro="">
      <xdr:nvGraphicFramePr>
        <xdr:cNvPr id="62361" name="Chart 34">
          <a:extLst>
            <a:ext uri="{FF2B5EF4-FFF2-40B4-BE49-F238E27FC236}">
              <a16:creationId xmlns:a16="http://schemas.microsoft.com/office/drawing/2014/main" id="{00000000-0008-0000-0000-000099F30000}"/>
            </a:ext>
            <a:ext uri="{147F2762-F138-4A5C-976F-8EAC2B608ADB}">
              <a16:predDERef xmlns:a16="http://schemas.microsoft.com/office/drawing/2014/main" pred="{00000000-0008-0000-0000-000098F3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66674</xdr:colOff>
      <xdr:row>246</xdr:row>
      <xdr:rowOff>9525</xdr:rowOff>
    </xdr:from>
    <xdr:to>
      <xdr:col>16</xdr:col>
      <xdr:colOff>552449</xdr:colOff>
      <xdr:row>267</xdr:row>
      <xdr:rowOff>0</xdr:rowOff>
    </xdr:to>
    <xdr:graphicFrame macro="">
      <xdr:nvGraphicFramePr>
        <xdr:cNvPr id="62362" name="Chart 35">
          <a:extLst>
            <a:ext uri="{FF2B5EF4-FFF2-40B4-BE49-F238E27FC236}">
              <a16:creationId xmlns:a16="http://schemas.microsoft.com/office/drawing/2014/main" id="{00000000-0008-0000-0000-00009AF30000}"/>
            </a:ext>
            <a:ext uri="{147F2762-F138-4A5C-976F-8EAC2B608ADB}">
              <a16:predDERef xmlns:a16="http://schemas.microsoft.com/office/drawing/2014/main" pred="{00000000-0008-0000-0000-000099F3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xdr:col>
      <xdr:colOff>114300</xdr:colOff>
      <xdr:row>73</xdr:row>
      <xdr:rowOff>9524</xdr:rowOff>
    </xdr:from>
    <xdr:to>
      <xdr:col>17</xdr:col>
      <xdr:colOff>0</xdr:colOff>
      <xdr:row>92</xdr:row>
      <xdr:rowOff>0</xdr:rowOff>
    </xdr:to>
    <xdr:graphicFrame macro="">
      <xdr:nvGraphicFramePr>
        <xdr:cNvPr id="2" name="Chart 1">
          <a:extLst>
            <a:ext uri="{FF2B5EF4-FFF2-40B4-BE49-F238E27FC236}">
              <a16:creationId xmlns:a16="http://schemas.microsoft.com/office/drawing/2014/main" id="{00000000-0008-0000-0000-000002000000}"/>
            </a:ext>
            <a:ext uri="{147F2762-F138-4A5C-976F-8EAC2B608ADB}">
              <a16:predDERef xmlns:a16="http://schemas.microsoft.com/office/drawing/2014/main" pred="{00000000-0008-0000-0000-00009AF3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375285</xdr:colOff>
      <xdr:row>374</xdr:row>
      <xdr:rowOff>57149</xdr:rowOff>
    </xdr:from>
    <xdr:to>
      <xdr:col>20</xdr:col>
      <xdr:colOff>264795</xdr:colOff>
      <xdr:row>383</xdr:row>
      <xdr:rowOff>152399</xdr:rowOff>
    </xdr:to>
    <xdr:graphicFrame macro="">
      <xdr:nvGraphicFramePr>
        <xdr:cNvPr id="17" name="Chart 59">
          <a:extLst>
            <a:ext uri="{FF2B5EF4-FFF2-40B4-BE49-F238E27FC236}">
              <a16:creationId xmlns:a16="http://schemas.microsoft.com/office/drawing/2014/main" id="{00000000-0008-0000-0000-000011000000}"/>
            </a:ext>
            <a:ext uri="{147F2762-F138-4A5C-976F-8EAC2B608ADB}">
              <a16:predDERef xmlns:a16="http://schemas.microsoft.com/office/drawing/2014/main" pre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10</xdr:col>
      <xdr:colOff>285751</xdr:colOff>
      <xdr:row>362</xdr:row>
      <xdr:rowOff>9525</xdr:rowOff>
    </xdr:from>
    <xdr:to>
      <xdr:col>15</xdr:col>
      <xdr:colOff>285751</xdr:colOff>
      <xdr:row>381</xdr:row>
      <xdr:rowOff>9525</xdr:rowOff>
    </xdr:to>
    <xdr:graphicFrame macro="">
      <xdr:nvGraphicFramePr>
        <xdr:cNvPr id="62366" name="Chart 59">
          <a:extLst>
            <a:ext uri="{FF2B5EF4-FFF2-40B4-BE49-F238E27FC236}">
              <a16:creationId xmlns:a16="http://schemas.microsoft.com/office/drawing/2014/main" id="{00000000-0008-0000-0000-00009EF30000}"/>
            </a:ext>
            <a:ext uri="{147F2762-F138-4A5C-976F-8EAC2B608ADB}">
              <a16:predDERef xmlns:a16="http://schemas.microsoft.com/office/drawing/2014/main" pred="{00000000-0008-0000-0000-00001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15</xdr:col>
      <xdr:colOff>228600</xdr:colOff>
      <xdr:row>362</xdr:row>
      <xdr:rowOff>9526</xdr:rowOff>
    </xdr:from>
    <xdr:to>
      <xdr:col>20</xdr:col>
      <xdr:colOff>228600</xdr:colOff>
      <xdr:row>381</xdr:row>
      <xdr:rowOff>9525</xdr:rowOff>
    </xdr:to>
    <xdr:graphicFrame macro="">
      <xdr:nvGraphicFramePr>
        <xdr:cNvPr id="62367" name="Chart 60">
          <a:extLst>
            <a:ext uri="{FF2B5EF4-FFF2-40B4-BE49-F238E27FC236}">
              <a16:creationId xmlns:a16="http://schemas.microsoft.com/office/drawing/2014/main" id="{00000000-0008-0000-0000-00009FF30000}"/>
            </a:ext>
            <a:ext uri="{147F2762-F138-4A5C-976F-8EAC2B608ADB}">
              <a16:predDERef xmlns:a16="http://schemas.microsoft.com/office/drawing/2014/main" pred="{00000000-0008-0000-0000-00009EF3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0</xdr:col>
      <xdr:colOff>89534</xdr:colOff>
      <xdr:row>132</xdr:row>
      <xdr:rowOff>38100</xdr:rowOff>
    </xdr:from>
    <xdr:to>
      <xdr:col>17</xdr:col>
      <xdr:colOff>95250</xdr:colOff>
      <xdr:row>148</xdr:row>
      <xdr:rowOff>152400</xdr:rowOff>
    </xdr:to>
    <xdr:graphicFrame macro="">
      <xdr:nvGraphicFramePr>
        <xdr:cNvPr id="4" name="Chart 3">
          <a:extLst>
            <a:ext uri="{FF2B5EF4-FFF2-40B4-BE49-F238E27FC236}">
              <a16:creationId xmlns:a16="http://schemas.microsoft.com/office/drawing/2014/main" id="{00000000-0008-0000-0000-000004000000}"/>
            </a:ext>
            <a:ext uri="{147F2762-F138-4A5C-976F-8EAC2B608ADB}">
              <a16:predDERef xmlns:a16="http://schemas.microsoft.com/office/drawing/2014/main" pred="{00000000-0008-0000-0000-00009FF3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8</xdr:col>
      <xdr:colOff>64770</xdr:colOff>
      <xdr:row>302</xdr:row>
      <xdr:rowOff>163829</xdr:rowOff>
    </xdr:from>
    <xdr:to>
      <xdr:col>16</xdr:col>
      <xdr:colOff>556259</xdr:colOff>
      <xdr:row>328</xdr:row>
      <xdr:rowOff>11429</xdr:rowOff>
    </xdr:to>
    <xdr:graphicFrame macro="">
      <xdr:nvGraphicFramePr>
        <xdr:cNvPr id="5" name="Chart 4">
          <a:extLst>
            <a:ext uri="{FF2B5EF4-FFF2-40B4-BE49-F238E27FC236}">
              <a16:creationId xmlns:a16="http://schemas.microsoft.com/office/drawing/2014/main" id="{00000000-0008-0000-0000-000005000000}"/>
            </a:ext>
            <a:ext uri="{147F2762-F138-4A5C-976F-8EAC2B608ADB}">
              <a16:predDERef xmlns:a16="http://schemas.microsoft.com/office/drawing/2014/main" pred="{00000000-0008-0000-00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10</xdr:col>
      <xdr:colOff>0</xdr:colOff>
      <xdr:row>338</xdr:row>
      <xdr:rowOff>1</xdr:rowOff>
    </xdr:from>
    <xdr:to>
      <xdr:col>17</xdr:col>
      <xdr:colOff>0</xdr:colOff>
      <xdr:row>350</xdr:row>
      <xdr:rowOff>1</xdr:rowOff>
    </xdr:to>
    <xdr:graphicFrame macro="">
      <xdr:nvGraphicFramePr>
        <xdr:cNvPr id="7" name="Chart 6">
          <a:extLst>
            <a:ext uri="{FF2B5EF4-FFF2-40B4-BE49-F238E27FC236}">
              <a16:creationId xmlns:a16="http://schemas.microsoft.com/office/drawing/2014/main" id="{00000000-0008-0000-0000-000007000000}"/>
            </a:ext>
            <a:ext uri="{147F2762-F138-4A5C-976F-8EAC2B608ADB}">
              <a16:predDERef xmlns:a16="http://schemas.microsoft.com/office/drawing/2014/main" pred="{00000000-0008-0000-00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10</xdr:col>
      <xdr:colOff>0</xdr:colOff>
      <xdr:row>350</xdr:row>
      <xdr:rowOff>1</xdr:rowOff>
    </xdr:from>
    <xdr:to>
      <xdr:col>17</xdr:col>
      <xdr:colOff>0</xdr:colOff>
      <xdr:row>362</xdr:row>
      <xdr:rowOff>0</xdr:rowOff>
    </xdr:to>
    <xdr:graphicFrame macro="">
      <xdr:nvGraphicFramePr>
        <xdr:cNvPr id="22" name="Chart 21">
          <a:extLst>
            <a:ext uri="{FF2B5EF4-FFF2-40B4-BE49-F238E27FC236}">
              <a16:creationId xmlns:a16="http://schemas.microsoft.com/office/drawing/2014/main" id="{00000000-0008-0000-0000-000016000000}"/>
            </a:ext>
            <a:ext uri="{147F2762-F138-4A5C-976F-8EAC2B608ADB}">
              <a16:predDERef xmlns:a16="http://schemas.microsoft.com/office/drawing/2014/main" pre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17</xdr:col>
      <xdr:colOff>166427</xdr:colOff>
      <xdr:row>302</xdr:row>
      <xdr:rowOff>140450</xdr:rowOff>
    </xdr:from>
    <xdr:to>
      <xdr:col>26</xdr:col>
      <xdr:colOff>18182</xdr:colOff>
      <xdr:row>327</xdr:row>
      <xdr:rowOff>151707</xdr:rowOff>
    </xdr:to>
    <xdr:graphicFrame macro="">
      <xdr:nvGraphicFramePr>
        <xdr:cNvPr id="3" name="Chart 2">
          <a:extLst>
            <a:ext uri="{FF2B5EF4-FFF2-40B4-BE49-F238E27FC236}">
              <a16:creationId xmlns:a16="http://schemas.microsoft.com/office/drawing/2014/main" id="{661D1A5C-3640-4573-A3F4-26CF38406CBD}"/>
            </a:ext>
            <a:ext uri="{147F2762-F138-4A5C-976F-8EAC2B608ADB}">
              <a16:predDERef xmlns:a16="http://schemas.microsoft.com/office/drawing/2014/main" pred="{00000000-0008-0000-0000-00001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14</xdr:row>
      <xdr:rowOff>0</xdr:rowOff>
    </xdr:from>
    <xdr:to>
      <xdr:col>24</xdr:col>
      <xdr:colOff>0</xdr:colOff>
      <xdr:row>48</xdr:row>
      <xdr:rowOff>0</xdr:rowOff>
    </xdr:to>
    <xdr:graphicFrame macro="">
      <xdr:nvGraphicFramePr>
        <xdr:cNvPr id="6" name="Chart 5">
          <a:extLst>
            <a:ext uri="{FF2B5EF4-FFF2-40B4-BE49-F238E27FC236}">
              <a16:creationId xmlns:a16="http://schemas.microsoft.com/office/drawing/2014/main" id="{00000000-0008-0000-01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50</xdr:row>
      <xdr:rowOff>0</xdr:rowOff>
    </xdr:from>
    <xdr:to>
      <xdr:col>24</xdr:col>
      <xdr:colOff>0</xdr:colOff>
      <xdr:row>70</xdr:row>
      <xdr:rowOff>0</xdr:rowOff>
    </xdr:to>
    <xdr:graphicFrame macro="">
      <xdr:nvGraphicFramePr>
        <xdr:cNvPr id="7" name="Chart 6">
          <a:extLst>
            <a:ext uri="{FF2B5EF4-FFF2-40B4-BE49-F238E27FC236}">
              <a16:creationId xmlns:a16="http://schemas.microsoft.com/office/drawing/2014/main" id="{00000000-0008-0000-0100-000007000000}"/>
            </a:ext>
            <a:ext uri="{147F2762-F138-4A5C-976F-8EAC2B608ADB}">
              <a16:predDERef xmlns:a16="http://schemas.microsoft.com/office/drawing/2014/main" pred="{00000000-0008-0000-01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pivotCache/_rels/pivotCacheDefinition1.xml.rels><?xml version="1.0" encoding="UTF-8" standalone="yes"?>
<Relationships xmlns="http://schemas.openxmlformats.org/package/2006/relationships"><Relationship Id="rId2" Type="http://schemas.openxmlformats.org/officeDocument/2006/relationships/externalLinkPath" Target="file:///C:\sites\PlanningPolicyandDesign\_vti_history\8192\Information\Wandsworth\AMR\AMRs%202023_24\AMR%20Workings\housing_trajectory_and_summary_tables_2023_24_V2.xlsx" TargetMode="External"/><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2" Type="http://schemas.openxmlformats.org/officeDocument/2006/relationships/externalLinkPath" Target="file:///C:\sites\PlanningPolicyandDesign\_vti_history\8192\Information\Wandsworth\AMR\AMRs%202023_24\AMR%20Workings\housing_trajectory_and_summary_tables_2023_24_V2.xlsx" TargetMode="External"/><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sites\PlanningPolicyandDesign\_vti_history\8192\Information\Wandsworth\AMR\AMRs%202023_24\AMR%20Workings\housing_trajectory_and_summary_tables_2023_24_V2.xlsx" TargetMode="External"/><Relationship Id="rId1" Type="http://schemas.openxmlformats.org/officeDocument/2006/relationships/pivotCacheRecords" Target="pivotCacheRecords3.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uthor" refreshedDate="45609.561799768519" createdVersion="8" refreshedVersion="8" minRefreshableVersion="3" recordCount="32" xr:uid="{D5BE01A4-2DDA-4D52-A1A1-25F579FF2160}">
  <cacheSource type="worksheet">
    <worksheetSource ref="A1:BN33" sheet="Non-Self-Contained Supply" r:id="rId2"/>
  </cacheSource>
  <cacheFields count="66">
    <cacheField name="Site" numFmtId="0">
      <sharedItems containsString="0" containsBlank="1" containsNumber="1" containsInteger="1" minValue="2411" maxValue="7795"/>
    </cacheField>
    <cacheField name="Status" numFmtId="0">
      <sharedItems containsBlank="1" count="6">
        <s v="02 Under Construction"/>
        <s v="04 Subject to Legal Agreement"/>
        <s v="03 Planning"/>
        <s v="01 Completion"/>
        <m/>
        <s v="03 Planning " u="1"/>
      </sharedItems>
    </cacheField>
    <cacheField name="Application" numFmtId="0">
      <sharedItems containsBlank="1"/>
    </cacheField>
    <cacheField name="Address" numFmtId="0">
      <sharedItems containsBlank="1"/>
    </cacheField>
    <cacheField name="Easting" numFmtId="0">
      <sharedItems containsString="0" containsBlank="1" containsNumber="1" containsInteger="1" minValue="522152" maxValue="529422"/>
    </cacheField>
    <cacheField name="Northing" numFmtId="0">
      <sharedItems containsString="0" containsBlank="1" containsNumber="1" containsInteger="1" minValue="171030" maxValue="177496"/>
    </cacheField>
    <cacheField name="Ward" numFmtId="0">
      <sharedItems containsBlank="1"/>
    </cacheField>
    <cacheField name="Site Construction Date" numFmtId="14">
      <sharedItems containsNonDate="0" containsDate="1" containsString="0" containsBlank="1" minDate="2015-08-28T00:00:00" maxDate="2024-04-01T00:00:00"/>
    </cacheField>
    <cacheField name="Site Completion Date" numFmtId="14">
      <sharedItems containsNonDate="0" containsDate="1" containsString="0" containsBlank="1" minDate="2023-04-01T00:00:00" maxDate="2024-04-01T00:00:00"/>
    </cacheField>
    <cacheField name="Existing Hostel Rooms" numFmtId="1">
      <sharedItems containsString="0" containsBlank="1" containsNumber="1" containsInteger="1" minValue="0" maxValue="0"/>
    </cacheField>
    <cacheField name="Proposed Hostel Rooms" numFmtId="1">
      <sharedItems containsString="0" containsBlank="1" containsNumber="1" containsInteger="1" minValue="0" maxValue="239"/>
    </cacheField>
    <cacheField name="Net Hostel Rooms" numFmtId="1">
      <sharedItems containsString="0" containsBlank="1" containsNumber="1" containsInteger="1" minValue="0" maxValue="239"/>
    </cacheField>
    <cacheField name="Net Hostel Rooms ratio applied" numFmtId="1">
      <sharedItems containsString="0" containsBlank="1" containsNumber="1" minValue="0" maxValue="132.77777777777777"/>
    </cacheField>
    <cacheField name="Existing Home Rooms" numFmtId="1">
      <sharedItems containsString="0" containsBlank="1" containsNumber="1" containsInteger="1" minValue="0" maxValue="46"/>
    </cacheField>
    <cacheField name="Proposed Home Rooms" numFmtId="1">
      <sharedItems containsString="0" containsBlank="1" containsNumber="1" containsInteger="1" minValue="0" maxValue="96"/>
    </cacheField>
    <cacheField name="Net Home Rooms" numFmtId="1">
      <sharedItems containsString="0" containsBlank="1" containsNumber="1" containsInteger="1" minValue="-46" maxValue="96"/>
    </cacheField>
    <cacheField name="Net Home Rooms ratio applied" numFmtId="1">
      <sharedItems containsString="0" containsBlank="1" containsNumber="1" minValue="-25.555555555555554" maxValue="53.333333333333329"/>
    </cacheField>
    <cacheField name="Existing Staff Rooms" numFmtId="1">
      <sharedItems containsString="0" containsBlank="1" containsNumber="1" containsInteger="1" minValue="0" maxValue="0"/>
    </cacheField>
    <cacheField name="Proposed Staff Rooms" numFmtId="1">
      <sharedItems containsString="0" containsBlank="1" containsNumber="1" containsInteger="1" minValue="0" maxValue="0"/>
    </cacheField>
    <cacheField name="Net Staff Rooms" numFmtId="1">
      <sharedItems containsString="0" containsBlank="1" containsNumber="1" containsInteger="1" minValue="0" maxValue="0"/>
    </cacheField>
    <cacheField name="Net Staff Rooms ratio applied" numFmtId="1">
      <sharedItems containsString="0" containsBlank="1" containsNumber="1" containsInteger="1" minValue="0" maxValue="0"/>
    </cacheField>
    <cacheField name="Existing Student Rooms" numFmtId="1">
      <sharedItems containsString="0" containsBlank="1" containsNumber="1" containsInteger="1" minValue="0" maxValue="0"/>
    </cacheField>
    <cacheField name="Proposed Student Rooms" numFmtId="1">
      <sharedItems containsString="0" containsBlank="1" containsNumber="1" containsInteger="1" minValue="0" maxValue="852"/>
    </cacheField>
    <cacheField name="Net Student Rooms" numFmtId="1">
      <sharedItems containsString="0" containsBlank="1" containsNumber="1" containsInteger="1" minValue="0" maxValue="852"/>
    </cacheField>
    <cacheField name="Net Student Rooms ratio applied" numFmtId="1">
      <sharedItems containsString="0" containsBlank="1" containsNumber="1" minValue="0" maxValue="340.8"/>
    </cacheField>
    <cacheField name="Existing House in Multiple Occupation Rooms" numFmtId="1">
      <sharedItems containsString="0" containsBlank="1" containsNumber="1" containsInteger="1" minValue="0" maxValue="9"/>
    </cacheField>
    <cacheField name="Proposed House in Multiple Occupation Rooms" numFmtId="1">
      <sharedItems containsString="0" containsBlank="1" containsNumber="1" containsInteger="1" minValue="0" maxValue="18"/>
    </cacheField>
    <cacheField name="Net House in Multiple Occupation Rooms" numFmtId="1">
      <sharedItems containsString="0" containsBlank="1" containsNumber="1" containsInteger="1" minValue="-9" maxValue="18"/>
    </cacheField>
    <cacheField name="Net House in Multiple Occupation Rooms ratio applied" numFmtId="1">
      <sharedItems containsString="0" containsBlank="1" containsNumber="1" minValue="-5" maxValue="10"/>
    </cacheField>
    <cacheField name="Net Non-Self-Contained Rooms ratio applied" numFmtId="1">
      <sharedItems containsString="0" containsBlank="1" containsNumber="1" minValue="-25.555555555555554" maxValue="340.8"/>
    </cacheField>
    <cacheField name="Proposal" numFmtId="0">
      <sharedItems containsBlank="1" longText="1"/>
    </cacheField>
    <cacheField name="Application Status" numFmtId="0">
      <sharedItems containsBlank="1"/>
    </cacheField>
    <cacheField name="Application Received Date" numFmtId="14">
      <sharedItems containsNonDate="0" containsDate="1" containsString="0" containsBlank="1" minDate="2010-09-10T00:00:00" maxDate="2023-09-28T00:00:00"/>
    </cacheField>
    <cacheField name="Application Decision Date" numFmtId="14">
      <sharedItems containsNonDate="0" containsDate="1" containsString="0" containsBlank="1" minDate="2011-02-13T00:00:00" maxDate="2023-11-28T00:00:00"/>
    </cacheField>
    <cacheField name="Appeal Status" numFmtId="0">
      <sharedItems containsBlank="1"/>
    </cacheField>
    <cacheField name="Appeal Decision Date" numFmtId="0">
      <sharedItems containsString="0" containsBlank="1" containsNumber="1" containsInteger="1" minValue="41082" maxValue="44456"/>
    </cacheField>
    <cacheField name="Non-Self-Contained Rooms Construction Date" numFmtId="14">
      <sharedItems containsNonDate="0" containsDate="1" containsString="0" containsBlank="1" minDate="2016-05-16T00:00:00" maxDate="2024-04-01T00:00:00"/>
    </cacheField>
    <cacheField name="Non-Self-Contained Rooms Completion Date" numFmtId="14">
      <sharedItems containsNonDate="0" containsDate="1" containsString="0" containsBlank="1" minDate="2023-04-01T00:00:00" maxDate="2024-04-01T00:00:00"/>
    </cacheField>
    <cacheField name="Tenure" numFmtId="0">
      <sharedItems containsBlank="1"/>
    </cacheField>
    <cacheField name="Tenure Code" numFmtId="0">
      <sharedItems containsBlank="1"/>
    </cacheField>
    <cacheField name="Site Specific Allocations Document Reference" numFmtId="0">
      <sharedItems containsBlank="1"/>
    </cacheField>
    <cacheField name="London SHLAA 2017 Reference" numFmtId="0">
      <sharedItems containsNonDate="0" containsString="0" containsBlank="1"/>
    </cacheField>
    <cacheField name="Special Needs" numFmtId="0">
      <sharedItems containsBlank="1"/>
    </cacheField>
    <cacheField name="Special Needs Type" numFmtId="0">
      <sharedItems containsBlank="1"/>
    </cacheField>
    <cacheField name="Phasing Assumption" numFmtId="1">
      <sharedItems containsString="0" containsBlank="1" containsNumber="1" containsInteger="1" minValue="1" maxValue="9"/>
    </cacheField>
    <cacheField name="2023/24" numFmtId="1">
      <sharedItems containsString="0" containsBlank="1" containsNumber="1" minValue="0" maxValue="132.77777777777777"/>
    </cacheField>
    <cacheField name="2024/25" numFmtId="1">
      <sharedItems containsString="0" containsBlank="1" containsNumber="1" minValue="-20.555555555555554" maxValue="340.8"/>
    </cacheField>
    <cacheField name="2025/26" numFmtId="1">
      <sharedItems containsString="0" containsBlank="1" containsNumber="1" minValue="-6.3888888888888884" maxValue="29.583333333333332"/>
    </cacheField>
    <cacheField name="2026/27" numFmtId="1">
      <sharedItems containsString="0" containsBlank="1" containsNumber="1" minValue="-6.3888888888888884" maxValue="29.583333333333332"/>
    </cacheField>
    <cacheField name="2027/28" numFmtId="1">
      <sharedItems containsString="0" containsBlank="1" containsNumber="1" minValue="-6.3888888888888884" maxValue="29.583333333333332"/>
    </cacheField>
    <cacheField name="2028/29" numFmtId="1">
      <sharedItems containsString="0" containsBlank="1" containsNumber="1" minValue="-6.3888888888888884" maxValue="29.583333333333332"/>
    </cacheField>
    <cacheField name="2029/30" numFmtId="1">
      <sharedItems containsString="0" containsBlank="1" containsNumber="1" minValue="6.3" maxValue="17.777777777777775"/>
    </cacheField>
    <cacheField name="2030/31" numFmtId="1">
      <sharedItems containsString="0" containsBlank="1" containsNumber="1" minValue="6.3" maxValue="6.3"/>
    </cacheField>
    <cacheField name="2031/32" numFmtId="1">
      <sharedItems containsString="0" containsBlank="1" containsNumber="1" minValue="6.3" maxValue="6.3"/>
    </cacheField>
    <cacheField name="2032/33" numFmtId="1">
      <sharedItems containsString="0" containsBlank="1" containsNumber="1" minValue="6.3" maxValue="6.3"/>
    </cacheField>
    <cacheField name="2033/34" numFmtId="1">
      <sharedItems containsNonDate="0" containsString="0" containsBlank="1"/>
    </cacheField>
    <cacheField name="2034/35" numFmtId="1">
      <sharedItems containsNonDate="0" containsString="0" containsBlank="1"/>
    </cacheField>
    <cacheField name="2035/36" numFmtId="1">
      <sharedItems containsNonDate="0" containsString="0" containsBlank="1"/>
    </cacheField>
    <cacheField name="2036/37" numFmtId="1">
      <sharedItems containsNonDate="0" containsString="0" containsBlank="1"/>
    </cacheField>
    <cacheField name="2037/38" numFmtId="1">
      <sharedItems containsNonDate="0" containsString="0" containsBlank="1"/>
    </cacheField>
    <cacheField name="2038/39" numFmtId="1">
      <sharedItems containsNonDate="0" containsString="0" containsBlank="1"/>
    </cacheField>
    <cacheField name="2039/40" numFmtId="1">
      <sharedItems containsNonDate="0" containsString="0" containsBlank="1"/>
    </cacheField>
    <cacheField name="2040/41" numFmtId="1">
      <sharedItems containsNonDate="0" containsString="0" containsBlank="1"/>
    </cacheField>
    <cacheField name="2041/42" numFmtId="1">
      <sharedItems containsNonDate="0" containsString="0" containsBlank="1"/>
    </cacheField>
    <cacheField name="Delivery in 5 Years" numFmtId="1">
      <sharedItems containsString="0" containsBlank="1" containsNumber="1" minValue="-25.555555555555554" maxValue="340.8"/>
    </cacheField>
    <cacheField name="Delivery in 10 Years" numFmtId="1">
      <sharedItems containsString="0" containsBlank="1" containsNumber="1" minValue="-25.555555555555554" maxValue="340.8"/>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uthor" refreshedDate="45609.629655208337" createdVersion="6" refreshedVersion="8" minRefreshableVersion="3" recordCount="1042" xr:uid="{BF4D34DC-ACE6-41BD-B45D-0D830D7D2577}">
  <cacheSource type="worksheet">
    <worksheetSource ref="A1:CO1048576" sheet="Conventional Supply" r:id="rId2"/>
  </cacheSource>
  <cacheFields count="93">
    <cacheField name="Site" numFmtId="0">
      <sharedItems containsString="0" containsBlank="1" containsNumber="1" containsInteger="1" minValue="5" maxValue="8110"/>
    </cacheField>
    <cacheField name="Status" numFmtId="0">
      <sharedItems containsBlank="1" count="10">
        <s v="01 Completion"/>
        <s v="02 Under Construction"/>
        <s v="03 Planning"/>
        <s v="04 Subject to Legal Agreement"/>
        <s v="06 Identified Site"/>
        <s v="07 SHLAA Potential Site"/>
        <s v="08 SHLAA Small Sites"/>
        <m/>
        <s v="05 Pending or at Appeal" u="1"/>
        <s v="07 SHLAA Potential Sites" u="1"/>
      </sharedItems>
    </cacheField>
    <cacheField name="Application" numFmtId="0">
      <sharedItems containsBlank="1"/>
    </cacheField>
    <cacheField name="Address" numFmtId="0">
      <sharedItems containsBlank="1"/>
    </cacheField>
    <cacheField name="Phase" numFmtId="0">
      <sharedItems containsBlank="1"/>
    </cacheField>
    <cacheField name="Easting" numFmtId="0">
      <sharedItems containsString="0" containsBlank="1" containsNumber="1" minValue="521118" maxValue="530104"/>
    </cacheField>
    <cacheField name="Northing" numFmtId="0">
      <sharedItems containsString="0" containsBlank="1" containsNumber="1" minValue="170477" maxValue="177808"/>
    </cacheField>
    <cacheField name="Ward" numFmtId="0">
      <sharedItems containsBlank="1"/>
    </cacheField>
    <cacheField name="Site Construction Date" numFmtId="0">
      <sharedItems containsDate="1" containsBlank="1" containsMixedTypes="1" minDate="2013-11-21T00:00:00" maxDate="2024-04-01T00:00:00"/>
    </cacheField>
    <cacheField name="Site Completion Date" numFmtId="0">
      <sharedItems containsDate="1" containsBlank="1" containsMixedTypes="1" minDate="2023-04-01T00:00:00" maxDate="2024-04-01T00:00:00"/>
    </cacheField>
    <cacheField name="Phase Existing Units" numFmtId="0">
      <sharedItems containsString="0" containsBlank="1" containsNumber="1" containsInteger="1" minValue="0" maxValue="527"/>
    </cacheField>
    <cacheField name="Phase Proposed Units" numFmtId="0">
      <sharedItems containsString="0" containsBlank="1" containsNumber="1" containsInteger="1" minValue="0" maxValue="4611"/>
    </cacheField>
    <cacheField name="Phase Net Units" numFmtId="0">
      <sharedItems containsString="0" containsBlank="1" containsNumber="1" containsInteger="1" minValue="-527" maxValue="4611"/>
    </cacheField>
    <cacheField name="Application Proposed Units" numFmtId="0">
      <sharedItems containsString="0" containsBlank="1" containsNumber="1" containsInteger="1" minValue="0" maxValue="2971"/>
    </cacheField>
    <cacheField name="Application Net Units" numFmtId="0">
      <sharedItems containsString="0" containsBlank="1" containsNumber="1" containsInteger="1" minValue="-7" maxValue="2966"/>
    </cacheField>
    <cacheField name="Scheme of 10 or More Proposed Units" numFmtId="0">
      <sharedItems containsBlank="1"/>
    </cacheField>
    <cacheField name="Proposal" numFmtId="0">
      <sharedItems containsBlank="1" longText="1"/>
    </cacheField>
    <cacheField name="Application Status" numFmtId="0">
      <sharedItems containsBlank="1"/>
    </cacheField>
    <cacheField name="Application Received Date" numFmtId="0">
      <sharedItems containsDate="1" containsBlank="1" containsMixedTypes="1" minDate="2010-09-10T00:00:00" maxDate="2024-01-30T00:00:00"/>
    </cacheField>
    <cacheField name="Application Decision Date" numFmtId="0">
      <sharedItems containsDate="1" containsBlank="1" containsMixedTypes="1" minDate="2011-02-13T00:00:00" maxDate="2024-03-29T00:00:00"/>
    </cacheField>
    <cacheField name="Reporting Year Decision" numFmtId="0">
      <sharedItems containsBlank="1"/>
    </cacheField>
    <cacheField name="Appeal Status" numFmtId="0">
      <sharedItems containsBlank="1"/>
    </cacheField>
    <cacheField name="Appeal Decision Date" numFmtId="0">
      <sharedItems containsDate="1" containsBlank="1" containsMixedTypes="1" minDate="2012-06-22T00:00:00" maxDate="2023-07-21T00:00:00"/>
    </cacheField>
    <cacheField name="Land Type" numFmtId="0">
      <sharedItems containsBlank="1"/>
    </cacheField>
    <cacheField name="Development Type" numFmtId="0">
      <sharedItems containsBlank="1"/>
    </cacheField>
    <cacheField name="Large Residential Development Type" numFmtId="0">
      <sharedItems containsBlank="1" count="8">
        <s v="OTC"/>
        <s v="NB"/>
        <s v="n/a"/>
        <s v="O"/>
        <s v="OFC"/>
        <s v="LRC"/>
        <s v="EXT"/>
        <m/>
      </sharedItems>
    </cacheField>
    <cacheField name="Minor Residential Development Type" numFmtId="0">
      <sharedItems containsBlank="1" count="16">
        <s v="n/a"/>
        <s v="c-"/>
        <s v="d"/>
        <s v="n"/>
        <s v="e"/>
        <s v="c+"/>
        <s v="f"/>
        <s v="k"/>
        <s v="g"/>
        <s v="h"/>
        <s v="a"/>
        <s v="b"/>
        <s v="j+"/>
        <s v="j-"/>
        <m/>
        <s v="n/a/" u="1"/>
      </sharedItems>
    </cacheField>
    <cacheField name="Phase Residential Site Area (ha)" numFmtId="0">
      <sharedItems containsString="0" containsBlank="1" containsNumber="1" minValue="0" maxValue="3.6659999999999999"/>
    </cacheField>
    <cacheField name="Phase Construction Date" numFmtId="0">
      <sharedItems containsDate="1" containsBlank="1" containsMixedTypes="1" minDate="2014-03-31T00:00:00" maxDate="2024-04-01T00:00:00"/>
    </cacheField>
    <cacheField name="Reporting Year Start" numFmtId="0">
      <sharedItems containsBlank="1" count="3">
        <m/>
        <s v="Y"/>
        <s v="-" u="1"/>
      </sharedItems>
    </cacheField>
    <cacheField name="Phase Completion Date" numFmtId="0">
      <sharedItems containsDate="1" containsBlank="1" containsMixedTypes="1" minDate="2023-04-01T00:00:00" maxDate="2024-04-01T00:00:00"/>
    </cacheField>
    <cacheField name="Tenure" numFmtId="0">
      <sharedItems containsBlank="1"/>
    </cacheField>
    <cacheField name="Tenure Code" numFmtId="0">
      <sharedItems containsBlank="1"/>
    </cacheField>
    <cacheField name="Site Specific Allocations Document Reference" numFmtId="0">
      <sharedItems containsBlank="1"/>
    </cacheField>
    <cacheField name="London SHLAA 2017 Reference" numFmtId="0">
      <sharedItems containsString="0" containsBlank="1" containsNumber="1" containsInteger="1" minValue="17320035" maxValue="17320336"/>
    </cacheField>
    <cacheField name="Lifetime Homes" numFmtId="0">
      <sharedItems containsString="0" containsBlank="1" containsNumber="1" containsInteger="1" minValue="0" maxValue="836"/>
    </cacheField>
    <cacheField name="M4(2) Dwellings" numFmtId="0">
      <sharedItems containsString="0" containsBlank="1" containsNumber="1" containsInteger="1" minValue="0" maxValue="1219"/>
    </cacheField>
    <cacheField name="Wheelchair Accessible Homes" numFmtId="0">
      <sharedItems containsString="0" containsBlank="1" containsNumber="1" containsInteger="1" minValue="0" maxValue="94"/>
    </cacheField>
    <cacheField name="M4(3) Dwellings" numFmtId="0">
      <sharedItems containsString="0" containsBlank="1" containsNumber="1" containsInteger="1" minValue="0" maxValue="395"/>
    </cacheField>
    <cacheField name="Net Studio Units" numFmtId="0">
      <sharedItems containsString="0" containsBlank="1" containsNumber="1" containsInteger="1" minValue="-79" maxValue="160"/>
    </cacheField>
    <cacheField name="Net 1 Bed Units" numFmtId="0">
      <sharedItems containsString="0" containsBlank="1" containsNumber="1" containsInteger="1" minValue="-120" maxValue="390"/>
    </cacheField>
    <cacheField name="Net 2 Bed Units" numFmtId="0">
      <sharedItems containsString="0" containsBlank="1" containsNumber="1" containsInteger="1" minValue="-256" maxValue="406"/>
    </cacheField>
    <cacheField name="Net 3 Bed Units" numFmtId="0">
      <sharedItems containsString="0" containsBlank="1" containsNumber="1" containsInteger="1" minValue="-118" maxValue="140"/>
    </cacheField>
    <cacheField name="Net 4 Bed Units" numFmtId="0">
      <sharedItems containsString="0" containsBlank="1" containsNumber="1" containsInteger="1" minValue="-30" maxValue="35"/>
    </cacheField>
    <cacheField name="Net 5+ Bed Units" numFmtId="0">
      <sharedItems containsString="0" containsBlank="1" containsNumber="1" containsInteger="1" minValue="-2" maxValue="66"/>
    </cacheField>
    <cacheField name="Net Not Known Bed Units" numFmtId="0">
      <sharedItems containsString="0" containsBlank="1" containsNumber="1" containsInteger="1" minValue="-63" maxValue="4611"/>
    </cacheField>
    <cacheField name="Net Studio Flats" numFmtId="0">
      <sharedItems containsString="0" containsBlank="1" containsNumber="1" containsInteger="1" minValue="-79" maxValue="160"/>
    </cacheField>
    <cacheField name="Net 1 Bed Flats" numFmtId="0">
      <sharedItems containsString="0" containsBlank="1" containsNumber="1" containsInteger="1" minValue="-120" maxValue="390"/>
    </cacheField>
    <cacheField name="Net 2 Bed Flats" numFmtId="0">
      <sharedItems containsString="0" containsBlank="1" containsNumber="1" containsInteger="1" minValue="-256" maxValue="406"/>
    </cacheField>
    <cacheField name="Net 3 Bed Flats" numFmtId="0">
      <sharedItems containsString="0" containsBlank="1" containsNumber="1" containsInteger="1" minValue="-118" maxValue="140"/>
    </cacheField>
    <cacheField name="Net 4 Bed Flats" numFmtId="0">
      <sharedItems containsString="0" containsBlank="1" containsNumber="1" containsInteger="1" minValue="-30" maxValue="35"/>
    </cacheField>
    <cacheField name="Net 5+ Bed Flats" numFmtId="0">
      <sharedItems containsString="0" containsBlank="1" containsNumber="1" containsInteger="1" minValue="-2" maxValue="66"/>
    </cacheField>
    <cacheField name="Net Not Known Bed Flats" numFmtId="0">
      <sharedItems containsString="0" containsBlank="1" containsNumber="1" containsInteger="1" minValue="-63" maxValue="4611"/>
    </cacheField>
    <cacheField name="Net Studio Houses" numFmtId="0">
      <sharedItems containsString="0" containsBlank="1" containsNumber="1" containsInteger="1" minValue="0" maxValue="0"/>
    </cacheField>
    <cacheField name="Net 1 Bed Houses" numFmtId="0">
      <sharedItems containsString="0" containsBlank="1" containsNumber="1" containsInteger="1" minValue="-1" maxValue="1"/>
    </cacheField>
    <cacheField name="Net 2 Bed Houses" numFmtId="0">
      <sharedItems containsString="0" containsBlank="1" containsNumber="1" containsInteger="1" minValue="-1" maxValue="8"/>
    </cacheField>
    <cacheField name="Net 3 Bed Houses" numFmtId="0">
      <sharedItems containsString="0" containsBlank="1" containsNumber="1" containsInteger="1" minValue="-6" maxValue="10"/>
    </cacheField>
    <cacheField name="Net 4 Bed Houses" numFmtId="0">
      <sharedItems containsString="0" containsBlank="1" containsNumber="1" containsInteger="1" minValue="-1" maxValue="14"/>
    </cacheField>
    <cacheField name="Net 5+ Bed Houses" numFmtId="0">
      <sharedItems containsString="0" containsBlank="1" containsNumber="1" containsInteger="1" minValue="-1" maxValue="4"/>
    </cacheField>
    <cacheField name="Net Not Known Bed Houses" numFmtId="0">
      <sharedItems containsString="0" containsBlank="1" containsNumber="1" containsInteger="1" minValue="-2" maxValue="1"/>
    </cacheField>
    <cacheField name="Net Studio Live Work" numFmtId="0">
      <sharedItems containsString="0" containsBlank="1" containsNumber="1" containsInteger="1" minValue="0" maxValue="2"/>
    </cacheField>
    <cacheField name="Net 1 Bed Live Work" numFmtId="0">
      <sharedItems containsString="0" containsBlank="1" containsNumber="1" containsInteger="1" minValue="-1" maxValue="0"/>
    </cacheField>
    <cacheField name="Net 2 Bed Live Work" numFmtId="0">
      <sharedItems containsString="0" containsBlank="1" containsNumber="1" containsInteger="1" minValue="0" maxValue="0"/>
    </cacheField>
    <cacheField name="Net 3 Bed Live Work" numFmtId="0">
      <sharedItems containsString="0" containsBlank="1" containsNumber="1" containsInteger="1" minValue="-1" maxValue="0"/>
    </cacheField>
    <cacheField name="Net 4 Bed Live Work" numFmtId="0">
      <sharedItems containsString="0" containsBlank="1" containsNumber="1" containsInteger="1" minValue="0" maxValue="0"/>
    </cacheField>
    <cacheField name="Net 5+ Bed Live Work" numFmtId="0">
      <sharedItems containsString="0" containsBlank="1" containsNumber="1" containsInteger="1" minValue="-1" maxValue="0"/>
    </cacheField>
    <cacheField name="Net Not Known Live Work" numFmtId="0">
      <sharedItems containsString="0" containsBlank="1" containsNumber="1" containsInteger="1" minValue="-1" maxValue="0"/>
    </cacheField>
    <cacheField name="Town Centre" numFmtId="0">
      <sharedItems containsBlank="1"/>
    </cacheField>
    <cacheField name="VNEB" numFmtId="0">
      <sharedItems containsBlank="1"/>
    </cacheField>
    <cacheField name="Spatial area" numFmtId="0">
      <sharedItems containsBlank="1"/>
    </cacheField>
    <cacheField name="Phasing Assumption" numFmtId="0">
      <sharedItems containsString="0" containsBlank="1" containsNumber="1" containsInteger="1" minValue="1" maxValue="23"/>
    </cacheField>
    <cacheField name="2023/24" numFmtId="0">
      <sharedItems containsString="0" containsBlank="1" containsNumber="1" containsInteger="1" minValue="-56" maxValue="622"/>
    </cacheField>
    <cacheField name="2024/25" numFmtId="0">
      <sharedItems containsString="0" containsBlank="1" containsNumber="1" minValue="-23" maxValue="177"/>
    </cacheField>
    <cacheField name="2025/26" numFmtId="0">
      <sharedItems containsString="0" containsBlank="1" containsNumber="1" minValue="-1" maxValue="209"/>
    </cacheField>
    <cacheField name="2026/27" numFmtId="0">
      <sharedItems containsString="0" containsBlank="1" containsNumber="1" minValue="-1" maxValue="270"/>
    </cacheField>
    <cacheField name="2027/28" numFmtId="0">
      <sharedItems containsString="0" containsBlank="1" containsNumber="1" minValue="-175.66666666666666" maxValue="451.66666666666669"/>
    </cacheField>
    <cacheField name="2028/29" numFmtId="0">
      <sharedItems containsString="0" containsBlank="1" containsNumber="1" minValue="-175.66666666666666" maxValue="451.66666666666669"/>
    </cacheField>
    <cacheField name="2029/30" numFmtId="0">
      <sharedItems containsString="0" containsBlank="1" containsNumber="1" minValue="-175.66666666666666" maxValue="451.66666666666669"/>
    </cacheField>
    <cacheField name="2030/31" numFmtId="0">
      <sharedItems containsString="0" containsBlank="1" containsNumber="1" minValue="6.25E-2" maxValue="414"/>
    </cacheField>
    <cacheField name="2031/32" numFmtId="0">
      <sharedItems containsString="0" containsBlank="1" containsNumber="1" minValue="-5" maxValue="414"/>
    </cacheField>
    <cacheField name="2032/33" numFmtId="0">
      <sharedItems containsString="0" containsBlank="1" containsNumber="1" minValue="6.25E-2" maxValue="414"/>
    </cacheField>
    <cacheField name="2033/34" numFmtId="0">
      <sharedItems containsString="0" containsBlank="1" containsNumber="1" minValue="6.25E-2" maxValue="414"/>
    </cacheField>
    <cacheField name="2034/35" numFmtId="0">
      <sharedItems containsString="0" containsBlank="1" containsNumber="1" minValue="6.25E-2" maxValue="414"/>
    </cacheField>
    <cacheField name="2035/36" numFmtId="0">
      <sharedItems containsString="0" containsBlank="1" containsNumber="1" minValue="6.25E-2" maxValue="414"/>
    </cacheField>
    <cacheField name="2036/37" numFmtId="0">
      <sharedItems containsString="0" containsBlank="1" containsNumber="1" minValue="6.25E-2" maxValue="414"/>
    </cacheField>
    <cacheField name="2037/38" numFmtId="0">
      <sharedItems containsString="0" containsBlank="1" containsNumber="1" minValue="6.25E-2" maxValue="414"/>
    </cacheField>
    <cacheField name="2038/39" numFmtId="0">
      <sharedItems containsString="0" containsBlank="1" containsNumber="1" minValue="6.25E-2" maxValue="16.416666666666668"/>
    </cacheField>
    <cacheField name="2039/40" numFmtId="0">
      <sharedItems containsString="0" containsBlank="1" containsNumber="1" minValue="6.25E-2" maxValue="16.416666666666668"/>
    </cacheField>
    <cacheField name="2040/41" numFmtId="0">
      <sharedItems containsString="0" containsBlank="1" containsNumber="1" minValue="6.25E-2" maxValue="16.416666666666668"/>
    </cacheField>
    <cacheField name="2041/42" numFmtId="0">
      <sharedItems containsString="0" containsBlank="1" containsNumber="1" minValue="6.25E-2" maxValue="16.416666666666668"/>
    </cacheField>
    <cacheField name="2042/43" numFmtId="0">
      <sharedItems containsString="0" containsBlank="1" containsNumber="1" minValue="6.25E-2" maxValue="16.416666666666668"/>
    </cacheField>
    <cacheField name="Delivery in 5 Years" numFmtId="0">
      <sharedItems containsString="0" containsBlank="1" containsNumber="1" minValue="-351.33333333333331" maxValue="903.33333333333337"/>
    </cacheField>
    <cacheField name="Delivery in 10 Years" numFmtId="0">
      <sharedItems containsString="0" containsBlank="1" containsNumber="1" minValue="-527" maxValue="2955"/>
    </cacheField>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uthor" refreshedDate="45630.371129513886" createdVersion="6" refreshedVersion="8" minRefreshableVersion="3" recordCount="1039" xr:uid="{B037050F-E2F3-4E94-AB04-BDD68A572670}">
  <cacheSource type="worksheet">
    <worksheetSource ref="A1:CO1040" sheet="Conventional Supply" r:id="rId2"/>
  </cacheSource>
  <cacheFields count="93">
    <cacheField name="Site" numFmtId="0">
      <sharedItems containsString="0" containsBlank="1" containsNumber="1" containsInteger="1" minValue="5" maxValue="8110"/>
    </cacheField>
    <cacheField name="Status" numFmtId="0">
      <sharedItems count="8">
        <s v="01 Completion"/>
        <s v="02 Under Construction"/>
        <s v="03 Planning"/>
        <s v="04 Subject to Legal Agreement"/>
        <s v="06 Identified Site"/>
        <s v="07 SHLAA Potential Site"/>
        <s v="08 SHLAA Small Sites"/>
        <s v="05 Pending or at Appeal" u="1"/>
      </sharedItems>
    </cacheField>
    <cacheField name="Application" numFmtId="0">
      <sharedItems containsBlank="1"/>
    </cacheField>
    <cacheField name="Address" numFmtId="0">
      <sharedItems containsBlank="1"/>
    </cacheField>
    <cacheField name="Phase" numFmtId="0">
      <sharedItems containsBlank="1"/>
    </cacheField>
    <cacheField name="Easting" numFmtId="0">
      <sharedItems containsString="0" containsBlank="1" containsNumber="1" minValue="521118" maxValue="530104"/>
    </cacheField>
    <cacheField name="Northing" numFmtId="0">
      <sharedItems containsString="0" containsBlank="1" containsNumber="1" minValue="170477" maxValue="177808"/>
    </cacheField>
    <cacheField name="Ward (2022)" numFmtId="0">
      <sharedItems containsBlank="1" count="23">
        <s v="Tooting Broadway"/>
        <s v="Nine Elms"/>
        <s v="Battersea Park"/>
        <s v="Thamesfield"/>
        <s v="Roehampton"/>
        <s v="West Hill"/>
        <s v="Balham"/>
        <s v="East Putney"/>
        <s v="Lavender"/>
        <s v="Furzedown"/>
        <s v="Trinity"/>
        <s v="Northcote"/>
        <s v="Southfields"/>
        <s v="Wandle"/>
        <s v="Wandsworth Town"/>
        <s v="St Mary's"/>
        <s v="West Putney"/>
        <s v="Wandsworth Common"/>
        <s v="South Balham"/>
        <s v="Tooting Bec"/>
        <s v="Shaftesbury &amp; Queenstown"/>
        <s v="Falconbrook"/>
        <m/>
      </sharedItems>
    </cacheField>
    <cacheField name="Site Construction Date" numFmtId="0">
      <sharedItems containsDate="1" containsBlank="1" containsMixedTypes="1" minDate="2013-11-21T00:00:00" maxDate="2024-04-01T00:00:00"/>
    </cacheField>
    <cacheField name="Site Completion Date" numFmtId="0">
      <sharedItems containsDate="1" containsBlank="1" containsMixedTypes="1" minDate="2023-04-01T00:00:00" maxDate="2024-04-01T00:00:00"/>
    </cacheField>
    <cacheField name="Phase Existing Units" numFmtId="0">
      <sharedItems containsSemiMixedTypes="0" containsString="0" containsNumber="1" containsInteger="1" minValue="0" maxValue="527"/>
    </cacheField>
    <cacheField name="Phase Proposed Units" numFmtId="0">
      <sharedItems containsSemiMixedTypes="0" containsString="0" containsNumber="1" containsInteger="1" minValue="0" maxValue="4611" count="130">
        <n v="6"/>
        <n v="13"/>
        <n v="57"/>
        <n v="1"/>
        <n v="437"/>
        <n v="2"/>
        <n v="0"/>
        <n v="131"/>
        <n v="622"/>
        <n v="8"/>
        <n v="7"/>
        <n v="3"/>
        <n v="4"/>
        <n v="56"/>
        <n v="38"/>
        <n v="49"/>
        <n v="42"/>
        <n v="43"/>
        <n v="35"/>
        <n v="32"/>
        <n v="25"/>
        <n v="22"/>
        <n v="21"/>
        <n v="39"/>
        <n v="5"/>
        <n v="27"/>
        <n v="70"/>
        <n v="29"/>
        <n v="15"/>
        <n v="9"/>
        <n v="20"/>
        <n v="11"/>
        <n v="46"/>
        <n v="95"/>
        <n v="92"/>
        <n v="17"/>
        <n v="41"/>
        <n v="168"/>
        <n v="82"/>
        <n v="16"/>
        <n v="68"/>
        <n v="316"/>
        <n v="37"/>
        <n v="10"/>
        <n v="63"/>
        <n v="44"/>
        <n v="14"/>
        <n v="270"/>
        <n v="197"/>
        <n v="186"/>
        <n v="30"/>
        <n v="50"/>
        <n v="58"/>
        <n v="90"/>
        <n v="77"/>
        <n v="128"/>
        <n v="94"/>
        <n v="99"/>
        <n v="19"/>
        <n v="73"/>
        <n v="836"/>
        <n v="60"/>
        <n v="34"/>
        <n v="102"/>
        <n v="100"/>
        <n v="145"/>
        <n v="85"/>
        <n v="23"/>
        <n v="28"/>
        <n v="26"/>
        <n v="81"/>
        <n v="36"/>
        <n v="72"/>
        <n v="175"/>
        <n v="18"/>
        <n v="47"/>
        <n v="40"/>
        <n v="151"/>
        <n v="96"/>
        <n v="86"/>
        <n v="59"/>
        <n v="136"/>
        <n v="101"/>
        <n v="54"/>
        <n v="166"/>
        <n v="111"/>
        <n v="52"/>
        <n v="152"/>
        <n v="147"/>
        <n v="306"/>
        <n v="201"/>
        <n v="24"/>
        <n v="150"/>
        <n v="89"/>
        <n v="64"/>
        <n v="379"/>
        <n v="1355"/>
        <n v="214"/>
        <n v="66"/>
        <n v="230"/>
        <n v="107"/>
        <n v="121"/>
        <n v="31"/>
        <n v="349"/>
        <n v="65"/>
        <n v="33"/>
        <n v="883"/>
        <n v="55"/>
        <n v="75"/>
        <n v="79"/>
        <n v="51"/>
        <n v="80"/>
        <n v="113"/>
        <n v="62"/>
        <n v="204"/>
        <n v="53"/>
        <n v="158"/>
        <n v="12"/>
        <n v="109"/>
        <n v="182"/>
        <n v="112"/>
        <n v="300"/>
        <n v="124"/>
        <n v="120"/>
        <n v="135"/>
        <n v="592"/>
        <n v="159"/>
        <n v="61"/>
        <n v="203"/>
        <n v="4611"/>
      </sharedItems>
    </cacheField>
    <cacheField name="Phase Net Units" numFmtId="0">
      <sharedItems containsSemiMixedTypes="0" containsString="0" containsNumber="1" containsInteger="1" minValue="-527" maxValue="4611" count="146">
        <n v="6"/>
        <n v="13"/>
        <n v="57"/>
        <n v="-1"/>
        <n v="437"/>
        <n v="1"/>
        <n v="0"/>
        <n v="2"/>
        <n v="-28"/>
        <n v="-56"/>
        <n v="131"/>
        <n v="622"/>
        <n v="8"/>
        <n v="-2"/>
        <n v="7"/>
        <n v="4"/>
        <n v="-15"/>
        <n v="56"/>
        <n v="38"/>
        <n v="49"/>
        <n v="42"/>
        <n v="43"/>
        <n v="35"/>
        <n v="32"/>
        <n v="25"/>
        <n v="22"/>
        <n v="21"/>
        <n v="39"/>
        <n v="5"/>
        <n v="27"/>
        <n v="70"/>
        <n v="29"/>
        <n v="15"/>
        <n v="9"/>
        <n v="20"/>
        <n v="11"/>
        <n v="3"/>
        <n v="46"/>
        <n v="95"/>
        <n v="92"/>
        <n v="17"/>
        <n v="41"/>
        <n v="-4"/>
        <n v="168"/>
        <n v="82"/>
        <n v="12"/>
        <n v="-5"/>
        <n v="-32"/>
        <n v="-9"/>
        <n v="316"/>
        <n v="37"/>
        <n v="-3"/>
        <n v="10"/>
        <n v="63"/>
        <n v="44"/>
        <n v="14"/>
        <n v="270"/>
        <n v="197"/>
        <n v="186"/>
        <n v="30"/>
        <n v="50"/>
        <n v="58"/>
        <n v="90"/>
        <n v="77"/>
        <n v="128"/>
        <n v="94"/>
        <n v="99"/>
        <n v="19"/>
        <n v="73"/>
        <n v="836"/>
        <n v="60"/>
        <n v="34"/>
        <n v="102"/>
        <n v="100"/>
        <n v="145"/>
        <n v="85"/>
        <n v="23"/>
        <n v="28"/>
        <n v="26"/>
        <n v="-23"/>
        <n v="81"/>
        <n v="36"/>
        <n v="72"/>
        <n v="175"/>
        <n v="-6"/>
        <n v="18"/>
        <n v="47"/>
        <n v="40"/>
        <n v="151"/>
        <n v="96"/>
        <n v="86"/>
        <n v="59"/>
        <n v="136"/>
        <n v="101"/>
        <n v="54"/>
        <n v="166"/>
        <n v="111"/>
        <n v="52"/>
        <n v="152"/>
        <n v="147"/>
        <n v="306"/>
        <n v="201"/>
        <n v="24"/>
        <n v="16"/>
        <n v="150"/>
        <n v="89"/>
        <n v="64"/>
        <n v="379"/>
        <n v="1355"/>
        <n v="214"/>
        <n v="-218"/>
        <n v="-527"/>
        <n v="-14"/>
        <n v="66"/>
        <n v="230"/>
        <n v="107"/>
        <n v="121"/>
        <n v="31"/>
        <n v="349"/>
        <n v="-130"/>
        <n v="-158"/>
        <n v="65"/>
        <n v="33"/>
        <n v="80"/>
        <n v="883"/>
        <n v="55"/>
        <n v="75"/>
        <n v="79"/>
        <n v="51"/>
        <n v="113"/>
        <n v="62"/>
        <n v="204"/>
        <n v="53"/>
        <n v="158"/>
        <n v="109"/>
        <n v="182"/>
        <n v="112"/>
        <n v="300"/>
        <n v="124"/>
        <n v="120"/>
        <n v="135"/>
        <n v="592"/>
        <n v="159"/>
        <n v="61"/>
        <n v="203"/>
        <n v="4611"/>
      </sharedItems>
    </cacheField>
    <cacheField name="Application Proposed Units" numFmtId="0">
      <sharedItems containsSemiMixedTypes="0" containsString="0" containsNumber="1" containsInteger="1" minValue="0" maxValue="2971"/>
    </cacheField>
    <cacheField name="Application Net Units" numFmtId="0">
      <sharedItems containsSemiMixedTypes="0" containsString="0" containsNumber="1" containsInteger="1" minValue="-7" maxValue="2966"/>
    </cacheField>
    <cacheField name="Scheme of 10 or More Proposed Units" numFmtId="0">
      <sharedItems containsBlank="1" count="3">
        <s v="Y"/>
        <m/>
        <s v="-" u="1"/>
      </sharedItems>
    </cacheField>
    <cacheField name="Proposal" numFmtId="0">
      <sharedItems longText="1"/>
    </cacheField>
    <cacheField name="Application Status" numFmtId="0">
      <sharedItems/>
    </cacheField>
    <cacheField name="Application Received Date" numFmtId="0">
      <sharedItems containsDate="1" containsBlank="1" containsMixedTypes="1" minDate="2012-11-21T00:00:00" maxDate="2024-01-30T00:00:00"/>
    </cacheField>
    <cacheField name="Application Decision Date" numFmtId="0">
      <sharedItems containsDate="1" containsBlank="1" containsMixedTypes="1" minDate="2013-10-11T00:00:00" maxDate="2024-03-29T00:00:00"/>
    </cacheField>
    <cacheField name="Reporting Year Decision" numFmtId="0">
      <sharedItems containsBlank="1" count="2">
        <m/>
        <s v="Y"/>
      </sharedItems>
    </cacheField>
    <cacheField name="Appeal Status" numFmtId="0">
      <sharedItems/>
    </cacheField>
    <cacheField name="Appeal Decision Date" numFmtId="0">
      <sharedItems containsDate="1" containsBlank="1" containsMixedTypes="1" minDate="2019-11-27T00:00:00" maxDate="2023-07-21T00:00:00"/>
    </cacheField>
    <cacheField name="Land Type" numFmtId="0">
      <sharedItems/>
    </cacheField>
    <cacheField name="Development Type" numFmtId="0">
      <sharedItems/>
    </cacheField>
    <cacheField name="Large Residential Development Type" numFmtId="0">
      <sharedItems count="7">
        <s v="OTC"/>
        <s v="NB"/>
        <s v="n/a"/>
        <s v="O"/>
        <s v="OFC"/>
        <s v="LRC"/>
        <s v="EXT"/>
      </sharedItems>
    </cacheField>
    <cacheField name="Minor Residential Development Type" numFmtId="0">
      <sharedItems count="15">
        <s v="n/a"/>
        <s v="c-"/>
        <s v="d"/>
        <s v="n"/>
        <s v="e"/>
        <s v="c+"/>
        <s v="f"/>
        <s v="k"/>
        <s v="g"/>
        <s v="h"/>
        <s v="a"/>
        <s v="b"/>
        <s v="j+"/>
        <s v="j-"/>
        <s v="NB" u="1"/>
      </sharedItems>
    </cacheField>
    <cacheField name="Phase Residential Site Area (ha)" numFmtId="0">
      <sharedItems containsSemiMixedTypes="0" containsString="0" containsNumber="1" minValue="0" maxValue="2.57"/>
    </cacheField>
    <cacheField name="Phase Construction Date" numFmtId="0">
      <sharedItems containsDate="1" containsBlank="1" containsMixedTypes="1" minDate="2014-03-31T00:00:00" maxDate="2024-04-01T00:00:00"/>
    </cacheField>
    <cacheField name="Reporting Year Start" numFmtId="0">
      <sharedItems containsBlank="1" count="2">
        <m/>
        <s v="Y"/>
      </sharedItems>
    </cacheField>
    <cacheField name="Phase Completion Date" numFmtId="0">
      <sharedItems containsDate="1" containsBlank="1" containsMixedTypes="1" minDate="2023-04-01T00:00:00" maxDate="2024-04-01T00:00:00"/>
    </cacheField>
    <cacheField name="Tenure" numFmtId="0">
      <sharedItems count="4">
        <s v="Intermediate"/>
        <s v="Open Market"/>
        <s v="Social/Affordable Rent"/>
        <s v="Unknown"/>
      </sharedItems>
    </cacheField>
    <cacheField name="Tenure Code" numFmtId="0">
      <sharedItems/>
    </cacheField>
    <cacheField name="Site Specific Allocations Document Reference" numFmtId="0">
      <sharedItems containsBlank="1"/>
    </cacheField>
    <cacheField name="London SHLAA 2017 Reference" numFmtId="0">
      <sharedItems containsString="0" containsBlank="1" containsNumber="1" containsInteger="1" minValue="17320035" maxValue="17320336"/>
    </cacheField>
    <cacheField name="Lifetime Homes" numFmtId="0">
      <sharedItems containsString="0" containsBlank="1" containsNumber="1" containsInteger="1" minValue="0" maxValue="836"/>
    </cacheField>
    <cacheField name="M4(2) Dwellings" numFmtId="0">
      <sharedItems containsString="0" containsBlank="1" containsNumber="1" containsInteger="1" minValue="0" maxValue="1219"/>
    </cacheField>
    <cacheField name="Wheelchair Accessible Homes" numFmtId="0">
      <sharedItems containsString="0" containsBlank="1" containsNumber="1" containsInteger="1" minValue="0" maxValue="94"/>
    </cacheField>
    <cacheField name="M4(3) Dwellings" numFmtId="0">
      <sharedItems containsString="0" containsBlank="1" containsNumber="1" containsInteger="1" minValue="0" maxValue="395"/>
    </cacheField>
    <cacheField name="Net Studio Units" numFmtId="0">
      <sharedItems containsSemiMixedTypes="0" containsString="0" containsNumber="1" containsInteger="1" minValue="-79" maxValue="160"/>
    </cacheField>
    <cacheField name="Net 1 Bed Units" numFmtId="0">
      <sharedItems containsSemiMixedTypes="0" containsString="0" containsNumber="1" containsInteger="1" minValue="-120" maxValue="390"/>
    </cacheField>
    <cacheField name="Net 2 Bed Units" numFmtId="0">
      <sharedItems containsSemiMixedTypes="0" containsString="0" containsNumber="1" containsInteger="1" minValue="-256" maxValue="406"/>
    </cacheField>
    <cacheField name="Net 3 Bed Units" numFmtId="0">
      <sharedItems containsSemiMixedTypes="0" containsString="0" containsNumber="1" containsInteger="1" minValue="-118" maxValue="140"/>
    </cacheField>
    <cacheField name="Net 4 Bed Units" numFmtId="0">
      <sharedItems containsSemiMixedTypes="0" containsString="0" containsNumber="1" containsInteger="1" minValue="-30" maxValue="35"/>
    </cacheField>
    <cacheField name="Net 5+ Bed Units" numFmtId="0">
      <sharedItems containsSemiMixedTypes="0" containsString="0" containsNumber="1" containsInteger="1" minValue="-2" maxValue="66"/>
    </cacheField>
    <cacheField name="Net Not Known Bed Units" numFmtId="0">
      <sharedItems containsSemiMixedTypes="0" containsString="0" containsNumber="1" containsInteger="1" minValue="-63" maxValue="4611"/>
    </cacheField>
    <cacheField name="Net Studio Flats" numFmtId="0">
      <sharedItems containsSemiMixedTypes="0" containsString="0" containsNumber="1" containsInteger="1" minValue="-79" maxValue="160"/>
    </cacheField>
    <cacheField name="Net 1 Bed Flats" numFmtId="0">
      <sharedItems containsSemiMixedTypes="0" containsString="0" containsNumber="1" containsInteger="1" minValue="-120" maxValue="390"/>
    </cacheField>
    <cacheField name="Net 2 Bed Flats" numFmtId="0">
      <sharedItems containsSemiMixedTypes="0" containsString="0" containsNumber="1" containsInteger="1" minValue="-256" maxValue="406"/>
    </cacheField>
    <cacheField name="Net 3 Bed Flats" numFmtId="0">
      <sharedItems containsSemiMixedTypes="0" containsString="0" containsNumber="1" containsInteger="1" minValue="-118" maxValue="140"/>
    </cacheField>
    <cacheField name="Net 4 Bed Flats" numFmtId="0">
      <sharedItems containsSemiMixedTypes="0" containsString="0" containsNumber="1" containsInteger="1" minValue="-30" maxValue="35"/>
    </cacheField>
    <cacheField name="Net 5+ Bed Flats" numFmtId="0">
      <sharedItems containsSemiMixedTypes="0" containsString="0" containsNumber="1" containsInteger="1" minValue="-2" maxValue="66"/>
    </cacheField>
    <cacheField name="Net Not Known Bed Flats" numFmtId="0">
      <sharedItems containsSemiMixedTypes="0" containsString="0" containsNumber="1" containsInteger="1" minValue="-63" maxValue="4611"/>
    </cacheField>
    <cacheField name="Net Studio Houses" numFmtId="0">
      <sharedItems containsSemiMixedTypes="0" containsString="0" containsNumber="1" containsInteger="1" minValue="0" maxValue="0"/>
    </cacheField>
    <cacheField name="Net 1 Bed Houses" numFmtId="0">
      <sharedItems containsSemiMixedTypes="0" containsString="0" containsNumber="1" containsInteger="1" minValue="-1" maxValue="1"/>
    </cacheField>
    <cacheField name="Net 2 Bed Houses" numFmtId="0">
      <sharedItems containsSemiMixedTypes="0" containsString="0" containsNumber="1" containsInteger="1" minValue="-1" maxValue="8"/>
    </cacheField>
    <cacheField name="Net 3 Bed Houses" numFmtId="0">
      <sharedItems containsSemiMixedTypes="0" containsString="0" containsNumber="1" containsInteger="1" minValue="-6" maxValue="10"/>
    </cacheField>
    <cacheField name="Net 4 Bed Houses" numFmtId="0">
      <sharedItems containsSemiMixedTypes="0" containsString="0" containsNumber="1" containsInteger="1" minValue="-1" maxValue="14"/>
    </cacheField>
    <cacheField name="Net 5+ Bed Houses" numFmtId="0">
      <sharedItems containsSemiMixedTypes="0" containsString="0" containsNumber="1" containsInteger="1" minValue="-1" maxValue="4"/>
    </cacheField>
    <cacheField name="Net Not Known Bed Houses" numFmtId="0">
      <sharedItems containsSemiMixedTypes="0" containsString="0" containsNumber="1" containsInteger="1" minValue="-2" maxValue="1"/>
    </cacheField>
    <cacheField name="Net Studio Live Work" numFmtId="0">
      <sharedItems containsSemiMixedTypes="0" containsString="0" containsNumber="1" containsInteger="1" minValue="0" maxValue="2"/>
    </cacheField>
    <cacheField name="Net 1 Bed Live Work" numFmtId="0">
      <sharedItems containsSemiMixedTypes="0" containsString="0" containsNumber="1" containsInteger="1" minValue="-1" maxValue="0"/>
    </cacheField>
    <cacheField name="Net 2 Bed Live Work" numFmtId="0">
      <sharedItems containsSemiMixedTypes="0" containsString="0" containsNumber="1" containsInteger="1" minValue="0" maxValue="0"/>
    </cacheField>
    <cacheField name="Net 3 Bed Live Work" numFmtId="0">
      <sharedItems containsSemiMixedTypes="0" containsString="0" containsNumber="1" containsInteger="1" minValue="-1" maxValue="0"/>
    </cacheField>
    <cacheField name="Net 4 Bed Live Work" numFmtId="0">
      <sharedItems containsSemiMixedTypes="0" containsString="0" containsNumber="1" containsInteger="1" minValue="0" maxValue="0"/>
    </cacheField>
    <cacheField name="Net 5+ Bed Live Work" numFmtId="0">
      <sharedItems containsSemiMixedTypes="0" containsString="0" containsNumber="1" containsInteger="1" minValue="-1" maxValue="0"/>
    </cacheField>
    <cacheField name="Net Not Known Live Work" numFmtId="0">
      <sharedItems containsSemiMixedTypes="0" containsString="0" containsNumber="1" containsInteger="1" minValue="-1" maxValue="0"/>
    </cacheField>
    <cacheField name="Town Centre" numFmtId="0">
      <sharedItems containsBlank="1" count="6">
        <s v="Tooting"/>
        <m/>
        <s v="Putney"/>
        <s v="Clapham Junction"/>
        <s v="Wandsworth"/>
        <s v="Balham"/>
      </sharedItems>
    </cacheField>
    <cacheField name="VNEB" numFmtId="0">
      <sharedItems containsBlank="1" count="2">
        <m/>
        <s v="Y"/>
      </sharedItems>
    </cacheField>
    <cacheField name="Spatial area" numFmtId="0">
      <sharedItems containsBlank="1" count="19">
        <s v="Tooting"/>
        <s v="Nine Elms"/>
        <s v="Rest of Borough"/>
        <s v="Clapham Junction and York Road / Winstanley Regeneration Area"/>
        <s v="Wandsworth riverside"/>
        <s v="Wandle Valley"/>
        <s v="Putney"/>
        <s v="Wandsworth Town, including the Wandle Delta Masterplan Area"/>
        <s v="Roehampton and Alton Estate Regeneration Area"/>
        <s v="Balham"/>
        <s v="Wandsworth Town, excluding the Wandle Delta Masterplan Area"/>
        <s v="Clapham Junction Spatial Area Strategy"/>
        <s v="Putney Town Centre"/>
        <s v="Nine Elms Vauxhall Opportunity Area"/>
        <s v="Roehampton Regeneration Area"/>
        <s v="Borough-wide"/>
        <s v="Roehampton and Alton Estate Regeneration Areea" u="1"/>
        <s v="The Wandle Valley" u="1"/>
        <m u="1"/>
      </sharedItems>
    </cacheField>
    <cacheField name="Phasing Assumption" numFmtId="0">
      <sharedItems containsSemiMixedTypes="0" containsString="0" containsNumber="1" containsInteger="1" minValue="1" maxValue="23"/>
    </cacheField>
    <cacheField name="2023/24" numFmtId="3">
      <sharedItems containsString="0" containsBlank="1" containsNumber="1" containsInteger="1" minValue="-56" maxValue="622"/>
    </cacheField>
    <cacheField name="2024/25" numFmtId="3">
      <sharedItems containsString="0" containsBlank="1" containsNumber="1" minValue="-23" maxValue="177"/>
    </cacheField>
    <cacheField name="2025/26" numFmtId="3">
      <sharedItems containsString="0" containsBlank="1" containsNumber="1" minValue="-1" maxValue="209"/>
    </cacheField>
    <cacheField name="2026/27" numFmtId="3">
      <sharedItems containsString="0" containsBlank="1" containsNumber="1" minValue="-1" maxValue="270"/>
    </cacheField>
    <cacheField name="2027/28" numFmtId="3">
      <sharedItems containsString="0" containsBlank="1" containsNumber="1" minValue="-175.66666666666666" maxValue="451.66666666666669"/>
    </cacheField>
    <cacheField name="2028/29" numFmtId="3">
      <sharedItems containsString="0" containsBlank="1" containsNumber="1" minValue="-175.66666666666666" maxValue="451.66666666666669"/>
    </cacheField>
    <cacheField name="2029/30" numFmtId="3">
      <sharedItems containsString="0" containsBlank="1" containsNumber="1" minValue="-175.66666666666666" maxValue="451.66666666666669"/>
    </cacheField>
    <cacheField name="2030/31" numFmtId="3">
      <sharedItems containsString="0" containsBlank="1" containsNumber="1" minValue="6.25E-2" maxValue="414"/>
    </cacheField>
    <cacheField name="2031/32" numFmtId="3">
      <sharedItems containsString="0" containsBlank="1" containsNumber="1" minValue="-5" maxValue="414"/>
    </cacheField>
    <cacheField name="2032/33" numFmtId="3">
      <sharedItems containsString="0" containsBlank="1" containsNumber="1" minValue="6.25E-2" maxValue="414"/>
    </cacheField>
    <cacheField name="2033/34" numFmtId="3">
      <sharedItems containsString="0" containsBlank="1" containsNumber="1" minValue="6.25E-2" maxValue="414"/>
    </cacheField>
    <cacheField name="2034/35" numFmtId="3">
      <sharedItems containsString="0" containsBlank="1" containsNumber="1" minValue="6.25E-2" maxValue="414"/>
    </cacheField>
    <cacheField name="2035/36" numFmtId="3">
      <sharedItems containsString="0" containsBlank="1" containsNumber="1" minValue="6.25E-2" maxValue="414"/>
    </cacheField>
    <cacheField name="2036/37" numFmtId="3">
      <sharedItems containsString="0" containsBlank="1" containsNumber="1" minValue="6.25E-2" maxValue="414"/>
    </cacheField>
    <cacheField name="2037/38" numFmtId="3">
      <sharedItems containsString="0" containsBlank="1" containsNumber="1" minValue="6.25E-2" maxValue="414"/>
    </cacheField>
    <cacheField name="2038/39" numFmtId="3">
      <sharedItems containsString="0" containsBlank="1" containsNumber="1" minValue="6.25E-2" maxValue="16.416666666666668"/>
    </cacheField>
    <cacheField name="2039/40" numFmtId="3">
      <sharedItems containsString="0" containsBlank="1" containsNumber="1" minValue="6.25E-2" maxValue="16.416666666666668"/>
    </cacheField>
    <cacheField name="2040/41" numFmtId="3">
      <sharedItems containsString="0" containsBlank="1" containsNumber="1" minValue="6.25E-2" maxValue="16.416666666666668"/>
    </cacheField>
    <cacheField name="2041/42" numFmtId="3">
      <sharedItems containsString="0" containsBlank="1" containsNumber="1" minValue="6.25E-2" maxValue="16.416666666666668"/>
    </cacheField>
    <cacheField name="2042/43" numFmtId="3">
      <sharedItems containsString="0" containsBlank="1" containsNumber="1" minValue="6.25E-2" maxValue="16.416666666666668"/>
    </cacheField>
    <cacheField name="Delivery in 5 Years" numFmtId="1">
      <sharedItems containsSemiMixedTypes="0" containsString="0" containsNumber="1" minValue="-351.33333333333331" maxValue="903.33333333333337"/>
    </cacheField>
    <cacheField name="Delivery in 10 Years" numFmtId="1">
      <sharedItems containsSemiMixedTypes="0" containsString="0" containsNumber="1" minValue="-527" maxValue="2955"/>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2">
  <r>
    <n v="6657"/>
    <x v="0"/>
    <s v="2021/1291"/>
    <s v="Brocklebank Health Centre, 249 Garratt Lane (and others), 229-247 Garratt Lane (Garratt Lane and Atheldene Regeneration Site)"/>
    <n v="525999"/>
    <n v="173647"/>
    <s v="Wandle"/>
    <d v="2022-01-20T00:00:00"/>
    <m/>
    <n v="0"/>
    <n v="0"/>
    <n v="0"/>
    <n v="0"/>
    <n v="37"/>
    <n v="0"/>
    <n v="-37"/>
    <n v="-20.555555555555554"/>
    <n v="0"/>
    <n v="0"/>
    <n v="0"/>
    <n v="0"/>
    <n v="0"/>
    <n v="0"/>
    <n v="0"/>
    <n v="0"/>
    <n v="0"/>
    <n v="0"/>
    <n v="0"/>
    <n v="0"/>
    <n v="-20.555555555555554"/>
    <s v="Submission of details of amendments pursuant to Section 106 agreement attached to planning permission dated 31/07/2020 ref 2017/4141 (Demolition of existing buildings and erection of a mixed use development providing a total of 193 residential units (of both private and affordable tenure) including houses and apartments, with associated amenity space including gardens, balconies and terraces; a new health centre (Class D1 use) (1,873sq.m), a pharmacy (Class A1 use) (94sq.m), two commercial units (flexible Class A1/A2/A3 or B1 use) (189sq.m), within buildings ranging between two and five-storeys high, together with the provision of hard and soft landscaping, enhanced pedestrian routes, and associated car parking and cycle parking, with the development proposed to be constructed in two phases.) to allow an increase in affordable housing provision."/>
    <s v="S106"/>
    <d v="2021-03-05T00:00:00"/>
    <d v="2021-07-19T00:00:00"/>
    <s v="Nil"/>
    <m/>
    <d v="2022-01-20T00:00:00"/>
    <m/>
    <s v="Unknown"/>
    <s v="U"/>
    <s v=""/>
    <m/>
    <m/>
    <m/>
    <n v="2"/>
    <m/>
    <n v="-20.555555555555554"/>
    <m/>
    <m/>
    <m/>
    <m/>
    <m/>
    <m/>
    <m/>
    <m/>
    <m/>
    <m/>
    <m/>
    <m/>
    <m/>
    <m/>
    <m/>
    <m/>
    <m/>
    <n v="-20.555555555555554"/>
    <n v="-20.555555555555554"/>
  </r>
  <r>
    <n v="7317"/>
    <x v="0"/>
    <s v="2019/5000"/>
    <s v="252-254 Upper Tooting Road"/>
    <n v="527570"/>
    <n v="171707"/>
    <s v="Tooting Bec"/>
    <d v="2022-11-11T00:00:00"/>
    <m/>
    <n v="0"/>
    <n v="0"/>
    <n v="0"/>
    <n v="0"/>
    <n v="0"/>
    <n v="0"/>
    <n v="0"/>
    <n v="0"/>
    <n v="0"/>
    <n v="0"/>
    <n v="0"/>
    <n v="0"/>
    <n v="0"/>
    <n v="0"/>
    <n v="0"/>
    <n v="0"/>
    <n v="0"/>
    <n v="18"/>
    <n v="18"/>
    <n v="10"/>
    <n v="10"/>
    <s v="Erection a four-storey rear extension (approximately 12m in height). Change of use from a 1 x House of Multiple Occupation (HMO - 6 rooms) in to 1x HMO (18 rooms), while existing flats (1x studio, 1 x 1-bedroom flat and 2 x 2-bedroom flats) are to be retained."/>
    <s v="PF"/>
    <d v="2019-12-05T00:00:00"/>
    <d v="2020-02-18T00:00:00"/>
    <s v="Nil"/>
    <m/>
    <d v="2022-11-11T00:00:00"/>
    <m/>
    <s v="Open Market"/>
    <s v="M"/>
    <s v=""/>
    <m/>
    <m/>
    <m/>
    <n v="2"/>
    <m/>
    <n v="10"/>
    <m/>
    <m/>
    <m/>
    <m/>
    <m/>
    <m/>
    <m/>
    <m/>
    <m/>
    <m/>
    <m/>
    <m/>
    <m/>
    <m/>
    <m/>
    <m/>
    <m/>
    <n v="10"/>
    <n v="10"/>
  </r>
  <r>
    <n v="7702"/>
    <x v="1"/>
    <s v="2020/5033"/>
    <s v="5 Spalding Road"/>
    <n v="528703"/>
    <n v="171030"/>
    <s v="Furzedown"/>
    <m/>
    <m/>
    <n v="0"/>
    <n v="0"/>
    <n v="0"/>
    <n v="0"/>
    <n v="0"/>
    <n v="0"/>
    <n v="0"/>
    <n v="0"/>
    <n v="0"/>
    <n v="0"/>
    <n v="0"/>
    <n v="0"/>
    <n v="0"/>
    <n v="63"/>
    <n v="63"/>
    <n v="25.2"/>
    <n v="0"/>
    <n v="0"/>
    <n v="0"/>
    <n v="0"/>
    <n v="25.2"/>
    <s v="Alterations including erection of part two, part three storey extension over existing four-storey student accommodation building at Furzedown Hall (Class C2) and enclosure of fire escape stairs and lifts to each level. Erection of part three, part four storey student accommodation building to eastern side of Furzedown Hall (Class C2); associated landscaping, boundaries treatment, refuse and bike storages."/>
    <s v="SLA"/>
    <d v="2021-06-17T00:00:00"/>
    <m/>
    <s v="Nil"/>
    <m/>
    <m/>
    <m/>
    <s v="Open Market"/>
    <s v="MR"/>
    <s v=""/>
    <m/>
    <m/>
    <m/>
    <n v="8"/>
    <m/>
    <m/>
    <m/>
    <m/>
    <m/>
    <m/>
    <n v="6.3"/>
    <n v="6.3"/>
    <n v="6.3"/>
    <n v="6.3"/>
    <m/>
    <m/>
    <m/>
    <m/>
    <m/>
    <m/>
    <m/>
    <m/>
    <m/>
    <n v="0"/>
    <n v="25.2"/>
  </r>
  <r>
    <n v="2502"/>
    <x v="2"/>
    <s v="2010/3703"/>
    <s v="Springfield Hospital site, 61 Glenburnie Road"/>
    <n v="527221"/>
    <n v="172443"/>
    <s v="Wandsworth Common"/>
    <d v="2015-08-28T00:00:00"/>
    <m/>
    <n v="0"/>
    <n v="0"/>
    <n v="0"/>
    <n v="0"/>
    <n v="46"/>
    <n v="0"/>
    <n v="-46"/>
    <n v="-25.555555555555554"/>
    <n v="0"/>
    <n v="0"/>
    <n v="0"/>
    <n v="0"/>
    <n v="0"/>
    <n v="0"/>
    <n v="0"/>
    <n v="0"/>
    <n v="0"/>
    <n v="0"/>
    <n v="0"/>
    <n v="0"/>
    <n v="-25.555555555555554"/>
    <s v="Redevelopment of Springfield Hospital site entailing the erection of 25,000 sq m replacement mental health facilities (Use Class C2/C2A); 839 residential dwellings (including up to 262 dwellings within the converted Main Building and Elizabeth Newton Wing and 56 extra care residential apartments) (Use Class C3); 9,200 sq m elderly persons' care home (including up to 50 close care units) (Use Class C2); 240 sqm of retail floorspace (Use Class A1); a school Use Class (D1); 3,500 sq m of flexible non-residential floor space (Use Class A1 (up to 250 sq m), A2 (up to 300 sq m), A3 (up to 500 sq m), A4 (up to 250 sq m), B1 (up to 1,000 sq m), D1 (up to 750 sq m), or D2 (up to 750 sq m)); 240 sqm of retail floorspace (Use Class A1); landscaped public park; other private and public open space; construction of a combined cooling, heat and power energy centre; associated landscaping, parking, roads, access and infrastructure and other associated works. (Outline application with appearance, landscaping and scale reserved)."/>
    <s v="RP"/>
    <d v="2010-09-10T00:00:00"/>
    <d v="2011-02-13T00:00:00"/>
    <s v="APG"/>
    <n v="41082"/>
    <m/>
    <m/>
    <s v="Unknown"/>
    <s v="U"/>
    <s v="9.1"/>
    <m/>
    <s v="Y"/>
    <s v="EW"/>
    <n v="6"/>
    <m/>
    <m/>
    <n v="-6.3888888888888884"/>
    <n v="-6.3888888888888884"/>
    <n v="-6.3888888888888884"/>
    <n v="-6.3888888888888884"/>
    <m/>
    <m/>
    <m/>
    <m/>
    <m/>
    <m/>
    <m/>
    <m/>
    <m/>
    <m/>
    <m/>
    <m/>
    <m/>
    <n v="-25.555555555555554"/>
    <n v="-25.555555555555554"/>
  </r>
  <r>
    <n v="7765"/>
    <x v="2"/>
    <s v="2022/0480"/>
    <s v="423 Upper Richmond Road"/>
    <n v="522152"/>
    <n v="175463"/>
    <s v="Roehampton"/>
    <m/>
    <m/>
    <n v="0"/>
    <n v="0"/>
    <n v="0"/>
    <n v="0"/>
    <n v="0"/>
    <n v="0"/>
    <n v="0"/>
    <n v="0"/>
    <n v="0"/>
    <n v="0"/>
    <n v="0"/>
    <n v="0"/>
    <n v="0"/>
    <n v="0"/>
    <n v="0"/>
    <n v="0"/>
    <n v="9"/>
    <n v="0"/>
    <n v="-9"/>
    <n v="-5"/>
    <n v="-5"/>
    <s v="Use as a single dwelling house (Class C3) including alteratuions to fenestration."/>
    <s v="PFLA"/>
    <d v="2022-02-23T00:00:00"/>
    <d v="2022-11-29T00:00:00"/>
    <s v="Nil"/>
    <m/>
    <m/>
    <m/>
    <s v="Affordable"/>
    <s v="AC"/>
    <s v=""/>
    <m/>
    <m/>
    <s v=""/>
    <n v="6"/>
    <m/>
    <m/>
    <n v="-1.25"/>
    <n v="-1.25"/>
    <n v="-1.25"/>
    <n v="-1.25"/>
    <m/>
    <m/>
    <m/>
    <m/>
    <m/>
    <m/>
    <m/>
    <m/>
    <m/>
    <m/>
    <m/>
    <m/>
    <m/>
    <n v="-5"/>
    <n v="-5"/>
  </r>
  <r>
    <n v="7766"/>
    <x v="2"/>
    <s v="2022/0494"/>
    <s v="421 Upper Richmond Road"/>
    <n v="522160"/>
    <n v="175461"/>
    <s v="Roehampton"/>
    <m/>
    <m/>
    <n v="0"/>
    <n v="0"/>
    <n v="0"/>
    <n v="0"/>
    <n v="0"/>
    <n v="0"/>
    <n v="0"/>
    <n v="0"/>
    <n v="0"/>
    <n v="0"/>
    <n v="0"/>
    <n v="0"/>
    <n v="0"/>
    <n v="0"/>
    <n v="0"/>
    <n v="0"/>
    <n v="9"/>
    <n v="0"/>
    <n v="-9"/>
    <n v="-5"/>
    <n v="-5"/>
    <s v="Use of property as a single dwelling (Class C3)."/>
    <s v="PFLA"/>
    <d v="2022-02-23T00:00:00"/>
    <d v="2022-11-29T00:00:00"/>
    <s v="Nil"/>
    <m/>
    <m/>
    <m/>
    <s v="Affordable"/>
    <s v="AC"/>
    <s v=""/>
    <m/>
    <m/>
    <s v=""/>
    <n v="6"/>
    <m/>
    <m/>
    <n v="-1.25"/>
    <n v="-1.25"/>
    <n v="-1.25"/>
    <n v="-1.25"/>
    <m/>
    <m/>
    <m/>
    <m/>
    <m/>
    <m/>
    <m/>
    <m/>
    <m/>
    <m/>
    <m/>
    <m/>
    <m/>
    <n v="-5"/>
    <n v="-5"/>
  </r>
  <r>
    <n v="2411"/>
    <x v="3"/>
    <s v="2022/3163"/>
    <s v="South Lambeth Goods Depot, Cringle St./Battersea Park Rd., Kirtling Street (Battersea Power Station)"/>
    <n v="528934"/>
    <n v="177496"/>
    <s v="Nine Elms"/>
    <d v="2016-05-16T00:00:00"/>
    <m/>
    <n v="0"/>
    <n v="0"/>
    <n v="0"/>
    <n v="0"/>
    <n v="0"/>
    <n v="0"/>
    <n v="0"/>
    <n v="0"/>
    <n v="0"/>
    <n v="0"/>
    <n v="0"/>
    <n v="0"/>
    <n v="0"/>
    <n v="0"/>
    <n v="0"/>
    <n v="0"/>
    <n v="0"/>
    <n v="0"/>
    <n v="0"/>
    <n v="0"/>
    <n v="0"/>
    <s v="Application under Section 96a of the Town and Country Planning Act 1990 for amendments to conditions 8 (floorspace restrictions) and 11 (maximum floorspace per development zone) to planning permission 2014/2837 dated 05/12/2014 (for &quot;Amendments to the planning permission dated the 29/04/14 (ref: 2013/6639) for the restoration, extension, alterations and conversion of the Power Station building to provide retail, residential flats, business, cultural, hotel and conference facilities, event space and incidental accommodation; the demolition of  other buildings and development of the land surrounding the Power Station and adjacent/nearby sites to provide retail, restaurants bars and cafes, offices, hotel, residential, community and cultural space, assembly and leisure space, student housing, serviced apartments, an energy centre and basement plant; parking for cars, coaches, motorcycles and bicycles; new access and internal road system and servicing; 'off-site' highway works; works to the jetty and riverwall to facilitate river transport and fuel delivery; provision of open space and landscaping.&quot;) The amendments relate to the change of use of five commercial units within phase 3A of the development from retail (class A1) to food and drink (class A3)."/>
    <s v="S96A"/>
    <d v="2022-07-28T00:00:00"/>
    <d v="2022-09-13T00:00:00"/>
    <s v="Nil"/>
    <m/>
    <d v="2016-05-16T00:00:00"/>
    <d v="2024-03-31T00:00:00"/>
    <s v="Open Market"/>
    <s v="M"/>
    <s v="2.1.1"/>
    <m/>
    <m/>
    <s v=""/>
    <n v="1"/>
    <n v="0"/>
    <m/>
    <m/>
    <m/>
    <m/>
    <m/>
    <m/>
    <m/>
    <m/>
    <m/>
    <m/>
    <m/>
    <m/>
    <m/>
    <m/>
    <m/>
    <m/>
    <m/>
    <m/>
    <n v="0"/>
    <n v="0"/>
  </r>
  <r>
    <n v="7348"/>
    <x v="3"/>
    <s v="2020/0444"/>
    <s v="29 Honeywell Road"/>
    <n v="527583"/>
    <n v="174336"/>
    <s v="Northcote"/>
    <d v="2022-07-01T00:00:00"/>
    <d v="2023-08-05T00:00:00"/>
    <n v="0"/>
    <n v="0"/>
    <n v="0"/>
    <n v="0"/>
    <n v="0"/>
    <n v="0"/>
    <n v="0"/>
    <n v="0"/>
    <n v="0"/>
    <n v="0"/>
    <n v="0"/>
    <n v="0"/>
    <n v="0"/>
    <n v="0"/>
    <n v="0"/>
    <n v="0"/>
    <n v="7"/>
    <n v="8"/>
    <n v="1"/>
    <n v="0.55555555555555558"/>
    <n v="0.55555555555555558"/>
    <s v="Alterations to include erection of a single-storey rear/side extension to increase HMO from 7 to 8 rooms."/>
    <s v="PF"/>
    <d v="2020-02-18T00:00:00"/>
    <d v="2020-05-20T00:00:00"/>
    <s v="Nil"/>
    <m/>
    <d v="2022-07-01T00:00:00"/>
    <d v="2023-08-05T00:00:00"/>
    <s v="Open Market"/>
    <s v="M"/>
    <s v=""/>
    <m/>
    <m/>
    <s v=""/>
    <n v="1"/>
    <n v="0.55555555555555558"/>
    <m/>
    <m/>
    <m/>
    <m/>
    <m/>
    <m/>
    <m/>
    <m/>
    <m/>
    <m/>
    <m/>
    <m/>
    <m/>
    <m/>
    <m/>
    <m/>
    <m/>
    <m/>
    <n v="0"/>
    <n v="0"/>
  </r>
  <r>
    <n v="7518"/>
    <x v="2"/>
    <s v="2021/0951"/>
    <s v="23 Elspeth Road"/>
    <n v="527807"/>
    <n v="175455"/>
    <s v="Lavender"/>
    <m/>
    <m/>
    <n v="0"/>
    <n v="0"/>
    <n v="0"/>
    <n v="0"/>
    <n v="0"/>
    <n v="0"/>
    <n v="0"/>
    <n v="0"/>
    <n v="0"/>
    <n v="0"/>
    <n v="0"/>
    <n v="0"/>
    <n v="0"/>
    <n v="0"/>
    <n v="0"/>
    <n v="0"/>
    <n v="0"/>
    <n v="7"/>
    <n v="7"/>
    <n v="3.8888888888888888"/>
    <n v="3.8888888888888888"/>
    <s v="Alterations including erection of single-storey rear/side extension and rear roof extension in connection with of change of use from 5-bedroom House of Multiple Occupation (Class C4) to 7-bedroom House of Multiple Occupation (Sui Generis)."/>
    <s v="PF"/>
    <d v="2021-03-18T00:00:00"/>
    <d v="2022-06-27T00:00:00"/>
    <s v="Nil"/>
    <m/>
    <m/>
    <m/>
    <s v="Open Market"/>
    <s v="M"/>
    <s v=""/>
    <m/>
    <m/>
    <s v=""/>
    <n v="6"/>
    <m/>
    <m/>
    <n v="0.97222222222222221"/>
    <n v="0.97222222222222221"/>
    <n v="0.97222222222222221"/>
    <n v="0.97222222222222221"/>
    <m/>
    <m/>
    <m/>
    <m/>
    <m/>
    <m/>
    <m/>
    <m/>
    <m/>
    <m/>
    <m/>
    <m/>
    <m/>
    <n v="3.8888888888888888"/>
    <n v="3.8888888888888888"/>
  </r>
  <r>
    <n v="7519"/>
    <x v="2"/>
    <s v="2021/0952"/>
    <s v="56 Elspeth Road"/>
    <n v="527864"/>
    <n v="175385"/>
    <s v="Lavender"/>
    <m/>
    <m/>
    <n v="0"/>
    <n v="0"/>
    <n v="0"/>
    <n v="0"/>
    <n v="0"/>
    <n v="0"/>
    <n v="0"/>
    <n v="0"/>
    <n v="0"/>
    <n v="0"/>
    <n v="0"/>
    <n v="0"/>
    <n v="0"/>
    <n v="0"/>
    <n v="0"/>
    <n v="0"/>
    <n v="0"/>
    <n v="7"/>
    <n v="7"/>
    <n v="3.8888888888888888"/>
    <n v="3.8888888888888888"/>
    <s v="Alterations including erection of single-storey rear/side extension and rear roof extension in connection with of change of use from 5-bedroom House of Multiple Occupation (Class C4) to 7-bedroom House of Multiple Occupation (Sui Generis)."/>
    <s v="PF"/>
    <d v="2021-03-18T00:00:00"/>
    <d v="2022-06-27T00:00:00"/>
    <s v="Nil"/>
    <m/>
    <m/>
    <m/>
    <s v="Open Market"/>
    <s v="M"/>
    <s v=""/>
    <m/>
    <m/>
    <s v=""/>
    <n v="6"/>
    <m/>
    <m/>
    <n v="0.97222222222222221"/>
    <n v="0.97222222222222221"/>
    <n v="0.97222222222222221"/>
    <n v="0.97222222222222221"/>
    <m/>
    <m/>
    <m/>
    <m/>
    <m/>
    <m/>
    <m/>
    <m/>
    <m/>
    <m/>
    <m/>
    <m/>
    <m/>
    <n v="3.8888888888888888"/>
    <n v="3.8888888888888888"/>
  </r>
  <r>
    <n v="7465"/>
    <x v="0"/>
    <s v="2020/2825"/>
    <s v="93 Garratt Terrace"/>
    <n v="527187"/>
    <n v="171602"/>
    <s v="Tooting Broadway"/>
    <d v="2023-10-23T00:00:00"/>
    <m/>
    <n v="0"/>
    <n v="0"/>
    <n v="0"/>
    <n v="0"/>
    <n v="0"/>
    <n v="0"/>
    <n v="0"/>
    <n v="0"/>
    <n v="0"/>
    <n v="0"/>
    <n v="0"/>
    <n v="0"/>
    <n v="0"/>
    <n v="0"/>
    <n v="0"/>
    <n v="0"/>
    <n v="7"/>
    <n v="9"/>
    <n v="2"/>
    <n v="1.1111111111111112"/>
    <n v="1.1111111111111112"/>
    <s v="Alterations including roof extension above three storey back addition; Erection of single-storey rear/side extension, installation of rooflights to front roof slope, in connection with conversion of existing property from 7 x bed HMO (Sui generis) to 9 x bed HMO (Sui generis)."/>
    <s v="PF"/>
    <d v="2020-09-03T00:00:00"/>
    <d v="2020-11-02T00:00:00"/>
    <s v="Nil"/>
    <m/>
    <d v="2023-10-23T00:00:00"/>
    <m/>
    <s v="Open Market"/>
    <s v="M"/>
    <s v=""/>
    <m/>
    <m/>
    <m/>
    <n v="3"/>
    <m/>
    <n v="0.55555555555555558"/>
    <n v="0.55555555555555558"/>
    <m/>
    <m/>
    <m/>
    <m/>
    <m/>
    <m/>
    <m/>
    <m/>
    <m/>
    <m/>
    <m/>
    <m/>
    <m/>
    <m/>
    <m/>
    <m/>
    <n v="1.1111111111111112"/>
    <n v="1.1111111111111112"/>
  </r>
  <r>
    <n v="7795"/>
    <x v="3"/>
    <s v="2022/2653"/>
    <s v="63 Elmfield Road"/>
    <n v="528490"/>
    <n v="172898"/>
    <s v="South Balham"/>
    <d v="2022-10-06T00:00:00"/>
    <d v="2023-04-01T00:00:00"/>
    <n v="0"/>
    <n v="0"/>
    <n v="0"/>
    <n v="0"/>
    <n v="0"/>
    <n v="0"/>
    <n v="0"/>
    <n v="0"/>
    <n v="0"/>
    <n v="0"/>
    <n v="0"/>
    <n v="0"/>
    <n v="0"/>
    <n v="0"/>
    <n v="0"/>
    <n v="0"/>
    <n v="0"/>
    <n v="0"/>
    <n v="0"/>
    <n v="0"/>
    <n v="0"/>
    <s v="Alterations to existing garage in connection with change of use from residential (Class C3) to a 2-person, 1-bed, short-term (holiday) let (Class C1)."/>
    <s v="PF"/>
    <d v="2022-08-04T00:00:00"/>
    <d v="2022-10-06T00:00:00"/>
    <s v="Nil"/>
    <m/>
    <d v="2022-10-06T00:00:00"/>
    <d v="2023-04-01T00:00:00"/>
    <s v="Open Market"/>
    <s v="M"/>
    <s v=""/>
    <m/>
    <m/>
    <s v=""/>
    <n v="1"/>
    <n v="0"/>
    <m/>
    <m/>
    <m/>
    <m/>
    <m/>
    <m/>
    <m/>
    <m/>
    <m/>
    <m/>
    <m/>
    <m/>
    <m/>
    <m/>
    <m/>
    <m/>
    <m/>
    <m/>
    <n v="0"/>
    <n v="0"/>
  </r>
  <r>
    <n v="7321"/>
    <x v="3"/>
    <s v="2020/4513"/>
    <s v="11-25 and 41-47, Chatfield Road"/>
    <n v="526389"/>
    <n v="175612"/>
    <s v="St Mary's"/>
    <d v="2021-06-17T00:00:00"/>
    <d v="2023-07-06T00:00:00"/>
    <n v="0"/>
    <n v="239"/>
    <n v="239"/>
    <n v="132.77777777777777"/>
    <n v="0"/>
    <n v="0"/>
    <n v="0"/>
    <n v="0"/>
    <n v="0"/>
    <n v="0"/>
    <n v="0"/>
    <n v="0"/>
    <n v="0"/>
    <n v="0"/>
    <n v="0"/>
    <n v="0"/>
    <n v="0"/>
    <n v="0"/>
    <n v="0"/>
    <n v="0"/>
    <n v="132.77777777777777"/>
    <s v="Variation of conditions 2 (in accordance with approved drawings) and 44 (shared-living and hotel room numbers) pursuant to planning permission dated 30/11/2020 ref 2019/5484 (Demolition of the existing buildings and erection of a podium building with two blocks above (up to 7- and 8-storeys) fronting Chatfield Road and Mendip Road comprising shared-living rooms (Sui Generis) and hotel (Class C1) with associated internal and external amenity space, office space (Class B1a), cafe/restaurant space (Class A3), flexible workspace and community space (Class B1/D1), landscaping, plant and associated works.) to allow 50 hotel rooms to become shared-living rooms, internal re-configuration including 7 additional shared-living rooms created following changes to internal amenity spaces (239 shared-living rooms and 31 hotel rooms now proposed) . Alterations to design and layout of windows and doors to ground floor of east and west elevations and first and seventh floors of north elevation."/>
    <s v="S73"/>
    <d v="2020-12-11T00:00:00"/>
    <d v="2021-07-21T00:00:00"/>
    <s v="Nil"/>
    <m/>
    <d v="2021-06-17T00:00:00"/>
    <d v="2023-07-06T00:00:00"/>
    <s v="Unknown"/>
    <s v="U"/>
    <s v="10.6"/>
    <m/>
    <m/>
    <s v="WH"/>
    <n v="1"/>
    <n v="132.77777777777777"/>
    <m/>
    <m/>
    <m/>
    <m/>
    <m/>
    <m/>
    <m/>
    <m/>
    <m/>
    <m/>
    <m/>
    <m/>
    <m/>
    <m/>
    <m/>
    <m/>
    <m/>
    <m/>
    <n v="0"/>
    <n v="0"/>
  </r>
  <r>
    <n v="7118"/>
    <x v="2"/>
    <s v="2019/4906"/>
    <s v="36 Graveney Road"/>
    <n v="527344"/>
    <n v="171674"/>
    <s v="Tooting Broadway"/>
    <m/>
    <m/>
    <n v="0"/>
    <n v="0"/>
    <n v="0"/>
    <n v="0"/>
    <n v="0"/>
    <n v="0"/>
    <n v="0"/>
    <n v="0"/>
    <n v="0"/>
    <n v="0"/>
    <n v="0"/>
    <n v="0"/>
    <n v="0"/>
    <n v="0"/>
    <n v="0"/>
    <n v="0"/>
    <n v="0"/>
    <n v="7"/>
    <n v="7"/>
    <n v="3.8888888888888888"/>
    <n v="3.8888888888888888"/>
    <s v="Alterations in connection with change of use from House in Multiple Occupation (Class C4) to a large House in Multiple Occupation (Sui Generis) for 7 persons."/>
    <s v="PF"/>
    <d v="2019-02-20T00:00:00"/>
    <d v="2020-10-28T00:00:00"/>
    <s v="Nil"/>
    <m/>
    <m/>
    <m/>
    <s v="Open Market"/>
    <s v="M"/>
    <s v=""/>
    <m/>
    <m/>
    <s v=""/>
    <n v="6"/>
    <m/>
    <m/>
    <n v="0.97222222222222221"/>
    <n v="0.97222222222222221"/>
    <n v="0.97222222222222221"/>
    <n v="0.97222222222222221"/>
    <m/>
    <m/>
    <m/>
    <m/>
    <m/>
    <m/>
    <m/>
    <m/>
    <m/>
    <m/>
    <m/>
    <m/>
    <m/>
    <n v="3.8888888888888888"/>
    <n v="3.8888888888888888"/>
  </r>
  <r>
    <n v="7235"/>
    <x v="3"/>
    <s v="2019/3539"/>
    <s v="95-97 Putney High Street"/>
    <n v="524049"/>
    <n v="175301"/>
    <s v="Thamesfield"/>
    <d v="2022-01-17T00:00:00"/>
    <d v="2024-03-31T00:00:00"/>
    <n v="0"/>
    <n v="0"/>
    <n v="0"/>
    <n v="0"/>
    <n v="0"/>
    <n v="0"/>
    <n v="0"/>
    <n v="0"/>
    <n v="0"/>
    <n v="0"/>
    <n v="0"/>
    <n v="0"/>
    <n v="0"/>
    <n v="0"/>
    <n v="0"/>
    <n v="0"/>
    <n v="0"/>
    <n v="16"/>
    <n v="16"/>
    <n v="8.8888888888888893"/>
    <n v="8.8888888888888893"/>
    <s v="Erection of single to three-storey rear and side extensions and formation of roof terraces at first and  third floor levels in connection with use of the upper floors as a 19 person HMO (Sui Generis) with refuse and cycle storage at the rear; restoration of the facade of No. 95."/>
    <s v="PF"/>
    <d v="2019-08-21T00:00:00"/>
    <d v="2019-10-16T00:00:00"/>
    <s v="Nil"/>
    <m/>
    <d v="2022-01-17T00:00:00"/>
    <d v="2024-03-31T00:00:00"/>
    <s v="Open Market"/>
    <s v="M"/>
    <s v=""/>
    <m/>
    <m/>
    <s v=""/>
    <n v="1"/>
    <n v="8.8888888888888893"/>
    <m/>
    <m/>
    <m/>
    <m/>
    <m/>
    <m/>
    <m/>
    <m/>
    <m/>
    <m/>
    <m/>
    <m/>
    <m/>
    <m/>
    <m/>
    <m/>
    <m/>
    <m/>
    <n v="0"/>
    <n v="0"/>
  </r>
  <r>
    <n v="4257"/>
    <x v="3"/>
    <s v="2021/4289"/>
    <s v="50-52 Upper Tooting Road"/>
    <n v="527846"/>
    <n v="172221"/>
    <s v="Tooting Bec"/>
    <d v="2022-03-31T00:00:00"/>
    <d v="2023-05-23T00:00:00"/>
    <n v="0"/>
    <n v="0"/>
    <n v="0"/>
    <n v="0"/>
    <n v="0"/>
    <n v="0"/>
    <n v="0"/>
    <n v="0"/>
    <n v="0"/>
    <n v="0"/>
    <n v="0"/>
    <n v="0"/>
    <n v="0"/>
    <n v="0"/>
    <n v="0"/>
    <n v="0"/>
    <n v="0"/>
    <n v="13"/>
    <n v="13"/>
    <n v="7.2222222222222223"/>
    <n v="7.2222222222222223"/>
    <s v="Alterations including demolition of single storey rear extensions and outbuildings at rear of Nos.50-52 and part change of use of rear ground floors from takeaway (Sui Generis) to HMO (Sui Generis) at No.50 and from retail (Class E) to HMO (Sui Generis) at No.52.  Erection of single storey side/rear extension at No.52, erection of two-storey rear extensions and extensions over part of back additions at Nos.50-52, increased height of extract flue in connection with creation of a 13 rooms House of Multiple Occupation."/>
    <s v="PF"/>
    <d v="2021-10-08T00:00:00"/>
    <d v="2022-02-03T00:00:00"/>
    <s v="Nil"/>
    <m/>
    <d v="2022-03-31T00:00:00"/>
    <d v="2023-05-23T00:00:00"/>
    <s v="Open Market"/>
    <s v="MR"/>
    <s v=""/>
    <m/>
    <m/>
    <s v=""/>
    <n v="1"/>
    <n v="7.2222222222222223"/>
    <m/>
    <m/>
    <m/>
    <m/>
    <m/>
    <m/>
    <m/>
    <m/>
    <m/>
    <m/>
    <m/>
    <m/>
    <m/>
    <m/>
    <m/>
    <m/>
    <m/>
    <m/>
    <n v="0"/>
    <n v="0"/>
  </r>
  <r>
    <n v="5438"/>
    <x v="0"/>
    <s v="2023/1052"/>
    <s v="The Richard Cusden Homes, 6-8 Aldrington Road (Redclyffe Care Home)"/>
    <n v="529422"/>
    <n v="171315"/>
    <s v="Furzedown"/>
    <d v="2024-03-31T00:00:00"/>
    <m/>
    <n v="0"/>
    <n v="0"/>
    <n v="0"/>
    <n v="0"/>
    <n v="0"/>
    <n v="14"/>
    <n v="14"/>
    <n v="7.7777777777777777"/>
    <n v="0"/>
    <n v="0"/>
    <n v="0"/>
    <n v="0"/>
    <n v="0"/>
    <n v="0"/>
    <n v="0"/>
    <n v="0"/>
    <n v="0"/>
    <n v="0"/>
    <n v="0"/>
    <n v="0"/>
    <n v="7.7777777777777777"/>
    <s v="Alterations including installation of panoramic lift to front elevation, replacement of front window with doors to create new entrance with staircase and canopy; alterations to layout of front car parking spaces with landscaping and installation of bin store; single storey rear extension, installation of pergola to rear garden, and installation of external air conditioning units in connection with use as rehabilitation centre (Class C2)."/>
    <s v="PF"/>
    <d v="2023-09-27T00:00:00"/>
    <d v="2023-11-27T00:00:00"/>
    <s v="Nil"/>
    <m/>
    <d v="2024-03-31T00:00:00"/>
    <m/>
    <s v="Other"/>
    <s v="O"/>
    <s v=""/>
    <m/>
    <m/>
    <m/>
    <n v="3"/>
    <m/>
    <n v="3.8888888888888888"/>
    <n v="3.8888888888888888"/>
    <m/>
    <m/>
    <m/>
    <m/>
    <m/>
    <m/>
    <m/>
    <m/>
    <m/>
    <m/>
    <m/>
    <m/>
    <m/>
    <m/>
    <m/>
    <m/>
    <n v="7.7777777777777777"/>
    <n v="7.7777777777777777"/>
  </r>
  <r>
    <n v="7787"/>
    <x v="3"/>
    <s v="2021/3294"/>
    <s v="34 Rogers Road"/>
    <n v="527051"/>
    <n v="171896"/>
    <s v="Tooting Broadway"/>
    <d v="2023-04-01T00:00:00"/>
    <d v="2023-04-01T00:00:00"/>
    <n v="0"/>
    <n v="0"/>
    <n v="0"/>
    <n v="0"/>
    <n v="0"/>
    <n v="0"/>
    <n v="0"/>
    <n v="0"/>
    <n v="0"/>
    <n v="0"/>
    <n v="0"/>
    <n v="0"/>
    <n v="0"/>
    <n v="0"/>
    <n v="0"/>
    <n v="0"/>
    <n v="0"/>
    <n v="7"/>
    <n v="7"/>
    <n v="3.8888888888888888"/>
    <n v="3.8888888888888888"/>
    <s v="Change of use from House of Multiple Occupation (Class C4) for up to 6 occupants to House of Multiple Occupation (Sui generis) for up to 10 occupants and provision of cycle and refuse storage within the front garden."/>
    <s v="PF"/>
    <d v="2021-07-27T00:00:00"/>
    <d v="2021-09-21T00:00:00"/>
    <s v="Nil"/>
    <m/>
    <d v="2023-04-01T00:00:00"/>
    <d v="2023-04-01T00:00:00"/>
    <s v="Open Market"/>
    <s v="MR"/>
    <s v=""/>
    <m/>
    <m/>
    <s v=""/>
    <n v="1"/>
    <n v="3.8888888888888888"/>
    <m/>
    <m/>
    <m/>
    <m/>
    <m/>
    <m/>
    <m/>
    <m/>
    <m/>
    <m/>
    <m/>
    <m/>
    <m/>
    <m/>
    <m/>
    <m/>
    <m/>
    <m/>
    <n v="0"/>
    <n v="0"/>
  </r>
  <r>
    <n v="6478"/>
    <x v="0"/>
    <s v="2021/5545"/>
    <s v="Palmerston Court, 1-3 Havelock Terrace"/>
    <n v="528953"/>
    <n v="177092"/>
    <s v="Shaftesbury &amp; Queenstown"/>
    <d v="2021-06-01T00:00:00"/>
    <m/>
    <n v="0"/>
    <n v="0"/>
    <n v="0"/>
    <n v="0"/>
    <n v="0"/>
    <n v="0"/>
    <n v="0"/>
    <n v="0"/>
    <n v="0"/>
    <n v="0"/>
    <n v="0"/>
    <n v="0"/>
    <n v="0"/>
    <n v="852"/>
    <n v="852"/>
    <n v="340.8"/>
    <n v="0"/>
    <n v="0"/>
    <n v="0"/>
    <n v="0"/>
    <n v="340.8"/>
    <s v="Non-Material Amendment under S96a of the Town and Country Planning Act (1990) to planning permission dated 08/03/2021 ref 2020/2837 (Demolition of all existing buildings and construction of 4 buildings ranging from double basement and ground plus up to 12 storeys to ground plus up to 20 storeys, comprising student accommodation and associated amenity areas (Sui-generis); office and enterprise business accommodation (Use Class B1); retail/cafe unit (Use Class A1); drinking establishment (Use Class A4) and other ancillary uses; public realm improvements; hard and soft landscaping works; plant equipment; servicing facilities including cycle parking and other associated works. An Environmental Statement has been submitted with the application under the Town and Country Planning (Environmental Impact Assessment) Regulations 2017 (as amended). Amendments to allow refinements to the building basses and entrances; fenestration and facade articulation and amendments to roof level to alter the parapet heights of Blocks B and D; the approved floor plan playouts; the student amenity provision and the student unit numbers."/>
    <s v="S96A"/>
    <d v="2021-12-08T00:00:00"/>
    <d v="2022-02-25T00:00:00"/>
    <s v="Nil"/>
    <m/>
    <d v="2021-06-01T00:00:00"/>
    <m/>
    <s v="Open Market"/>
    <s v="MR"/>
    <s v=""/>
    <m/>
    <m/>
    <m/>
    <n v="4"/>
    <m/>
    <n v="340.8"/>
    <m/>
    <m/>
    <m/>
    <m/>
    <m/>
    <m/>
    <m/>
    <m/>
    <m/>
    <m/>
    <m/>
    <m/>
    <m/>
    <m/>
    <m/>
    <m/>
    <m/>
    <n v="340.8"/>
    <n v="340.8"/>
  </r>
  <r>
    <n v="3307"/>
    <x v="2"/>
    <s v="2021/2079"/>
    <s v="St Augustine Vicarage, 99 Broadwater Road"/>
    <n v="527098"/>
    <n v="171727"/>
    <s v="Tooting Broadway"/>
    <m/>
    <m/>
    <n v="0"/>
    <n v="0"/>
    <n v="0"/>
    <n v="0"/>
    <n v="0"/>
    <n v="0"/>
    <n v="0"/>
    <n v="0"/>
    <n v="0"/>
    <n v="0"/>
    <n v="0"/>
    <n v="0"/>
    <n v="0"/>
    <n v="0"/>
    <n v="0"/>
    <n v="0"/>
    <n v="0"/>
    <n v="8"/>
    <n v="8"/>
    <n v="4.4444444444444446"/>
    <n v="4.4444444444444446"/>
    <s v="Alterations in connection with change of use from residential dwelling (Class C3) to house of multiple occupation (Sui Generis)."/>
    <s v="PF"/>
    <d v="2021-06-14T00:00:00"/>
    <d v="2022-04-20T00:00:00"/>
    <s v="Nil"/>
    <m/>
    <m/>
    <m/>
    <s v="Open Market"/>
    <s v="M"/>
    <s v=""/>
    <m/>
    <m/>
    <s v=""/>
    <n v="6"/>
    <m/>
    <m/>
    <n v="1.1111111111111112"/>
    <n v="1.1111111111111112"/>
    <n v="1.1111111111111112"/>
    <n v="1.1111111111111112"/>
    <m/>
    <m/>
    <m/>
    <m/>
    <m/>
    <m/>
    <m/>
    <m/>
    <m/>
    <m/>
    <m/>
    <m/>
    <m/>
    <n v="4.4444444444444446"/>
    <n v="4.4444444444444446"/>
  </r>
  <r>
    <n v="6497"/>
    <x v="2"/>
    <s v="2023/0613"/>
    <s v="64-64c Battersea Rise"/>
    <n v="527487"/>
    <n v="175150"/>
    <s v="Lavender"/>
    <m/>
    <m/>
    <n v="0"/>
    <n v="0"/>
    <n v="0"/>
    <n v="0"/>
    <n v="0"/>
    <n v="0"/>
    <n v="0"/>
    <n v="0"/>
    <n v="0"/>
    <n v="0"/>
    <n v="0"/>
    <n v="0"/>
    <n v="0"/>
    <n v="0"/>
    <n v="0"/>
    <n v="0"/>
    <n v="0"/>
    <n v="13"/>
    <n v="13"/>
    <n v="7.2222222222222223"/>
    <n v="7.2222222222222223"/>
    <s v="Alterations including erection of a roof extension to the main roof; Erection of part-two, part-three-storey rear extension; Formation of rear roof terraces with 0.8m high metal railing surround at second and third floors; Installation of French doors and safety railings to first floor rear elevation; Installation of replacement extraction duct and flue to rear elevation; Excavation to enlarge existing basement; In connection with change of use of upper floors from 2 x self-contained flats (Class C3), to 13-bed HMO (Sui Generis)."/>
    <s v="PF"/>
    <d v="2023-03-01T00:00:00"/>
    <d v="2023-10-25T00:00:00"/>
    <s v="Nil"/>
    <m/>
    <m/>
    <m/>
    <s v="Open Market"/>
    <s v="MR"/>
    <s v=""/>
    <m/>
    <m/>
    <s v=""/>
    <n v="6"/>
    <m/>
    <m/>
    <n v="1.8055555555555556"/>
    <n v="1.8055555555555556"/>
    <n v="1.8055555555555556"/>
    <n v="1.8055555555555556"/>
    <m/>
    <m/>
    <m/>
    <m/>
    <m/>
    <m/>
    <m/>
    <m/>
    <m/>
    <m/>
    <m/>
    <m/>
    <m/>
    <n v="7.2222222222222223"/>
    <n v="7.2222222222222223"/>
  </r>
  <r>
    <n v="6578"/>
    <x v="0"/>
    <s v="2020/2560"/>
    <s v="Hazel Court, Haydon Way"/>
    <n v="526555"/>
    <n v="175062"/>
    <s v="Wandsworth Town"/>
    <d v="2023-03-31T00:00:00"/>
    <m/>
    <n v="0"/>
    <n v="159"/>
    <n v="159"/>
    <n v="88.333333333333329"/>
    <n v="24"/>
    <n v="0"/>
    <n v="-24"/>
    <n v="-13.333333333333332"/>
    <n v="0"/>
    <n v="0"/>
    <n v="0"/>
    <n v="0"/>
    <n v="0"/>
    <n v="0"/>
    <n v="0"/>
    <n v="0"/>
    <n v="0"/>
    <n v="0"/>
    <n v="0"/>
    <n v="0"/>
    <n v="75"/>
    <s v="Demolition of existing building and the erection of a part 2 and 6 storey building comprising 159 co-living rooms (Sui Generis) including internal amenity space (with flexible events and community floor space), external amenities spaces (with external roof terraces at second, fourth and fifth floor levels), landscaping, plant, refuse and bicycle stores, and associated works."/>
    <s v="PFLA"/>
    <d v="2020-07-21T00:00:00"/>
    <d v="2020-12-04T00:00:00"/>
    <s v="APG"/>
    <n v="44456"/>
    <d v="2023-03-31T00:00:00"/>
    <m/>
    <s v="Open Market"/>
    <s v="M"/>
    <s v=""/>
    <m/>
    <m/>
    <m/>
    <n v="5"/>
    <m/>
    <m/>
    <n v="18.75"/>
    <n v="18.75"/>
    <n v="18.75"/>
    <n v="18.75"/>
    <m/>
    <m/>
    <m/>
    <m/>
    <m/>
    <m/>
    <m/>
    <m/>
    <m/>
    <m/>
    <m/>
    <m/>
    <m/>
    <n v="75"/>
    <n v="75"/>
  </r>
  <r>
    <n v="4918"/>
    <x v="2"/>
    <s v="2021/2594"/>
    <s v="Altura Tower, Bridges Court Road"/>
    <n v="526574"/>
    <n v="176050"/>
    <s v="St Mary's"/>
    <m/>
    <m/>
    <n v="0"/>
    <n v="0"/>
    <n v="0"/>
    <n v="0"/>
    <n v="0"/>
    <n v="96"/>
    <n v="96"/>
    <n v="53.333333333333329"/>
    <n v="0"/>
    <n v="0"/>
    <n v="0"/>
    <n v="0"/>
    <n v="0"/>
    <n v="0"/>
    <n v="0"/>
    <n v="0"/>
    <n v="0"/>
    <n v="0"/>
    <n v="0"/>
    <n v="0"/>
    <n v="53.333333333333329"/>
    <s v="Change of use from hotel and associated facilities (Class C1) on part of basement to mezzanine floors and on the first to fifth floors and thirteenth floor to 96 bedroom care home (Class C2) and associated facilities."/>
    <s v="PFLA"/>
    <d v="2021-07-23T00:00:00"/>
    <d v="2022-08-03T00:00:00"/>
    <s v="Nil"/>
    <m/>
    <m/>
    <m/>
    <s v="Other"/>
    <s v="O"/>
    <s v=""/>
    <m/>
    <m/>
    <s v=""/>
    <n v="9"/>
    <m/>
    <m/>
    <m/>
    <m/>
    <n v="17.777777777777775"/>
    <n v="17.777777777777775"/>
    <n v="17.777777777777775"/>
    <m/>
    <m/>
    <m/>
    <m/>
    <m/>
    <m/>
    <m/>
    <m/>
    <m/>
    <m/>
    <m/>
    <m/>
    <n v="35.55555555555555"/>
    <n v="53.333333333333329"/>
  </r>
  <r>
    <n v="7775"/>
    <x v="0"/>
    <s v="2021/5013"/>
    <s v="3 Culvert Road"/>
    <n v="527859"/>
    <n v="176519"/>
    <s v="Battersea Park"/>
    <d v="2019-03-31T00:00:00"/>
    <m/>
    <n v="0"/>
    <n v="213"/>
    <n v="213"/>
    <n v="118.33333333333333"/>
    <n v="0"/>
    <n v="0"/>
    <n v="0"/>
    <n v="0"/>
    <n v="0"/>
    <n v="0"/>
    <n v="0"/>
    <n v="0"/>
    <n v="0"/>
    <n v="0"/>
    <n v="0"/>
    <n v="0"/>
    <n v="0"/>
    <n v="0"/>
    <n v="0"/>
    <n v="0"/>
    <n v="118.33333333333333"/>
    <s v="Erection of buildings upto 18-storeys high plus basement comprising upto 213 shared-living units with associated internal and external amenity spaces (including outdoor terraces, gym, café, bar, lounge, workspace and kitchens), cycle storage, landscaping, servicing and associated works."/>
    <s v="PFLA"/>
    <d v="2021-11-01T00:00:00"/>
    <d v="2022-08-26T00:00:00"/>
    <s v="Nil"/>
    <m/>
    <d v="2019-03-31T00:00:00"/>
    <m/>
    <s v="Open Market"/>
    <s v="M"/>
    <s v=""/>
    <m/>
    <s v="Y"/>
    <s v="WH"/>
    <n v="5"/>
    <m/>
    <m/>
    <n v="29.583333333333332"/>
    <n v="29.583333333333332"/>
    <n v="29.583333333333332"/>
    <n v="29.583333333333332"/>
    <m/>
    <m/>
    <m/>
    <m/>
    <m/>
    <m/>
    <m/>
    <m/>
    <m/>
    <m/>
    <m/>
    <m/>
    <m/>
    <n v="118.33333333333333"/>
    <n v="118.33333333333333"/>
  </r>
  <r>
    <m/>
    <x v="4"/>
    <m/>
    <m/>
    <m/>
    <m/>
    <m/>
    <m/>
    <m/>
    <m/>
    <m/>
    <m/>
    <m/>
    <m/>
    <m/>
    <m/>
    <m/>
    <m/>
    <m/>
    <m/>
    <m/>
    <m/>
    <m/>
    <m/>
    <m/>
    <m/>
    <m/>
    <m/>
    <m/>
    <m/>
    <m/>
    <m/>
    <m/>
    <m/>
    <m/>
    <m/>
    <m/>
    <m/>
    <m/>
    <m/>
    <m/>
    <m/>
    <m/>
    <m/>
    <m/>
    <m/>
    <m/>
    <m/>
    <m/>
    <m/>
    <m/>
    <m/>
    <m/>
    <m/>
    <m/>
    <m/>
    <m/>
    <m/>
    <m/>
    <m/>
    <m/>
    <m/>
    <m/>
    <m/>
    <m/>
    <m/>
  </r>
  <r>
    <m/>
    <x v="4"/>
    <m/>
    <m/>
    <m/>
    <m/>
    <m/>
    <m/>
    <m/>
    <m/>
    <m/>
    <m/>
    <m/>
    <m/>
    <m/>
    <m/>
    <m/>
    <m/>
    <m/>
    <m/>
    <m/>
    <m/>
    <m/>
    <m/>
    <m/>
    <m/>
    <m/>
    <m/>
    <m/>
    <m/>
    <m/>
    <m/>
    <m/>
    <m/>
    <m/>
    <m/>
    <m/>
    <m/>
    <m/>
    <m/>
    <m/>
    <m/>
    <m/>
    <m/>
    <m/>
    <m/>
    <m/>
    <m/>
    <m/>
    <m/>
    <m/>
    <m/>
    <m/>
    <m/>
    <m/>
    <m/>
    <m/>
    <m/>
    <m/>
    <m/>
    <m/>
    <m/>
    <m/>
    <m/>
    <m/>
    <m/>
  </r>
  <r>
    <m/>
    <x v="4"/>
    <m/>
    <m/>
    <m/>
    <m/>
    <m/>
    <m/>
    <m/>
    <m/>
    <m/>
    <m/>
    <m/>
    <m/>
    <m/>
    <m/>
    <m/>
    <m/>
    <m/>
    <m/>
    <m/>
    <m/>
    <m/>
    <m/>
    <m/>
    <m/>
    <m/>
    <m/>
    <m/>
    <m/>
    <m/>
    <m/>
    <m/>
    <m/>
    <m/>
    <m/>
    <m/>
    <m/>
    <m/>
    <m/>
    <m/>
    <m/>
    <m/>
    <m/>
    <m/>
    <m/>
    <m/>
    <m/>
    <m/>
    <m/>
    <m/>
    <m/>
    <m/>
    <m/>
    <m/>
    <m/>
    <m/>
    <m/>
    <m/>
    <m/>
    <m/>
    <m/>
    <m/>
    <m/>
    <m/>
    <m/>
  </r>
  <r>
    <m/>
    <x v="4"/>
    <m/>
    <m/>
    <m/>
    <m/>
    <m/>
    <m/>
    <m/>
    <m/>
    <m/>
    <m/>
    <m/>
    <m/>
    <m/>
    <m/>
    <m/>
    <m/>
    <m/>
    <m/>
    <m/>
    <m/>
    <m/>
    <m/>
    <m/>
    <m/>
    <m/>
    <m/>
    <m/>
    <m/>
    <m/>
    <m/>
    <m/>
    <m/>
    <m/>
    <m/>
    <m/>
    <m/>
    <m/>
    <m/>
    <m/>
    <m/>
    <m/>
    <m/>
    <m/>
    <m/>
    <m/>
    <m/>
    <m/>
    <m/>
    <m/>
    <m/>
    <m/>
    <m/>
    <m/>
    <m/>
    <m/>
    <m/>
    <m/>
    <m/>
    <m/>
    <m/>
    <m/>
    <m/>
    <m/>
    <m/>
  </r>
  <r>
    <m/>
    <x v="4"/>
    <m/>
    <m/>
    <m/>
    <m/>
    <m/>
    <m/>
    <m/>
    <m/>
    <m/>
    <m/>
    <m/>
    <m/>
    <m/>
    <m/>
    <m/>
    <m/>
    <m/>
    <m/>
    <m/>
    <m/>
    <m/>
    <m/>
    <m/>
    <m/>
    <m/>
    <m/>
    <m/>
    <m/>
    <m/>
    <m/>
    <m/>
    <m/>
    <m/>
    <m/>
    <m/>
    <m/>
    <m/>
    <m/>
    <m/>
    <m/>
    <m/>
    <m/>
    <m/>
    <m/>
    <m/>
    <m/>
    <m/>
    <m/>
    <m/>
    <m/>
    <m/>
    <m/>
    <m/>
    <m/>
    <m/>
    <m/>
    <m/>
    <m/>
    <m/>
    <m/>
    <m/>
    <m/>
    <m/>
    <m/>
  </r>
  <r>
    <m/>
    <x v="4"/>
    <m/>
    <m/>
    <m/>
    <m/>
    <m/>
    <m/>
    <m/>
    <m/>
    <m/>
    <m/>
    <m/>
    <m/>
    <m/>
    <m/>
    <m/>
    <m/>
    <m/>
    <m/>
    <m/>
    <m/>
    <m/>
    <m/>
    <m/>
    <m/>
    <m/>
    <m/>
    <m/>
    <m/>
    <m/>
    <m/>
    <m/>
    <m/>
    <m/>
    <m/>
    <m/>
    <m/>
    <m/>
    <m/>
    <m/>
    <m/>
    <m/>
    <m/>
    <m/>
    <m/>
    <m/>
    <m/>
    <m/>
    <m/>
    <m/>
    <m/>
    <m/>
    <m/>
    <m/>
    <m/>
    <m/>
    <m/>
    <m/>
    <m/>
    <m/>
    <m/>
    <m/>
    <m/>
    <m/>
    <m/>
  </r>
  <r>
    <m/>
    <x v="4"/>
    <m/>
    <m/>
    <m/>
    <m/>
    <m/>
    <m/>
    <m/>
    <m/>
    <m/>
    <m/>
    <m/>
    <m/>
    <m/>
    <m/>
    <m/>
    <m/>
    <m/>
    <m/>
    <m/>
    <m/>
    <m/>
    <m/>
    <m/>
    <m/>
    <m/>
    <m/>
    <m/>
    <m/>
    <m/>
    <m/>
    <m/>
    <m/>
    <m/>
    <m/>
    <m/>
    <m/>
    <m/>
    <m/>
    <m/>
    <m/>
    <m/>
    <m/>
    <m/>
    <m/>
    <m/>
    <m/>
    <m/>
    <m/>
    <m/>
    <m/>
    <m/>
    <m/>
    <m/>
    <m/>
    <m/>
    <m/>
    <m/>
    <m/>
    <m/>
    <m/>
    <m/>
    <m/>
    <m/>
    <m/>
  </r>
  <r>
    <m/>
    <x v="4"/>
    <m/>
    <m/>
    <m/>
    <m/>
    <m/>
    <m/>
    <m/>
    <m/>
    <m/>
    <m/>
    <m/>
    <m/>
    <m/>
    <m/>
    <m/>
    <m/>
    <m/>
    <m/>
    <m/>
    <m/>
    <m/>
    <m/>
    <m/>
    <m/>
    <m/>
    <m/>
    <m/>
    <m/>
    <m/>
    <m/>
    <m/>
    <m/>
    <m/>
    <m/>
    <m/>
    <m/>
    <m/>
    <m/>
    <m/>
    <m/>
    <m/>
    <m/>
    <m/>
    <m/>
    <m/>
    <m/>
    <m/>
    <m/>
    <m/>
    <m/>
    <m/>
    <m/>
    <m/>
    <m/>
    <m/>
    <m/>
    <m/>
    <m/>
    <m/>
    <m/>
    <m/>
    <m/>
    <m/>
    <m/>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42">
  <r>
    <n v="4474"/>
    <x v="0"/>
    <s v="2014/5383"/>
    <s v="19-21 Mitcham Road"/>
    <s v=""/>
    <n v="527533"/>
    <n v="171477"/>
    <s v="Tooting Broadway"/>
    <d v="2019-08-06T00:00:00"/>
    <d v="2023-11-30T00:00:00"/>
    <n v="0"/>
    <n v="6"/>
    <n v="6"/>
    <n v="19"/>
    <n v="19"/>
    <s v="Y"/>
    <s v="Conversion of existing building at first, second, and third floor levels into 19 self contained apartments."/>
    <s v="PFLA"/>
    <d v="2014-09-09T00:00:00"/>
    <d v="2016-08-12T00:00:00"/>
    <m/>
    <s v="Nil"/>
    <m/>
    <s v="BF"/>
    <s v="COU"/>
    <x v="0"/>
    <x v="0"/>
    <n v="4.2999999999999997E-2"/>
    <d v="2019-08-06T00:00:00"/>
    <x v="0"/>
    <d v="2023-11-30T00:00:00"/>
    <s v="Intermediate"/>
    <s v="IR"/>
    <s v="5.2"/>
    <m/>
    <m/>
    <m/>
    <m/>
    <m/>
    <n v="0"/>
    <n v="3"/>
    <n v="3"/>
    <n v="0"/>
    <n v="0"/>
    <n v="0"/>
    <n v="0"/>
    <n v="0"/>
    <n v="3"/>
    <n v="3"/>
    <n v="0"/>
    <n v="0"/>
    <n v="0"/>
    <n v="0"/>
    <n v="0"/>
    <n v="0"/>
    <n v="0"/>
    <n v="0"/>
    <n v="0"/>
    <n v="0"/>
    <n v="0"/>
    <n v="0"/>
    <n v="0"/>
    <n v="0"/>
    <n v="0"/>
    <n v="0"/>
    <n v="0"/>
    <n v="0"/>
    <s v="Tooting"/>
    <m/>
    <s v="Tooting"/>
    <n v="11"/>
    <n v="6"/>
    <m/>
    <m/>
    <m/>
    <m/>
    <m/>
    <m/>
    <m/>
    <m/>
    <m/>
    <m/>
    <m/>
    <m/>
    <m/>
    <m/>
    <m/>
    <m/>
    <m/>
    <m/>
    <m/>
    <n v="0"/>
    <n v="0"/>
  </r>
  <r>
    <n v="4474"/>
    <x v="0"/>
    <s v="2014/5383"/>
    <s v="19-21 Mitcham Road"/>
    <s v=""/>
    <n v="527533"/>
    <n v="171477"/>
    <s v="Tooting Broadway"/>
    <d v="2019-08-06T00:00:00"/>
    <d v="2023-11-30T00:00:00"/>
    <n v="0"/>
    <n v="13"/>
    <n v="13"/>
    <n v="19"/>
    <n v="19"/>
    <s v="Y"/>
    <s v="Conversion of existing building at first, second, and third floor levels into 19 self contained apartments."/>
    <s v="PFLA"/>
    <d v="2014-09-09T00:00:00"/>
    <d v="2016-08-12T00:00:00"/>
    <m/>
    <s v="Nil"/>
    <m/>
    <s v="BF"/>
    <s v="COU"/>
    <x v="0"/>
    <x v="0"/>
    <n v="0.1"/>
    <d v="2019-08-06T00:00:00"/>
    <x v="0"/>
    <d v="2023-11-30T00:00:00"/>
    <s v="Open Market"/>
    <s v="MR"/>
    <s v="5.2"/>
    <m/>
    <n v="9"/>
    <m/>
    <n v="2"/>
    <m/>
    <n v="1"/>
    <n v="1"/>
    <n v="11"/>
    <n v="0"/>
    <n v="0"/>
    <n v="0"/>
    <n v="0"/>
    <n v="1"/>
    <n v="1"/>
    <n v="11"/>
    <n v="0"/>
    <n v="0"/>
    <n v="0"/>
    <n v="0"/>
    <n v="0"/>
    <n v="0"/>
    <n v="0"/>
    <n v="0"/>
    <n v="0"/>
    <n v="0"/>
    <n v="0"/>
    <n v="0"/>
    <n v="0"/>
    <n v="0"/>
    <n v="0"/>
    <n v="0"/>
    <n v="0"/>
    <n v="0"/>
    <s v="Tooting"/>
    <m/>
    <s v="Tooting"/>
    <n v="11"/>
    <n v="13"/>
    <m/>
    <m/>
    <m/>
    <m/>
    <m/>
    <m/>
    <m/>
    <m/>
    <m/>
    <m/>
    <m/>
    <m/>
    <m/>
    <m/>
    <m/>
    <m/>
    <m/>
    <m/>
    <m/>
    <n v="0"/>
    <n v="0"/>
  </r>
  <r>
    <n v="365"/>
    <x v="0"/>
    <s v="2014/5786"/>
    <s v="Market Towers, 1 Nine Elms Lane (One Nine Elms)"/>
    <s v="City Tower"/>
    <n v="530104"/>
    <n v="177808"/>
    <s v="Nine Elms"/>
    <d v="2015-08-12T00:00:00"/>
    <d v="2024-03-31T00:00:00"/>
    <n v="0"/>
    <n v="57"/>
    <n v="57"/>
    <n v="57"/>
    <n v="57"/>
    <s v="Y"/>
    <s v="Non material amendment to planning application 2014/0871 dated 26 August 2014 (for demolition of existing buildings and structures. Erection of two new buildings of  58 storeys (up to 200m above ground) and 43 storeys (up to 161m above ground) high to provide up to 491 residential units, retail uses (classes A1-A4); office space (class B1); a hotel (class C1) together with a high level viewing space; provision of private and public open spaces; vehicular access and reconfigured vehicular access routes; provision of cycle, motorcycle and car parking, servicing and energy centre within the two level basement; landscaping; excavation works; and other associated works) to allow internal changes to affordable housing units at levels 1-6 of the City Tower increasing the number of affordable units from 52 to 57."/>
    <s v="S96A"/>
    <d v="2014-10-08T00:00:00"/>
    <d v="2015-01-12T00:00:00"/>
    <m/>
    <s v="Nil"/>
    <m/>
    <s v="BF"/>
    <s v="NB"/>
    <x v="1"/>
    <x v="0"/>
    <n v="1.4E-2"/>
    <d v="2015-08-12T00:00:00"/>
    <x v="0"/>
    <d v="2024-03-31T00:00:00"/>
    <s v="Intermediate"/>
    <s v="ISO"/>
    <s v="2.1.12"/>
    <m/>
    <n v="57"/>
    <m/>
    <n v="6"/>
    <m/>
    <n v="0"/>
    <n v="35"/>
    <n v="22"/>
    <n v="0"/>
    <n v="0"/>
    <n v="0"/>
    <n v="0"/>
    <n v="0"/>
    <n v="35"/>
    <n v="22"/>
    <n v="0"/>
    <n v="0"/>
    <n v="0"/>
    <n v="0"/>
    <n v="0"/>
    <n v="0"/>
    <n v="0"/>
    <n v="0"/>
    <n v="0"/>
    <n v="0"/>
    <n v="0"/>
    <n v="0"/>
    <n v="0"/>
    <n v="0"/>
    <n v="0"/>
    <n v="0"/>
    <n v="0"/>
    <n v="0"/>
    <m/>
    <s v="Y"/>
    <s v="Nine Elms"/>
    <n v="1"/>
    <n v="57"/>
    <m/>
    <m/>
    <m/>
    <m/>
    <m/>
    <m/>
    <m/>
    <m/>
    <m/>
    <m/>
    <m/>
    <m/>
    <m/>
    <m/>
    <m/>
    <m/>
    <m/>
    <m/>
    <m/>
    <n v="0"/>
    <n v="0"/>
  </r>
  <r>
    <n v="5875"/>
    <x v="0"/>
    <s v="2015/0599"/>
    <s v="31 &amp; 32 Centurion Building, 376 Queenstown Road (Chelsea Bridge Wharf)"/>
    <s v=""/>
    <n v="528631"/>
    <n v="177662"/>
    <s v="Battersea Park"/>
    <d v="2019-03-21T00:00:00"/>
    <d v="2023-04-01T00:00:00"/>
    <n v="2"/>
    <n v="1"/>
    <n v="-1"/>
    <n v="1"/>
    <n v="-1"/>
    <m/>
    <s v="Internal alterations to convert apartments 31 and 32 into one self contained unit (Class Use C3)."/>
    <s v="PF"/>
    <d v="2015-02-18T00:00:00"/>
    <d v="2015-03-25T00:00:00"/>
    <m/>
    <s v="Nil"/>
    <m/>
    <s v="BF"/>
    <s v="CON"/>
    <x v="2"/>
    <x v="1"/>
    <n v="1.6E-2"/>
    <d v="2019-03-21T00:00:00"/>
    <x v="0"/>
    <d v="2023-04-01T00:00:00"/>
    <s v="Open Market"/>
    <s v="M"/>
    <s v=""/>
    <m/>
    <m/>
    <m/>
    <m/>
    <m/>
    <n v="0"/>
    <n v="0"/>
    <n v="-2"/>
    <n v="1"/>
    <n v="0"/>
    <n v="0"/>
    <n v="0"/>
    <n v="0"/>
    <n v="0"/>
    <n v="-2"/>
    <n v="1"/>
    <n v="0"/>
    <n v="0"/>
    <n v="0"/>
    <n v="0"/>
    <n v="0"/>
    <n v="0"/>
    <n v="0"/>
    <n v="0"/>
    <n v="0"/>
    <n v="0"/>
    <n v="0"/>
    <n v="0"/>
    <n v="0"/>
    <n v="0"/>
    <n v="0"/>
    <n v="0"/>
    <n v="0"/>
    <m/>
    <s v="Y"/>
    <s v="Nine Elms"/>
    <n v="11"/>
    <n v="-1"/>
    <m/>
    <m/>
    <m/>
    <m/>
    <m/>
    <m/>
    <m/>
    <m/>
    <m/>
    <m/>
    <m/>
    <m/>
    <m/>
    <m/>
    <m/>
    <m/>
    <m/>
    <m/>
    <m/>
    <n v="0"/>
    <n v="0"/>
  </r>
  <r>
    <n v="365"/>
    <x v="0"/>
    <s v="2015/5942"/>
    <s v="Market Towers, 1 Nine Elms Lane (One Nine Elms)"/>
    <s v=""/>
    <n v="530104"/>
    <n v="177808"/>
    <s v="Nine Elms"/>
    <d v="2015-08-12T00:00:00"/>
    <m/>
    <n v="0"/>
    <n v="437"/>
    <n v="437"/>
    <n v="437"/>
    <n v="437"/>
    <s v="Y"/>
    <s v="Non Material Amendment to planning application 2014/0871 dated 26 August 2014 &quot;for demolition of existing buildings and structures. Erection of two new buildings of  58 storeys (up to 200m above ground) and 43 storeys (up to 161m above ground) high to provide up to 491 residential units, retail uses (classes A1-A4); office space (class B1); a hotel (class C1) together with a high level viewing space; provision of private and public open spaces; vehicular access and reconfigured vehicular access routes; provision of cycle, motorcycle and car parking, servicing and energy centre within the two level basement; landscaping; excavation works; and other associated works&quot; to allow: changes to hotel internal layout including reconfiguration of mezzanine levels, alteration to residential layouts and mix, adjustment to structural slab height, alteration to viewing level and associated spaces, basement and ground level internal amendments together with adjustment to proposed façades."/>
    <s v="S96A"/>
    <d v="2016-06-15T00:00:00"/>
    <d v="2016-06-21T00:00:00"/>
    <m/>
    <s v="Nil"/>
    <m/>
    <s v="BF"/>
    <s v="NB"/>
    <x v="1"/>
    <x v="0"/>
    <n v="0.252"/>
    <d v="2015-08-12T00:00:00"/>
    <x v="0"/>
    <d v="2024-03-31T00:00:00"/>
    <s v="Open Market"/>
    <s v="M"/>
    <s v="2.1.12"/>
    <m/>
    <m/>
    <n v="44"/>
    <m/>
    <n v="395"/>
    <n v="0"/>
    <n v="117"/>
    <n v="181"/>
    <n v="129"/>
    <n v="10"/>
    <n v="0"/>
    <n v="0"/>
    <n v="0"/>
    <n v="117"/>
    <n v="181"/>
    <n v="129"/>
    <n v="10"/>
    <n v="0"/>
    <n v="0"/>
    <n v="0"/>
    <n v="0"/>
    <n v="0"/>
    <n v="0"/>
    <n v="0"/>
    <n v="0"/>
    <n v="0"/>
    <n v="0"/>
    <n v="0"/>
    <n v="0"/>
    <n v="0"/>
    <n v="0"/>
    <n v="0"/>
    <n v="0"/>
    <m/>
    <s v="Y"/>
    <s v="Nine Elms"/>
    <n v="1"/>
    <n v="437"/>
    <m/>
    <m/>
    <m/>
    <m/>
    <m/>
    <m/>
    <m/>
    <m/>
    <m/>
    <m/>
    <m/>
    <m/>
    <m/>
    <m/>
    <m/>
    <m/>
    <m/>
    <m/>
    <m/>
    <n v="0"/>
    <n v="0"/>
  </r>
  <r>
    <n v="6375"/>
    <x v="0"/>
    <s v="2016/4543"/>
    <s v="131 Lower Richmond Road"/>
    <s v=""/>
    <n v="523565"/>
    <n v="175816"/>
    <s v="Thamesfield"/>
    <d v="2017-09-05T00:00:00"/>
    <d v="2023-09-29T00:00:00"/>
    <n v="1"/>
    <n v="2"/>
    <n v="1"/>
    <n v="2"/>
    <n v="1"/>
    <m/>
    <s v="Proposed use of the first and second floors as two residential flats."/>
    <s v="LDC Prop"/>
    <d v="2016-08-01T00:00:00"/>
    <d v="2016-10-17T00:00:00"/>
    <m/>
    <s v="Nil"/>
    <m/>
    <s v="BF"/>
    <s v="COU"/>
    <x v="2"/>
    <x v="2"/>
    <n v="7.0000000000000001E-3"/>
    <d v="2017-09-05T00:00:00"/>
    <x v="0"/>
    <d v="2023-09-29T00:00:00"/>
    <s v="Open Market"/>
    <s v="M"/>
    <s v=""/>
    <m/>
    <m/>
    <m/>
    <m/>
    <m/>
    <n v="0"/>
    <n v="0"/>
    <n v="2"/>
    <n v="0"/>
    <n v="0"/>
    <n v="-1"/>
    <n v="0"/>
    <n v="0"/>
    <n v="0"/>
    <n v="2"/>
    <n v="0"/>
    <n v="0"/>
    <n v="-1"/>
    <n v="0"/>
    <n v="0"/>
    <n v="0"/>
    <n v="0"/>
    <n v="0"/>
    <n v="0"/>
    <n v="0"/>
    <n v="0"/>
    <n v="0"/>
    <n v="0"/>
    <n v="0"/>
    <n v="0"/>
    <n v="0"/>
    <n v="0"/>
    <n v="0"/>
    <m/>
    <m/>
    <s v="Rest of Borough"/>
    <n v="11"/>
    <n v="1"/>
    <m/>
    <m/>
    <m/>
    <m/>
    <m/>
    <m/>
    <m/>
    <m/>
    <m/>
    <m/>
    <m/>
    <m/>
    <m/>
    <m/>
    <m/>
    <m/>
    <m/>
    <m/>
    <m/>
    <n v="0"/>
    <n v="0"/>
  </r>
  <r>
    <n v="5298"/>
    <x v="0"/>
    <s v="2016/4655"/>
    <s v="16 Roehampton Gate"/>
    <s v=""/>
    <n v="521254"/>
    <n v="174526"/>
    <s v="Roehampton"/>
    <d v="2019-11-11T00:00:00"/>
    <d v="2023-07-24T00:00:00"/>
    <n v="0"/>
    <n v="1"/>
    <n v="1"/>
    <n v="1"/>
    <n v="1"/>
    <m/>
    <s v="Demolition of existing building and erection of a two-storey (plus basement and roof levels) house."/>
    <s v="PF"/>
    <d v="2016-08-08T00:00:00"/>
    <d v="2016-11-17T00:00:00"/>
    <m/>
    <s v="Nil"/>
    <m/>
    <s v="BF"/>
    <s v="NB"/>
    <x v="2"/>
    <x v="3"/>
    <n v="0.108"/>
    <d v="2019-11-11T00:00:00"/>
    <x v="0"/>
    <d v="2023-07-24T00:00:00"/>
    <s v="Open Market"/>
    <s v="M"/>
    <s v=""/>
    <m/>
    <n v="1"/>
    <m/>
    <n v="1"/>
    <m/>
    <n v="0"/>
    <n v="0"/>
    <n v="0"/>
    <n v="0"/>
    <n v="0"/>
    <n v="1"/>
    <n v="0"/>
    <n v="0"/>
    <n v="0"/>
    <n v="0"/>
    <n v="0"/>
    <n v="0"/>
    <n v="0"/>
    <n v="0"/>
    <n v="0"/>
    <n v="0"/>
    <n v="0"/>
    <n v="0"/>
    <n v="0"/>
    <n v="1"/>
    <n v="0"/>
    <n v="0"/>
    <n v="0"/>
    <n v="0"/>
    <n v="0"/>
    <n v="0"/>
    <n v="0"/>
    <n v="0"/>
    <m/>
    <m/>
    <s v="Rest of Borough"/>
    <n v="1"/>
    <n v="1"/>
    <m/>
    <m/>
    <m/>
    <m/>
    <m/>
    <m/>
    <m/>
    <m/>
    <m/>
    <m/>
    <m/>
    <m/>
    <m/>
    <m/>
    <m/>
    <m/>
    <m/>
    <m/>
    <m/>
    <n v="0"/>
    <n v="0"/>
  </r>
  <r>
    <n v="4865"/>
    <x v="0"/>
    <s v="2016/5341"/>
    <s v="1 Withycombe Road"/>
    <s v="demolition"/>
    <n v="523686"/>
    <n v="173656"/>
    <s v="West Hill"/>
    <d v="2020-03-31T00:00:00"/>
    <m/>
    <n v="1"/>
    <n v="0"/>
    <n v="-1"/>
    <n v="2"/>
    <n v="1"/>
    <m/>
    <s v="Demolition of existing house and erection of two, two-storey (plus basement) 3 -bedroom semi-detached houses including new boundary treatment."/>
    <s v="PF"/>
    <d v="2016-09-13T00:00:00"/>
    <d v="2016-11-08T00:00:00"/>
    <m/>
    <s v="Nil"/>
    <m/>
    <s v="BF"/>
    <s v="NB"/>
    <x v="2"/>
    <x v="3"/>
    <n v="0"/>
    <d v="2020-03-31T00:00:00"/>
    <x v="0"/>
    <d v="2023-04-01T00:00:00"/>
    <s v="Open Market"/>
    <s v="M"/>
    <s v=""/>
    <m/>
    <m/>
    <m/>
    <m/>
    <m/>
    <n v="0"/>
    <n v="0"/>
    <n v="-1"/>
    <n v="0"/>
    <n v="0"/>
    <n v="0"/>
    <n v="0"/>
    <n v="0"/>
    <n v="0"/>
    <n v="0"/>
    <n v="0"/>
    <n v="0"/>
    <n v="0"/>
    <n v="0"/>
    <n v="0"/>
    <n v="0"/>
    <n v="-1"/>
    <n v="0"/>
    <n v="0"/>
    <n v="0"/>
    <n v="0"/>
    <n v="0"/>
    <n v="0"/>
    <n v="0"/>
    <n v="0"/>
    <n v="0"/>
    <n v="0"/>
    <n v="0"/>
    <m/>
    <m/>
    <s v="Rest of Borough"/>
    <n v="1"/>
    <n v="-1"/>
    <m/>
    <m/>
    <m/>
    <m/>
    <m/>
    <m/>
    <m/>
    <m/>
    <m/>
    <m/>
    <m/>
    <m/>
    <m/>
    <m/>
    <m/>
    <m/>
    <m/>
    <m/>
    <m/>
    <n v="0"/>
    <n v="0"/>
  </r>
  <r>
    <n v="6525"/>
    <x v="0"/>
    <s v="2017/1159"/>
    <s v="6 Leacroft Avenue"/>
    <s v=""/>
    <n v="527828"/>
    <n v="173720"/>
    <s v="Balham"/>
    <d v="2018-05-07T00:00:00"/>
    <d v="2023-04-04T00:00:00"/>
    <n v="1"/>
    <n v="1"/>
    <n v="0"/>
    <n v="1"/>
    <n v="0"/>
    <m/>
    <s v="Demolition of existing building and erection of a three storey (plus basement with rear lightwell) 5-bedroom detached house."/>
    <s v="PF"/>
    <d v="2017-02-27T00:00:00"/>
    <d v="2017-07-03T00:00:00"/>
    <m/>
    <s v="Nil"/>
    <m/>
    <s v="BF"/>
    <s v="NB"/>
    <x v="2"/>
    <x v="3"/>
    <n v="4.02E-2"/>
    <d v="2018-05-07T00:00:00"/>
    <x v="0"/>
    <d v="2023-04-04T00:00:00"/>
    <s v="Open Market"/>
    <s v="M"/>
    <s v=""/>
    <m/>
    <m/>
    <m/>
    <m/>
    <m/>
    <n v="0"/>
    <n v="0"/>
    <n v="0"/>
    <n v="-1"/>
    <n v="0"/>
    <n v="1"/>
    <n v="0"/>
    <n v="0"/>
    <n v="0"/>
    <n v="0"/>
    <n v="0"/>
    <n v="0"/>
    <n v="0"/>
    <n v="0"/>
    <n v="0"/>
    <n v="0"/>
    <n v="0"/>
    <n v="-1"/>
    <n v="0"/>
    <n v="1"/>
    <n v="0"/>
    <n v="0"/>
    <n v="0"/>
    <n v="0"/>
    <n v="0"/>
    <n v="0"/>
    <n v="0"/>
    <n v="0"/>
    <m/>
    <m/>
    <s v="Rest of Borough"/>
    <n v="1"/>
    <n v="0"/>
    <m/>
    <m/>
    <m/>
    <m/>
    <m/>
    <m/>
    <m/>
    <m/>
    <m/>
    <m/>
    <m/>
    <m/>
    <m/>
    <m/>
    <m/>
    <m/>
    <m/>
    <m/>
    <m/>
    <n v="0"/>
    <n v="0"/>
  </r>
  <r>
    <n v="6030"/>
    <x v="0"/>
    <s v="2017/1573"/>
    <s v="8 Akehurst Street"/>
    <s v=""/>
    <n v="522262"/>
    <n v="173980"/>
    <s v="Roehampton"/>
    <d v="2021-06-07T00:00:00"/>
    <d v="2024-01-24T00:00:00"/>
    <n v="0"/>
    <n v="2"/>
    <n v="2"/>
    <n v="2"/>
    <n v="2"/>
    <m/>
    <s v="Erection of 2 x 5-bedroom three storey detached houses with associated landscaping, parking and cycle store."/>
    <s v="PF"/>
    <d v="2017-03-16T00:00:00"/>
    <d v="2018-06-27T00:00:00"/>
    <m/>
    <s v="Nil"/>
    <m/>
    <s v="BF"/>
    <s v="NB"/>
    <x v="2"/>
    <x v="3"/>
    <n v="6.8000000000000005E-2"/>
    <d v="2021-06-07T00:00:00"/>
    <x v="0"/>
    <d v="2024-01-24T00:00:00"/>
    <s v="Open Market"/>
    <s v="M"/>
    <s v=""/>
    <m/>
    <m/>
    <m/>
    <m/>
    <m/>
    <n v="0"/>
    <n v="0"/>
    <n v="0"/>
    <n v="0"/>
    <n v="0"/>
    <n v="2"/>
    <n v="0"/>
    <n v="0"/>
    <n v="0"/>
    <n v="0"/>
    <n v="0"/>
    <n v="0"/>
    <n v="0"/>
    <n v="0"/>
    <n v="0"/>
    <n v="0"/>
    <n v="0"/>
    <n v="0"/>
    <n v="0"/>
    <n v="2"/>
    <n v="0"/>
    <n v="0"/>
    <n v="0"/>
    <n v="0"/>
    <n v="0"/>
    <n v="0"/>
    <n v="0"/>
    <n v="0"/>
    <m/>
    <m/>
    <s v="Rest of Borough"/>
    <n v="1"/>
    <n v="2"/>
    <m/>
    <m/>
    <m/>
    <m/>
    <m/>
    <m/>
    <m/>
    <m/>
    <m/>
    <m/>
    <m/>
    <m/>
    <m/>
    <m/>
    <m/>
    <m/>
    <m/>
    <m/>
    <m/>
    <n v="0"/>
    <n v="0"/>
  </r>
  <r>
    <n v="6667"/>
    <x v="0"/>
    <s v="2017/4326"/>
    <s v="14 Valonia Gardens"/>
    <s v=""/>
    <n v="524795"/>
    <n v="174423"/>
    <s v="East Putney"/>
    <d v="2021-05-18T00:00:00"/>
    <d v="2023-11-17T00:00:00"/>
    <n v="1"/>
    <n v="1"/>
    <n v="0"/>
    <n v="1"/>
    <n v="0"/>
    <m/>
    <s v="Demolition of existing detached dwellinghouse and the erection of a replacement two-storey (plus roof accomodation) 4-bedroom detached dwellinghouse."/>
    <s v="PF"/>
    <d v="2017-08-02T00:00:00"/>
    <d v="2017-11-24T00:00:00"/>
    <m/>
    <s v="Nil"/>
    <m/>
    <s v="BF"/>
    <s v="NB"/>
    <x v="2"/>
    <x v="3"/>
    <n v="4.2999999999999997E-2"/>
    <d v="2021-05-18T00:00:00"/>
    <x v="0"/>
    <d v="2023-11-17T00:00:00"/>
    <s v="Open Market"/>
    <s v="M"/>
    <s v=""/>
    <m/>
    <m/>
    <m/>
    <m/>
    <m/>
    <n v="0"/>
    <n v="0"/>
    <n v="0"/>
    <n v="0"/>
    <n v="1"/>
    <n v="-1"/>
    <n v="0"/>
    <n v="0"/>
    <n v="0"/>
    <n v="0"/>
    <n v="0"/>
    <n v="0"/>
    <n v="0"/>
    <n v="0"/>
    <n v="0"/>
    <n v="0"/>
    <n v="0"/>
    <n v="0"/>
    <n v="1"/>
    <n v="-1"/>
    <n v="0"/>
    <n v="0"/>
    <n v="0"/>
    <n v="0"/>
    <n v="0"/>
    <n v="0"/>
    <n v="0"/>
    <n v="0"/>
    <m/>
    <m/>
    <s v="Rest of Borough"/>
    <n v="1"/>
    <n v="0"/>
    <m/>
    <m/>
    <m/>
    <m/>
    <m/>
    <m/>
    <m/>
    <m/>
    <m/>
    <m/>
    <m/>
    <m/>
    <m/>
    <m/>
    <m/>
    <m/>
    <m/>
    <m/>
    <m/>
    <n v="0"/>
    <n v="0"/>
  </r>
  <r>
    <n v="3521"/>
    <x v="0"/>
    <s v="2017/5837"/>
    <s v="Peabody Estate, St Johns Hill"/>
    <s v="Phase 3"/>
    <n v="527156"/>
    <n v="175243"/>
    <s v="Lavender"/>
    <d v="2020-02-01T00:00:00"/>
    <m/>
    <n v="28"/>
    <n v="0"/>
    <n v="-28"/>
    <n v="446"/>
    <n v="204"/>
    <s v="Y"/>
    <s v="Variation of condition 15 (in accordance with approved drawings) pursuant to planning permission dated 18/10/2012 ref 2012/1258 (Demolition of all existing buildings. Erection of five buildings of 4-12, 4-8, 7, 5-7 and 4-6 storeys to provide 527 residential units (135 x 1 bed, 261 x 2 bed,105 x 3 bed and 26 x 4 bed), with approx. 7800 square metres of private, communal and public space and public routes. Car parking (121 spaces within basement and 15 spaces at grade), 687 cycle parking spaces plus approximately 530 square metres of community space in the centre of the site and approximately 569 square metres of commercial space (classes A1-A5 (retail, financial and professional services, cafe/restaurant, take away, pub/bar and/or B1 office use) at the northern end of the site. Vehicular accesses from Comyn Road and Eckstein Road and emergency access from St John's Hill and Strath Terrace.) to allow:_x000a_Plot 2: two storey increase allowing an additional 23 flats and change in tenure to older persons social rent only, removal of basement carparking;_x000a_Plot 3: two story increase to the centre tower allowing an additional 11 flats and change in tenure to private rent only;_x000a_Plot 6: one storey increase allowing three additional flats;_x000a_Plot 7: four additional flats (through internal reconfigurations);_x000a_Plot 8: loss of one flat;_x000a_Plot 9: One storey increase to the western section, extension of southern section facing Comyn Road to close the building gap and removal of corner feature to Comyn Road to allow 31 additional flats, inclusion of parking below podium level;_x000a_General alterations to fenestration and finishes to accommodate changes and reconfiguration of carparking resulting in a loss of 28 spaces. Overall reconfiguration results in 599 residential units across the site."/>
    <s v="S73"/>
    <d v="2017-10-20T00:00:00"/>
    <d v="2019-01-15T00:00:00"/>
    <m/>
    <s v="Nil"/>
    <m/>
    <s v="BF"/>
    <s v="NB"/>
    <x v="1"/>
    <x v="0"/>
    <n v="0"/>
    <d v="2023-10-31T00:00:00"/>
    <x v="1"/>
    <d v="2023-10-31T00:00:00"/>
    <s v="Open Market"/>
    <s v="M"/>
    <s v="4.1.5"/>
    <m/>
    <m/>
    <m/>
    <m/>
    <m/>
    <n v="-1"/>
    <n v="-12"/>
    <n v="-12"/>
    <n v="-3"/>
    <n v="0"/>
    <n v="0"/>
    <n v="0"/>
    <n v="-1"/>
    <n v="-12"/>
    <n v="-12"/>
    <n v="-3"/>
    <n v="0"/>
    <n v="0"/>
    <n v="0"/>
    <n v="0"/>
    <n v="0"/>
    <n v="0"/>
    <n v="0"/>
    <n v="0"/>
    <n v="0"/>
    <n v="0"/>
    <n v="0"/>
    <n v="0"/>
    <n v="0"/>
    <n v="0"/>
    <n v="0"/>
    <n v="0"/>
    <n v="0"/>
    <m/>
    <m/>
    <s v="Clapham Junction and York Road / Winstanley Regeneration Area"/>
    <n v="1"/>
    <n v="-28"/>
    <m/>
    <m/>
    <m/>
    <m/>
    <m/>
    <m/>
    <m/>
    <m/>
    <m/>
    <m/>
    <m/>
    <m/>
    <m/>
    <m/>
    <m/>
    <m/>
    <m/>
    <m/>
    <m/>
    <n v="0"/>
    <n v="0"/>
  </r>
  <r>
    <n v="3521"/>
    <x v="0"/>
    <s v="2017/5837"/>
    <s v="Peabody Estate, St Johns Hill"/>
    <s v="Phase 3"/>
    <n v="527156"/>
    <n v="175243"/>
    <s v="Lavender"/>
    <d v="2020-02-01T00:00:00"/>
    <m/>
    <n v="56"/>
    <n v="0"/>
    <n v="-56"/>
    <n v="446"/>
    <n v="204"/>
    <s v="Y"/>
    <s v="Variation of condition 15 (in accordance with approved drawings) pursuant to planning permission dated 18/10/2012 ref 2012/1258 (Demolition of all existing buildings. Erection of five buildings of 4-12, 4-8, 7, 5-7 and 4-6 storeys to provide 527 residential units (135 x 1 bed, 261 x 2 bed,105 x 3 bed and 26 x 4 bed), with approx. 7800 square metres of private, communal and public space and public routes. Car parking (121 spaces within basement and 15 spaces at grade), 687 cycle parking spaces plus approximately 530 square metres of community space in the centre of the site and approximately 569 square metres of commercial space (classes A1-A5 (retail, financial and professional services, cafe/restaurant, take away, pub/bar and/or B1 office use) at the northern end of the site. Vehicular accesses from Comyn Road and Eckstein Road and emergency access from St John's Hill and Strath Terrace.) to allow:_x000a_Plot 2: two storey increase allowing an additional 23 flats and change in tenure to older persons social rent only, removal of basement carparking;_x000a_Plot 3: two story increase to the centre tower allowing an additional 11 flats and change in tenure to private rent only;_x000a_Plot 6: one storey increase allowing three additional flats;_x000a_Plot 7: four additional flats (through internal reconfigurations);_x000a_Plot 8: loss of one flat;_x000a_Plot 9: One storey increase to the western section, extension of southern section facing Comyn Road to close the building gap and removal of corner feature to Comyn Road to allow 31 additional flats, inclusion of parking below podium level;_x000a_General alterations to fenestration and finishes to accommodate changes and reconfiguration of carparking resulting in a loss of 28 spaces. Overall reconfiguration results in 599 residential units across the site."/>
    <s v="S73"/>
    <d v="2017-10-20T00:00:00"/>
    <d v="2019-01-15T00:00:00"/>
    <m/>
    <s v="Nil"/>
    <m/>
    <s v="BF"/>
    <s v="NB"/>
    <x v="1"/>
    <x v="0"/>
    <n v="0"/>
    <d v="2023-10-31T00:00:00"/>
    <x v="1"/>
    <d v="2023-10-31T00:00:00"/>
    <s v="Social/Affordable Rent"/>
    <s v="AS"/>
    <s v="4.1.5"/>
    <m/>
    <m/>
    <m/>
    <m/>
    <m/>
    <n v="-1"/>
    <n v="-18"/>
    <n v="-22"/>
    <n v="-15"/>
    <n v="0"/>
    <n v="0"/>
    <n v="0"/>
    <n v="-1"/>
    <n v="-18"/>
    <n v="-22"/>
    <n v="-15"/>
    <n v="0"/>
    <n v="0"/>
    <n v="0"/>
    <n v="0"/>
    <n v="0"/>
    <n v="0"/>
    <n v="0"/>
    <n v="0"/>
    <n v="0"/>
    <n v="0"/>
    <n v="0"/>
    <n v="0"/>
    <n v="0"/>
    <n v="0"/>
    <n v="0"/>
    <n v="0"/>
    <n v="0"/>
    <m/>
    <m/>
    <s v="Clapham Junction and York Road / Winstanley Regeneration Area"/>
    <n v="1"/>
    <n v="-56"/>
    <m/>
    <m/>
    <m/>
    <m/>
    <m/>
    <m/>
    <m/>
    <m/>
    <m/>
    <m/>
    <m/>
    <m/>
    <m/>
    <m/>
    <m/>
    <m/>
    <m/>
    <m/>
    <m/>
    <n v="0"/>
    <n v="0"/>
  </r>
  <r>
    <n v="3943"/>
    <x v="0"/>
    <s v="2017/6764"/>
    <s v="Royal Mail Group Site, Ponton Road (Nine Elms Park)"/>
    <s v="Plots B and D2/D3"/>
    <n v="529575"/>
    <n v="177401"/>
    <s v="Nine Elms"/>
    <d v="2019-09-03T00:00:00"/>
    <m/>
    <n v="0"/>
    <n v="131"/>
    <n v="131"/>
    <n v="894"/>
    <n v="894"/>
    <s v="Y"/>
    <s v="Reserved Matters application for scale, layout, access, external appearance and landscaping pursuant to Condition 3 of planning application 2017/6762 for &quot;Minor Material Amendment pursuant to conditions 1, 2, 9, 11, 15, 32 and 41 of part outline and part detailed planning permission 2016/2424, dated 23rd January 2017 for Minor Material Amendment pursuant to conditions 3 , 9 , 10 , 13 , 18 , 32 and 41 of part outline/part detailed planning permission 2011/2462, dated 30/03/12 for demolition of all existing buildings and construction of mixed use redevelopment comprising 7 building plots with buildings up to 23 storeys to provide residential units; commercial and community floorspace; associated basement parking and part of the 'Nine Elms Linear Park'. All matters reserved apart from appearance and scale of Blocks B1, D1 &amp; G and two new access points from Nine Elms Lane.&quot;"/>
    <s v="DT"/>
    <d v="2017-12-12T00:00:00"/>
    <d v="2019-03-29T00:00:00"/>
    <m/>
    <s v="Nil"/>
    <m/>
    <s v="BF"/>
    <s v="NB"/>
    <x v="1"/>
    <x v="0"/>
    <n v="0.128"/>
    <d v="2019-09-03T00:00:00"/>
    <x v="0"/>
    <d v="2024-03-31T00:00:00"/>
    <s v="Intermediate"/>
    <s v="IRD"/>
    <s v="2.1.18"/>
    <m/>
    <m/>
    <n v="118"/>
    <m/>
    <n v="13"/>
    <n v="0"/>
    <n v="36"/>
    <n v="89"/>
    <n v="6"/>
    <n v="0"/>
    <n v="0"/>
    <n v="0"/>
    <n v="0"/>
    <n v="36"/>
    <n v="89"/>
    <n v="6"/>
    <n v="0"/>
    <n v="0"/>
    <n v="0"/>
    <n v="0"/>
    <n v="0"/>
    <n v="0"/>
    <n v="0"/>
    <n v="0"/>
    <n v="0"/>
    <n v="0"/>
    <n v="0"/>
    <n v="0"/>
    <n v="0"/>
    <n v="0"/>
    <n v="0"/>
    <n v="0"/>
    <n v="0"/>
    <m/>
    <s v="Y"/>
    <s v="Nine Elms"/>
    <n v="1"/>
    <n v="131"/>
    <m/>
    <m/>
    <m/>
    <m/>
    <m/>
    <m/>
    <m/>
    <m/>
    <m/>
    <m/>
    <m/>
    <m/>
    <m/>
    <m/>
    <m/>
    <m/>
    <m/>
    <m/>
    <m/>
    <n v="0"/>
    <n v="0"/>
  </r>
  <r>
    <n v="3943"/>
    <x v="0"/>
    <s v="2017/6764"/>
    <s v="Royal Mail Group Site, Ponton Road (Nine Elms Park)"/>
    <s v="Plots B and D2/D3"/>
    <n v="529575"/>
    <n v="177401"/>
    <s v="Nine Elms"/>
    <d v="2019-09-03T00:00:00"/>
    <m/>
    <n v="0"/>
    <n v="622"/>
    <n v="622"/>
    <n v="894"/>
    <n v="894"/>
    <s v="Y"/>
    <s v="Reserved Matters application for scale, layout, access, external appearance and landscaping pursuant to Condition 3 of planning application 2017/6762 for &quot;Minor Material Amendment pursuant to conditions 1, 2, 9, 11, 15, 32 and 41 of part outline and part detailed planning permission 2016/2424, dated 23rd January 2017 for Minor Material Amendment pursuant to conditions 3 , 9 , 10 , 13 , 18 , 32 and 41 of part outline/part detailed planning permission 2011/2462, dated 30/03/12 for demolition of all existing buildings and construction of mixed use redevelopment comprising 7 building plots with buildings up to 23 storeys to provide residential units; commercial and community floorspace; associated basement parking and part of the 'Nine Elms Linear Park'. All matters reserved apart from appearance and scale of Blocks B1, D1 &amp; G and two new access points from Nine Elms Lane.&quot;"/>
    <s v="DT"/>
    <d v="2017-12-12T00:00:00"/>
    <d v="2019-03-29T00:00:00"/>
    <m/>
    <s v="Nil"/>
    <m/>
    <s v="BF"/>
    <s v="NB"/>
    <x v="1"/>
    <x v="0"/>
    <n v="0.60799999999999998"/>
    <d v="2019-09-03T00:00:00"/>
    <x v="0"/>
    <d v="2024-03-31T00:00:00"/>
    <s v="Open Market"/>
    <s v="MR"/>
    <s v="2.1.18"/>
    <m/>
    <m/>
    <n v="560"/>
    <m/>
    <n v="62"/>
    <n v="160"/>
    <n v="133"/>
    <n v="264"/>
    <n v="65"/>
    <n v="0"/>
    <n v="0"/>
    <n v="0"/>
    <n v="160"/>
    <n v="133"/>
    <n v="264"/>
    <n v="65"/>
    <n v="0"/>
    <n v="0"/>
    <n v="0"/>
    <n v="0"/>
    <n v="0"/>
    <n v="0"/>
    <n v="0"/>
    <n v="0"/>
    <n v="0"/>
    <n v="0"/>
    <n v="0"/>
    <n v="0"/>
    <n v="0"/>
    <n v="0"/>
    <n v="0"/>
    <n v="0"/>
    <n v="0"/>
    <m/>
    <s v="Y"/>
    <s v="Nine Elms"/>
    <n v="1"/>
    <n v="622"/>
    <m/>
    <m/>
    <m/>
    <m/>
    <m/>
    <m/>
    <m/>
    <m/>
    <m/>
    <m/>
    <m/>
    <m/>
    <m/>
    <m/>
    <m/>
    <m/>
    <m/>
    <m/>
    <m/>
    <n v="0"/>
    <n v="0"/>
  </r>
  <r>
    <n v="6765"/>
    <x v="0"/>
    <s v="2017/6846"/>
    <s v="Garages north of Fordyce House, Colson way"/>
    <s v=""/>
    <n v="529291"/>
    <n v="171713"/>
    <s v="Furzedown"/>
    <d v="2021-11-26T00:00:00"/>
    <d v="2023-11-10T00:00:00"/>
    <n v="0"/>
    <n v="8"/>
    <n v="8"/>
    <n v="8"/>
    <n v="8"/>
    <m/>
    <s v="Demolition of 2 rows of existing lock-up garages and construction of a three-storey building designed specifically for wheelchair and ambulant users (8 no. 1-bedroom residential units). Landscaping and street improvement works with the construction of a new refuse store for Fordyce House."/>
    <s v="PF"/>
    <d v="2017-12-21T00:00:00"/>
    <d v="2018-11-23T00:00:00"/>
    <m/>
    <s v="Nil"/>
    <m/>
    <s v="BF"/>
    <s v="NB"/>
    <x v="2"/>
    <x v="3"/>
    <n v="3.6999999999999998E-2"/>
    <d v="2021-11-26T00:00:00"/>
    <x v="0"/>
    <d v="2023-11-10T00:00:00"/>
    <s v="Social/Affordable Rent"/>
    <s v="AC"/>
    <s v=""/>
    <m/>
    <m/>
    <m/>
    <m/>
    <m/>
    <n v="0"/>
    <n v="8"/>
    <n v="0"/>
    <n v="0"/>
    <n v="0"/>
    <n v="0"/>
    <n v="0"/>
    <n v="0"/>
    <n v="8"/>
    <n v="0"/>
    <n v="0"/>
    <n v="0"/>
    <n v="0"/>
    <n v="0"/>
    <n v="0"/>
    <n v="0"/>
    <n v="0"/>
    <n v="0"/>
    <n v="0"/>
    <n v="0"/>
    <n v="0"/>
    <n v="0"/>
    <n v="0"/>
    <n v="0"/>
    <n v="0"/>
    <n v="0"/>
    <n v="0"/>
    <n v="0"/>
    <m/>
    <m/>
    <s v="Rest of Borough"/>
    <n v="1"/>
    <n v="8"/>
    <m/>
    <m/>
    <m/>
    <m/>
    <m/>
    <m/>
    <m/>
    <m/>
    <m/>
    <m/>
    <m/>
    <m/>
    <m/>
    <m/>
    <m/>
    <m/>
    <m/>
    <m/>
    <m/>
    <n v="0"/>
    <n v="0"/>
  </r>
  <r>
    <n v="4084"/>
    <x v="0"/>
    <s v="2018/0195"/>
    <s v="22 Trinity Road"/>
    <s v=""/>
    <n v="527971"/>
    <n v="172408"/>
    <s v="Trinity"/>
    <d v="2018-04-20T00:00:00"/>
    <d v="2023-04-12T00:00:00"/>
    <n v="0"/>
    <n v="1"/>
    <n v="1"/>
    <n v="3"/>
    <n v="2"/>
    <m/>
    <s v="Alterations including demolition of rear elevation, replacement shopfront, erection of mansard roof extension to create an additional storey of residential accommodation, erection of part single, part two storey rear extension, insertion of mezzanine floors, excavation of basement and conversion of ground floor shop from Sui Generis (mini-cab office) to part Class A1 (shop) and part Class C3 (residential) to create 2 x 1-bedroom flats and a studio flat."/>
    <s v="PF"/>
    <d v="2018-01-15T00:00:00"/>
    <d v="2018-04-20T00:00:00"/>
    <m/>
    <s v="Nil"/>
    <m/>
    <s v="BF"/>
    <s v="MIX"/>
    <x v="2"/>
    <x v="3"/>
    <n v="3.0000000000000001E-3"/>
    <d v="2018-04-20T00:00:00"/>
    <x v="0"/>
    <d v="2023-04-12T00:00:00"/>
    <s v="Open Market"/>
    <s v="M"/>
    <s v=""/>
    <m/>
    <m/>
    <m/>
    <m/>
    <m/>
    <n v="1"/>
    <n v="0"/>
    <n v="0"/>
    <n v="0"/>
    <n v="0"/>
    <n v="0"/>
    <n v="0"/>
    <n v="1"/>
    <n v="0"/>
    <n v="0"/>
    <n v="0"/>
    <n v="0"/>
    <n v="0"/>
    <n v="0"/>
    <n v="0"/>
    <n v="0"/>
    <n v="0"/>
    <n v="0"/>
    <n v="0"/>
    <n v="0"/>
    <n v="0"/>
    <n v="0"/>
    <n v="0"/>
    <n v="0"/>
    <n v="0"/>
    <n v="0"/>
    <n v="0"/>
    <n v="0"/>
    <m/>
    <m/>
    <s v="Rest of Borough"/>
    <n v="11"/>
    <n v="1"/>
    <m/>
    <m/>
    <m/>
    <m/>
    <m/>
    <m/>
    <m/>
    <m/>
    <m/>
    <m/>
    <m/>
    <m/>
    <m/>
    <m/>
    <m/>
    <m/>
    <m/>
    <m/>
    <m/>
    <n v="0"/>
    <n v="0"/>
  </r>
  <r>
    <n v="4084"/>
    <x v="0"/>
    <s v="2018/0195"/>
    <s v="22 Trinity Road"/>
    <s v=""/>
    <n v="527971"/>
    <n v="172408"/>
    <s v="Trinity"/>
    <d v="2018-04-20T00:00:00"/>
    <d v="2023-04-12T00:00:00"/>
    <n v="0"/>
    <n v="1"/>
    <n v="1"/>
    <n v="3"/>
    <n v="2"/>
    <m/>
    <s v="Alterations including demolition of rear elevation, replacement shopfront, erection of mansard roof extension to create an additional storey of residential accommodation, erection of part single, part two storey rear extension, insertion of mezzanine floors, excavation of basement and conversion of ground floor shop from Sui Generis (mini-cab office) to part Class A1 (shop) and part Class C3 (residential) to create 2 x 1-bedroom flats and a studio flat."/>
    <s v="PF"/>
    <d v="2018-01-15T00:00:00"/>
    <d v="2018-04-20T00:00:00"/>
    <m/>
    <s v="Nil"/>
    <m/>
    <s v="BF"/>
    <s v="MIX"/>
    <x v="2"/>
    <x v="4"/>
    <n v="3.0000000000000001E-3"/>
    <d v="2018-04-20T00:00:00"/>
    <x v="0"/>
    <d v="2023-04-12T00:00:00"/>
    <s v="Open Market"/>
    <s v="M"/>
    <s v=""/>
    <m/>
    <m/>
    <m/>
    <m/>
    <n v="1"/>
    <n v="0"/>
    <n v="1"/>
    <n v="0"/>
    <n v="0"/>
    <n v="0"/>
    <n v="0"/>
    <n v="0"/>
    <n v="0"/>
    <n v="1"/>
    <n v="0"/>
    <n v="0"/>
    <n v="0"/>
    <n v="0"/>
    <n v="0"/>
    <n v="0"/>
    <n v="0"/>
    <n v="0"/>
    <n v="0"/>
    <n v="0"/>
    <n v="0"/>
    <n v="0"/>
    <n v="0"/>
    <n v="0"/>
    <n v="0"/>
    <n v="0"/>
    <n v="0"/>
    <n v="0"/>
    <n v="0"/>
    <m/>
    <m/>
    <s v="Rest of Borough"/>
    <n v="11"/>
    <n v="1"/>
    <m/>
    <m/>
    <m/>
    <m/>
    <m/>
    <m/>
    <m/>
    <m/>
    <m/>
    <m/>
    <m/>
    <m/>
    <m/>
    <m/>
    <m/>
    <m/>
    <m/>
    <m/>
    <m/>
    <n v="0"/>
    <n v="0"/>
  </r>
  <r>
    <n v="4084"/>
    <x v="0"/>
    <s v="2018/0195"/>
    <s v="22 Trinity Road"/>
    <s v=""/>
    <n v="527971"/>
    <n v="172408"/>
    <s v="Trinity"/>
    <d v="2018-04-20T00:00:00"/>
    <d v="2023-04-12T00:00:00"/>
    <n v="1"/>
    <n v="1"/>
    <n v="0"/>
    <n v="3"/>
    <n v="2"/>
    <m/>
    <s v="Alterations including demolition of rear elevation, replacement shopfront, erection of mansard roof extension to create an additional storey of residential accommodation, erection of part single, part two storey rear extension, insertion of mezzanine floors, excavation of basement and conversion of ground floor shop from Sui Generis (mini-cab office) to part Class A1 (shop) and part Class C3 (residential) to create 2 x 1-bedroom flats and a studio flat."/>
    <s v="PF"/>
    <d v="2018-01-15T00:00:00"/>
    <d v="2018-04-20T00:00:00"/>
    <m/>
    <s v="Nil"/>
    <m/>
    <s v="BF"/>
    <s v="MIX"/>
    <x v="2"/>
    <x v="5"/>
    <n v="3.0000000000000001E-3"/>
    <d v="2018-04-20T00:00:00"/>
    <x v="0"/>
    <d v="2023-04-12T00:00:00"/>
    <s v="Open Market"/>
    <s v="M"/>
    <s v=""/>
    <m/>
    <m/>
    <m/>
    <m/>
    <m/>
    <n v="-1"/>
    <n v="1"/>
    <n v="0"/>
    <n v="0"/>
    <n v="0"/>
    <n v="0"/>
    <n v="0"/>
    <n v="-1"/>
    <n v="1"/>
    <n v="0"/>
    <n v="0"/>
    <n v="0"/>
    <n v="0"/>
    <n v="0"/>
    <n v="0"/>
    <n v="0"/>
    <n v="0"/>
    <n v="0"/>
    <n v="0"/>
    <n v="0"/>
    <n v="0"/>
    <n v="0"/>
    <n v="0"/>
    <n v="0"/>
    <n v="0"/>
    <n v="0"/>
    <n v="0"/>
    <n v="0"/>
    <m/>
    <m/>
    <s v="Rest of Borough"/>
    <n v="11"/>
    <n v="0"/>
    <m/>
    <m/>
    <m/>
    <m/>
    <m/>
    <m/>
    <m/>
    <m/>
    <m/>
    <m/>
    <m/>
    <m/>
    <m/>
    <m/>
    <m/>
    <m/>
    <m/>
    <m/>
    <m/>
    <n v="0"/>
    <n v="0"/>
  </r>
  <r>
    <n v="3745"/>
    <x v="0"/>
    <s v="2018/0210"/>
    <s v="Land rear of 4-24, Thrale Road (Land rear of Mitcham Lane)"/>
    <s v="Block A"/>
    <n v="529291"/>
    <n v="171210"/>
    <s v="Furzedown"/>
    <d v="2020-11-01T00:00:00"/>
    <d v="2023-10-24T00:00:00"/>
    <n v="0"/>
    <n v="6"/>
    <n v="6"/>
    <n v="28"/>
    <n v="28"/>
    <s v="Y"/>
    <s v="Erection of 22 residential units (6x1bedroom, 10x2-bedroom and 6x3-bedroom) within three two/three-storey buildings accessed from Thrale Road (between Nos. 16 and 18 Thrale Road) with associated car and cycle parking, refuse storage and landscaping."/>
    <s v="PFLA"/>
    <d v="2018-03-05T00:00:00"/>
    <d v="2020-08-11T00:00:00"/>
    <m/>
    <s v="Nil"/>
    <m/>
    <s v="BF"/>
    <s v="NB"/>
    <x v="1"/>
    <x v="0"/>
    <n v="4.7E-2"/>
    <d v="2020-11-01T00:00:00"/>
    <x v="0"/>
    <d v="2023-10-24T00:00:00"/>
    <s v="Intermediate"/>
    <s v="ISO"/>
    <s v=""/>
    <m/>
    <m/>
    <m/>
    <m/>
    <n v="1"/>
    <n v="0"/>
    <n v="2"/>
    <n v="4"/>
    <n v="0"/>
    <n v="0"/>
    <n v="0"/>
    <n v="0"/>
    <n v="0"/>
    <n v="2"/>
    <n v="4"/>
    <n v="0"/>
    <n v="0"/>
    <n v="0"/>
    <n v="0"/>
    <n v="0"/>
    <n v="0"/>
    <n v="0"/>
    <n v="0"/>
    <n v="0"/>
    <n v="0"/>
    <n v="0"/>
    <n v="0"/>
    <n v="0"/>
    <n v="0"/>
    <n v="0"/>
    <n v="0"/>
    <n v="0"/>
    <n v="0"/>
    <m/>
    <m/>
    <s v="Rest of Borough"/>
    <n v="1"/>
    <n v="6"/>
    <m/>
    <m/>
    <m/>
    <m/>
    <m/>
    <m/>
    <m/>
    <m/>
    <m/>
    <m/>
    <m/>
    <m/>
    <m/>
    <m/>
    <m/>
    <m/>
    <m/>
    <m/>
    <m/>
    <n v="0"/>
    <n v="0"/>
  </r>
  <r>
    <n v="6825"/>
    <x v="0"/>
    <s v="2018/0816"/>
    <s v="Unit 11-12 Ransomes Dock Business Centre, 35-37 Parkgate Road (Ransomes Dock Business Centre)"/>
    <s v=""/>
    <n v="527310"/>
    <n v="177159"/>
    <s v="Battersea Park"/>
    <d v="2023-03-31T00:00:00"/>
    <d v="2023-04-01T00:00:00"/>
    <n v="0"/>
    <n v="1"/>
    <n v="1"/>
    <n v="1"/>
    <n v="1"/>
    <m/>
    <s v="Determination as to whether prior approval is required for change of use of office at second floor level (Use Class B1(a) to residential (Use Class 3) to provide 1 x 2 bedroom flat."/>
    <s v="PANR"/>
    <d v="2018-02-20T00:00:00"/>
    <d v="2018-04-05T00:00:00"/>
    <m/>
    <s v="Nil"/>
    <m/>
    <s v="BF"/>
    <s v="COU"/>
    <x v="2"/>
    <x v="6"/>
    <n v="1.0999999999999999E-2"/>
    <d v="2023-03-31T00:00:00"/>
    <x v="0"/>
    <d v="2023-04-01T00:00:00"/>
    <s v="Open Market"/>
    <s v="M"/>
    <s v=""/>
    <m/>
    <m/>
    <m/>
    <m/>
    <m/>
    <n v="0"/>
    <n v="0"/>
    <n v="1"/>
    <n v="0"/>
    <n v="0"/>
    <n v="0"/>
    <n v="0"/>
    <n v="0"/>
    <n v="0"/>
    <n v="1"/>
    <n v="0"/>
    <n v="0"/>
    <n v="0"/>
    <n v="0"/>
    <n v="0"/>
    <n v="0"/>
    <n v="0"/>
    <n v="0"/>
    <n v="0"/>
    <n v="0"/>
    <n v="0"/>
    <n v="0"/>
    <n v="0"/>
    <n v="0"/>
    <n v="0"/>
    <n v="0"/>
    <n v="0"/>
    <n v="0"/>
    <m/>
    <m/>
    <s v="Wandsworth riverside"/>
    <n v="11"/>
    <n v="1"/>
    <m/>
    <m/>
    <m/>
    <m/>
    <m/>
    <m/>
    <m/>
    <m/>
    <m/>
    <m/>
    <m/>
    <m/>
    <m/>
    <m/>
    <m/>
    <m/>
    <m/>
    <m/>
    <m/>
    <n v="0"/>
    <n v="0"/>
  </r>
  <r>
    <n v="967"/>
    <x v="0"/>
    <s v="2018/3390"/>
    <s v="29 Wimbledon Park Road"/>
    <s v="First Floor"/>
    <n v="525095"/>
    <n v="174084"/>
    <s v="East Putney"/>
    <d v="2021-09-29T00:00:00"/>
    <d v="2023-10-20T00:00:00"/>
    <n v="0"/>
    <n v="2"/>
    <n v="2"/>
    <n v="8"/>
    <n v="4"/>
    <m/>
    <s v="Alterations including; replacement of garage door with windows on front elevation; altered lightwell and new fenestration at lower ground floor level on front elevation; new windows to ground and first floor levels of rear elevation; formation of first floor level rear balcony; erection of first floor level side east extension; removal of window on south-west facing side elevation; erection of refuse and cycle storage in front/side garden. All works in connection with conversion from four flats to 2 x 1-bedroom, 4 x 2-bedroom, 2 x 3 bedroom flats."/>
    <s v="PF"/>
    <d v="2018-07-10T00:00:00"/>
    <d v="2018-11-22T00:00:00"/>
    <m/>
    <s v="Nil"/>
    <m/>
    <s v="BF"/>
    <s v="CON"/>
    <x v="2"/>
    <x v="7"/>
    <n v="1.7999999999999999E-2"/>
    <d v="2021-09-29T00:00:00"/>
    <x v="0"/>
    <d v="2023-10-20T00:00:00"/>
    <s v="Open Market"/>
    <s v="M"/>
    <s v=""/>
    <m/>
    <m/>
    <m/>
    <m/>
    <m/>
    <n v="0"/>
    <n v="0"/>
    <n v="2"/>
    <n v="0"/>
    <n v="0"/>
    <n v="0"/>
    <n v="0"/>
    <n v="0"/>
    <n v="0"/>
    <n v="2"/>
    <n v="0"/>
    <n v="0"/>
    <n v="0"/>
    <n v="0"/>
    <n v="0"/>
    <n v="0"/>
    <n v="0"/>
    <n v="0"/>
    <n v="0"/>
    <n v="0"/>
    <n v="0"/>
    <n v="0"/>
    <n v="0"/>
    <n v="0"/>
    <n v="0"/>
    <n v="0"/>
    <n v="0"/>
    <n v="0"/>
    <m/>
    <m/>
    <s v="Rest of Borough"/>
    <n v="11"/>
    <n v="2"/>
    <m/>
    <m/>
    <m/>
    <m/>
    <m/>
    <m/>
    <m/>
    <m/>
    <m/>
    <m/>
    <m/>
    <m/>
    <m/>
    <m/>
    <m/>
    <m/>
    <m/>
    <m/>
    <m/>
    <n v="0"/>
    <n v="0"/>
  </r>
  <r>
    <n v="967"/>
    <x v="0"/>
    <s v="2018/3390"/>
    <s v="29 Wimbledon Park Road"/>
    <s v="Lower Ground"/>
    <n v="525095"/>
    <n v="174084"/>
    <s v="East Putney"/>
    <d v="2021-09-29T00:00:00"/>
    <d v="2023-10-20T00:00:00"/>
    <n v="4"/>
    <n v="2"/>
    <n v="-2"/>
    <n v="8"/>
    <n v="4"/>
    <m/>
    <s v="Alterations including; replacement of garage door with windows on front elevation; altered lightwell and new fenestration at lower ground floor level on front elevation; new windows to ground and first floor levels of rear elevation; formation of first floor level rear balcony; erection of first floor level side east extension; removal of window on south-west facing side elevation; erection of refuse and cycle storage in front/side garden. All works in connection with conversion from four flats to 2 x 1-bedroom, 4 x 2-bedroom, 2 x 3 bedroom flats."/>
    <s v="PF"/>
    <d v="2018-07-10T00:00:00"/>
    <d v="2018-11-22T00:00:00"/>
    <m/>
    <s v="Nil"/>
    <m/>
    <s v="BF"/>
    <s v="CON"/>
    <x v="2"/>
    <x v="7"/>
    <n v="2.5999999999999999E-2"/>
    <d v="2021-09-29T00:00:00"/>
    <x v="0"/>
    <d v="2023-10-20T00:00:00"/>
    <s v="Open Market"/>
    <s v="M"/>
    <s v=""/>
    <m/>
    <m/>
    <m/>
    <m/>
    <m/>
    <n v="0"/>
    <n v="-1"/>
    <n v="-1"/>
    <n v="0"/>
    <n v="0"/>
    <n v="0"/>
    <n v="0"/>
    <n v="0"/>
    <n v="-1"/>
    <n v="-1"/>
    <n v="0"/>
    <n v="0"/>
    <n v="0"/>
    <n v="0"/>
    <n v="0"/>
    <n v="0"/>
    <n v="0"/>
    <n v="0"/>
    <n v="0"/>
    <n v="0"/>
    <n v="0"/>
    <n v="0"/>
    <n v="0"/>
    <n v="0"/>
    <n v="0"/>
    <n v="0"/>
    <n v="0"/>
    <n v="0"/>
    <m/>
    <m/>
    <s v="Rest of Borough"/>
    <n v="11"/>
    <n v="-2"/>
    <m/>
    <m/>
    <m/>
    <m/>
    <m/>
    <m/>
    <m/>
    <m/>
    <m/>
    <m/>
    <m/>
    <m/>
    <m/>
    <m/>
    <m/>
    <m/>
    <m/>
    <m/>
    <m/>
    <n v="0"/>
    <n v="0"/>
  </r>
  <r>
    <n v="967"/>
    <x v="0"/>
    <s v="2018/3390"/>
    <s v="29 Wimbledon Park Road"/>
    <s v="Second Floor"/>
    <n v="525095"/>
    <n v="174084"/>
    <s v="East Putney"/>
    <d v="2021-09-29T00:00:00"/>
    <d v="2023-10-20T00:00:00"/>
    <n v="0"/>
    <n v="2"/>
    <n v="2"/>
    <n v="8"/>
    <n v="4"/>
    <m/>
    <s v="Alterations including; replacement of garage door with windows on front elevation; altered lightwell and new fenestration at lower ground floor level on front elevation; new windows to ground and first floor levels of rear elevation; formation of first floor level rear balcony; erection of first floor level side east extension; removal of window on south-west facing side elevation; erection of refuse and cycle storage in front/side garden. All works in connection with conversion from four flats to 2 x 1-bedroom, 4 x 2-bedroom, 2 x 3 bedroom flats."/>
    <s v="PF"/>
    <d v="2018-07-10T00:00:00"/>
    <d v="2018-11-22T00:00:00"/>
    <m/>
    <s v="Nil"/>
    <m/>
    <s v="BF"/>
    <s v="CON"/>
    <x v="2"/>
    <x v="5"/>
    <n v="1.2999999999999999E-2"/>
    <d v="2021-09-29T00:00:00"/>
    <x v="0"/>
    <d v="2023-10-20T00:00:00"/>
    <s v="Open Market"/>
    <s v="M"/>
    <s v=""/>
    <m/>
    <m/>
    <m/>
    <m/>
    <m/>
    <n v="0"/>
    <n v="1"/>
    <n v="1"/>
    <n v="0"/>
    <n v="0"/>
    <n v="0"/>
    <n v="0"/>
    <n v="0"/>
    <n v="1"/>
    <n v="1"/>
    <n v="0"/>
    <n v="0"/>
    <n v="0"/>
    <n v="0"/>
    <n v="0"/>
    <n v="0"/>
    <n v="0"/>
    <n v="0"/>
    <n v="0"/>
    <n v="0"/>
    <n v="0"/>
    <n v="0"/>
    <n v="0"/>
    <n v="0"/>
    <n v="0"/>
    <n v="0"/>
    <n v="0"/>
    <n v="0"/>
    <m/>
    <m/>
    <s v="Rest of Borough"/>
    <n v="11"/>
    <n v="2"/>
    <m/>
    <m/>
    <m/>
    <m/>
    <m/>
    <m/>
    <m/>
    <m/>
    <m/>
    <m/>
    <m/>
    <m/>
    <m/>
    <m/>
    <m/>
    <m/>
    <m/>
    <m/>
    <m/>
    <n v="0"/>
    <n v="0"/>
  </r>
  <r>
    <n v="967"/>
    <x v="0"/>
    <s v="2018/3390"/>
    <s v="29 Wimbledon Park Road"/>
    <s v="Upper Ground"/>
    <n v="525095"/>
    <n v="174084"/>
    <s v="East Putney"/>
    <d v="2021-09-29T00:00:00"/>
    <d v="2023-10-20T00:00:00"/>
    <n v="0"/>
    <n v="2"/>
    <n v="2"/>
    <n v="8"/>
    <n v="4"/>
    <m/>
    <s v="Alterations including; replacement of garage door with windows on front elevation; altered lightwell and new fenestration at lower ground floor level on front elevation; new windows to ground and first floor levels of rear elevation; formation of first floor level rear balcony; erection of first floor level side east extension; removal of window on south-west facing side elevation; erection of refuse and cycle storage in front/side garden. All works in connection with conversion from four flats to 2 x 1-bedroom, 4 x 2-bedroom, 2 x 3 bedroom flats."/>
    <s v="PF"/>
    <d v="2018-07-10T00:00:00"/>
    <d v="2018-11-22T00:00:00"/>
    <m/>
    <s v="Nil"/>
    <m/>
    <s v="BF"/>
    <s v="CON"/>
    <x v="2"/>
    <x v="5"/>
    <n v="1.2999999999999999E-2"/>
    <d v="2021-09-29T00:00:00"/>
    <x v="0"/>
    <d v="2023-10-20T00:00:00"/>
    <s v="Open Market"/>
    <s v="M"/>
    <s v=""/>
    <m/>
    <m/>
    <m/>
    <m/>
    <m/>
    <n v="0"/>
    <n v="1"/>
    <n v="1"/>
    <n v="0"/>
    <n v="0"/>
    <n v="0"/>
    <n v="0"/>
    <n v="0"/>
    <n v="1"/>
    <n v="1"/>
    <n v="0"/>
    <n v="0"/>
    <n v="0"/>
    <n v="0"/>
    <n v="0"/>
    <n v="0"/>
    <n v="0"/>
    <n v="0"/>
    <n v="0"/>
    <n v="0"/>
    <n v="0"/>
    <n v="0"/>
    <n v="0"/>
    <n v="0"/>
    <n v="0"/>
    <n v="0"/>
    <n v="0"/>
    <n v="0"/>
    <m/>
    <m/>
    <s v="Rest of Borough"/>
    <n v="11"/>
    <n v="2"/>
    <m/>
    <m/>
    <m/>
    <m/>
    <m/>
    <m/>
    <m/>
    <m/>
    <m/>
    <m/>
    <m/>
    <m/>
    <m/>
    <m/>
    <m/>
    <m/>
    <m/>
    <m/>
    <m/>
    <n v="0"/>
    <n v="0"/>
  </r>
  <r>
    <n v="7006"/>
    <x v="0"/>
    <s v="2018/4022"/>
    <s v="13 Rookstone Road"/>
    <s v=""/>
    <n v="527643"/>
    <n v="171169"/>
    <s v="Tooting Broadway"/>
    <d v="2021-09-01T00:00:00"/>
    <d v="2023-10-19T00:00:00"/>
    <n v="1"/>
    <n v="2"/>
    <n v="1"/>
    <n v="2"/>
    <n v="1"/>
    <m/>
    <s v="Erection of mansard roof extension to main rear roof and extension above two-storey back addition; erection of single storey rear/side extension in connection with conversion of property from 2 x 2 bedroom flats to 1 x 2 bedroom and 2 x 1 bedroom flats."/>
    <s v="PF"/>
    <d v="2018-08-20T00:00:00"/>
    <d v="2018-10-15T00:00:00"/>
    <m/>
    <s v="Nil"/>
    <m/>
    <s v="BF"/>
    <s v="CON"/>
    <x v="2"/>
    <x v="5"/>
    <n v="8.0000000000000002E-3"/>
    <d v="2021-09-01T00:00:00"/>
    <x v="0"/>
    <d v="2023-10-19T00:00:00"/>
    <s v="Open Market"/>
    <s v="M"/>
    <s v=""/>
    <m/>
    <m/>
    <m/>
    <m/>
    <m/>
    <n v="0"/>
    <n v="0"/>
    <n v="1"/>
    <n v="0"/>
    <n v="0"/>
    <n v="0"/>
    <n v="0"/>
    <n v="0"/>
    <n v="0"/>
    <n v="1"/>
    <n v="0"/>
    <n v="0"/>
    <n v="0"/>
    <n v="0"/>
    <n v="0"/>
    <n v="0"/>
    <n v="0"/>
    <n v="0"/>
    <n v="0"/>
    <n v="0"/>
    <n v="0"/>
    <n v="0"/>
    <n v="0"/>
    <n v="0"/>
    <n v="0"/>
    <n v="0"/>
    <n v="0"/>
    <n v="0"/>
    <m/>
    <m/>
    <s v="Tooting"/>
    <n v="11"/>
    <n v="1"/>
    <m/>
    <m/>
    <m/>
    <m/>
    <m/>
    <m/>
    <m/>
    <m/>
    <m/>
    <m/>
    <m/>
    <m/>
    <m/>
    <m/>
    <m/>
    <m/>
    <m/>
    <m/>
    <m/>
    <n v="0"/>
    <n v="0"/>
  </r>
  <r>
    <n v="7090"/>
    <x v="0"/>
    <s v="2018/5833"/>
    <s v="The Northcote Library, Chatham Hall and garages west of Chatham Hall, 155e Northcote Road"/>
    <s v="Chatham Hall"/>
    <n v="527587"/>
    <n v="174507"/>
    <s v="Northcote"/>
    <d v="2021-04-01T00:00:00"/>
    <m/>
    <n v="0"/>
    <n v="7"/>
    <n v="7"/>
    <n v="16"/>
    <n v="16"/>
    <s v="Y"/>
    <s v="The demolition of the two storey library, the single storey plus two storey roof Chatham Hall and the 8 vehicular garages (single storey) and the erection of a four storey building plus the excavation of a basement at the existing library site comprising two commercial units (Use Class A1) split over basement and ground floor levels (approximately 388sq.m) and nine (9) residential units at upper floor levels; the erection of a part one/two/three storey library (Use Class D1) (approximately 848sq.m) fronting onto Northcote Road; the erection of a part two/ three storey building behind the proposed library comprising a community hall (Use Class D1) at ground floor (approximately 301sq.m) and seven (7) residential flats at upper floor levels; 2 car parking spaces and 20 cycle parking spaces; and associated landscaping and infrastructure works."/>
    <s v="PFLA"/>
    <d v="2019-01-15T00:00:00"/>
    <d v="2020-03-25T00:00:00"/>
    <m/>
    <s v="Nil"/>
    <m/>
    <s v="BF"/>
    <s v="NB"/>
    <x v="1"/>
    <x v="0"/>
    <n v="6.3E-2"/>
    <d v="2021-04-01T00:00:00"/>
    <x v="0"/>
    <d v="2023-10-12T00:00:00"/>
    <s v="Open Market"/>
    <s v="M"/>
    <s v=""/>
    <m/>
    <m/>
    <n v="1"/>
    <m/>
    <m/>
    <n v="0"/>
    <n v="3"/>
    <n v="4"/>
    <n v="0"/>
    <n v="0"/>
    <n v="0"/>
    <n v="0"/>
    <n v="0"/>
    <n v="3"/>
    <n v="4"/>
    <n v="0"/>
    <n v="0"/>
    <n v="0"/>
    <n v="0"/>
    <n v="0"/>
    <n v="0"/>
    <n v="0"/>
    <n v="0"/>
    <n v="0"/>
    <n v="0"/>
    <n v="0"/>
    <n v="0"/>
    <n v="0"/>
    <n v="0"/>
    <n v="0"/>
    <n v="0"/>
    <n v="0"/>
    <n v="0"/>
    <m/>
    <m/>
    <s v="Rest of Borough"/>
    <n v="1"/>
    <n v="7"/>
    <m/>
    <m/>
    <m/>
    <m/>
    <m/>
    <m/>
    <m/>
    <m/>
    <m/>
    <m/>
    <m/>
    <m/>
    <m/>
    <m/>
    <m/>
    <m/>
    <m/>
    <m/>
    <m/>
    <n v="0"/>
    <n v="0"/>
  </r>
  <r>
    <n v="5308"/>
    <x v="0"/>
    <s v="2018/5949"/>
    <s v="900 Garratt Lane"/>
    <s v=""/>
    <n v="527156"/>
    <n v="171614"/>
    <s v="Tooting Broadway"/>
    <d v="2023-04-01T00:00:00"/>
    <d v="2023-09-11T00:00:00"/>
    <n v="0"/>
    <n v="1"/>
    <n v="1"/>
    <n v="1"/>
    <n v="1"/>
    <m/>
    <s v="Determination as to whether prior approval is required for change of use from office (Class B1) to residential (Class C3)."/>
    <s v="PAG"/>
    <d v="2018-12-17T00:00:00"/>
    <d v="2019-01-30T00:00:00"/>
    <m/>
    <s v="Nil"/>
    <m/>
    <s v="BF"/>
    <s v="COU"/>
    <x v="2"/>
    <x v="6"/>
    <n v="3.0000000000000001E-3"/>
    <d v="2023-04-01T00:00:00"/>
    <x v="1"/>
    <d v="2023-09-11T00:00:00"/>
    <s v="Open Market"/>
    <s v="M"/>
    <s v=""/>
    <m/>
    <m/>
    <m/>
    <m/>
    <m/>
    <n v="0"/>
    <n v="1"/>
    <n v="0"/>
    <n v="0"/>
    <n v="0"/>
    <n v="0"/>
    <n v="0"/>
    <n v="0"/>
    <n v="1"/>
    <n v="0"/>
    <n v="0"/>
    <n v="0"/>
    <n v="0"/>
    <n v="0"/>
    <n v="0"/>
    <n v="0"/>
    <n v="0"/>
    <n v="0"/>
    <n v="0"/>
    <n v="0"/>
    <n v="0"/>
    <n v="0"/>
    <n v="0"/>
    <n v="0"/>
    <n v="0"/>
    <n v="0"/>
    <n v="0"/>
    <n v="0"/>
    <m/>
    <m/>
    <s v="Tooting"/>
    <n v="11"/>
    <n v="1"/>
    <m/>
    <m/>
    <m/>
    <m/>
    <m/>
    <m/>
    <m/>
    <m/>
    <m/>
    <m/>
    <m/>
    <m/>
    <m/>
    <m/>
    <m/>
    <m/>
    <m/>
    <m/>
    <m/>
    <n v="0"/>
    <n v="0"/>
  </r>
  <r>
    <n v="6812"/>
    <x v="0"/>
    <s v="2019/1043"/>
    <s v="61 Longfield Street"/>
    <s v=""/>
    <n v="525084"/>
    <n v="173575"/>
    <s v="Southfields"/>
    <d v="2022-04-04T00:00:00"/>
    <d v="2024-03-13T00:00:00"/>
    <n v="1"/>
    <n v="3"/>
    <n v="2"/>
    <n v="3"/>
    <n v="2"/>
    <m/>
    <s v="Demolition of existing dwelling house and erection of a three-storey (plus basement) building to provide 2 x 1-bedroom and 1 x 3-bedroom flats(Use Class C3) together with associated landscaping, cycle and refuse storage."/>
    <s v="PF"/>
    <d v="2019-03-21T00:00:00"/>
    <d v="2019-10-29T00:00:00"/>
    <m/>
    <s v="Nil"/>
    <m/>
    <s v="BF"/>
    <s v="NB"/>
    <x v="2"/>
    <x v="3"/>
    <n v="1.0999999999999999E-2"/>
    <d v="2022-04-04T00:00:00"/>
    <x v="0"/>
    <d v="2024-03-13T00:00:00"/>
    <s v="Open Market"/>
    <s v="M"/>
    <s v=""/>
    <m/>
    <m/>
    <m/>
    <m/>
    <m/>
    <n v="0"/>
    <n v="2"/>
    <n v="0"/>
    <n v="0"/>
    <n v="0"/>
    <n v="0"/>
    <n v="0"/>
    <n v="0"/>
    <n v="2"/>
    <n v="0"/>
    <n v="1"/>
    <n v="0"/>
    <n v="0"/>
    <n v="0"/>
    <n v="0"/>
    <n v="0"/>
    <n v="0"/>
    <n v="-1"/>
    <n v="0"/>
    <n v="0"/>
    <n v="0"/>
    <n v="0"/>
    <n v="0"/>
    <n v="0"/>
    <n v="0"/>
    <n v="0"/>
    <n v="0"/>
    <n v="0"/>
    <m/>
    <m/>
    <s v="Rest of Borough"/>
    <n v="1"/>
    <n v="2"/>
    <m/>
    <m/>
    <m/>
    <m/>
    <m/>
    <m/>
    <m/>
    <m/>
    <m/>
    <m/>
    <m/>
    <m/>
    <m/>
    <m/>
    <m/>
    <m/>
    <m/>
    <m/>
    <m/>
    <n v="0"/>
    <n v="0"/>
  </r>
  <r>
    <n v="6302"/>
    <x v="0"/>
    <s v="2019/1427"/>
    <s v="150a-170 &amp; 2-8 Thornsett Road, Penwith Road"/>
    <s v="Level 2/3"/>
    <n v="525938"/>
    <n v="173047"/>
    <s v="Wandle"/>
    <d v="2021-07-12T00:00:00"/>
    <m/>
    <n v="0"/>
    <n v="4"/>
    <n v="4"/>
    <n v="17"/>
    <n v="17"/>
    <s v="Y"/>
    <s v="Demolition of existing buildings and erection of a part three, part four-storey plus basement level building to provide 1,246 sq.m. of retail (Class A1); 316 sq.m. of office (Class B1a); 617 sq.m. of light industrial (Class B1c), 827 sq.m. of storage and distribution (Class B8) floorspace, and 17 residential units of both private and affordable tenure, with associated balconies and terraces, cycle parking provision and a new sub-station."/>
    <s v="RP"/>
    <d v="2019-03-29T00:00:00"/>
    <d v="2019-07-26T00:00:00"/>
    <m/>
    <s v="APG"/>
    <d v="2020-10-30T00:00:00"/>
    <s v="BF"/>
    <s v="NB"/>
    <x v="1"/>
    <x v="0"/>
    <n v="1.2999999999999999E-2"/>
    <d v="2021-07-12T00:00:00"/>
    <x v="0"/>
    <d v="2023-09-11T00:00:00"/>
    <s v="Intermediate"/>
    <s v="ISO"/>
    <s v=""/>
    <m/>
    <m/>
    <n v="1"/>
    <m/>
    <m/>
    <n v="0"/>
    <n v="3"/>
    <n v="1"/>
    <n v="0"/>
    <n v="0"/>
    <n v="0"/>
    <n v="0"/>
    <n v="0"/>
    <n v="3"/>
    <n v="1"/>
    <n v="0"/>
    <n v="0"/>
    <n v="0"/>
    <n v="0"/>
    <n v="0"/>
    <n v="0"/>
    <n v="0"/>
    <n v="0"/>
    <n v="0"/>
    <n v="0"/>
    <n v="0"/>
    <n v="0"/>
    <n v="0"/>
    <n v="0"/>
    <n v="0"/>
    <n v="0"/>
    <n v="0"/>
    <n v="0"/>
    <m/>
    <m/>
    <s v="Wandle Valley"/>
    <n v="1"/>
    <n v="4"/>
    <m/>
    <m/>
    <m/>
    <m/>
    <m/>
    <m/>
    <m/>
    <m/>
    <m/>
    <m/>
    <m/>
    <m/>
    <m/>
    <m/>
    <m/>
    <m/>
    <m/>
    <m/>
    <m/>
    <n v="0"/>
    <n v="0"/>
  </r>
  <r>
    <n v="2933"/>
    <x v="0"/>
    <s v="2019/1498"/>
    <s v="26 Upper Richmond Road"/>
    <s v=""/>
    <n v="524876"/>
    <n v="174632"/>
    <s v="East Putney"/>
    <d v="2022-01-24T00:00:00"/>
    <d v="2023-10-29T00:00:00"/>
    <n v="0"/>
    <n v="1"/>
    <n v="1"/>
    <n v="1"/>
    <n v="1"/>
    <m/>
    <s v="Change of use from Restaurants and Cafes/ Drinking Establishments (A3/A4) to residential (Class C3) to provide 1 x 1-bedroom flat."/>
    <s v="PF"/>
    <d v="2019-04-04T00:00:00"/>
    <d v="2019-05-30T00:00:00"/>
    <m/>
    <s v="Nil"/>
    <m/>
    <s v="BF"/>
    <s v="COU"/>
    <x v="2"/>
    <x v="8"/>
    <n v="4.0000000000000001E-3"/>
    <d v="2022-01-24T00:00:00"/>
    <x v="0"/>
    <d v="2023-10-29T00:00:00"/>
    <s v="Open Market"/>
    <s v="M"/>
    <s v=""/>
    <m/>
    <m/>
    <m/>
    <m/>
    <m/>
    <n v="0"/>
    <n v="1"/>
    <n v="0"/>
    <n v="0"/>
    <n v="0"/>
    <n v="0"/>
    <n v="0"/>
    <n v="0"/>
    <n v="1"/>
    <n v="0"/>
    <n v="0"/>
    <n v="0"/>
    <n v="0"/>
    <n v="0"/>
    <n v="0"/>
    <n v="0"/>
    <n v="0"/>
    <n v="0"/>
    <n v="0"/>
    <n v="0"/>
    <n v="0"/>
    <n v="0"/>
    <n v="0"/>
    <n v="0"/>
    <n v="0"/>
    <n v="0"/>
    <n v="0"/>
    <n v="0"/>
    <m/>
    <m/>
    <s v="Rest of Borough"/>
    <n v="11"/>
    <n v="1"/>
    <m/>
    <m/>
    <m/>
    <m/>
    <m/>
    <m/>
    <m/>
    <m/>
    <m/>
    <m/>
    <m/>
    <m/>
    <m/>
    <m/>
    <m/>
    <m/>
    <m/>
    <m/>
    <m/>
    <n v="0"/>
    <n v="0"/>
  </r>
  <r>
    <n v="7194"/>
    <x v="0"/>
    <s v="2019/2251"/>
    <s v="22 Carlton Drive"/>
    <s v="Existing"/>
    <n v="524291"/>
    <n v="174776"/>
    <s v="East Putney"/>
    <d v="2021-10-18T00:00:00"/>
    <d v="2023-07-04T00:00:00"/>
    <n v="15"/>
    <n v="0"/>
    <n v="-15"/>
    <n v="8"/>
    <n v="-7"/>
    <m/>
    <s v="Alterations including erection of pitch roof to first floor front extension in connection with conversion of property 1 x1 bedroom flat, 6 x2 bedroom flats and 1 x3 bedroom flat. Erection of front boundary wall to 1.8m high"/>
    <s v="PF"/>
    <d v="2019-06-19T00:00:00"/>
    <d v="2019-08-19T00:00:00"/>
    <m/>
    <s v="Nil"/>
    <m/>
    <s v="BF"/>
    <s v="COU"/>
    <x v="2"/>
    <x v="1"/>
    <n v="0"/>
    <d v="2021-10-18T00:00:00"/>
    <x v="0"/>
    <d v="2023-07-04T00:00:00"/>
    <s v="Social/Affordable Rent"/>
    <s v="AU"/>
    <s v=""/>
    <m/>
    <m/>
    <m/>
    <m/>
    <m/>
    <n v="-15"/>
    <n v="0"/>
    <n v="0"/>
    <n v="0"/>
    <n v="0"/>
    <n v="0"/>
    <n v="0"/>
    <n v="-15"/>
    <n v="0"/>
    <n v="0"/>
    <n v="0"/>
    <n v="0"/>
    <n v="0"/>
    <n v="0"/>
    <n v="0"/>
    <n v="0"/>
    <n v="0"/>
    <n v="0"/>
    <n v="0"/>
    <n v="0"/>
    <n v="0"/>
    <n v="0"/>
    <n v="0"/>
    <n v="0"/>
    <n v="0"/>
    <n v="0"/>
    <n v="0"/>
    <n v="0"/>
    <m/>
    <m/>
    <s v="Rest of Borough"/>
    <n v="11"/>
    <n v="-15"/>
    <m/>
    <m/>
    <m/>
    <m/>
    <m/>
    <m/>
    <m/>
    <m/>
    <m/>
    <m/>
    <m/>
    <m/>
    <m/>
    <m/>
    <m/>
    <m/>
    <m/>
    <m/>
    <m/>
    <n v="0"/>
    <n v="0"/>
  </r>
  <r>
    <n v="7194"/>
    <x v="0"/>
    <s v="2019/2251"/>
    <s v="22 Carlton Drive"/>
    <s v="Proposed"/>
    <n v="524291"/>
    <n v="174776"/>
    <s v="East Putney"/>
    <d v="2021-10-18T00:00:00"/>
    <d v="2023-07-04T00:00:00"/>
    <n v="0"/>
    <n v="8"/>
    <n v="8"/>
    <n v="8"/>
    <n v="-7"/>
    <m/>
    <s v="Alterations including erection of pitch roof to first floor front extension in connection with conversion of property 1 x1 bedroom flat, 6 x2 bedroom flats and 1 x3 bedroom flat. Erection of front boundary wall to 1.8m high"/>
    <s v="PF"/>
    <d v="2019-06-19T00:00:00"/>
    <d v="2019-08-19T00:00:00"/>
    <m/>
    <s v="Nil"/>
    <m/>
    <s v="BF"/>
    <s v="COU"/>
    <x v="2"/>
    <x v="1"/>
    <n v="0.107"/>
    <d v="2021-10-18T00:00:00"/>
    <x v="0"/>
    <d v="2023-07-04T00:00:00"/>
    <s v="Social/Affordable Rent"/>
    <s v="AU"/>
    <s v=""/>
    <m/>
    <m/>
    <m/>
    <m/>
    <m/>
    <n v="0"/>
    <n v="1"/>
    <n v="6"/>
    <n v="1"/>
    <n v="0"/>
    <n v="0"/>
    <n v="0"/>
    <n v="0"/>
    <n v="1"/>
    <n v="6"/>
    <n v="1"/>
    <n v="0"/>
    <n v="0"/>
    <n v="0"/>
    <n v="0"/>
    <n v="0"/>
    <n v="0"/>
    <n v="0"/>
    <n v="0"/>
    <n v="0"/>
    <n v="0"/>
    <n v="0"/>
    <n v="0"/>
    <n v="0"/>
    <n v="0"/>
    <n v="0"/>
    <n v="0"/>
    <n v="0"/>
    <m/>
    <m/>
    <s v="Rest of Borough"/>
    <n v="11"/>
    <n v="8"/>
    <m/>
    <m/>
    <m/>
    <m/>
    <m/>
    <m/>
    <m/>
    <m/>
    <m/>
    <m/>
    <m/>
    <m/>
    <m/>
    <m/>
    <m/>
    <m/>
    <m/>
    <m/>
    <m/>
    <n v="0"/>
    <n v="0"/>
  </r>
  <r>
    <n v="6490"/>
    <x v="0"/>
    <s v="2019/3275"/>
    <s v="153-159 Putney High Street"/>
    <s v=""/>
    <n v="523997"/>
    <n v="175115"/>
    <s v="Thamesfield"/>
    <d v="2021-03-08T00:00:00"/>
    <d v="2024-02-29T00:00:00"/>
    <n v="0"/>
    <n v="7"/>
    <n v="7"/>
    <n v="9"/>
    <n v="9"/>
    <m/>
    <s v="Alterations including erection of rear extensions at lower ground, first, second and third floors, and fourth storey roof top extension; use of part lower ground, ground and first floors for offices (Class B1a); enlargement of some existing residential units at first, second and third floor level, and provision of 9 new residential units (Class C3) at second, third and fourth floor levels, including change of use of some existing Class A2 (financial and professional services) floorspace, with provision of associated roof terraces, refuse and cycle storage."/>
    <s v="PF"/>
    <d v="2019-08-15T00:00:00"/>
    <d v="2019-10-30T00:00:00"/>
    <m/>
    <s v="Nil"/>
    <m/>
    <s v="BF"/>
    <s v="MIX"/>
    <x v="2"/>
    <x v="3"/>
    <n v="1.2E-2"/>
    <d v="2021-03-08T00:00:00"/>
    <x v="0"/>
    <d v="2024-02-29T00:00:00"/>
    <s v="Open Market"/>
    <s v="M"/>
    <s v=""/>
    <m/>
    <m/>
    <m/>
    <m/>
    <m/>
    <n v="0"/>
    <n v="0"/>
    <n v="6"/>
    <n v="1"/>
    <n v="0"/>
    <n v="0"/>
    <n v="0"/>
    <n v="0"/>
    <n v="0"/>
    <n v="6"/>
    <n v="1"/>
    <n v="0"/>
    <n v="0"/>
    <n v="0"/>
    <n v="0"/>
    <n v="0"/>
    <n v="0"/>
    <n v="0"/>
    <n v="0"/>
    <n v="0"/>
    <n v="0"/>
    <n v="0"/>
    <n v="0"/>
    <n v="0"/>
    <n v="0"/>
    <n v="0"/>
    <n v="0"/>
    <n v="0"/>
    <s v="Putney"/>
    <m/>
    <s v="Putney"/>
    <n v="11"/>
    <n v="7"/>
    <m/>
    <m/>
    <m/>
    <m/>
    <m/>
    <m/>
    <m/>
    <m/>
    <m/>
    <m/>
    <m/>
    <m/>
    <m/>
    <m/>
    <m/>
    <m/>
    <m/>
    <m/>
    <m/>
    <n v="0"/>
    <n v="0"/>
  </r>
  <r>
    <n v="6490"/>
    <x v="0"/>
    <s v="2019/3275"/>
    <s v="153-159 Putney High Street"/>
    <s v=""/>
    <n v="523997"/>
    <n v="175115"/>
    <s v="Thamesfield"/>
    <d v="2021-03-08T00:00:00"/>
    <d v="2024-02-29T00:00:00"/>
    <n v="0"/>
    <n v="2"/>
    <n v="2"/>
    <n v="9"/>
    <n v="9"/>
    <m/>
    <s v="Alterations including erection of rear extensions at lower ground, first, second and third floors, and fourth storey roof top extension; use of part lower ground, ground and first floors for offices (Class B1a); enlargement of some existing residential units at first, second and third floor level, and provision of 9 new residential units (Class C3) at second, third and fourth floor levels, including change of use of some existing Class A2 (financial and professional services) floorspace, with provision of associated roof terraces, refuse and cycle storage."/>
    <s v="PF"/>
    <d v="2019-08-15T00:00:00"/>
    <d v="2019-10-30T00:00:00"/>
    <m/>
    <s v="Nil"/>
    <m/>
    <s v="BF"/>
    <s v="MIX"/>
    <x v="2"/>
    <x v="6"/>
    <n v="3.0000000000000001E-3"/>
    <d v="2021-03-08T00:00:00"/>
    <x v="0"/>
    <d v="2024-02-29T00:00:00"/>
    <s v="Open Market"/>
    <s v="M"/>
    <s v=""/>
    <m/>
    <m/>
    <m/>
    <m/>
    <m/>
    <n v="0"/>
    <n v="2"/>
    <n v="0"/>
    <n v="0"/>
    <n v="0"/>
    <n v="0"/>
    <n v="0"/>
    <n v="0"/>
    <n v="2"/>
    <n v="0"/>
    <n v="0"/>
    <n v="0"/>
    <n v="0"/>
    <n v="0"/>
    <n v="0"/>
    <n v="0"/>
    <n v="0"/>
    <n v="0"/>
    <n v="0"/>
    <n v="0"/>
    <n v="0"/>
    <n v="0"/>
    <n v="0"/>
    <n v="0"/>
    <n v="0"/>
    <n v="0"/>
    <n v="0"/>
    <n v="0"/>
    <s v="Putney"/>
    <m/>
    <s v="Putney"/>
    <n v="11"/>
    <n v="2"/>
    <m/>
    <m/>
    <m/>
    <m/>
    <m/>
    <m/>
    <m/>
    <m/>
    <m/>
    <m/>
    <m/>
    <m/>
    <m/>
    <m/>
    <m/>
    <m/>
    <m/>
    <m/>
    <m/>
    <n v="0"/>
    <n v="0"/>
  </r>
  <r>
    <n v="7235"/>
    <x v="0"/>
    <s v="2019/3539"/>
    <s v="95-97 Putney High Street"/>
    <s v=""/>
    <n v="524049"/>
    <n v="175301"/>
    <s v="Thamesfield"/>
    <d v="2022-01-17T00:00:00"/>
    <d v="2024-03-31T00:00:00"/>
    <n v="2"/>
    <n v="0"/>
    <n v="-2"/>
    <n v="0"/>
    <n v="-2"/>
    <m/>
    <s v="Erection of single to three-storey rear and side extensions and formation of roof terraces at first and  third floor levels in connection with use of the upper floors as a 19 person HMO (Sui Generis) with refuse and cycle storage at the rear; restoration of the facade of No. 95."/>
    <s v="PF"/>
    <d v="2019-08-21T00:00:00"/>
    <d v="2019-10-16T00:00:00"/>
    <m/>
    <s v="Nil"/>
    <m/>
    <s v="BF"/>
    <s v="MIX"/>
    <x v="2"/>
    <x v="9"/>
    <n v="1.9E-2"/>
    <d v="2022-01-17T00:00:00"/>
    <x v="0"/>
    <d v="2024-03-31T00:00:00"/>
    <s v="Open Market"/>
    <s v="M"/>
    <s v=""/>
    <m/>
    <m/>
    <m/>
    <m/>
    <m/>
    <n v="0"/>
    <n v="0"/>
    <n v="0"/>
    <n v="0"/>
    <n v="-2"/>
    <n v="0"/>
    <n v="0"/>
    <n v="0"/>
    <n v="0"/>
    <n v="0"/>
    <n v="0"/>
    <n v="-2"/>
    <n v="0"/>
    <n v="0"/>
    <n v="0"/>
    <n v="0"/>
    <n v="0"/>
    <n v="0"/>
    <n v="0"/>
    <n v="0"/>
    <n v="0"/>
    <n v="0"/>
    <n v="0"/>
    <n v="0"/>
    <n v="0"/>
    <n v="0"/>
    <n v="0"/>
    <n v="0"/>
    <s v="Putney"/>
    <m/>
    <s v="Putney"/>
    <n v="11"/>
    <n v="-2"/>
    <m/>
    <m/>
    <m/>
    <m/>
    <m/>
    <m/>
    <m/>
    <m/>
    <m/>
    <m/>
    <m/>
    <m/>
    <m/>
    <m/>
    <m/>
    <m/>
    <m/>
    <m/>
    <m/>
    <n v="0"/>
    <n v="0"/>
  </r>
  <r>
    <n v="7098"/>
    <x v="0"/>
    <s v="2019/4024"/>
    <s v="92 East Hill"/>
    <s v=""/>
    <n v="526209"/>
    <n v="174797"/>
    <s v="Wandsworth Town"/>
    <d v="2023-06-01T00:00:00"/>
    <d v="2023-11-01T00:00:00"/>
    <n v="0"/>
    <n v="1"/>
    <n v="1"/>
    <n v="1"/>
    <n v="1"/>
    <m/>
    <s v="Alterations including erection of a rear mansard roof extension to main rear roof; Removal of chimney stack and formation of a rear roof terrace with brick surround above 3 storey rear addition; Removal of rear access staircase to upper ground floor in connection with change of use of first and second floors from office (Class A2) to residential (Class C3) to provide 1 x 3-bed flat."/>
    <s v="PF"/>
    <d v="2019-09-26T00:00:00"/>
    <d v="2020-02-18T00:00:00"/>
    <m/>
    <s v="Nil"/>
    <m/>
    <s v="BF"/>
    <s v="COU"/>
    <x v="2"/>
    <x v="6"/>
    <n v="1.4E-2"/>
    <d v="2023-06-01T00:00:00"/>
    <x v="1"/>
    <d v="2023-11-01T00:00:00"/>
    <s v="Open Market"/>
    <s v="M"/>
    <s v=""/>
    <m/>
    <m/>
    <m/>
    <m/>
    <m/>
    <n v="0"/>
    <n v="0"/>
    <n v="0"/>
    <n v="1"/>
    <n v="0"/>
    <n v="0"/>
    <n v="0"/>
    <n v="0"/>
    <n v="0"/>
    <n v="0"/>
    <n v="1"/>
    <n v="0"/>
    <n v="0"/>
    <n v="0"/>
    <n v="0"/>
    <n v="0"/>
    <n v="0"/>
    <n v="0"/>
    <n v="0"/>
    <n v="0"/>
    <n v="0"/>
    <n v="0"/>
    <n v="0"/>
    <n v="0"/>
    <n v="0"/>
    <n v="0"/>
    <n v="0"/>
    <n v="0"/>
    <m/>
    <m/>
    <s v="Rest of Borough"/>
    <n v="11"/>
    <n v="1"/>
    <m/>
    <m/>
    <m/>
    <m/>
    <m/>
    <m/>
    <m/>
    <m/>
    <m/>
    <m/>
    <m/>
    <m/>
    <m/>
    <m/>
    <m/>
    <m/>
    <m/>
    <m/>
    <m/>
    <n v="0"/>
    <n v="0"/>
  </r>
  <r>
    <n v="7273"/>
    <x v="0"/>
    <s v="2019/4158"/>
    <s v="335a Garratt Lane"/>
    <s v=""/>
    <n v="525942"/>
    <n v="173479"/>
    <s v="Wandle"/>
    <d v="2021-02-15T00:00:00"/>
    <d v="2023-04-06T00:00:00"/>
    <n v="1"/>
    <n v="2"/>
    <n v="1"/>
    <n v="2"/>
    <n v="1"/>
    <m/>
    <s v="Alterations including erection of a mansard roof extension (with French doors and safety railings) to main rear roof and extension above part of two storey back addition; Formation of a roof terrace above two-storey back addition with 1.7m high screen surround in connection with creation of 2 x 1 bed flats."/>
    <s v="PF"/>
    <d v="2019-10-24T00:00:00"/>
    <d v="2019-12-10T00:00:00"/>
    <m/>
    <s v="Nil"/>
    <m/>
    <s v="BF"/>
    <s v="CON"/>
    <x v="2"/>
    <x v="5"/>
    <n v="7.0000000000000001E-3"/>
    <d v="2021-02-15T00:00:00"/>
    <x v="0"/>
    <d v="2023-04-06T00:00:00"/>
    <s v="Open Market"/>
    <s v="M"/>
    <s v=""/>
    <m/>
    <m/>
    <m/>
    <m/>
    <m/>
    <n v="0"/>
    <n v="2"/>
    <n v="-1"/>
    <n v="0"/>
    <n v="0"/>
    <n v="0"/>
    <n v="0"/>
    <n v="0"/>
    <n v="2"/>
    <n v="-1"/>
    <n v="0"/>
    <n v="0"/>
    <n v="0"/>
    <n v="0"/>
    <n v="0"/>
    <n v="0"/>
    <n v="0"/>
    <n v="0"/>
    <n v="0"/>
    <n v="0"/>
    <n v="0"/>
    <n v="0"/>
    <n v="0"/>
    <n v="0"/>
    <n v="0"/>
    <n v="0"/>
    <n v="0"/>
    <n v="0"/>
    <m/>
    <m/>
    <s v="Wandle Valley"/>
    <n v="11"/>
    <n v="1"/>
    <m/>
    <m/>
    <m/>
    <m/>
    <m/>
    <m/>
    <m/>
    <m/>
    <m/>
    <m/>
    <m/>
    <m/>
    <m/>
    <m/>
    <m/>
    <m/>
    <m/>
    <m/>
    <m/>
    <n v="0"/>
    <n v="0"/>
  </r>
  <r>
    <n v="3519"/>
    <x v="0"/>
    <s v="2019/4583"/>
    <s v="B and Q Depot, Smugglers Way"/>
    <s v="BLOCK A1"/>
    <n v="525782"/>
    <n v="175172"/>
    <s v="St Mary's"/>
    <d v="2020-01-18T00:00:00"/>
    <m/>
    <n v="0"/>
    <n v="56"/>
    <n v="56"/>
    <n v="554"/>
    <n v="554"/>
    <s v="Y"/>
    <s v="Variation of conditions 2 (in accordance with approved drawings), 3 (Environmental Impact Assessment - EIA), 4 (Flood Risk Assessment) and removal of condition 13 (No residential units shall be occupied within the inner or middle zones of the HSE consultation distance around the Wandsworth Gas Holder Station) pursuant to planning permission dated 29/03/2019 ref 2017/0580 [Demolition of existing retail buildings and phased construction of 13 residential blocks (with 3 podiums) ranging from 8 to 15 storeys to provide a mixed use scheme including 517 residential units (Class C3), 5160 sqm GIA of business (Class B1) and 2969 sqm GIA flexible business/retail/restaurant and cafe (Class B1, A1, A2, A3 and A4) with car/cycle parking, associated combined heat and power (CHP), plant and associated works, landscaping, new accesses onto Smugglers Way, and offsite highways works including a new pedestrian crossing of Swandon Way) to allow the following changes: _x000a__x000a_An increase in unit numbers from 517 to 554 (37 units additional units), increase in affordable housing units from 184 to 197, change to housing mix, reduction in car parking from 60 parking spaces to 22 blue badge spaces, 1 commercial blue badge space and 1 car club space. Introduction of D1 and D2 uses into the flexible floorspace and reduction in ground floor flexible commercial floorspace from 2969m² to 1960m² (GIA), reduction in Class B1(a) commercial floorspace at the mezzanine level from 5160m² to 1054m² (GIA) with the provision of 2,548m² (GIA) residential facilities associated with the 'Build to Rent' model. Associated changes to the level of cycle storage, amenity with outdoor swimming pool, private amenity, public open space and playspace across the site, increase in size of energy centre and other associated changes as a result of the revised development.  A revised EIA and associated mitigation, change to finished floor levels and removal of condition 13 (see planning statement on Council website). A revised Environmental Statement has been submitted under the Town and Country Planning (Environmental Impact Assessment) Regulations 2017 as amended."/>
    <s v="S73"/>
    <d v="2019-11-04T00:00:00"/>
    <d v="2021-04-29T00:00:00"/>
    <m/>
    <s v="Nil"/>
    <m/>
    <s v="BF"/>
    <s v="NB"/>
    <x v="1"/>
    <x v="0"/>
    <n v="0.09"/>
    <d v="2021-08-01T00:00:00"/>
    <x v="0"/>
    <d v="2024-03-31T00:00:00"/>
    <s v="Open Market"/>
    <s v="M"/>
    <s v="3.7"/>
    <m/>
    <m/>
    <m/>
    <m/>
    <n v="20"/>
    <n v="0"/>
    <n v="0"/>
    <n v="54"/>
    <n v="2"/>
    <n v="0"/>
    <n v="0"/>
    <n v="0"/>
    <n v="0"/>
    <n v="0"/>
    <n v="54"/>
    <n v="2"/>
    <n v="0"/>
    <n v="0"/>
    <n v="0"/>
    <n v="0"/>
    <n v="0"/>
    <n v="0"/>
    <n v="0"/>
    <n v="0"/>
    <n v="0"/>
    <n v="0"/>
    <n v="0"/>
    <n v="0"/>
    <n v="0"/>
    <n v="0"/>
    <n v="0"/>
    <n v="0"/>
    <n v="0"/>
    <m/>
    <m/>
    <s v="Wandsworth Town, including the Wandle Delta Masterplan Area"/>
    <n v="1"/>
    <n v="56"/>
    <m/>
    <m/>
    <m/>
    <m/>
    <m/>
    <m/>
    <m/>
    <m/>
    <m/>
    <m/>
    <m/>
    <m/>
    <m/>
    <m/>
    <m/>
    <m/>
    <m/>
    <m/>
    <m/>
    <n v="0"/>
    <n v="0"/>
  </r>
  <r>
    <n v="3519"/>
    <x v="0"/>
    <s v="2019/4583"/>
    <s v="B and Q Depot, Smugglers Way"/>
    <s v="BLOCK A2"/>
    <n v="525782"/>
    <n v="175172"/>
    <s v="St Mary's"/>
    <d v="2020-01-18T00:00:00"/>
    <m/>
    <n v="0"/>
    <n v="38"/>
    <n v="38"/>
    <n v="554"/>
    <n v="554"/>
    <s v="Y"/>
    <s v="Variation of conditions 2 (in accordance with approved drawings), 3 (Environmental Impact Assessment - EIA), 4 (Flood Risk Assessment) and removal of condition 13 (No residential units shall be occupied within the inner or middle zones of the HSE consultation distance around the Wandsworth Gas Holder Station) pursuant to planning permission dated 29/03/2019 ref 2017/0580 [Demolition of existing retail buildings and phased construction of 13 residential blocks (with 3 podiums) ranging from 8 to 15 storeys to provide a mixed use scheme including 517 residential units (Class C3), 5160 sqm GIA of business (Class B1) and 2969 sqm GIA flexible business/retail/restaurant and cafe (Class B1, A1, A2, A3 and A4) with car/cycle parking, associated combined heat and power (CHP), plant and associated works, landscaping, new accesses onto Smugglers Way, and offsite highways works including a new pedestrian crossing of Swandon Way) to allow the following changes: _x000a__x000a_An increase in unit numbers from 517 to 554 (37 units additional units), increase in affordable housing units from 184 to 197, change to housing mix, reduction in car parking from 60 parking spaces to 22 blue badge spaces, 1 commercial blue badge space and 1 car club space. Introduction of D1 and D2 uses into the flexible floorspace and reduction in ground floor flexible commercial floorspace from 2969m² to 1960m² (GIA), reduction in Class B1(a) commercial floorspace at the mezzanine level from 5160m² to 1054m² (GIA) with the provision of 2,548m² (GIA) residential facilities associated with the 'Build to Rent' model. Associated changes to the level of cycle storage, amenity with outdoor swimming pool, private amenity, public open space and playspace across the site, increase in size of energy centre and other associated changes as a result of the revised development.  A revised EIA and associated mitigation, change to finished floor levels and removal of condition 13 (see planning statement on Council website). A revised Environmental Statement has been submitted under the Town and Country Planning (Environmental Impact Assessment) Regulations 2017 as amended."/>
    <s v="S73"/>
    <d v="2019-11-04T00:00:00"/>
    <d v="2021-04-29T00:00:00"/>
    <m/>
    <s v="Nil"/>
    <m/>
    <s v="BF"/>
    <s v="NB"/>
    <x v="1"/>
    <x v="0"/>
    <n v="6.0999999999999999E-2"/>
    <d v="2021-08-01T00:00:00"/>
    <x v="0"/>
    <d v="2024-03-31T00:00:00"/>
    <s v="Open Market"/>
    <s v="M"/>
    <s v="3.7"/>
    <m/>
    <m/>
    <m/>
    <m/>
    <m/>
    <n v="0"/>
    <n v="18"/>
    <n v="18"/>
    <n v="2"/>
    <n v="0"/>
    <n v="0"/>
    <n v="0"/>
    <n v="0"/>
    <n v="18"/>
    <n v="18"/>
    <n v="2"/>
    <n v="0"/>
    <n v="0"/>
    <n v="0"/>
    <n v="0"/>
    <n v="0"/>
    <n v="0"/>
    <n v="0"/>
    <n v="0"/>
    <n v="0"/>
    <n v="0"/>
    <n v="0"/>
    <n v="0"/>
    <n v="0"/>
    <n v="0"/>
    <n v="0"/>
    <n v="0"/>
    <n v="0"/>
    <m/>
    <m/>
    <s v="Wandsworth Town, including the Wandle Delta Masterplan Area"/>
    <n v="1"/>
    <n v="38"/>
    <m/>
    <m/>
    <m/>
    <m/>
    <m/>
    <m/>
    <m/>
    <m/>
    <m/>
    <m/>
    <m/>
    <m/>
    <m/>
    <m/>
    <m/>
    <m/>
    <m/>
    <m/>
    <m/>
    <n v="0"/>
    <n v="0"/>
  </r>
  <r>
    <n v="3519"/>
    <x v="0"/>
    <s v="2019/4583"/>
    <s v="B and Q Depot, Smugglers Way"/>
    <s v="BLOCK A3"/>
    <n v="525782"/>
    <n v="175172"/>
    <s v="St Mary's"/>
    <d v="2020-01-18T00:00:00"/>
    <m/>
    <n v="0"/>
    <n v="49"/>
    <n v="49"/>
    <n v="554"/>
    <n v="554"/>
    <s v="Y"/>
    <s v="Variation of conditions 2 (in accordance with approved drawings), 3 (Environmental Impact Assessment - EIA), 4 (Flood Risk Assessment) and removal of condition 13 (No residential units shall be occupied within the inner or middle zones of the HSE consultation distance around the Wandsworth Gas Holder Station) pursuant to planning permission dated 29/03/2019 ref 2017/0580 [Demolition of existing retail buildings and phased construction of 13 residential blocks (with 3 podiums) ranging from 8 to 15 storeys to provide a mixed use scheme including 517 residential units (Class C3), 5160 sqm GIA of business (Class B1) and 2969 sqm GIA flexible business/retail/restaurant and cafe (Class B1, A1, A2, A3 and A4) with car/cycle parking, associated combined heat and power (CHP), plant and associated works, landscaping, new accesses onto Smugglers Way, and offsite highways works including a new pedestrian crossing of Swandon Way) to allow the following changes: _x000a__x000a_An increase in unit numbers from 517 to 554 (37 units additional units), increase in affordable housing units from 184 to 197, change to housing mix, reduction in car parking from 60 parking spaces to 22 blue badge spaces, 1 commercial blue badge space and 1 car club space. Introduction of D1 and D2 uses into the flexible floorspace and reduction in ground floor flexible commercial floorspace from 2969m² to 1960m² (GIA), reduction in Class B1(a) commercial floorspace at the mezzanine level from 5160m² to 1054m² (GIA) with the provision of 2,548m² (GIA) residential facilities associated with the 'Build to Rent' model. Associated changes to the level of cycle storage, amenity with outdoor swimming pool, private amenity, public open space and playspace across the site, increase in size of energy centre and other associated changes as a result of the revised development.  A revised EIA and associated mitigation, change to finished floor levels and removal of condition 13 (see planning statement on Council website). A revised Environmental Statement has been submitted under the Town and Country Planning (Environmental Impact Assessment) Regulations 2017 as amended."/>
    <s v="S73"/>
    <d v="2019-11-04T00:00:00"/>
    <d v="2021-04-29T00:00:00"/>
    <m/>
    <s v="Nil"/>
    <m/>
    <s v="BF"/>
    <s v="NB"/>
    <x v="1"/>
    <x v="0"/>
    <n v="7.8E-2"/>
    <d v="2021-08-01T00:00:00"/>
    <x v="0"/>
    <d v="2024-03-31T00:00:00"/>
    <s v="Open Market"/>
    <s v="M"/>
    <s v="3.7"/>
    <m/>
    <m/>
    <m/>
    <m/>
    <m/>
    <n v="0"/>
    <n v="23"/>
    <n v="24"/>
    <n v="2"/>
    <n v="0"/>
    <n v="0"/>
    <n v="0"/>
    <n v="0"/>
    <n v="23"/>
    <n v="24"/>
    <n v="2"/>
    <n v="0"/>
    <n v="0"/>
    <n v="0"/>
    <n v="0"/>
    <n v="0"/>
    <n v="0"/>
    <n v="0"/>
    <n v="0"/>
    <n v="0"/>
    <n v="0"/>
    <n v="0"/>
    <n v="0"/>
    <n v="0"/>
    <n v="0"/>
    <n v="0"/>
    <n v="0"/>
    <n v="0"/>
    <m/>
    <m/>
    <s v="Wandsworth Town, including the Wandle Delta Masterplan Area"/>
    <n v="1"/>
    <n v="49"/>
    <m/>
    <m/>
    <m/>
    <m/>
    <m/>
    <m/>
    <m/>
    <m/>
    <m/>
    <m/>
    <m/>
    <m/>
    <m/>
    <m/>
    <m/>
    <m/>
    <m/>
    <m/>
    <m/>
    <n v="0"/>
    <n v="0"/>
  </r>
  <r>
    <n v="3519"/>
    <x v="0"/>
    <s v="2019/4583"/>
    <s v="B and Q Depot, Smugglers Way"/>
    <s v="BLOCK A4"/>
    <n v="525782"/>
    <n v="175172"/>
    <s v="St Mary's"/>
    <d v="2020-01-18T00:00:00"/>
    <m/>
    <n v="0"/>
    <n v="42"/>
    <n v="42"/>
    <n v="554"/>
    <n v="554"/>
    <s v="Y"/>
    <s v="Variation of conditions 2 (in accordance with approved drawings), 3 (Environmental Impact Assessment - EIA), 4 (Flood Risk Assessment) and removal of condition 13 (No residential units shall be occupied within the inner or middle zones of the HSE consultation distance around the Wandsworth Gas Holder Station) pursuant to planning permission dated 29/03/2019 ref 2017/0580 [Demolition of existing retail buildings and phased construction of 13 residential blocks (with 3 podiums) ranging from 8 to 15 storeys to provide a mixed use scheme including 517 residential units (Class C3), 5160 sqm GIA of business (Class B1) and 2969 sqm GIA flexible business/retail/restaurant and cafe (Class B1, A1, A2, A3 and A4) with car/cycle parking, associated combined heat and power (CHP), plant and associated works, landscaping, new accesses onto Smugglers Way, and offsite highways works including a new pedestrian crossing of Swandon Way) to allow the following changes: _x000a__x000a_An increase in unit numbers from 517 to 554 (37 units additional units), increase in affordable housing units from 184 to 197, change to housing mix, reduction in car parking from 60 parking spaces to 22 blue badge spaces, 1 commercial blue badge space and 1 car club space. Introduction of D1 and D2 uses into the flexible floorspace and reduction in ground floor flexible commercial floorspace from 2969m² to 1960m² (GIA), reduction in Class B1(a) commercial floorspace at the mezzanine level from 5160m² to 1054m² (GIA) with the provision of 2,548m² (GIA) residential facilities associated with the 'Build to Rent' model. Associated changes to the level of cycle storage, amenity with outdoor swimming pool, private amenity, public open space and playspace across the site, increase in size of energy centre and other associated changes as a result of the revised development.  A revised EIA and associated mitigation, change to finished floor levels and removal of condition 13 (see planning statement on Council website). A revised Environmental Statement has been submitted under the Town and Country Planning (Environmental Impact Assessment) Regulations 2017 as amended."/>
    <s v="S73"/>
    <d v="2019-11-04T00:00:00"/>
    <d v="2021-04-29T00:00:00"/>
    <m/>
    <s v="Nil"/>
    <m/>
    <s v="BF"/>
    <s v="NB"/>
    <x v="1"/>
    <x v="0"/>
    <n v="6.7000000000000004E-2"/>
    <d v="2021-08-01T00:00:00"/>
    <x v="0"/>
    <d v="2024-03-31T00:00:00"/>
    <s v="Open Market"/>
    <s v="M"/>
    <s v="3.7"/>
    <m/>
    <m/>
    <m/>
    <m/>
    <m/>
    <n v="0"/>
    <n v="0"/>
    <n v="40"/>
    <n v="2"/>
    <n v="0"/>
    <n v="0"/>
    <n v="0"/>
    <n v="0"/>
    <n v="0"/>
    <n v="40"/>
    <n v="2"/>
    <n v="0"/>
    <n v="0"/>
    <n v="0"/>
    <n v="0"/>
    <n v="0"/>
    <n v="0"/>
    <n v="0"/>
    <n v="0"/>
    <n v="0"/>
    <n v="0"/>
    <n v="0"/>
    <n v="0"/>
    <n v="0"/>
    <n v="0"/>
    <n v="0"/>
    <n v="0"/>
    <n v="0"/>
    <m/>
    <m/>
    <s v="Wandsworth Town, including the Wandle Delta Masterplan Area"/>
    <n v="1"/>
    <n v="42"/>
    <m/>
    <m/>
    <m/>
    <m/>
    <m/>
    <m/>
    <m/>
    <m/>
    <m/>
    <m/>
    <m/>
    <m/>
    <m/>
    <m/>
    <m/>
    <m/>
    <m/>
    <m/>
    <m/>
    <n v="0"/>
    <n v="0"/>
  </r>
  <r>
    <n v="3519"/>
    <x v="0"/>
    <s v="2019/4583"/>
    <s v="B and Q Depot, Smugglers Way"/>
    <s v="BLOCK B1"/>
    <n v="525782"/>
    <n v="175172"/>
    <s v="St Mary's"/>
    <d v="2020-01-18T00:00:00"/>
    <m/>
    <n v="0"/>
    <n v="43"/>
    <n v="43"/>
    <n v="554"/>
    <n v="554"/>
    <s v="Y"/>
    <s v="Variation of conditions 2 (in accordance with approved drawings), 3 (Environmental Impact Assessment - EIA), 4 (Flood Risk Assessment) and removal of condition 13 (No residential units shall be occupied within the inner or middle zones of the HSE consultation distance around the Wandsworth Gas Holder Station) pursuant to planning permission dated 29/03/2019 ref 2017/0580 [Demolition of existing retail buildings and phased construction of 13 residential blocks (with 3 podiums) ranging from 8 to 15 storeys to provide a mixed use scheme including 517 residential units (Class C3), 5160 sqm GIA of business (Class B1) and 2969 sqm GIA flexible business/retail/restaurant and cafe (Class B1, A1, A2, A3 and A4) with car/cycle parking, associated combined heat and power (CHP), plant and associated works, landscaping, new accesses onto Smugglers Way, and offsite highways works including a new pedestrian crossing of Swandon Way) to allow the following changes: _x000a__x000a_An increase in unit numbers from 517 to 554 (37 units additional units), increase in affordable housing units from 184 to 197, change to housing mix, reduction in car parking from 60 parking spaces to 22 blue badge spaces, 1 commercial blue badge space and 1 car club space. Introduction of D1 and D2 uses into the flexible floorspace and reduction in ground floor flexible commercial floorspace from 2969m² to 1960m² (GIA), reduction in Class B1(a) commercial floorspace at the mezzanine level from 5160m² to 1054m² (GIA) with the provision of 2,548m² (GIA) residential facilities associated with the 'Build to Rent' model. Associated changes to the level of cycle storage, amenity with outdoor swimming pool, private amenity, public open space and playspace across the site, increase in size of energy centre and other associated changes as a result of the revised development.  A revised EIA and associated mitigation, change to finished floor levels and removal of condition 13 (see planning statement on Council website). A revised Environmental Statement has been submitted under the Town and Country Planning (Environmental Impact Assessment) Regulations 2017 as amended."/>
    <s v="S73"/>
    <d v="2019-11-04T00:00:00"/>
    <d v="2021-04-29T00:00:00"/>
    <m/>
    <s v="Nil"/>
    <m/>
    <s v="BF"/>
    <s v="NB"/>
    <x v="1"/>
    <x v="0"/>
    <n v="6.9000000000000006E-2"/>
    <d v="2021-08-01T00:00:00"/>
    <x v="0"/>
    <d v="2024-03-31T00:00:00"/>
    <s v="Intermediate"/>
    <s v="IR"/>
    <s v="3.7"/>
    <m/>
    <m/>
    <m/>
    <m/>
    <n v="22"/>
    <n v="0"/>
    <n v="21"/>
    <n v="22"/>
    <n v="0"/>
    <n v="0"/>
    <n v="0"/>
    <n v="0"/>
    <n v="0"/>
    <n v="21"/>
    <n v="22"/>
    <n v="0"/>
    <n v="0"/>
    <n v="0"/>
    <n v="0"/>
    <n v="0"/>
    <n v="0"/>
    <n v="0"/>
    <n v="0"/>
    <n v="0"/>
    <n v="0"/>
    <n v="0"/>
    <n v="0"/>
    <n v="0"/>
    <n v="0"/>
    <n v="0"/>
    <n v="0"/>
    <n v="0"/>
    <n v="0"/>
    <m/>
    <m/>
    <s v="Wandsworth Town, including the Wandle Delta Masterplan Area"/>
    <n v="1"/>
    <n v="43"/>
    <m/>
    <m/>
    <m/>
    <m/>
    <m/>
    <m/>
    <m/>
    <m/>
    <m/>
    <m/>
    <m/>
    <m/>
    <m/>
    <m/>
    <m/>
    <m/>
    <m/>
    <m/>
    <m/>
    <n v="0"/>
    <n v="0"/>
  </r>
  <r>
    <n v="3519"/>
    <x v="0"/>
    <s v="2019/4583"/>
    <s v="B and Q Depot, Smugglers Way"/>
    <s v="BLOCK B2"/>
    <n v="525782"/>
    <n v="175172"/>
    <s v="St Mary's"/>
    <d v="2020-01-18T00:00:00"/>
    <m/>
    <n v="0"/>
    <n v="35"/>
    <n v="35"/>
    <n v="554"/>
    <n v="554"/>
    <s v="Y"/>
    <s v="Variation of conditions 2 (in accordance with approved drawings), 3 (Environmental Impact Assessment - EIA), 4 (Flood Risk Assessment) and removal of condition 13 (No residential units shall be occupied within the inner or middle zones of the HSE consultation distance around the Wandsworth Gas Holder Station) pursuant to planning permission dated 29/03/2019 ref 2017/0580 [Demolition of existing retail buildings and phased construction of 13 residential blocks (with 3 podiums) ranging from 8 to 15 storeys to provide a mixed use scheme including 517 residential units (Class C3), 5160 sqm GIA of business (Class B1) and 2969 sqm GIA flexible business/retail/restaurant and cafe (Class B1, A1, A2, A3 and A4) with car/cycle parking, associated combined heat and power (CHP), plant and associated works, landscaping, new accesses onto Smugglers Way, and offsite highways works including a new pedestrian crossing of Swandon Way) to allow the following changes: _x000a__x000a_An increase in unit numbers from 517 to 554 (37 units additional units), increase in affordable housing units from 184 to 197, change to housing mix, reduction in car parking from 60 parking spaces to 22 blue badge spaces, 1 commercial blue badge space and 1 car club space. Introduction of D1 and D2 uses into the flexible floorspace and reduction in ground floor flexible commercial floorspace from 2969m² to 1960m² (GIA), reduction in Class B1(a) commercial floorspace at the mezzanine level from 5160m² to 1054m² (GIA) with the provision of 2,548m² (GIA) residential facilities associated with the 'Build to Rent' model. Associated changes to the level of cycle storage, amenity with outdoor swimming pool, private amenity, public open space and playspace across the site, increase in size of energy centre and other associated changes as a result of the revised development.  A revised EIA and associated mitigation, change to finished floor levels and removal of condition 13 (see planning statement on Council website). A revised Environmental Statement has been submitted under the Town and Country Planning (Environmental Impact Assessment) Regulations 2017 as amended."/>
    <s v="S73"/>
    <d v="2019-11-04T00:00:00"/>
    <d v="2021-04-29T00:00:00"/>
    <m/>
    <s v="Nil"/>
    <m/>
    <s v="BF"/>
    <s v="NB"/>
    <x v="1"/>
    <x v="0"/>
    <n v="5.6000000000000001E-2"/>
    <d v="2021-08-01T00:00:00"/>
    <x v="0"/>
    <d v="2024-03-31T00:00:00"/>
    <s v="Intermediate"/>
    <s v="IR"/>
    <s v="3.7"/>
    <m/>
    <m/>
    <m/>
    <m/>
    <m/>
    <n v="0"/>
    <n v="0"/>
    <n v="35"/>
    <n v="0"/>
    <n v="0"/>
    <n v="0"/>
    <n v="0"/>
    <n v="0"/>
    <n v="0"/>
    <n v="35"/>
    <n v="0"/>
    <n v="0"/>
    <n v="0"/>
    <n v="0"/>
    <n v="0"/>
    <n v="0"/>
    <n v="0"/>
    <n v="0"/>
    <n v="0"/>
    <n v="0"/>
    <n v="0"/>
    <n v="0"/>
    <n v="0"/>
    <n v="0"/>
    <n v="0"/>
    <n v="0"/>
    <n v="0"/>
    <n v="0"/>
    <m/>
    <m/>
    <s v="Wandsworth Town, including the Wandle Delta Masterplan Area"/>
    <n v="1"/>
    <n v="35"/>
    <m/>
    <m/>
    <m/>
    <m/>
    <m/>
    <m/>
    <m/>
    <m/>
    <m/>
    <m/>
    <m/>
    <m/>
    <m/>
    <m/>
    <m/>
    <m/>
    <m/>
    <m/>
    <m/>
    <n v="0"/>
    <n v="0"/>
  </r>
  <r>
    <n v="3519"/>
    <x v="0"/>
    <s v="2019/4583"/>
    <s v="B and Q Depot, Smugglers Way"/>
    <s v="BLOCK B3"/>
    <n v="525782"/>
    <n v="175172"/>
    <s v="St Mary's"/>
    <d v="2020-01-18T00:00:00"/>
    <m/>
    <n v="0"/>
    <n v="32"/>
    <n v="32"/>
    <n v="554"/>
    <n v="554"/>
    <s v="Y"/>
    <s v="Variation of conditions 2 (in accordance with approved drawings), 3 (Environmental Impact Assessment - EIA), 4 (Flood Risk Assessment) and removal of condition 13 (No residential units shall be occupied within the inner or middle zones of the HSE consultation distance around the Wandsworth Gas Holder Station) pursuant to planning permission dated 29/03/2019 ref 2017/0580 [Demolition of existing retail buildings and phased construction of 13 residential blocks (with 3 podiums) ranging from 8 to 15 storeys to provide a mixed use scheme including 517 residential units (Class C3), 5160 sqm GIA of business (Class B1) and 2969 sqm GIA flexible business/retail/restaurant and cafe (Class B1, A1, A2, A3 and A4) with car/cycle parking, associated combined heat and power (CHP), plant and associated works, landscaping, new accesses onto Smugglers Way, and offsite highways works including a new pedestrian crossing of Swandon Way) to allow the following changes: _x000a__x000a_An increase in unit numbers from 517 to 554 (37 units additional units), increase in affordable housing units from 184 to 197, change to housing mix, reduction in car parking from 60 parking spaces to 22 blue badge spaces, 1 commercial blue badge space and 1 car club space. Introduction of D1 and D2 uses into the flexible floorspace and reduction in ground floor flexible commercial floorspace from 2969m² to 1960m² (GIA), reduction in Class B1(a) commercial floorspace at the mezzanine level from 5160m² to 1054m² (GIA) with the provision of 2,548m² (GIA) residential facilities associated with the 'Build to Rent' model. Associated changes to the level of cycle storage, amenity with outdoor swimming pool, private amenity, public open space and playspace across the site, increase in size of energy centre and other associated changes as a result of the revised development.  A revised EIA and associated mitigation, change to finished floor levels and removal of condition 13 (see planning statement on Council website). A revised Environmental Statement has been submitted under the Town and Country Planning (Environmental Impact Assessment) Regulations 2017 as amended."/>
    <s v="S73"/>
    <d v="2019-11-04T00:00:00"/>
    <d v="2021-04-29T00:00:00"/>
    <m/>
    <s v="Nil"/>
    <m/>
    <s v="BF"/>
    <s v="NB"/>
    <x v="1"/>
    <x v="0"/>
    <n v="5.0999999999999997E-2"/>
    <d v="2021-08-01T00:00:00"/>
    <x v="0"/>
    <d v="2024-03-31T00:00:00"/>
    <s v="Social/Affordable Rent"/>
    <s v="AA"/>
    <s v="3.7"/>
    <m/>
    <m/>
    <m/>
    <m/>
    <n v="8"/>
    <n v="0"/>
    <n v="16"/>
    <n v="16"/>
    <n v="0"/>
    <n v="0"/>
    <n v="0"/>
    <n v="0"/>
    <n v="0"/>
    <n v="16"/>
    <n v="16"/>
    <n v="0"/>
    <n v="0"/>
    <n v="0"/>
    <n v="0"/>
    <n v="0"/>
    <n v="0"/>
    <n v="0"/>
    <n v="0"/>
    <n v="0"/>
    <n v="0"/>
    <n v="0"/>
    <n v="0"/>
    <n v="0"/>
    <n v="0"/>
    <n v="0"/>
    <n v="0"/>
    <n v="0"/>
    <n v="0"/>
    <m/>
    <m/>
    <s v="Wandsworth Town, including the Wandle Delta Masterplan Area"/>
    <n v="1"/>
    <n v="32"/>
    <m/>
    <m/>
    <m/>
    <m/>
    <m/>
    <m/>
    <m/>
    <m/>
    <m/>
    <m/>
    <m/>
    <m/>
    <m/>
    <m/>
    <m/>
    <m/>
    <m/>
    <m/>
    <m/>
    <n v="0"/>
    <n v="0"/>
  </r>
  <r>
    <n v="3519"/>
    <x v="0"/>
    <s v="2019/4583"/>
    <s v="B and Q Depot, Smugglers Way"/>
    <s v="BLOCK B4"/>
    <n v="525782"/>
    <n v="175172"/>
    <s v="St Mary's"/>
    <d v="2020-01-18T00:00:00"/>
    <m/>
    <n v="0"/>
    <n v="2"/>
    <n v="2"/>
    <n v="554"/>
    <n v="554"/>
    <s v="Y"/>
    <s v="Variation of conditions 2 (in accordance with approved drawings), 3 (Environmental Impact Assessment - EIA), 4 (Flood Risk Assessment) and removal of condition 13 (No residential units shall be occupied within the inner or middle zones of the HSE consultation distance around the Wandsworth Gas Holder Station) pursuant to planning permission dated 29/03/2019 ref 2017/0580 [Demolition of existing retail buildings and phased construction of 13 residential blocks (with 3 podiums) ranging from 8 to 15 storeys to provide a mixed use scheme including 517 residential units (Class C3), 5160 sqm GIA of business (Class B1) and 2969 sqm GIA flexible business/retail/restaurant and cafe (Class B1, A1, A2, A3 and A4) with car/cycle parking, associated combined heat and power (CHP), plant and associated works, landscaping, new accesses onto Smugglers Way, and offsite highways works including a new pedestrian crossing of Swandon Way) to allow the following changes: _x000a__x000a_An increase in unit numbers from 517 to 554 (37 units additional units), increase in affordable housing units from 184 to 197, change to housing mix, reduction in car parking from 60 parking spaces to 22 blue badge spaces, 1 commercial blue badge space and 1 car club space. Introduction of D1 and D2 uses into the flexible floorspace and reduction in ground floor flexible commercial floorspace from 2969m² to 1960m² (GIA), reduction in Class B1(a) commercial floorspace at the mezzanine level from 5160m² to 1054m² (GIA) with the provision of 2,548m² (GIA) residential facilities associated with the 'Build to Rent' model. Associated changes to the level of cycle storage, amenity with outdoor swimming pool, private amenity, public open space and playspace across the site, increase in size of energy centre and other associated changes as a result of the revised development.  A revised EIA and associated mitigation, change to finished floor levels and removal of condition 13 (see planning statement on Council website). A revised Environmental Statement has been submitted under the Town and Country Planning (Environmental Impact Assessment) Regulations 2017 as amended."/>
    <s v="S73"/>
    <d v="2019-11-04T00:00:00"/>
    <d v="2021-04-29T00:00:00"/>
    <m/>
    <s v="Nil"/>
    <m/>
    <s v="BF"/>
    <s v="NB"/>
    <x v="1"/>
    <x v="0"/>
    <n v="3.0000000000000001E-3"/>
    <d v="2021-08-01T00:00:00"/>
    <x v="0"/>
    <d v="2024-03-31T00:00:00"/>
    <s v="Social/Affordable Rent"/>
    <s v="AA"/>
    <s v="3.7"/>
    <m/>
    <m/>
    <m/>
    <m/>
    <n v="9"/>
    <n v="0"/>
    <n v="0"/>
    <n v="2"/>
    <n v="0"/>
    <n v="0"/>
    <n v="0"/>
    <n v="0"/>
    <n v="0"/>
    <n v="0"/>
    <n v="2"/>
    <n v="0"/>
    <n v="0"/>
    <n v="0"/>
    <n v="0"/>
    <n v="0"/>
    <n v="0"/>
    <n v="0"/>
    <n v="0"/>
    <n v="0"/>
    <n v="0"/>
    <n v="0"/>
    <n v="0"/>
    <n v="0"/>
    <n v="0"/>
    <n v="0"/>
    <n v="0"/>
    <n v="0"/>
    <n v="0"/>
    <m/>
    <m/>
    <s v="Wandsworth Town, including the Wandle Delta Masterplan Area"/>
    <n v="1"/>
    <n v="2"/>
    <m/>
    <m/>
    <m/>
    <m/>
    <m/>
    <m/>
    <m/>
    <m/>
    <m/>
    <m/>
    <m/>
    <m/>
    <m/>
    <m/>
    <m/>
    <m/>
    <m/>
    <m/>
    <m/>
    <n v="0"/>
    <n v="0"/>
  </r>
  <r>
    <n v="3519"/>
    <x v="0"/>
    <s v="2019/4583"/>
    <s v="B and Q Depot, Smugglers Way"/>
    <s v="BLOCK B4"/>
    <n v="525782"/>
    <n v="175172"/>
    <s v="St Mary's"/>
    <d v="2020-01-18T00:00:00"/>
    <m/>
    <n v="0"/>
    <n v="25"/>
    <n v="25"/>
    <n v="554"/>
    <n v="554"/>
    <s v="Y"/>
    <s v="Variation of conditions 2 (in accordance with approved drawings), 3 (Environmental Impact Assessment - EIA), 4 (Flood Risk Assessment) and removal of condition 13 (No residential units shall be occupied within the inner or middle zones of the HSE consultation distance around the Wandsworth Gas Holder Station) pursuant to planning permission dated 29/03/2019 ref 2017/0580 [Demolition of existing retail buildings and phased construction of 13 residential blocks (with 3 podiums) ranging from 8 to 15 storeys to provide a mixed use scheme including 517 residential units (Class C3), 5160 sqm GIA of business (Class B1) and 2969 sqm GIA flexible business/retail/restaurant and cafe (Class B1, A1, A2, A3 and A4) with car/cycle parking, associated combined heat and power (CHP), plant and associated works, landscaping, new accesses onto Smugglers Way, and offsite highways works including a new pedestrian crossing of Swandon Way) to allow the following changes: _x000a__x000a_An increase in unit numbers from 517 to 554 (37 units additional units), increase in affordable housing units from 184 to 197, change to housing mix, reduction in car parking from 60 parking spaces to 22 blue badge spaces, 1 commercial blue badge space and 1 car club space. Introduction of D1 and D2 uses into the flexible floorspace and reduction in ground floor flexible commercial floorspace from 2969m² to 1960m² (GIA), reduction in Class B1(a) commercial floorspace at the mezzanine level from 5160m² to 1054m² (GIA) with the provision of 2,548m² (GIA) residential facilities associated with the 'Build to Rent' model. Associated changes to the level of cycle storage, amenity with outdoor swimming pool, private amenity, public open space and playspace across the site, increase in size of energy centre and other associated changes as a result of the revised development.  A revised EIA and associated mitigation, change to finished floor levels and removal of condition 13 (see planning statement on Council website). A revised Environmental Statement has been submitted under the Town and Country Planning (Environmental Impact Assessment) Regulations 2017 as amended."/>
    <s v="S73"/>
    <d v="2019-11-04T00:00:00"/>
    <d v="2021-04-29T00:00:00"/>
    <m/>
    <s v="Nil"/>
    <m/>
    <s v="BF"/>
    <s v="NB"/>
    <x v="1"/>
    <x v="0"/>
    <n v="0.04"/>
    <d v="2021-08-01T00:00:00"/>
    <x v="0"/>
    <d v="2024-03-31T00:00:00"/>
    <s v="Social/Affordable Rent"/>
    <s v="AA"/>
    <s v="3.7"/>
    <m/>
    <m/>
    <m/>
    <m/>
    <m/>
    <n v="0"/>
    <n v="0"/>
    <n v="16"/>
    <n v="9"/>
    <n v="0"/>
    <n v="0"/>
    <n v="0"/>
    <n v="0"/>
    <n v="0"/>
    <n v="16"/>
    <n v="9"/>
    <n v="0"/>
    <n v="0"/>
    <n v="0"/>
    <n v="0"/>
    <n v="0"/>
    <n v="0"/>
    <n v="0"/>
    <n v="0"/>
    <n v="0"/>
    <n v="0"/>
    <n v="0"/>
    <n v="0"/>
    <n v="0"/>
    <n v="0"/>
    <n v="0"/>
    <n v="0"/>
    <n v="0"/>
    <m/>
    <m/>
    <s v="Wandsworth Town, including the Wandle Delta Masterplan Area"/>
    <n v="1"/>
    <n v="25"/>
    <m/>
    <m/>
    <m/>
    <m/>
    <m/>
    <m/>
    <m/>
    <m/>
    <m/>
    <m/>
    <m/>
    <m/>
    <m/>
    <m/>
    <m/>
    <m/>
    <m/>
    <m/>
    <m/>
    <n v="0"/>
    <n v="0"/>
  </r>
  <r>
    <n v="3519"/>
    <x v="0"/>
    <s v="2019/4583"/>
    <s v="B and Q Depot, Smugglers Way"/>
    <s v="BLOCK B5"/>
    <n v="525782"/>
    <n v="175172"/>
    <s v="St Mary's"/>
    <d v="2020-01-18T00:00:00"/>
    <m/>
    <n v="0"/>
    <n v="22"/>
    <n v="22"/>
    <n v="554"/>
    <n v="554"/>
    <s v="Y"/>
    <s v="Variation of conditions 2 (in accordance with approved drawings), 3 (Environmental Impact Assessment - EIA), 4 (Flood Risk Assessment) and removal of condition 13 (No residential units shall be occupied within the inner or middle zones of the HSE consultation distance around the Wandsworth Gas Holder Station) pursuant to planning permission dated 29/03/2019 ref 2017/0580 [Demolition of existing retail buildings and phased construction of 13 residential blocks (with 3 podiums) ranging from 8 to 15 storeys to provide a mixed use scheme including 517 residential units (Class C3), 5160 sqm GIA of business (Class B1) and 2969 sqm GIA flexible business/retail/restaurant and cafe (Class B1, A1, A2, A3 and A4) with car/cycle parking, associated combined heat and power (CHP), plant and associated works, landscaping, new accesses onto Smugglers Way, and offsite highways works including a new pedestrian crossing of Swandon Way) to allow the following changes: _x000a__x000a_An increase in unit numbers from 517 to 554 (37 units additional units), increase in affordable housing units from 184 to 197, change to housing mix, reduction in car parking from 60 parking spaces to 22 blue badge spaces, 1 commercial blue badge space and 1 car club space. Introduction of D1 and D2 uses into the flexible floorspace and reduction in ground floor flexible commercial floorspace from 2969m² to 1960m² (GIA), reduction in Class B1(a) commercial floorspace at the mezzanine level from 5160m² to 1054m² (GIA) with the provision of 2,548m² (GIA) residential facilities associated with the 'Build to Rent' model. Associated changes to the level of cycle storage, amenity with outdoor swimming pool, private amenity, public open space and playspace across the site, increase in size of energy centre and other associated changes as a result of the revised development.  A revised EIA and associated mitigation, change to finished floor levels and removal of condition 13 (see planning statement on Council website). A revised Environmental Statement has been submitted under the Town and Country Planning (Environmental Impact Assessment) Regulations 2017 as amended."/>
    <s v="S73"/>
    <d v="2019-11-04T00:00:00"/>
    <d v="2021-04-29T00:00:00"/>
    <m/>
    <s v="Nil"/>
    <m/>
    <s v="BF"/>
    <s v="NB"/>
    <x v="1"/>
    <x v="0"/>
    <n v="3.5000000000000003E-2"/>
    <d v="2021-08-01T00:00:00"/>
    <x v="0"/>
    <d v="2024-03-31T00:00:00"/>
    <s v="Open Market"/>
    <s v="M"/>
    <s v="3.7"/>
    <m/>
    <m/>
    <m/>
    <m/>
    <m/>
    <n v="0"/>
    <n v="0"/>
    <n v="21"/>
    <n v="1"/>
    <n v="0"/>
    <n v="0"/>
    <n v="0"/>
    <n v="0"/>
    <n v="0"/>
    <n v="21"/>
    <n v="1"/>
    <n v="0"/>
    <n v="0"/>
    <n v="0"/>
    <n v="0"/>
    <n v="0"/>
    <n v="0"/>
    <n v="0"/>
    <n v="0"/>
    <n v="0"/>
    <n v="0"/>
    <n v="0"/>
    <n v="0"/>
    <n v="0"/>
    <n v="0"/>
    <n v="0"/>
    <n v="0"/>
    <n v="0"/>
    <m/>
    <m/>
    <s v="Wandsworth Town, including the Wandle Delta Masterplan Area"/>
    <n v="1"/>
    <n v="22"/>
    <m/>
    <m/>
    <m/>
    <m/>
    <m/>
    <m/>
    <m/>
    <m/>
    <m/>
    <m/>
    <m/>
    <m/>
    <m/>
    <m/>
    <m/>
    <m/>
    <m/>
    <m/>
    <m/>
    <n v="0"/>
    <n v="0"/>
  </r>
  <r>
    <n v="3519"/>
    <x v="0"/>
    <s v="2019/4583"/>
    <s v="B and Q Depot, Smugglers Way"/>
    <s v="BLOCK B5"/>
    <n v="525782"/>
    <n v="175172"/>
    <s v="St Mary's"/>
    <d v="2020-01-18T00:00:00"/>
    <m/>
    <n v="0"/>
    <n v="21"/>
    <n v="21"/>
    <n v="554"/>
    <n v="554"/>
    <s v="Y"/>
    <s v="Variation of conditions 2 (in accordance with approved drawings), 3 (Environmental Impact Assessment - EIA), 4 (Flood Risk Assessment) and removal of condition 13 (No residential units shall be occupied within the inner or middle zones of the HSE consultation distance around the Wandsworth Gas Holder Station) pursuant to planning permission dated 29/03/2019 ref 2017/0580 [Demolition of existing retail buildings and phased construction of 13 residential blocks (with 3 podiums) ranging from 8 to 15 storeys to provide a mixed use scheme including 517 residential units (Class C3), 5160 sqm GIA of business (Class B1) and 2969 sqm GIA flexible business/retail/restaurant and cafe (Class B1, A1, A2, A3 and A4) with car/cycle parking, associated combined heat and power (CHP), plant and associated works, landscaping, new accesses onto Smugglers Way, and offsite highways works including a new pedestrian crossing of Swandon Way) to allow the following changes: _x000a__x000a_An increase in unit numbers from 517 to 554 (37 units additional units), increase in affordable housing units from 184 to 197, change to housing mix, reduction in car parking from 60 parking spaces to 22 blue badge spaces, 1 commercial blue badge space and 1 car club space. Introduction of D1 and D2 uses into the flexible floorspace and reduction in ground floor flexible commercial floorspace from 2969m² to 1960m² (GIA), reduction in Class B1(a) commercial floorspace at the mezzanine level from 5160m² to 1054m² (GIA) with the provision of 2,548m² (GIA) residential facilities associated with the 'Build to Rent' model. Associated changes to the level of cycle storage, amenity with outdoor swimming pool, private amenity, public open space and playspace across the site, increase in size of energy centre and other associated changes as a result of the revised development.  A revised EIA and associated mitigation, change to finished floor levels and removal of condition 13 (see planning statement on Council website). A revised Environmental Statement has been submitted under the Town and Country Planning (Environmental Impact Assessment) Regulations 2017 as amended."/>
    <s v="S73"/>
    <d v="2019-11-04T00:00:00"/>
    <d v="2021-04-29T00:00:00"/>
    <m/>
    <s v="Nil"/>
    <m/>
    <s v="BF"/>
    <s v="NB"/>
    <x v="1"/>
    <x v="0"/>
    <n v="3.4000000000000002E-2"/>
    <d v="2021-08-01T00:00:00"/>
    <x v="0"/>
    <d v="2024-03-31T00:00:00"/>
    <s v="Intermediate"/>
    <s v="IR"/>
    <s v="3.7"/>
    <m/>
    <m/>
    <m/>
    <m/>
    <m/>
    <n v="0"/>
    <n v="0"/>
    <n v="21"/>
    <n v="0"/>
    <n v="0"/>
    <n v="0"/>
    <n v="0"/>
    <n v="0"/>
    <n v="0"/>
    <n v="21"/>
    <n v="0"/>
    <n v="0"/>
    <n v="0"/>
    <n v="0"/>
    <n v="0"/>
    <n v="0"/>
    <n v="0"/>
    <n v="0"/>
    <n v="0"/>
    <n v="0"/>
    <n v="0"/>
    <n v="0"/>
    <n v="0"/>
    <n v="0"/>
    <n v="0"/>
    <n v="0"/>
    <n v="0"/>
    <n v="0"/>
    <m/>
    <m/>
    <s v="Wandsworth Town, including the Wandle Delta Masterplan Area"/>
    <n v="1"/>
    <n v="21"/>
    <m/>
    <m/>
    <m/>
    <m/>
    <m/>
    <m/>
    <m/>
    <m/>
    <m/>
    <m/>
    <m/>
    <m/>
    <m/>
    <m/>
    <m/>
    <m/>
    <m/>
    <m/>
    <m/>
    <n v="0"/>
    <n v="0"/>
  </r>
  <r>
    <n v="3519"/>
    <x v="0"/>
    <s v="2019/4583"/>
    <s v="B and Q Depot, Smugglers Way"/>
    <s v="BLOCK B6"/>
    <n v="525782"/>
    <n v="175172"/>
    <s v="St Mary's"/>
    <d v="2020-01-18T00:00:00"/>
    <m/>
    <n v="0"/>
    <n v="39"/>
    <n v="39"/>
    <n v="554"/>
    <n v="554"/>
    <s v="Y"/>
    <s v="Variation of conditions 2 (in accordance with approved drawings), 3 (Environmental Impact Assessment - EIA), 4 (Flood Risk Assessment) and removal of condition 13 (No residential units shall be occupied within the inner or middle zones of the HSE consultation distance around the Wandsworth Gas Holder Station) pursuant to planning permission dated 29/03/2019 ref 2017/0580 [Demolition of existing retail buildings and phased construction of 13 residential blocks (with 3 podiums) ranging from 8 to 15 storeys to provide a mixed use scheme including 517 residential units (Class C3), 5160 sqm GIA of business (Class B1) and 2969 sqm GIA flexible business/retail/restaurant and cafe (Class B1, A1, A2, A3 and A4) with car/cycle parking, associated combined heat and power (CHP), plant and associated works, landscaping, new accesses onto Smugglers Way, and offsite highways works including a new pedestrian crossing of Swandon Way) to allow the following changes: _x000a__x000a_An increase in unit numbers from 517 to 554 (37 units additional units), increase in affordable housing units from 184 to 197, change to housing mix, reduction in car parking from 60 parking spaces to 22 blue badge spaces, 1 commercial blue badge space and 1 car club space. Introduction of D1 and D2 uses into the flexible floorspace and reduction in ground floor flexible commercial floorspace from 2969m² to 1960m² (GIA), reduction in Class B1(a) commercial floorspace at the mezzanine level from 5160m² to 1054m² (GIA) with the provision of 2,548m² (GIA) residential facilities associated with the 'Build to Rent' model. Associated changes to the level of cycle storage, amenity with outdoor swimming pool, private amenity, public open space and playspace across the site, increase in size of energy centre and other associated changes as a result of the revised development.  A revised EIA and associated mitigation, change to finished floor levels and removal of condition 13 (see planning statement on Council website). A revised Environmental Statement has been submitted under the Town and Country Planning (Environmental Impact Assessment) Regulations 2017 as amended."/>
    <s v="S73"/>
    <d v="2019-11-04T00:00:00"/>
    <d v="2021-04-29T00:00:00"/>
    <m/>
    <s v="Nil"/>
    <m/>
    <s v="BF"/>
    <s v="NB"/>
    <x v="1"/>
    <x v="0"/>
    <n v="6.3E-2"/>
    <d v="2021-08-01T00:00:00"/>
    <x v="0"/>
    <d v="2024-03-31T00:00:00"/>
    <s v="Intermediate"/>
    <s v="IR"/>
    <s v="3.7"/>
    <m/>
    <m/>
    <m/>
    <m/>
    <m/>
    <n v="0"/>
    <n v="19"/>
    <n v="20"/>
    <n v="0"/>
    <n v="0"/>
    <n v="0"/>
    <n v="0"/>
    <n v="0"/>
    <n v="19"/>
    <n v="20"/>
    <n v="0"/>
    <n v="0"/>
    <n v="0"/>
    <n v="0"/>
    <n v="0"/>
    <n v="0"/>
    <n v="0"/>
    <n v="0"/>
    <n v="0"/>
    <n v="0"/>
    <n v="0"/>
    <n v="0"/>
    <n v="0"/>
    <n v="0"/>
    <n v="0"/>
    <n v="0"/>
    <n v="0"/>
    <n v="0"/>
    <m/>
    <m/>
    <s v="Wandsworth Town, including the Wandle Delta Masterplan Area"/>
    <n v="1"/>
    <n v="39"/>
    <m/>
    <m/>
    <m/>
    <m/>
    <m/>
    <m/>
    <m/>
    <m/>
    <m/>
    <m/>
    <m/>
    <m/>
    <m/>
    <m/>
    <m/>
    <m/>
    <m/>
    <m/>
    <m/>
    <n v="0"/>
    <n v="0"/>
  </r>
  <r>
    <n v="7299"/>
    <x v="0"/>
    <s v="2019/4665"/>
    <s v="2 Replingham Road"/>
    <s v=""/>
    <n v="524756"/>
    <n v="173258"/>
    <s v="Southfields"/>
    <d v="2020-11-11T00:00:00"/>
    <d v="2024-03-25T00:00:00"/>
    <n v="0"/>
    <n v="5"/>
    <n v="5"/>
    <n v="5"/>
    <n v="5"/>
    <m/>
    <s v="Alterations in connection with change of use of ground floor from office (Class A2) to retail (Class A1). Alterations including erection of rear roof extension, extensions at all levels - lower ground floor, ground floor, first and second floor and formation of roof terraces in connection with change of use of rear ground, first and second floors from office (Class A2) to residential (Class C3) to create 1 x 3-bedroom, 2 x 2-bedroom, 1 x 1-bedroom and 1 x studio flats with associated cycle and refuse storage (AMENDED DESCRIPTION)"/>
    <s v="PF"/>
    <d v="2019-11-21T00:00:00"/>
    <d v="2020-04-28T00:00:00"/>
    <m/>
    <s v="Nil"/>
    <m/>
    <s v="BF"/>
    <s v="COU"/>
    <x v="2"/>
    <x v="6"/>
    <n v="1.4E-2"/>
    <d v="2020-11-11T00:00:00"/>
    <x v="0"/>
    <d v="2024-03-25T00:00:00"/>
    <s v="Open Market"/>
    <s v="M"/>
    <s v=""/>
    <m/>
    <m/>
    <m/>
    <m/>
    <m/>
    <n v="1"/>
    <n v="1"/>
    <n v="2"/>
    <n v="1"/>
    <n v="0"/>
    <n v="0"/>
    <n v="0"/>
    <n v="1"/>
    <n v="1"/>
    <n v="2"/>
    <n v="1"/>
    <n v="0"/>
    <n v="0"/>
    <n v="0"/>
    <n v="0"/>
    <n v="0"/>
    <n v="0"/>
    <n v="0"/>
    <n v="0"/>
    <n v="0"/>
    <n v="0"/>
    <n v="0"/>
    <n v="0"/>
    <n v="0"/>
    <n v="0"/>
    <n v="0"/>
    <n v="0"/>
    <n v="0"/>
    <m/>
    <m/>
    <s v="Rest of Borough"/>
    <n v="11"/>
    <n v="5"/>
    <m/>
    <m/>
    <m/>
    <m/>
    <m/>
    <m/>
    <m/>
    <m/>
    <m/>
    <m/>
    <m/>
    <m/>
    <m/>
    <m/>
    <m/>
    <m/>
    <m/>
    <m/>
    <m/>
    <n v="0"/>
    <n v="0"/>
  </r>
  <r>
    <n v="3522"/>
    <x v="0"/>
    <s v="2020/0011"/>
    <s v="Homebase, Swandon Way"/>
    <s v="Block D (Affordable Housing)"/>
    <n v="525912"/>
    <n v="175143"/>
    <s v="St Mary's"/>
    <d v="2020-04-01T00:00:00"/>
    <m/>
    <n v="0"/>
    <n v="27"/>
    <n v="27"/>
    <n v="480"/>
    <n v="480"/>
    <s v="Y"/>
    <s v="Variation of conditions 2 (in accordance with approved drawings), removal of condition 3 (HSE consultation distance), removal of condition 4 (restriction on use of residents facilities); condition 12 (finished floor levels); condition 21 (compliance with energy strategy); condition 22 (accessible homes); removal of condition 23 (air quality - boilers and CHP); removal of condition 25 (restriction on site clearance); condition 26 (biodiversity enhancement plan); condition 36 (wind mitigation); condition 42 (Retention of scheme architects) condition 44 (residential unit numbers); condition 45 (non-residential floorspace); condition 46 (car parking); removal of condition 47 (basement) pursuant to planning permission dated 31 July 2018 ref: 2016/7356 (Demolition of existing retail warehouse building and erection of three buildings ranging from 8 to 17 storeys with basement to provide a mixed use scheme including 385 residential units (Class C3), 563 sq.m. GIA of retail units (Class A1 and/or A2 and/or A3 uses) 165 sq.m. of leisure use (Class D1) and 1,620 sq.m. GIA of studio/offices (Class B1), with associated cycle parking spaces and 89 car parking spaces, playspace, landscaping and public realm improvements (including contribution towards the new entrance to Wandsworth Town Station) to allow the following changes: _x000a_ _x000a_Increase in unit numbers from 385 to 480, increase in affordable units from 131 to 159, change to housing mix, amended basement area and reduction from 89 car parking spaces to 15 spaces (plus 6 blue badge spaces), inclusion of A4 and D2 uses within flexible commercial floorspace, reduction in flexible floorspace from 2348sqm to 1618sqm, provision of residential facilities in connection with 'Build to Rent', design/elevational changes to all buildings including Station Building, changes to layout and associated amendments to S106. Revised associated amenity space and cycle storage. A revised Environmental Statement has been submitted under the Town and Country Planning (Environmental Impact Assessment) Regulations 2017 as amended. (RECONSULTATION - AMENDED DESCRIPTION, SEE WEBSITE FOR FULL DETAILS)"/>
    <s v="S73"/>
    <d v="2020-01-06T00:00:00"/>
    <d v="2021-10-05T00:00:00"/>
    <m/>
    <s v="Nil"/>
    <m/>
    <s v="BF"/>
    <s v="NB"/>
    <x v="1"/>
    <x v="0"/>
    <n v="2.7E-2"/>
    <d v="2022-04-01T00:00:00"/>
    <x v="0"/>
    <d v="2024-03-31T00:00:00"/>
    <s v="Social/Affordable Rent"/>
    <s v="AL"/>
    <s v="3.6"/>
    <m/>
    <m/>
    <m/>
    <m/>
    <n v="10"/>
    <n v="0"/>
    <n v="13"/>
    <n v="11"/>
    <n v="3"/>
    <n v="0"/>
    <n v="0"/>
    <n v="0"/>
    <n v="0"/>
    <n v="13"/>
    <n v="11"/>
    <n v="3"/>
    <n v="0"/>
    <n v="0"/>
    <n v="0"/>
    <n v="0"/>
    <n v="0"/>
    <n v="0"/>
    <n v="0"/>
    <n v="0"/>
    <n v="0"/>
    <n v="0"/>
    <n v="0"/>
    <n v="0"/>
    <n v="0"/>
    <n v="0"/>
    <n v="0"/>
    <n v="0"/>
    <n v="0"/>
    <m/>
    <m/>
    <s v="Wandsworth Town, including the Wandle Delta Masterplan Area"/>
    <n v="1"/>
    <n v="27"/>
    <m/>
    <m/>
    <m/>
    <m/>
    <m/>
    <m/>
    <m/>
    <m/>
    <m/>
    <m/>
    <m/>
    <m/>
    <m/>
    <m/>
    <m/>
    <m/>
    <m/>
    <m/>
    <m/>
    <n v="0"/>
    <n v="0"/>
  </r>
  <r>
    <n v="3522"/>
    <x v="0"/>
    <s v="2020/0011"/>
    <s v="Homebase, Swandon Way"/>
    <s v="Block D (Intermediate)"/>
    <n v="525912"/>
    <n v="175143"/>
    <s v="St Mary's"/>
    <d v="2020-04-01T00:00:00"/>
    <m/>
    <n v="0"/>
    <n v="43"/>
    <n v="43"/>
    <n v="480"/>
    <n v="480"/>
    <s v="Y"/>
    <s v="Variation of conditions 2 (in accordance with approved drawings), removal of condition 3 (HSE consultation distance), removal of condition 4 (restriction on use of residents facilities); condition 12 (finished floor levels); condition 21 (compliance with energy strategy); condition 22 (accessible homes); removal of condition 23 (air quality - boilers and CHP); removal of condition 25 (restriction on site clearance); condition 26 (biodiversity enhancement plan); condition 36 (wind mitigation); condition 42 (Retention of scheme architects) condition 44 (residential unit numbers); condition 45 (non-residential floorspace); condition 46 (car parking); removal of condition 47 (basement) pursuant to planning permission dated 31 July 2018 ref: 2016/7356 (Demolition of existing retail warehouse building and erection of three buildings ranging from 8 to 17 storeys with basement to provide a mixed use scheme including 385 residential units (Class C3), 563 sq.m. GIA of retail units (Class A1 and/or A2 and/or A3 uses) 165 sq.m. of leisure use (Class D1) and 1,620 sq.m. GIA of studio/offices (Class B1), with associated cycle parking spaces and 89 car parking spaces, playspace, landscaping and public realm improvements (including contribution towards the new entrance to Wandsworth Town Station) to allow the following changes: _x000a_ _x000a_Increase in unit numbers from 385 to 480, increase in affordable units from 131 to 159, change to housing mix, amended basement area and reduction from 89 car parking spaces to 15 spaces (plus 6 blue badge spaces), inclusion of A4 and D2 uses within flexible commercial floorspace, reduction in flexible floorspace from 2348sqm to 1618sqm, provision of residential facilities in connection with 'Build to Rent', design/elevational changes to all buildings including Station Building, changes to layout and associated amendments to S106. Revised associated amenity space and cycle storage. A revised Environmental Statement has been submitted under the Town and Country Planning (Environmental Impact Assessment) Regulations 2017 as amended. (RECONSULTATION - AMENDED DESCRIPTION, SEE WEBSITE FOR FULL DETAILS)"/>
    <s v="S73"/>
    <d v="2020-01-06T00:00:00"/>
    <d v="2021-10-05T00:00:00"/>
    <m/>
    <s v="Nil"/>
    <m/>
    <s v="BF"/>
    <s v="NB"/>
    <x v="1"/>
    <x v="0"/>
    <n v="4.2700000000000002E-2"/>
    <d v="2022-04-01T00:00:00"/>
    <x v="0"/>
    <d v="2024-03-31T00:00:00"/>
    <s v="Intermediate"/>
    <s v="ISO"/>
    <s v="3.6"/>
    <m/>
    <m/>
    <m/>
    <m/>
    <m/>
    <n v="0"/>
    <n v="20"/>
    <n v="20"/>
    <n v="3"/>
    <n v="0"/>
    <n v="0"/>
    <n v="0"/>
    <n v="0"/>
    <n v="20"/>
    <n v="20"/>
    <n v="3"/>
    <n v="0"/>
    <n v="0"/>
    <n v="0"/>
    <n v="0"/>
    <n v="0"/>
    <n v="0"/>
    <n v="0"/>
    <n v="0"/>
    <n v="0"/>
    <n v="0"/>
    <n v="0"/>
    <n v="0"/>
    <n v="0"/>
    <n v="0"/>
    <n v="0"/>
    <n v="0"/>
    <n v="0"/>
    <m/>
    <m/>
    <s v="Wandsworth Town, including the Wandle Delta Masterplan Area"/>
    <n v="1"/>
    <n v="43"/>
    <m/>
    <m/>
    <m/>
    <m/>
    <m/>
    <m/>
    <m/>
    <m/>
    <m/>
    <m/>
    <m/>
    <m/>
    <m/>
    <m/>
    <m/>
    <m/>
    <m/>
    <m/>
    <m/>
    <n v="0"/>
    <n v="0"/>
  </r>
  <r>
    <n v="3522"/>
    <x v="0"/>
    <s v="2020/0011"/>
    <s v="Homebase, Swandon Way"/>
    <s v="Block E(Affordable Housing)"/>
    <n v="525912"/>
    <n v="175143"/>
    <s v="St Mary's"/>
    <d v="2020-04-01T00:00:00"/>
    <m/>
    <n v="0"/>
    <n v="70"/>
    <n v="70"/>
    <n v="480"/>
    <n v="480"/>
    <s v="Y"/>
    <s v="Variation of conditions 2 (in accordance with approved drawings), removal of condition 3 (HSE consultation distance), removal of condition 4 (restriction on use of residents facilities); condition 12 (finished floor levels); condition 21 (compliance with energy strategy); condition 22 (accessible homes); removal of condition 23 (air quality - boilers and CHP); removal of condition 25 (restriction on site clearance); condition 26 (biodiversity enhancement plan); condition 36 (wind mitigation); condition 42 (Retention of scheme architects) condition 44 (residential unit numbers); condition 45 (non-residential floorspace); condition 46 (car parking); removal of condition 47 (basement) pursuant to planning permission dated 31 July 2018 ref: 2016/7356 (Demolition of existing retail warehouse building and erection of three buildings ranging from 8 to 17 storeys with basement to provide a mixed use scheme including 385 residential units (Class C3), 563 sq.m. GIA of retail units (Class A1 and/or A2 and/or A3 uses) 165 sq.m. of leisure use (Class D1) and 1,620 sq.m. GIA of studio/offices (Class B1), with associated cycle parking spaces and 89 car parking spaces, playspace, landscaping and public realm improvements (including contribution towards the new entrance to Wandsworth Town Station) to allow the following changes: _x000a_ _x000a_Increase in unit numbers from 385 to 480, increase in affordable units from 131 to 159, change to housing mix, amended basement area and reduction from 89 car parking spaces to 15 spaces (plus 6 blue badge spaces), inclusion of A4 and D2 uses within flexible commercial floorspace, reduction in flexible floorspace from 2348sqm to 1618sqm, provision of residential facilities in connection with 'Build to Rent', design/elevational changes to all buildings including Station Building, changes to layout and associated amendments to S106. Revised associated amenity space and cycle storage. A revised Environmental Statement has been submitted under the Town and Country Planning (Environmental Impact Assessment) Regulations 2017 as amended. (RECONSULTATION - AMENDED DESCRIPTION, SEE WEBSITE FOR FULL DETAILS)"/>
    <s v="S73"/>
    <d v="2020-01-06T00:00:00"/>
    <d v="2021-10-05T00:00:00"/>
    <m/>
    <s v="Nil"/>
    <m/>
    <s v="BF"/>
    <s v="NB"/>
    <x v="1"/>
    <x v="0"/>
    <n v="6.9000000000000006E-2"/>
    <d v="2021-04-01T00:00:00"/>
    <x v="0"/>
    <d v="2024-03-31T00:00:00"/>
    <s v="Social/Affordable Rent"/>
    <s v="AL"/>
    <s v="3.6"/>
    <m/>
    <m/>
    <m/>
    <m/>
    <n v="18"/>
    <n v="0"/>
    <n v="36"/>
    <n v="17"/>
    <n v="17"/>
    <n v="0"/>
    <n v="0"/>
    <n v="0"/>
    <n v="0"/>
    <n v="36"/>
    <n v="17"/>
    <n v="17"/>
    <n v="0"/>
    <n v="0"/>
    <n v="0"/>
    <n v="0"/>
    <n v="0"/>
    <n v="0"/>
    <n v="0"/>
    <n v="0"/>
    <n v="0"/>
    <n v="0"/>
    <n v="0"/>
    <n v="0"/>
    <n v="0"/>
    <n v="0"/>
    <n v="0"/>
    <n v="0"/>
    <n v="0"/>
    <m/>
    <m/>
    <s v="Wandsworth Town, including the Wandle Delta Masterplan Area"/>
    <n v="1"/>
    <n v="70"/>
    <m/>
    <m/>
    <m/>
    <m/>
    <m/>
    <m/>
    <m/>
    <m/>
    <m/>
    <m/>
    <m/>
    <m/>
    <m/>
    <m/>
    <m/>
    <m/>
    <m/>
    <m/>
    <m/>
    <n v="0"/>
    <n v="0"/>
  </r>
  <r>
    <n v="7360"/>
    <x v="0"/>
    <s v="2020/0040"/>
    <s v="521-525 Battersea Park Road"/>
    <s v=""/>
    <n v="527443"/>
    <n v="176347"/>
    <s v="St Mary's"/>
    <d v="2021-06-21T00:00:00"/>
    <d v="2024-02-11T00:00:00"/>
    <n v="0"/>
    <n v="2"/>
    <n v="2"/>
    <n v="2"/>
    <n v="2"/>
    <m/>
    <s v="Alterations including erection of part three-storey rear extension at rear in connection with the creation of 2 x 1-bedroom flats; formation of roof terraces on first floor level with 2m high screen surround. Relocation of 2 x air-conditioning units to rear first floor level."/>
    <s v="PF"/>
    <d v="2020-02-28T00:00:00"/>
    <d v="2020-09-17T00:00:00"/>
    <m/>
    <s v="Nil"/>
    <m/>
    <s v="BF"/>
    <s v="MIX"/>
    <x v="2"/>
    <x v="7"/>
    <n v="1.2E-2"/>
    <d v="2021-06-21T00:00:00"/>
    <x v="0"/>
    <d v="2024-02-11T00:00:00"/>
    <s v="Open Market"/>
    <s v="M"/>
    <s v=""/>
    <m/>
    <m/>
    <m/>
    <m/>
    <m/>
    <n v="0"/>
    <n v="2"/>
    <n v="0"/>
    <n v="0"/>
    <n v="0"/>
    <n v="0"/>
    <n v="0"/>
    <n v="0"/>
    <n v="2"/>
    <n v="0"/>
    <n v="0"/>
    <n v="0"/>
    <n v="0"/>
    <n v="0"/>
    <n v="0"/>
    <n v="0"/>
    <n v="0"/>
    <n v="0"/>
    <n v="0"/>
    <n v="0"/>
    <n v="0"/>
    <n v="0"/>
    <n v="0"/>
    <n v="0"/>
    <n v="0"/>
    <n v="0"/>
    <n v="0"/>
    <n v="0"/>
    <m/>
    <m/>
    <s v="Rest of Borough"/>
    <n v="11"/>
    <n v="2"/>
    <m/>
    <m/>
    <m/>
    <m/>
    <m/>
    <m/>
    <m/>
    <m/>
    <m/>
    <m/>
    <m/>
    <m/>
    <m/>
    <m/>
    <m/>
    <m/>
    <m/>
    <m/>
    <m/>
    <n v="0"/>
    <n v="0"/>
  </r>
  <r>
    <n v="2784"/>
    <x v="0"/>
    <s v="2020/0184"/>
    <s v="Sterling House, Burston Road (Former garage site)"/>
    <s v=""/>
    <n v="523820"/>
    <n v="175047"/>
    <s v="West Putney"/>
    <d v="2022-04-01T00:00:00"/>
    <d v="2024-03-31T00:00:00"/>
    <n v="0"/>
    <n v="1"/>
    <n v="1"/>
    <n v="1"/>
    <n v="1"/>
    <m/>
    <s v="Erection of roof extension to provide an additional floor of accommodation to accomodate 1x3 bedroom flat."/>
    <s v="PF"/>
    <d v="2020-01-29T00:00:00"/>
    <d v="2020-05-27T00:00:00"/>
    <m/>
    <s v="Nil"/>
    <m/>
    <s v="BF"/>
    <s v="EXT"/>
    <x v="2"/>
    <x v="7"/>
    <n v="6.0000000000000001E-3"/>
    <d v="2022-04-01T00:00:00"/>
    <x v="0"/>
    <d v="2024-03-31T00:00:00"/>
    <s v="Open Market"/>
    <s v="M"/>
    <s v=""/>
    <m/>
    <m/>
    <m/>
    <m/>
    <m/>
    <n v="0"/>
    <n v="0"/>
    <n v="0"/>
    <n v="1"/>
    <n v="0"/>
    <n v="0"/>
    <n v="0"/>
    <n v="0"/>
    <n v="0"/>
    <n v="0"/>
    <n v="1"/>
    <n v="0"/>
    <n v="0"/>
    <n v="0"/>
    <n v="0"/>
    <n v="0"/>
    <n v="0"/>
    <n v="0"/>
    <n v="0"/>
    <n v="0"/>
    <n v="0"/>
    <n v="0"/>
    <n v="0"/>
    <n v="0"/>
    <n v="0"/>
    <n v="0"/>
    <n v="0"/>
    <n v="0"/>
    <m/>
    <m/>
    <s v="Putney"/>
    <n v="11"/>
    <n v="1"/>
    <m/>
    <m/>
    <m/>
    <m/>
    <m/>
    <m/>
    <m/>
    <m/>
    <m/>
    <m/>
    <m/>
    <m/>
    <m/>
    <m/>
    <m/>
    <m/>
    <m/>
    <m/>
    <m/>
    <n v="0"/>
    <n v="0"/>
  </r>
  <r>
    <n v="7338"/>
    <x v="0"/>
    <s v="2020/0376"/>
    <s v="51-53 Northcote Road"/>
    <s v=""/>
    <n v="527505"/>
    <n v="174973"/>
    <s v="Lavender"/>
    <d v="2021-08-23T00:00:00"/>
    <d v="2024-03-31T00:00:00"/>
    <n v="0"/>
    <n v="1"/>
    <n v="1"/>
    <n v="1"/>
    <n v="1"/>
    <m/>
    <s v="Alterations including erection of mansard roof extensions to front,_x000a_side and rear roof slopes in connection with creation of 1 x 2-_x000a_bedroom flat with associated refuse storage."/>
    <s v="RP"/>
    <d v="2020-02-11T00:00:00"/>
    <d v="2020-03-27T00:00:00"/>
    <m/>
    <s v="APG"/>
    <d v="2020-10-09T00:00:00"/>
    <s v="BF"/>
    <s v="EXT"/>
    <x v="2"/>
    <x v="7"/>
    <n v="5.0000000000000001E-3"/>
    <d v="2021-08-23T00:00:00"/>
    <x v="0"/>
    <d v="2024-03-31T00:00:00"/>
    <s v="Open Market"/>
    <s v="M"/>
    <s v=""/>
    <m/>
    <m/>
    <m/>
    <m/>
    <m/>
    <n v="0"/>
    <n v="0"/>
    <n v="1"/>
    <n v="0"/>
    <n v="0"/>
    <n v="0"/>
    <n v="0"/>
    <n v="0"/>
    <n v="0"/>
    <n v="1"/>
    <n v="0"/>
    <n v="0"/>
    <n v="0"/>
    <n v="0"/>
    <n v="0"/>
    <n v="0"/>
    <n v="0"/>
    <n v="0"/>
    <n v="0"/>
    <n v="0"/>
    <n v="0"/>
    <n v="0"/>
    <n v="0"/>
    <n v="0"/>
    <n v="0"/>
    <n v="0"/>
    <n v="0"/>
    <n v="0"/>
    <s v="Clapham Junction"/>
    <m/>
    <s v="Clapham Junction and York Road / Winstanley Regeneration Area"/>
    <n v="11"/>
    <n v="1"/>
    <m/>
    <m/>
    <m/>
    <m/>
    <m/>
    <m/>
    <m/>
    <m/>
    <m/>
    <m/>
    <m/>
    <m/>
    <m/>
    <m/>
    <m/>
    <m/>
    <m/>
    <m/>
    <m/>
    <n v="0"/>
    <n v="0"/>
  </r>
  <r>
    <n v="7336"/>
    <x v="0"/>
    <s v="2020/0503"/>
    <s v="99 St Johns Hill"/>
    <s v=""/>
    <n v="526970"/>
    <n v="175172"/>
    <s v="Wandsworth Town"/>
    <d v="2023-06-01T00:00:00"/>
    <d v="2023-10-31T00:00:00"/>
    <n v="0"/>
    <n v="1"/>
    <n v="1"/>
    <n v="4"/>
    <n v="3"/>
    <m/>
    <s v="Alterations including erection of single storey rear extension at basement level and formation of rear lightwell in connection with retention of retail space (Class A1) on ground floor level and  creation of 2 x 2-bedroom and 2 x 1-bedroom flats to rear basement and ground floors and first to third floors above with associated cycle and refuse storage."/>
    <s v="PF"/>
    <d v="2020-02-14T00:00:00"/>
    <d v="2020-04-09T00:00:00"/>
    <m/>
    <s v="Nil"/>
    <m/>
    <s v="BF"/>
    <s v="MIX"/>
    <x v="2"/>
    <x v="4"/>
    <n v="6.0000000000000001E-3"/>
    <d v="2023-06-01T00:00:00"/>
    <x v="1"/>
    <d v="2023-10-31T00:00:00"/>
    <s v="Open Market"/>
    <s v="M"/>
    <s v=""/>
    <m/>
    <m/>
    <m/>
    <m/>
    <m/>
    <n v="0"/>
    <n v="0"/>
    <n v="1"/>
    <n v="0"/>
    <n v="0"/>
    <n v="0"/>
    <n v="0"/>
    <n v="0"/>
    <n v="0"/>
    <n v="1"/>
    <n v="0"/>
    <n v="0"/>
    <n v="0"/>
    <n v="0"/>
    <n v="0"/>
    <n v="0"/>
    <n v="0"/>
    <n v="0"/>
    <n v="0"/>
    <n v="0"/>
    <n v="0"/>
    <n v="0"/>
    <n v="0"/>
    <n v="0"/>
    <n v="0"/>
    <n v="0"/>
    <n v="0"/>
    <n v="0"/>
    <m/>
    <m/>
    <s v="Clapham Junction and York Road / Winstanley Regeneration Area"/>
    <n v="11"/>
    <n v="1"/>
    <m/>
    <m/>
    <m/>
    <m/>
    <m/>
    <m/>
    <m/>
    <m/>
    <m/>
    <m/>
    <m/>
    <m/>
    <m/>
    <m/>
    <m/>
    <m/>
    <m/>
    <m/>
    <m/>
    <n v="0"/>
    <n v="0"/>
  </r>
  <r>
    <n v="7336"/>
    <x v="0"/>
    <s v="2020/0503"/>
    <s v="99 St Johns Hill"/>
    <s v=""/>
    <n v="526970"/>
    <n v="175172"/>
    <s v="Wandsworth Town"/>
    <d v="2023-06-01T00:00:00"/>
    <d v="2023-10-31T00:00:00"/>
    <n v="0"/>
    <n v="1"/>
    <n v="1"/>
    <n v="4"/>
    <n v="3"/>
    <m/>
    <s v="Alterations including erection of single storey rear extension at basement level and formation of rear lightwell in connection with retention of retail space (Class A1) on ground floor level and  creation of 2 x 2-bedroom and 2 x 1-bedroom flats to rear basement and ground floors and first to third floors above with associated cycle and refuse storage."/>
    <s v="PF"/>
    <d v="2020-02-14T00:00:00"/>
    <d v="2020-04-09T00:00:00"/>
    <m/>
    <s v="Nil"/>
    <m/>
    <s v="BF"/>
    <s v="MIX"/>
    <x v="2"/>
    <x v="7"/>
    <n v="3.0000000000000001E-3"/>
    <d v="2023-06-01T00:00:00"/>
    <x v="1"/>
    <d v="2023-10-31T00:00:00"/>
    <s v="Open Market"/>
    <s v="M"/>
    <s v=""/>
    <m/>
    <m/>
    <m/>
    <m/>
    <m/>
    <n v="0"/>
    <n v="1"/>
    <n v="0"/>
    <n v="0"/>
    <n v="0"/>
    <n v="0"/>
    <n v="0"/>
    <n v="0"/>
    <n v="1"/>
    <n v="0"/>
    <n v="0"/>
    <n v="0"/>
    <n v="0"/>
    <n v="0"/>
    <n v="0"/>
    <n v="0"/>
    <n v="0"/>
    <n v="0"/>
    <n v="0"/>
    <n v="0"/>
    <n v="0"/>
    <n v="0"/>
    <n v="0"/>
    <n v="0"/>
    <n v="0"/>
    <n v="0"/>
    <n v="0"/>
    <n v="0"/>
    <m/>
    <m/>
    <s v="Clapham Junction and York Road / Winstanley Regeneration Area"/>
    <n v="11"/>
    <n v="1"/>
    <m/>
    <m/>
    <m/>
    <m/>
    <m/>
    <m/>
    <m/>
    <m/>
    <m/>
    <m/>
    <m/>
    <m/>
    <m/>
    <m/>
    <m/>
    <m/>
    <m/>
    <m/>
    <m/>
    <n v="0"/>
    <n v="0"/>
  </r>
  <r>
    <n v="7336"/>
    <x v="0"/>
    <s v="2020/0503"/>
    <s v="99 St Johns Hill"/>
    <s v=""/>
    <n v="526970"/>
    <n v="175172"/>
    <s v="Wandsworth Town"/>
    <d v="2023-06-01T00:00:00"/>
    <d v="2023-10-31T00:00:00"/>
    <n v="1"/>
    <n v="2"/>
    <n v="1"/>
    <n v="4"/>
    <n v="3"/>
    <m/>
    <s v="Alterations including erection of single storey rear extension at basement level and formation of rear lightwell in connection with retention of retail space (Class A1) on ground floor level and  creation of 2 x 2-bedroom and 2 x 1-bedroom flats to rear basement and ground floors and first to third floors above with associated cycle and refuse storage."/>
    <s v="PF"/>
    <d v="2020-02-14T00:00:00"/>
    <d v="2020-04-09T00:00:00"/>
    <m/>
    <s v="Nil"/>
    <m/>
    <s v="BF"/>
    <s v="MIX"/>
    <x v="2"/>
    <x v="5"/>
    <n v="6.0000000000000001E-3"/>
    <d v="2023-06-01T00:00:00"/>
    <x v="1"/>
    <d v="2023-10-31T00:00:00"/>
    <s v="Open Market"/>
    <s v="M"/>
    <s v=""/>
    <m/>
    <m/>
    <m/>
    <m/>
    <m/>
    <n v="1"/>
    <n v="-1"/>
    <n v="1"/>
    <n v="0"/>
    <n v="0"/>
    <n v="0"/>
    <n v="0"/>
    <n v="1"/>
    <n v="-1"/>
    <n v="1"/>
    <n v="0"/>
    <n v="0"/>
    <n v="0"/>
    <n v="0"/>
    <n v="0"/>
    <n v="0"/>
    <n v="0"/>
    <n v="0"/>
    <n v="0"/>
    <n v="0"/>
    <n v="0"/>
    <n v="0"/>
    <n v="0"/>
    <n v="0"/>
    <n v="0"/>
    <n v="0"/>
    <n v="0"/>
    <n v="0"/>
    <m/>
    <m/>
    <s v="Clapham Junction and York Road / Winstanley Regeneration Area"/>
    <n v="11"/>
    <n v="1"/>
    <m/>
    <m/>
    <m/>
    <m/>
    <m/>
    <m/>
    <m/>
    <m/>
    <m/>
    <m/>
    <m/>
    <m/>
    <m/>
    <m/>
    <m/>
    <m/>
    <m/>
    <m/>
    <m/>
    <n v="0"/>
    <n v="0"/>
  </r>
  <r>
    <n v="6032"/>
    <x v="0"/>
    <s v="2020/0614"/>
    <s v="259 Putney Bridge Road"/>
    <s v=""/>
    <n v="524386"/>
    <n v="175298"/>
    <s v="Thamesfield"/>
    <d v="2021-01-12T00:00:00"/>
    <d v="2023-08-18T00:00:00"/>
    <n v="1"/>
    <n v="2"/>
    <n v="1"/>
    <n v="4"/>
    <n v="3"/>
    <m/>
    <s v="Alterations including increasing the depth to the existing basement, extension to the rear ground, first and second floor levels in connection with conversion of building from retail (Class A1) on ground floor and residential flat (Class C3) to 1 x studio, 2 x 1-bedroom and 1 x 2-bedroom flats (Amended Description)"/>
    <s v="PF"/>
    <d v="2020-02-25T00:00:00"/>
    <d v="2020-07-15T00:00:00"/>
    <m/>
    <s v="Nil"/>
    <m/>
    <s v="BF"/>
    <s v="COU"/>
    <x v="2"/>
    <x v="5"/>
    <n v="6.0000000000000001E-3"/>
    <d v="2021-01-12T00:00:00"/>
    <x v="0"/>
    <d v="2023-08-18T00:00:00"/>
    <s v="Open Market"/>
    <s v="M"/>
    <s v=""/>
    <m/>
    <m/>
    <m/>
    <m/>
    <m/>
    <n v="0"/>
    <n v="1"/>
    <n v="1"/>
    <n v="0"/>
    <n v="0"/>
    <n v="-1"/>
    <n v="0"/>
    <n v="0"/>
    <n v="1"/>
    <n v="1"/>
    <n v="0"/>
    <n v="0"/>
    <n v="-1"/>
    <n v="0"/>
    <n v="0"/>
    <n v="0"/>
    <n v="0"/>
    <n v="0"/>
    <n v="0"/>
    <n v="0"/>
    <n v="0"/>
    <n v="0"/>
    <n v="0"/>
    <n v="0"/>
    <n v="0"/>
    <n v="0"/>
    <n v="0"/>
    <n v="0"/>
    <m/>
    <m/>
    <s v="Rest of Borough"/>
    <n v="11"/>
    <n v="1"/>
    <m/>
    <m/>
    <m/>
    <m/>
    <m/>
    <m/>
    <m/>
    <m/>
    <m/>
    <m/>
    <m/>
    <m/>
    <m/>
    <m/>
    <m/>
    <m/>
    <m/>
    <m/>
    <m/>
    <n v="0"/>
    <n v="0"/>
  </r>
  <r>
    <n v="6032"/>
    <x v="0"/>
    <s v="2020/0614"/>
    <s v="259 Putney Bridge Road"/>
    <s v=""/>
    <n v="524386"/>
    <n v="175298"/>
    <s v="Thamesfield"/>
    <d v="2021-01-12T00:00:00"/>
    <d v="2023-08-18T00:00:00"/>
    <n v="0"/>
    <n v="2"/>
    <n v="2"/>
    <n v="4"/>
    <n v="3"/>
    <m/>
    <s v="Alterations including increasing the depth to the existing basement, extension to the rear ground, first and second floor levels in connection with conversion of building from retail (Class A1) on ground floor and residential flat (Class C3) to 1 x studio, 2 x 1-bedroom and 1 x 2-bedroom flats (Amended Description)"/>
    <s v="PF"/>
    <d v="2020-02-25T00:00:00"/>
    <d v="2020-07-15T00:00:00"/>
    <m/>
    <s v="Nil"/>
    <m/>
    <s v="BF"/>
    <s v="COU"/>
    <x v="2"/>
    <x v="4"/>
    <n v="5.0000000000000001E-3"/>
    <d v="2021-01-12T00:00:00"/>
    <x v="0"/>
    <d v="2023-08-18T00:00:00"/>
    <s v="Open Market"/>
    <s v="M"/>
    <s v=""/>
    <m/>
    <m/>
    <m/>
    <m/>
    <m/>
    <n v="1"/>
    <n v="1"/>
    <n v="0"/>
    <n v="0"/>
    <n v="0"/>
    <n v="0"/>
    <n v="0"/>
    <n v="1"/>
    <n v="1"/>
    <n v="0"/>
    <n v="0"/>
    <n v="0"/>
    <n v="0"/>
    <n v="0"/>
    <n v="0"/>
    <n v="0"/>
    <n v="0"/>
    <n v="0"/>
    <n v="0"/>
    <n v="0"/>
    <n v="0"/>
    <n v="0"/>
    <n v="0"/>
    <n v="0"/>
    <n v="0"/>
    <n v="0"/>
    <n v="0"/>
    <n v="0"/>
    <m/>
    <m/>
    <s v="Rest of Borough"/>
    <n v="11"/>
    <n v="2"/>
    <m/>
    <m/>
    <m/>
    <m/>
    <m/>
    <m/>
    <m/>
    <m/>
    <m/>
    <m/>
    <m/>
    <m/>
    <m/>
    <m/>
    <m/>
    <m/>
    <m/>
    <m/>
    <m/>
    <n v="0"/>
    <n v="0"/>
  </r>
  <r>
    <n v="7338"/>
    <x v="0"/>
    <s v="2020/1033"/>
    <s v="51-53 Northcote Road"/>
    <s v=""/>
    <n v="527505"/>
    <n v="174973"/>
    <s v="Lavender"/>
    <d v="2021-08-23T00:00:00"/>
    <d v="2024-03-31T00:00:00"/>
    <n v="0"/>
    <n v="1"/>
    <n v="1"/>
    <n v="1"/>
    <n v="1"/>
    <m/>
    <s v="Alterations to rear block facing Shelgate Road including erection of roof extension to create additional storey in connection with creation of 1 x 1-bedroom flat."/>
    <s v="PF"/>
    <d v="2020-04-30T00:00:00"/>
    <d v="2020-07-29T00:00:00"/>
    <m/>
    <s v="Nil"/>
    <m/>
    <s v="BF"/>
    <s v="EXT"/>
    <x v="2"/>
    <x v="7"/>
    <n v="4.0000000000000001E-3"/>
    <d v="2021-08-23T00:00:00"/>
    <x v="0"/>
    <d v="2024-03-31T00:00:00"/>
    <s v="Open Market"/>
    <s v="M"/>
    <s v=""/>
    <m/>
    <m/>
    <m/>
    <m/>
    <m/>
    <n v="0"/>
    <n v="1"/>
    <n v="0"/>
    <n v="0"/>
    <n v="0"/>
    <n v="0"/>
    <n v="0"/>
    <n v="0"/>
    <n v="1"/>
    <n v="0"/>
    <n v="0"/>
    <n v="0"/>
    <n v="0"/>
    <n v="0"/>
    <n v="0"/>
    <n v="0"/>
    <n v="0"/>
    <n v="0"/>
    <n v="0"/>
    <n v="0"/>
    <n v="0"/>
    <n v="0"/>
    <n v="0"/>
    <n v="0"/>
    <n v="0"/>
    <n v="0"/>
    <n v="0"/>
    <n v="0"/>
    <s v="Clapham Junction"/>
    <m/>
    <s v="Clapham Junction and York Road / Winstanley Regeneration Area"/>
    <n v="11"/>
    <n v="1"/>
    <m/>
    <m/>
    <m/>
    <m/>
    <m/>
    <m/>
    <m/>
    <m/>
    <m/>
    <m/>
    <m/>
    <m/>
    <m/>
    <m/>
    <m/>
    <m/>
    <m/>
    <m/>
    <m/>
    <n v="0"/>
    <n v="0"/>
  </r>
  <r>
    <n v="7338"/>
    <x v="0"/>
    <s v="2020/1358"/>
    <s v="51-53 Northcote Road"/>
    <s v=""/>
    <n v="527505"/>
    <n v="174973"/>
    <s v="Lavender"/>
    <d v="2021-08-21T00:00:00"/>
    <d v="2024-03-31T00:00:00"/>
    <n v="2"/>
    <n v="2"/>
    <n v="0"/>
    <n v="3"/>
    <n v="1"/>
    <m/>
    <s v="Erection of rear extension at first and second floor levels; Formation of a side terrace at second floor level in association with the conversion of the existing 1 x 3-bedroom and 1 x 2-bedroom units into 2 x 2-bedroom units and 1 x 1-bedroom unit._x000a__x000a_*RE-CONSULTATION FOR REVISED DESCRIPTION*"/>
    <s v="PF"/>
    <d v="2020-04-30T00:00:00"/>
    <d v="2020-06-25T00:00:00"/>
    <m/>
    <s v="Nil"/>
    <m/>
    <s v="BF"/>
    <s v="MIX"/>
    <x v="2"/>
    <x v="5"/>
    <n v="1.2E-2"/>
    <d v="2021-08-21T00:00:00"/>
    <x v="0"/>
    <d v="2024-03-31T00:00:00"/>
    <s v="Open Market"/>
    <s v="M"/>
    <s v=""/>
    <m/>
    <m/>
    <m/>
    <m/>
    <m/>
    <n v="0"/>
    <n v="0"/>
    <n v="1"/>
    <n v="-1"/>
    <n v="0"/>
    <n v="0"/>
    <n v="0"/>
    <n v="0"/>
    <n v="0"/>
    <n v="1"/>
    <n v="-1"/>
    <n v="0"/>
    <n v="0"/>
    <n v="0"/>
    <n v="0"/>
    <n v="0"/>
    <n v="0"/>
    <n v="0"/>
    <n v="0"/>
    <n v="0"/>
    <n v="0"/>
    <n v="0"/>
    <n v="0"/>
    <n v="0"/>
    <n v="0"/>
    <n v="0"/>
    <n v="0"/>
    <n v="0"/>
    <s v="Clapham Junction"/>
    <m/>
    <s v="Clapham Junction and York Road / Winstanley Regeneration Area"/>
    <n v="11"/>
    <n v="0"/>
    <m/>
    <m/>
    <m/>
    <m/>
    <m/>
    <m/>
    <m/>
    <m/>
    <m/>
    <m/>
    <m/>
    <m/>
    <m/>
    <m/>
    <m/>
    <m/>
    <m/>
    <m/>
    <m/>
    <n v="0"/>
    <n v="0"/>
  </r>
  <r>
    <n v="7338"/>
    <x v="0"/>
    <s v="2020/1358"/>
    <s v="51-53 Northcote Road"/>
    <s v=""/>
    <n v="527505"/>
    <n v="174973"/>
    <s v="Lavender"/>
    <d v="2021-08-21T00:00:00"/>
    <d v="2024-03-31T00:00:00"/>
    <n v="0"/>
    <n v="1"/>
    <n v="1"/>
    <n v="3"/>
    <n v="1"/>
    <m/>
    <s v="Erection of rear extension at first and second floor levels; Formation of a side terrace at second floor level in association with the conversion of the existing 1 x 3-bedroom and 1 x 2-bedroom units into 2 x 2-bedroom units and 1 x 1-bedroom unit._x000a__x000a_*RE-CONSULTATION FOR REVISED DESCRIPTION*"/>
    <s v="PF"/>
    <d v="2020-04-30T00:00:00"/>
    <d v="2020-06-25T00:00:00"/>
    <m/>
    <s v="Nil"/>
    <m/>
    <s v="BF"/>
    <s v="MIX"/>
    <x v="2"/>
    <x v="7"/>
    <n v="5.0000000000000001E-3"/>
    <d v="2023-04-01T00:00:00"/>
    <x v="1"/>
    <d v="2024-03-31T00:00:00"/>
    <s v="Open Market"/>
    <s v="M"/>
    <s v=""/>
    <m/>
    <m/>
    <m/>
    <m/>
    <m/>
    <n v="0"/>
    <n v="1"/>
    <n v="0"/>
    <n v="0"/>
    <n v="0"/>
    <n v="0"/>
    <n v="0"/>
    <n v="0"/>
    <n v="1"/>
    <n v="0"/>
    <n v="0"/>
    <n v="0"/>
    <n v="0"/>
    <n v="0"/>
    <n v="0"/>
    <n v="0"/>
    <n v="0"/>
    <n v="0"/>
    <n v="0"/>
    <n v="0"/>
    <n v="0"/>
    <n v="0"/>
    <n v="0"/>
    <n v="0"/>
    <n v="0"/>
    <n v="0"/>
    <n v="0"/>
    <n v="0"/>
    <s v="Clapham Junction"/>
    <m/>
    <s v="Clapham Junction and York Road / Winstanley Regeneration Area"/>
    <n v="11"/>
    <n v="1"/>
    <m/>
    <m/>
    <m/>
    <m/>
    <m/>
    <m/>
    <m/>
    <m/>
    <m/>
    <m/>
    <m/>
    <m/>
    <m/>
    <m/>
    <m/>
    <m/>
    <m/>
    <m/>
    <m/>
    <n v="0"/>
    <n v="0"/>
  </r>
  <r>
    <n v="7338"/>
    <x v="0"/>
    <s v="2020/1371"/>
    <s v="51-53 Northcote Road"/>
    <s v=""/>
    <n v="527505"/>
    <n v="174973"/>
    <s v="Lavender"/>
    <d v="2021-08-23T00:00:00"/>
    <d v="2024-03-31T00:00:00"/>
    <n v="0"/>
    <n v="1"/>
    <n v="1"/>
    <n v="1"/>
    <n v="1"/>
    <m/>
    <s v="Alterations including erection of mansard roof extension to front and rear roof of No. 51 and rear dormer extension to the rear of No. 53 in connection with creation of 1 x 1-bedroom flat."/>
    <s v="PF"/>
    <d v="2020-04-27T00:00:00"/>
    <d v="2020-06-22T00:00:00"/>
    <m/>
    <s v="Nil"/>
    <m/>
    <s v="BF"/>
    <s v="EXT"/>
    <x v="2"/>
    <x v="7"/>
    <n v="4.0000000000000001E-3"/>
    <d v="2021-08-23T00:00:00"/>
    <x v="0"/>
    <d v="2024-03-31T00:00:00"/>
    <s v="Open Market"/>
    <s v="M"/>
    <s v=""/>
    <m/>
    <m/>
    <m/>
    <m/>
    <m/>
    <n v="0"/>
    <n v="1"/>
    <n v="0"/>
    <n v="0"/>
    <n v="0"/>
    <n v="0"/>
    <n v="0"/>
    <n v="0"/>
    <n v="1"/>
    <n v="0"/>
    <n v="0"/>
    <n v="0"/>
    <n v="0"/>
    <n v="0"/>
    <n v="0"/>
    <n v="0"/>
    <n v="0"/>
    <n v="0"/>
    <n v="0"/>
    <n v="0"/>
    <n v="0"/>
    <n v="0"/>
    <n v="0"/>
    <n v="0"/>
    <n v="0"/>
    <n v="0"/>
    <n v="0"/>
    <n v="0"/>
    <s v="Clapham Junction"/>
    <m/>
    <s v="Clapham Junction and York Road / Winstanley Regeneration Area"/>
    <n v="11"/>
    <n v="1"/>
    <m/>
    <m/>
    <m/>
    <m/>
    <m/>
    <m/>
    <m/>
    <m/>
    <m/>
    <m/>
    <m/>
    <m/>
    <m/>
    <m/>
    <m/>
    <m/>
    <m/>
    <m/>
    <m/>
    <n v="0"/>
    <n v="0"/>
  </r>
  <r>
    <n v="2502"/>
    <x v="0"/>
    <s v="2020/1490"/>
    <s v="Springfield Hospital site, 61 Glenburnie Road"/>
    <s v="Phase 6A - Block S"/>
    <n v="527221"/>
    <n v="172443"/>
    <s v="Wandsworth Common"/>
    <d v="2021-03-31T00:00:00"/>
    <d v="2024-03-31T00:00:00"/>
    <n v="0"/>
    <n v="29"/>
    <n v="29"/>
    <n v="72"/>
    <n v="72"/>
    <s v="Y"/>
    <s v="Reserved matters relating to landscaping, scale and appearance in respect of the part demolition, conversion, restoration and repair of part of the Main Building (Grade II listed) to provide 72 residential units with associated works (forming Phase 6a of the Springfield Masterplan development), pursuant to condition 1 of outline planning permission ref. 2010/3703 dated 20/06/2012 (for the erection of 25,000 sq.m. of replacement mental health facilities (Class C2/C2a); 839 residential dwellings; 9,200 sq.m. elderly persons' care home; 240 sq.m. of retail floorspace (Class A1); a school (Class D1); 3,500 sq.m. of mixed non-residential floorspace (Class A1, A2, A3, A4, B1, D1 or D2); landscaped public park; a combined cooling, heat and power energy centre, associated landscaping, parking, roads, access, infrastructure and other associated works), as varied under application ref. 2014/6585, dated 04/06/15, application ref. 2016/4760 dated 24/04/2018 and application ref. 2019/2495 dated 28/02/2020, and including statement of design code compliance, landscaping and foul water drainage pursuant to conditions 7, 10 and 30."/>
    <s v="DT"/>
    <d v="2020-04-27T00:00:00"/>
    <d v="2020-07-27T00:00:00"/>
    <m/>
    <s v="Nil"/>
    <m/>
    <s v="BF"/>
    <s v="COU"/>
    <x v="0"/>
    <x v="0"/>
    <n v="0.878"/>
    <d v="2021-03-31T00:00:00"/>
    <x v="0"/>
    <d v="2024-03-31T00:00:00"/>
    <s v="Open Market"/>
    <s v="M"/>
    <s v="9.1"/>
    <m/>
    <m/>
    <m/>
    <n v="6"/>
    <m/>
    <n v="0"/>
    <n v="29"/>
    <n v="0"/>
    <n v="0"/>
    <n v="0"/>
    <n v="0"/>
    <n v="0"/>
    <n v="0"/>
    <n v="29"/>
    <n v="0"/>
    <n v="0"/>
    <n v="0"/>
    <n v="0"/>
    <n v="0"/>
    <n v="0"/>
    <n v="0"/>
    <n v="0"/>
    <n v="0"/>
    <n v="0"/>
    <n v="0"/>
    <n v="0"/>
    <n v="0"/>
    <n v="0"/>
    <n v="0"/>
    <n v="0"/>
    <n v="0"/>
    <n v="0"/>
    <n v="0"/>
    <m/>
    <m/>
    <s v="Rest of Borough"/>
    <n v="11"/>
    <n v="29"/>
    <m/>
    <m/>
    <m/>
    <m/>
    <m/>
    <m/>
    <m/>
    <m/>
    <m/>
    <m/>
    <m/>
    <m/>
    <m/>
    <m/>
    <m/>
    <m/>
    <m/>
    <m/>
    <m/>
    <n v="0"/>
    <n v="0"/>
  </r>
  <r>
    <n v="6481"/>
    <x v="0"/>
    <s v="2020/1555"/>
    <s v="189 Balham High Road"/>
    <s v="CoU"/>
    <n v="528408"/>
    <n v="173055"/>
    <s v="South Balham"/>
    <d v="2023-03-31T00:00:00"/>
    <d v="2024-02-12T00:00:00"/>
    <n v="0"/>
    <n v="2"/>
    <n v="2"/>
    <n v="3"/>
    <n v="3"/>
    <m/>
    <s v="Alterations including erection of extension to provide an additional floor of accomodation; Formation of a side roof terrace with 1.1m high screen surround; Erection of first floor rear extension; Installation of new rear access stair to first floor; Change of use of first floor from office to Residential (Class C3) in connection with creation of 2 x 1-bed and 1 x 2-bed flats, with associated refuse storage."/>
    <s v="PF"/>
    <d v="2020-06-11T00:00:00"/>
    <d v="2020-08-06T00:00:00"/>
    <m/>
    <s v="Nil"/>
    <m/>
    <s v="BF"/>
    <s v="MIX"/>
    <x v="2"/>
    <x v="6"/>
    <n v="6.0000000000000001E-3"/>
    <d v="2023-03-31T00:00:00"/>
    <x v="0"/>
    <d v="2024-02-12T00:00:00"/>
    <s v="Open Market"/>
    <s v="M"/>
    <s v=""/>
    <m/>
    <m/>
    <m/>
    <m/>
    <m/>
    <n v="0"/>
    <n v="2"/>
    <n v="0"/>
    <n v="0"/>
    <n v="0"/>
    <n v="0"/>
    <n v="0"/>
    <n v="0"/>
    <n v="2"/>
    <n v="0"/>
    <n v="0"/>
    <n v="0"/>
    <n v="0"/>
    <n v="0"/>
    <n v="0"/>
    <n v="0"/>
    <n v="0"/>
    <n v="0"/>
    <n v="0"/>
    <n v="0"/>
    <n v="0"/>
    <n v="0"/>
    <n v="0"/>
    <n v="0"/>
    <n v="0"/>
    <n v="0"/>
    <n v="0"/>
    <n v="0"/>
    <m/>
    <m/>
    <s v="Rest of Borough"/>
    <n v="11"/>
    <n v="2"/>
    <m/>
    <m/>
    <m/>
    <m/>
    <m/>
    <m/>
    <m/>
    <m/>
    <m/>
    <m/>
    <m/>
    <m/>
    <m/>
    <m/>
    <m/>
    <m/>
    <m/>
    <m/>
    <m/>
    <n v="0"/>
    <n v="0"/>
  </r>
  <r>
    <n v="6481"/>
    <x v="0"/>
    <s v="2020/1555"/>
    <s v="189 Balham High Road"/>
    <s v="extension"/>
    <n v="528408"/>
    <n v="173055"/>
    <s v="South Balham"/>
    <d v="2023-03-31T00:00:00"/>
    <d v="2024-02-12T00:00:00"/>
    <n v="0"/>
    <n v="1"/>
    <n v="1"/>
    <n v="3"/>
    <n v="3"/>
    <m/>
    <s v="Alterations including erection of extension to provide an additional floor of accomodation; Formation of a side roof terrace with 1.1m high screen surround; Erection of first floor rear extension; Installation of new rear access stair to first floor; Change of use of first floor from office to Residential (Class C3) in connection with creation of 2 x 1-bed and 1 x 2-bed flats, with associated refuse storage."/>
    <s v="PF"/>
    <d v="2020-06-11T00:00:00"/>
    <d v="2020-08-06T00:00:00"/>
    <m/>
    <s v="Nil"/>
    <m/>
    <s v="BF"/>
    <s v="MIX"/>
    <x v="2"/>
    <x v="7"/>
    <n v="4.0000000000000001E-3"/>
    <d v="2023-03-31T00:00:00"/>
    <x v="0"/>
    <d v="2024-02-12T00:00:00"/>
    <s v="Open Market"/>
    <s v="M"/>
    <s v=""/>
    <m/>
    <m/>
    <m/>
    <m/>
    <m/>
    <n v="0"/>
    <n v="0"/>
    <n v="1"/>
    <n v="0"/>
    <n v="0"/>
    <n v="0"/>
    <n v="0"/>
    <n v="0"/>
    <n v="0"/>
    <n v="1"/>
    <n v="0"/>
    <n v="0"/>
    <n v="0"/>
    <n v="0"/>
    <n v="0"/>
    <n v="0"/>
    <n v="0"/>
    <n v="0"/>
    <n v="0"/>
    <n v="0"/>
    <n v="0"/>
    <n v="0"/>
    <n v="0"/>
    <n v="0"/>
    <n v="0"/>
    <n v="0"/>
    <n v="0"/>
    <n v="0"/>
    <m/>
    <m/>
    <s v="Rest of Borough"/>
    <n v="11"/>
    <n v="1"/>
    <m/>
    <m/>
    <m/>
    <m/>
    <m/>
    <m/>
    <m/>
    <m/>
    <m/>
    <m/>
    <m/>
    <m/>
    <m/>
    <m/>
    <m/>
    <m/>
    <m/>
    <m/>
    <m/>
    <n v="0"/>
    <n v="0"/>
  </r>
  <r>
    <n v="2502"/>
    <x v="0"/>
    <s v="2020/1779"/>
    <s v="Springfield Hospital site, 61 Glenburnie Road"/>
    <s v="Phase 5A - Block B1A"/>
    <n v="527221"/>
    <n v="172443"/>
    <s v="Wandsworth Common"/>
    <d v="2021-03-31T00:00:00"/>
    <m/>
    <n v="0"/>
    <n v="4"/>
    <n v="4"/>
    <n v="227"/>
    <n v="227"/>
    <s v="Y"/>
    <s v="Reserved Matters relating to scale, appearance and landscaping in respect of Phase 5A (Plots B - E) of the Springfield Hospital Masterplan pursuant to condition 1 of outline planning permission ref. 2010/3703 dated 20/06/2012 (for the erection of 25,000 sq.m. of replacement mental health facilities (Class C2/C2a); 839 residential dwellings; 9,200 sq.m. elderly persons' care home; 240 sq.m. of retail floorspace (Class A1); a school (Class D1); 3,500 sq.m. of mixed non-residential floorspace (Class A1, A2, A3, A4, B1, D1 or D2); landscaped public park; a combined cooling, heat and power energy centre, associated landscaping, parking, roads, access, infrastructure and other associated works), as varied under application ref. 2014/6585, dated 04/06/2015, application ref. 2016/4760 dated 24/04/2018, and application 2019/2495, dated 28/02/2020. [Phase 5A comprises the erection of buildings of between 2 and 4 storeys high to provide 227 residential units (Use Class C3), provision of 330 sq.m GIA of flexible non-residential floorspace (Use Class A1/A2/A3/A4/B1/D1/D2), 103 car parking spaces, cycle parking, private and communal amenity areas, and associated public realm and landscaping works]."/>
    <s v="DT"/>
    <d v="2020-05-20T00:00:00"/>
    <d v="2020-10-23T00:00:00"/>
    <m/>
    <s v="Nil"/>
    <m/>
    <s v="BF"/>
    <s v="NB"/>
    <x v="1"/>
    <x v="0"/>
    <n v="3.9600000000000003E-2"/>
    <d v="2021-03-31T00:00:00"/>
    <x v="0"/>
    <d v="2024-03-31T00:00:00"/>
    <s v="Social/Affordable Rent"/>
    <s v="AA"/>
    <s v="9.1"/>
    <m/>
    <m/>
    <m/>
    <m/>
    <m/>
    <n v="0"/>
    <n v="2"/>
    <n v="1"/>
    <n v="1"/>
    <n v="0"/>
    <n v="0"/>
    <n v="0"/>
    <n v="0"/>
    <n v="2"/>
    <n v="1"/>
    <n v="1"/>
    <n v="0"/>
    <n v="0"/>
    <n v="0"/>
    <n v="0"/>
    <n v="0"/>
    <n v="0"/>
    <n v="0"/>
    <n v="0"/>
    <n v="0"/>
    <n v="0"/>
    <n v="0"/>
    <n v="0"/>
    <n v="0"/>
    <n v="0"/>
    <n v="0"/>
    <n v="0"/>
    <n v="0"/>
    <m/>
    <m/>
    <s v="Rest of Borough"/>
    <n v="1"/>
    <n v="4"/>
    <m/>
    <m/>
    <m/>
    <m/>
    <m/>
    <m/>
    <m/>
    <m/>
    <m/>
    <m/>
    <m/>
    <m/>
    <m/>
    <m/>
    <m/>
    <m/>
    <m/>
    <m/>
    <m/>
    <n v="0"/>
    <n v="0"/>
  </r>
  <r>
    <n v="2502"/>
    <x v="0"/>
    <s v="2020/1779"/>
    <s v="Springfield Hospital site, 61 Glenburnie Road"/>
    <s v="Phase 5A - Block B2A"/>
    <n v="527221"/>
    <n v="172443"/>
    <s v="Wandsworth Common"/>
    <d v="2021-03-31T00:00:00"/>
    <m/>
    <n v="0"/>
    <n v="4"/>
    <n v="4"/>
    <n v="227"/>
    <n v="227"/>
    <s v="Y"/>
    <s v="Reserved Matters relating to scale, appearance and landscaping in respect of Phase 5A (Plots B - E) of the Springfield Hospital Masterplan pursuant to condition 1 of outline planning permission ref. 2010/3703 dated 20/06/2012 (for the erection of 25,000 sq.m. of replacement mental health facilities (Class C2/C2a); 839 residential dwellings; 9,200 sq.m. elderly persons' care home; 240 sq.m. of retail floorspace (Class A1); a school (Class D1); 3,500 sq.m. of mixed non-residential floorspace (Class A1, A2, A3, A4, B1, D1 or D2); landscaped public park; a combined cooling, heat and power energy centre, associated landscaping, parking, roads, access, infrastructure and other associated works), as varied under application ref. 2014/6585, dated 04/06/2015, application ref. 2016/4760 dated 24/04/2018, and application 2019/2495, dated 28/02/2020. [Phase 5A comprises the erection of buildings of between 2 and 4 storeys high to provide 227 residential units (Use Class C3), provision of 330 sq.m GIA of flexible non-residential floorspace (Use Class A1/A2/A3/A4/B1/D1/D2), 103 car parking spaces, cycle parking, private and communal amenity areas, and associated public realm and landscaping works]."/>
    <s v="DT"/>
    <d v="2020-05-20T00:00:00"/>
    <d v="2020-10-23T00:00:00"/>
    <m/>
    <s v="Nil"/>
    <m/>
    <s v="BF"/>
    <s v="NB"/>
    <x v="1"/>
    <x v="0"/>
    <n v="3.9E-2"/>
    <d v="2021-03-31T00:00:00"/>
    <x v="0"/>
    <d v="2024-03-31T00:00:00"/>
    <s v="Social/Affordable Rent"/>
    <s v="AA"/>
    <s v="9.1"/>
    <m/>
    <m/>
    <m/>
    <m/>
    <m/>
    <n v="0"/>
    <n v="0"/>
    <n v="0"/>
    <n v="4"/>
    <n v="0"/>
    <n v="0"/>
    <n v="0"/>
    <n v="0"/>
    <n v="0"/>
    <n v="0"/>
    <n v="4"/>
    <n v="0"/>
    <n v="0"/>
    <n v="0"/>
    <n v="0"/>
    <n v="0"/>
    <n v="0"/>
    <n v="0"/>
    <n v="0"/>
    <n v="0"/>
    <n v="0"/>
    <n v="0"/>
    <n v="0"/>
    <n v="0"/>
    <n v="0"/>
    <n v="0"/>
    <n v="0"/>
    <n v="0"/>
    <m/>
    <m/>
    <s v="Rest of Borough"/>
    <n v="1"/>
    <n v="4"/>
    <m/>
    <m/>
    <m/>
    <m/>
    <m/>
    <m/>
    <m/>
    <m/>
    <m/>
    <m/>
    <m/>
    <m/>
    <m/>
    <m/>
    <m/>
    <m/>
    <m/>
    <m/>
    <m/>
    <n v="0"/>
    <n v="0"/>
  </r>
  <r>
    <n v="2502"/>
    <x v="0"/>
    <s v="2020/1779"/>
    <s v="Springfield Hospital site, 61 Glenburnie Road"/>
    <s v="Phase 5A - Block B2B"/>
    <n v="527221"/>
    <n v="172443"/>
    <s v="Wandsworth Common"/>
    <d v="2021-03-31T00:00:00"/>
    <m/>
    <n v="0"/>
    <n v="1"/>
    <n v="1"/>
    <n v="227"/>
    <n v="227"/>
    <s v="Y"/>
    <s v="Reserved Matters relating to scale, appearance and landscaping in respect of Phase 5A (Plots B - E) of the Springfield Hospital Masterplan pursuant to condition 1 of outline planning permission ref. 2010/3703 dated 20/06/2012 (for the erection of 25,000 sq.m. of replacement mental health facilities (Class C2/C2a); 839 residential dwellings; 9,200 sq.m. elderly persons' care home; 240 sq.m. of retail floorspace (Class A1); a school (Class D1); 3,500 sq.m. of mixed non-residential floorspace (Class A1, A2, A3, A4, B1, D1 or D2); landscaped public park; a combined cooling, heat and power energy centre, associated landscaping, parking, roads, access, infrastructure and other associated works), as varied under application ref. 2014/6585, dated 04/06/2015, application ref. 2016/4760 dated 24/04/2018, and application 2019/2495, dated 28/02/2020. [Phase 5A comprises the erection of buildings of between 2 and 4 storeys high to provide 227 residential units (Use Class C3), provision of 330 sq.m GIA of flexible non-residential floorspace (Use Class A1/A2/A3/A4/B1/D1/D2), 103 car parking spaces, cycle parking, private and communal amenity areas, and associated public realm and landscaping works]."/>
    <s v="DT"/>
    <d v="2020-05-20T00:00:00"/>
    <d v="2020-10-23T00:00:00"/>
    <m/>
    <s v="Nil"/>
    <m/>
    <s v="BF"/>
    <s v="NB"/>
    <x v="1"/>
    <x v="0"/>
    <n v="0.01"/>
    <d v="2021-03-31T00:00:00"/>
    <x v="0"/>
    <d v="2024-03-31T00:00:00"/>
    <s v="Social/Affordable Rent"/>
    <s v="AA"/>
    <s v="9.1"/>
    <m/>
    <m/>
    <m/>
    <n v="1"/>
    <m/>
    <n v="0"/>
    <n v="0"/>
    <n v="0"/>
    <n v="1"/>
    <n v="0"/>
    <n v="0"/>
    <n v="0"/>
    <n v="0"/>
    <n v="0"/>
    <n v="0"/>
    <n v="0"/>
    <n v="0"/>
    <n v="0"/>
    <n v="0"/>
    <n v="0"/>
    <n v="0"/>
    <n v="0"/>
    <n v="1"/>
    <n v="0"/>
    <n v="0"/>
    <n v="0"/>
    <n v="0"/>
    <n v="0"/>
    <n v="0"/>
    <n v="0"/>
    <n v="0"/>
    <n v="0"/>
    <n v="0"/>
    <m/>
    <m/>
    <s v="Rest of Borough"/>
    <n v="1"/>
    <n v="1"/>
    <m/>
    <m/>
    <m/>
    <m/>
    <m/>
    <m/>
    <m/>
    <m/>
    <m/>
    <m/>
    <m/>
    <m/>
    <m/>
    <m/>
    <m/>
    <m/>
    <m/>
    <m/>
    <m/>
    <n v="0"/>
    <n v="0"/>
  </r>
  <r>
    <n v="2502"/>
    <x v="0"/>
    <s v="2020/1779"/>
    <s v="Springfield Hospital site, 61 Glenburnie Road"/>
    <s v="Phase 5A - Block B2C"/>
    <n v="527221"/>
    <n v="172443"/>
    <s v="Wandsworth Common"/>
    <d v="2021-03-31T00:00:00"/>
    <m/>
    <n v="0"/>
    <n v="1"/>
    <n v="1"/>
    <n v="227"/>
    <n v="227"/>
    <s v="Y"/>
    <s v="Reserved Matters relating to scale, appearance and landscaping in respect of Phase 5A (Plots B - E) of the Springfield Hospital Masterplan pursuant to condition 1 of outline planning permission ref. 2010/3703 dated 20/06/2012 (for the erection of 25,000 sq.m. of replacement mental health facilities (Class C2/C2a); 839 residential dwellings; 9,200 sq.m. elderly persons' care home; 240 sq.m. of retail floorspace (Class A1); a school (Class D1); 3,500 sq.m. of mixed non-residential floorspace (Class A1, A2, A3, A4, B1, D1 or D2); landscaped public park; a combined cooling, heat and power energy centre, associated landscaping, parking, roads, access, infrastructure and other associated works), as varied under application ref. 2014/6585, dated 04/06/2015, application ref. 2016/4760 dated 24/04/2018, and application 2019/2495, dated 28/02/2020. [Phase 5A comprises the erection of buildings of between 2 and 4 storeys high to provide 227 residential units (Use Class C3), provision of 330 sq.m GIA of flexible non-residential floorspace (Use Class A1/A2/A3/A4/B1/D1/D2), 103 car parking spaces, cycle parking, private and communal amenity areas, and associated public realm and landscaping works]."/>
    <s v="DT"/>
    <d v="2020-05-20T00:00:00"/>
    <d v="2020-10-23T00:00:00"/>
    <m/>
    <s v="Nil"/>
    <m/>
    <s v="BF"/>
    <s v="NB"/>
    <x v="1"/>
    <x v="0"/>
    <n v="0.01"/>
    <d v="2021-03-31T00:00:00"/>
    <x v="0"/>
    <d v="2024-03-31T00:00:00"/>
    <s v="Social/Affordable Rent"/>
    <s v="AA"/>
    <s v="9.1"/>
    <m/>
    <m/>
    <m/>
    <n v="1"/>
    <m/>
    <n v="0"/>
    <n v="0"/>
    <n v="0"/>
    <n v="1"/>
    <n v="0"/>
    <n v="0"/>
    <n v="0"/>
    <n v="0"/>
    <n v="0"/>
    <n v="0"/>
    <n v="0"/>
    <n v="0"/>
    <n v="0"/>
    <n v="0"/>
    <n v="0"/>
    <n v="0"/>
    <n v="0"/>
    <n v="1"/>
    <n v="0"/>
    <n v="0"/>
    <n v="0"/>
    <n v="0"/>
    <n v="0"/>
    <n v="0"/>
    <n v="0"/>
    <n v="0"/>
    <n v="0"/>
    <n v="0"/>
    <m/>
    <m/>
    <s v="Rest of Borough"/>
    <n v="1"/>
    <n v="1"/>
    <m/>
    <m/>
    <m/>
    <m/>
    <m/>
    <m/>
    <m/>
    <m/>
    <m/>
    <m/>
    <m/>
    <m/>
    <m/>
    <m/>
    <m/>
    <m/>
    <m/>
    <m/>
    <m/>
    <n v="0"/>
    <n v="0"/>
  </r>
  <r>
    <n v="2502"/>
    <x v="0"/>
    <s v="2020/1779"/>
    <s v="Springfield Hospital site, 61 Glenburnie Road"/>
    <s v="Phase 5A - Block C1A"/>
    <n v="527221"/>
    <n v="172443"/>
    <s v="Wandsworth Common"/>
    <d v="2021-03-31T00:00:00"/>
    <m/>
    <n v="0"/>
    <n v="8"/>
    <n v="8"/>
    <n v="227"/>
    <n v="227"/>
    <s v="Y"/>
    <s v="Reserved Matters relating to scale, appearance and landscaping in respect of Phase 5A (Plots B - E) of the Springfield Hospital Masterplan pursuant to condition 1 of outline planning permission ref. 2010/3703 dated 20/06/2012 (for the erection of 25,000 sq.m. of replacement mental health facilities (Class C2/C2a); 839 residential dwellings; 9,200 sq.m. elderly persons' care home; 240 sq.m. of retail floorspace (Class A1); a school (Class D1); 3,500 sq.m. of mixed non-residential floorspace (Class A1, A2, A3, A4, B1, D1 or D2); landscaped public park; a combined cooling, heat and power energy centre, associated landscaping, parking, roads, access, infrastructure and other associated works), as varied under application ref. 2014/6585, dated 04/06/2015, application ref. 2016/4760 dated 24/04/2018, and application 2019/2495, dated 28/02/2020. [Phase 5A comprises the erection of buildings of between 2 and 4 storeys high to provide 227 residential units (Use Class C3), provision of 330 sq.m GIA of flexible non-residential floorspace (Use Class A1/A2/A3/A4/B1/D1/D2), 103 car parking spaces, cycle parking, private and communal amenity areas, and associated public realm and landscaping works]."/>
    <s v="DT"/>
    <d v="2020-05-20T00:00:00"/>
    <d v="2020-10-23T00:00:00"/>
    <m/>
    <s v="Nil"/>
    <m/>
    <s v="BF"/>
    <s v="NB"/>
    <x v="1"/>
    <x v="0"/>
    <n v="7.6999999999999999E-2"/>
    <d v="2021-03-31T00:00:00"/>
    <x v="0"/>
    <d v="2024-03-31T00:00:00"/>
    <s v="Social/Affordable Rent"/>
    <s v="AA"/>
    <s v="9.1"/>
    <m/>
    <m/>
    <m/>
    <m/>
    <m/>
    <n v="0"/>
    <n v="0"/>
    <n v="8"/>
    <n v="0"/>
    <n v="0"/>
    <n v="0"/>
    <n v="0"/>
    <n v="0"/>
    <n v="0"/>
    <n v="8"/>
    <n v="0"/>
    <n v="0"/>
    <n v="0"/>
    <n v="0"/>
    <n v="0"/>
    <n v="0"/>
    <n v="0"/>
    <n v="0"/>
    <n v="0"/>
    <n v="0"/>
    <n v="0"/>
    <n v="0"/>
    <n v="0"/>
    <n v="0"/>
    <n v="0"/>
    <n v="0"/>
    <n v="0"/>
    <n v="0"/>
    <m/>
    <m/>
    <s v="Rest of Borough"/>
    <n v="1"/>
    <n v="8"/>
    <m/>
    <m/>
    <m/>
    <m/>
    <m/>
    <m/>
    <m/>
    <m/>
    <m/>
    <m/>
    <m/>
    <m/>
    <m/>
    <m/>
    <m/>
    <m/>
    <m/>
    <m/>
    <m/>
    <n v="0"/>
    <n v="0"/>
  </r>
  <r>
    <n v="2502"/>
    <x v="0"/>
    <s v="2020/1779"/>
    <s v="Springfield Hospital site, 61 Glenburnie Road"/>
    <s v="Phase 5A - Block C1A"/>
    <n v="527221"/>
    <n v="172443"/>
    <s v="Wandsworth Common"/>
    <d v="2021-03-31T00:00:00"/>
    <m/>
    <n v="0"/>
    <n v="8"/>
    <n v="8"/>
    <n v="227"/>
    <n v="227"/>
    <s v="Y"/>
    <s v="Reserved Matters relating to scale, appearance and landscaping in respect of Phase 5A (Plots B - E) of the Springfield Hospital Masterplan pursuant to condition 1 of outline planning permission ref. 2010/3703 dated 20/06/2012 (for the erection of 25,000 sq.m. of replacement mental health facilities (Class C2/C2a); 839 residential dwellings; 9,200 sq.m. elderly persons' care home; 240 sq.m. of retail floorspace (Class A1); a school (Class D1); 3,500 sq.m. of mixed non-residential floorspace (Class A1, A2, A3, A4, B1, D1 or D2); landscaped public park; a combined cooling, heat and power energy centre, associated landscaping, parking, roads, access, infrastructure and other associated works), as varied under application ref. 2014/6585, dated 04/06/2015, application ref. 2016/4760 dated 24/04/2018, and application 2019/2495, dated 28/02/2020. [Phase 5A comprises the erection of buildings of between 2 and 4 storeys high to provide 227 residential units (Use Class C3), provision of 330 sq.m GIA of flexible non-residential floorspace (Use Class A1/A2/A3/A4/B1/D1/D2), 103 car parking spaces, cycle parking, private and communal amenity areas, and associated public realm and landscaping works]."/>
    <s v="DT"/>
    <d v="2020-05-20T00:00:00"/>
    <d v="2020-10-23T00:00:00"/>
    <m/>
    <s v="Nil"/>
    <m/>
    <s v="BF"/>
    <s v="NB"/>
    <x v="1"/>
    <x v="0"/>
    <n v="7.6999999999999999E-2"/>
    <d v="2021-03-31T00:00:00"/>
    <x v="0"/>
    <d v="2024-03-31T00:00:00"/>
    <s v="Intermediate"/>
    <s v="ISO"/>
    <s v="9.1"/>
    <m/>
    <m/>
    <m/>
    <n v="8"/>
    <m/>
    <n v="0"/>
    <n v="4"/>
    <n v="4"/>
    <n v="0"/>
    <n v="0"/>
    <n v="0"/>
    <n v="0"/>
    <n v="0"/>
    <n v="4"/>
    <n v="4"/>
    <n v="0"/>
    <n v="0"/>
    <n v="0"/>
    <n v="0"/>
    <n v="0"/>
    <n v="0"/>
    <n v="0"/>
    <n v="0"/>
    <n v="0"/>
    <n v="0"/>
    <n v="0"/>
    <n v="0"/>
    <n v="0"/>
    <n v="0"/>
    <n v="0"/>
    <n v="0"/>
    <n v="0"/>
    <n v="0"/>
    <m/>
    <m/>
    <s v="Rest of Borough"/>
    <n v="1"/>
    <n v="8"/>
    <m/>
    <m/>
    <m/>
    <m/>
    <m/>
    <m/>
    <m/>
    <m/>
    <m/>
    <m/>
    <m/>
    <m/>
    <m/>
    <m/>
    <m/>
    <m/>
    <m/>
    <m/>
    <m/>
    <n v="0"/>
    <n v="0"/>
  </r>
  <r>
    <n v="2502"/>
    <x v="0"/>
    <s v="2020/1779"/>
    <s v="Springfield Hospital site, 61 Glenburnie Road"/>
    <s v="Phase 5A - Block C1B"/>
    <n v="527221"/>
    <n v="172443"/>
    <s v="Wandsworth Common"/>
    <d v="2021-03-31T00:00:00"/>
    <m/>
    <n v="0"/>
    <n v="2"/>
    <n v="2"/>
    <n v="227"/>
    <n v="227"/>
    <s v="Y"/>
    <s v="Reserved Matters relating to scale, appearance and landscaping in respect of Phase 5A (Plots B - E) of the Springfield Hospital Masterplan pursuant to condition 1 of outline planning permission ref. 2010/3703 dated 20/06/2012 (for the erection of 25,000 sq.m. of replacement mental health facilities (Class C2/C2a); 839 residential dwellings; 9,200 sq.m. elderly persons' care home; 240 sq.m. of retail floorspace (Class A1); a school (Class D1); 3,500 sq.m. of mixed non-residential floorspace (Class A1, A2, A3, A4, B1, D1 or D2); landscaped public park; a combined cooling, heat and power energy centre, associated landscaping, parking, roads, access, infrastructure and other associated works), as varied under application ref. 2014/6585, dated 04/06/2015, application ref. 2016/4760 dated 24/04/2018, and application 2019/2495, dated 28/02/2020. [Phase 5A comprises the erection of buildings of between 2 and 4 storeys high to provide 227 residential units (Use Class C3), provision of 330 sq.m GIA of flexible non-residential floorspace (Use Class A1/A2/A3/A4/B1/D1/D2), 103 car parking spaces, cycle parking, private and communal amenity areas, and associated public realm and landscaping works]."/>
    <s v="DT"/>
    <d v="2020-05-20T00:00:00"/>
    <d v="2020-10-23T00:00:00"/>
    <m/>
    <s v="Nil"/>
    <m/>
    <s v="BF"/>
    <s v="NB"/>
    <x v="1"/>
    <x v="0"/>
    <n v="1.9E-2"/>
    <d v="2021-03-31T00:00:00"/>
    <x v="0"/>
    <d v="2024-03-31T00:00:00"/>
    <s v="Social/Affordable Rent"/>
    <s v="AA"/>
    <s v="9.1"/>
    <m/>
    <m/>
    <m/>
    <n v="1"/>
    <m/>
    <n v="0"/>
    <n v="0"/>
    <n v="0"/>
    <n v="2"/>
    <n v="0"/>
    <n v="0"/>
    <n v="0"/>
    <n v="0"/>
    <n v="0"/>
    <n v="0"/>
    <n v="0"/>
    <n v="0"/>
    <n v="0"/>
    <n v="0"/>
    <n v="0"/>
    <n v="0"/>
    <n v="0"/>
    <n v="2"/>
    <n v="0"/>
    <n v="0"/>
    <n v="0"/>
    <n v="0"/>
    <n v="0"/>
    <n v="0"/>
    <n v="0"/>
    <n v="0"/>
    <n v="0"/>
    <n v="0"/>
    <m/>
    <m/>
    <s v="Rest of Borough"/>
    <n v="1"/>
    <n v="2"/>
    <m/>
    <m/>
    <m/>
    <m/>
    <m/>
    <m/>
    <m/>
    <m/>
    <m/>
    <m/>
    <m/>
    <m/>
    <m/>
    <m/>
    <m/>
    <m/>
    <m/>
    <m/>
    <m/>
    <n v="0"/>
    <n v="0"/>
  </r>
  <r>
    <n v="2502"/>
    <x v="0"/>
    <s v="2020/1779"/>
    <s v="Springfield Hospital site, 61 Glenburnie Road"/>
    <s v="Phase 5A - Block C1C"/>
    <n v="527221"/>
    <n v="172443"/>
    <s v="Wandsworth Common"/>
    <d v="2021-03-31T00:00:00"/>
    <m/>
    <n v="0"/>
    <n v="2"/>
    <n v="2"/>
    <n v="227"/>
    <n v="227"/>
    <s v="Y"/>
    <s v="Reserved Matters relating to scale, appearance and landscaping in respect of Phase 5A (Plots B - E) of the Springfield Hospital Masterplan pursuant to condition 1 of outline planning permission ref. 2010/3703 dated 20/06/2012 (for the erection of 25,000 sq.m. of replacement mental health facilities (Class C2/C2a); 839 residential dwellings; 9,200 sq.m. elderly persons' care home; 240 sq.m. of retail floorspace (Class A1); a school (Class D1); 3,500 sq.m. of mixed non-residential floorspace (Class A1, A2, A3, A4, B1, D1 or D2); landscaped public park; a combined cooling, heat and power energy centre, associated landscaping, parking, roads, access, infrastructure and other associated works), as varied under application ref. 2014/6585, dated 04/06/2015, application ref. 2016/4760 dated 24/04/2018, and application 2019/2495, dated 28/02/2020. [Phase 5A comprises the erection of buildings of between 2 and 4 storeys high to provide 227 residential units (Use Class C3), provision of 330 sq.m GIA of flexible non-residential floorspace (Use Class A1/A2/A3/A4/B1/D1/D2), 103 car parking spaces, cycle parking, private and communal amenity areas, and associated public realm and landscaping works]."/>
    <s v="DT"/>
    <d v="2020-05-20T00:00:00"/>
    <d v="2020-10-23T00:00:00"/>
    <m/>
    <s v="Nil"/>
    <m/>
    <s v="BF"/>
    <s v="NB"/>
    <x v="1"/>
    <x v="0"/>
    <n v="1.9E-2"/>
    <d v="2021-03-31T00:00:00"/>
    <x v="0"/>
    <d v="2024-03-31T00:00:00"/>
    <s v="Social/Affordable Rent"/>
    <s v="AA"/>
    <s v="9.1"/>
    <m/>
    <m/>
    <m/>
    <m/>
    <m/>
    <n v="0"/>
    <n v="0"/>
    <n v="0"/>
    <n v="2"/>
    <n v="0"/>
    <n v="0"/>
    <n v="0"/>
    <n v="0"/>
    <n v="0"/>
    <n v="0"/>
    <n v="0"/>
    <n v="0"/>
    <n v="0"/>
    <n v="0"/>
    <n v="0"/>
    <n v="0"/>
    <n v="0"/>
    <n v="2"/>
    <n v="0"/>
    <n v="0"/>
    <n v="0"/>
    <n v="0"/>
    <n v="0"/>
    <n v="0"/>
    <n v="0"/>
    <n v="0"/>
    <n v="0"/>
    <n v="0"/>
    <m/>
    <m/>
    <s v="Rest of Borough"/>
    <n v="1"/>
    <n v="2"/>
    <m/>
    <m/>
    <m/>
    <m/>
    <m/>
    <m/>
    <m/>
    <m/>
    <m/>
    <m/>
    <m/>
    <m/>
    <m/>
    <m/>
    <m/>
    <m/>
    <m/>
    <m/>
    <m/>
    <n v="0"/>
    <n v="0"/>
  </r>
  <r>
    <n v="2502"/>
    <x v="0"/>
    <s v="2020/1779"/>
    <s v="Springfield Hospital site, 61 Glenburnie Road"/>
    <s v="Phase 5A - Block C2B"/>
    <n v="527221"/>
    <n v="172443"/>
    <s v="Wandsworth Common"/>
    <d v="2021-03-31T00:00:00"/>
    <m/>
    <n v="0"/>
    <n v="1"/>
    <n v="1"/>
    <n v="227"/>
    <n v="227"/>
    <s v="Y"/>
    <s v="Reserved Matters relating to scale, appearance and landscaping in respect of Phase 5A (Plots B - E) of the Springfield Hospital Masterplan pursuant to condition 1 of outline planning permission ref. 2010/3703 dated 20/06/2012 (for the erection of 25,000 sq.m. of replacement mental health facilities (Class C2/C2a); 839 residential dwellings; 9,200 sq.m. elderly persons' care home; 240 sq.m. of retail floorspace (Class A1); a school (Class D1); 3,500 sq.m. of mixed non-residential floorspace (Class A1, A2, A3, A4, B1, D1 or D2); landscaped public park; a combined cooling, heat and power energy centre, associated landscaping, parking, roads, access, infrastructure and other associated works), as varied under application ref. 2014/6585, dated 04/06/2015, application ref. 2016/4760 dated 24/04/2018, and application 2019/2495, dated 28/02/2020. [Phase 5A comprises the erection of buildings of between 2 and 4 storeys high to provide 227 residential units (Use Class C3), provision of 330 sq.m GIA of flexible non-residential floorspace (Use Class A1/A2/A3/A4/B1/D1/D2), 103 car parking spaces, cycle parking, private and communal amenity areas, and associated public realm and landscaping works]."/>
    <s v="DT"/>
    <d v="2020-05-20T00:00:00"/>
    <d v="2020-10-23T00:00:00"/>
    <m/>
    <s v="Nil"/>
    <m/>
    <s v="BF"/>
    <s v="NB"/>
    <x v="1"/>
    <x v="0"/>
    <n v="0.01"/>
    <d v="2021-03-31T00:00:00"/>
    <x v="0"/>
    <d v="2024-03-31T00:00:00"/>
    <s v="Intermediate"/>
    <s v="ISO"/>
    <s v="9.1"/>
    <m/>
    <m/>
    <m/>
    <m/>
    <m/>
    <n v="0"/>
    <n v="0"/>
    <n v="1"/>
    <n v="0"/>
    <n v="0"/>
    <n v="0"/>
    <n v="0"/>
    <n v="0"/>
    <n v="0"/>
    <n v="0"/>
    <n v="0"/>
    <n v="0"/>
    <n v="0"/>
    <n v="0"/>
    <n v="0"/>
    <n v="0"/>
    <n v="1"/>
    <n v="0"/>
    <n v="0"/>
    <n v="0"/>
    <n v="0"/>
    <n v="0"/>
    <n v="0"/>
    <n v="0"/>
    <n v="0"/>
    <n v="0"/>
    <n v="0"/>
    <n v="0"/>
    <m/>
    <m/>
    <s v="Rest of Borough"/>
    <n v="1"/>
    <n v="1"/>
    <m/>
    <m/>
    <m/>
    <m/>
    <m/>
    <m/>
    <m/>
    <m/>
    <m/>
    <m/>
    <m/>
    <m/>
    <m/>
    <m/>
    <m/>
    <m/>
    <m/>
    <m/>
    <m/>
    <n v="0"/>
    <n v="0"/>
  </r>
  <r>
    <n v="2502"/>
    <x v="0"/>
    <s v="2020/1779"/>
    <s v="Springfield Hospital site, 61 Glenburnie Road"/>
    <s v="Phase 5A - Block C2C"/>
    <n v="527221"/>
    <n v="172443"/>
    <s v="Wandsworth Common"/>
    <d v="2021-03-31T00:00:00"/>
    <m/>
    <n v="0"/>
    <n v="5"/>
    <n v="5"/>
    <n v="227"/>
    <n v="227"/>
    <s v="Y"/>
    <s v="Reserved Matters relating to scale, appearance and landscaping in respect of Phase 5A (Plots B - E) of the Springfield Hospital Masterplan pursuant to condition 1 of outline planning permission ref. 2010/3703 dated 20/06/2012 (for the erection of 25,000 sq.m. of replacement mental health facilities (Class C2/C2a); 839 residential dwellings; 9,200 sq.m. elderly persons' care home; 240 sq.m. of retail floorspace (Class A1); a school (Class D1); 3,500 sq.m. of mixed non-residential floorspace (Class A1, A2, A3, A4, B1, D1 or D2); landscaped public park; a combined cooling, heat and power energy centre, associated landscaping, parking, roads, access, infrastructure and other associated works), as varied under application ref. 2014/6585, dated 04/06/2015, application ref. 2016/4760 dated 24/04/2018, and application 2019/2495, dated 28/02/2020. [Phase 5A comprises the erection of buildings of between 2 and 4 storeys high to provide 227 residential units (Use Class C3), provision of 330 sq.m GIA of flexible non-residential floorspace (Use Class A1/A2/A3/A4/B1/D1/D2), 103 car parking spaces, cycle parking, private and communal amenity areas, and associated public realm and landscaping works]."/>
    <s v="DT"/>
    <d v="2020-05-20T00:00:00"/>
    <d v="2020-10-23T00:00:00"/>
    <m/>
    <s v="Nil"/>
    <m/>
    <s v="BF"/>
    <s v="NB"/>
    <x v="1"/>
    <x v="0"/>
    <n v="4.8000000000000001E-2"/>
    <d v="2021-03-31T00:00:00"/>
    <x v="0"/>
    <d v="2024-03-31T00:00:00"/>
    <s v="Intermediate"/>
    <s v="ISO"/>
    <s v="9.1"/>
    <m/>
    <m/>
    <m/>
    <m/>
    <m/>
    <n v="0"/>
    <n v="0"/>
    <n v="5"/>
    <n v="0"/>
    <n v="0"/>
    <n v="0"/>
    <n v="0"/>
    <n v="0"/>
    <n v="0"/>
    <n v="0"/>
    <n v="0"/>
    <n v="0"/>
    <n v="0"/>
    <n v="0"/>
    <n v="0"/>
    <n v="0"/>
    <n v="5"/>
    <n v="0"/>
    <n v="0"/>
    <n v="0"/>
    <n v="0"/>
    <n v="0"/>
    <n v="0"/>
    <n v="0"/>
    <n v="0"/>
    <n v="0"/>
    <n v="0"/>
    <n v="0"/>
    <m/>
    <m/>
    <s v="Rest of Borough"/>
    <n v="1"/>
    <n v="5"/>
    <m/>
    <m/>
    <m/>
    <m/>
    <m/>
    <m/>
    <m/>
    <m/>
    <m/>
    <m/>
    <m/>
    <m/>
    <m/>
    <m/>
    <m/>
    <m/>
    <m/>
    <m/>
    <m/>
    <n v="0"/>
    <n v="0"/>
  </r>
  <r>
    <n v="2502"/>
    <x v="0"/>
    <s v="2020/1779"/>
    <s v="Springfield Hospital site, 61 Glenburnie Road"/>
    <s v="Phase 5A - Block D1A"/>
    <n v="527221"/>
    <n v="172443"/>
    <s v="Wandsworth Common"/>
    <d v="2021-03-31T00:00:00"/>
    <m/>
    <n v="0"/>
    <n v="15"/>
    <n v="15"/>
    <n v="227"/>
    <n v="227"/>
    <s v="Y"/>
    <s v="Reserved Matters relating to scale, appearance and landscaping in respect of Phase 5A (Plots B - E) of the Springfield Hospital Masterplan pursuant to condition 1 of outline planning permission ref. 2010/3703 dated 20/06/2012 (for the erection of 25,000 sq.m. of replacement mental health facilities (Class C2/C2a); 839 residential dwellings; 9,200 sq.m. elderly persons' care home; 240 sq.m. of retail floorspace (Class A1); a school (Class D1); 3,500 sq.m. of mixed non-residential floorspace (Class A1, A2, A3, A4, B1, D1 or D2); landscaped public park; a combined cooling, heat and power energy centre, associated landscaping, parking, roads, access, infrastructure and other associated works), as varied under application ref. 2014/6585, dated 04/06/2015, application ref. 2016/4760 dated 24/04/2018, and application 2019/2495, dated 28/02/2020. [Phase 5A comprises the erection of buildings of between 2 and 4 storeys high to provide 227 residential units (Use Class C3), provision of 330 sq.m GIA of flexible non-residential floorspace (Use Class A1/A2/A3/A4/B1/D1/D2), 103 car parking spaces, cycle parking, private and communal amenity areas, and associated public realm and landscaping works]."/>
    <s v="DT"/>
    <d v="2020-05-20T00:00:00"/>
    <d v="2020-10-23T00:00:00"/>
    <m/>
    <s v="Nil"/>
    <m/>
    <s v="BF"/>
    <s v="NB"/>
    <x v="1"/>
    <x v="0"/>
    <n v="0.14499999999999999"/>
    <d v="2021-03-31T00:00:00"/>
    <x v="0"/>
    <d v="2024-03-31T00:00:00"/>
    <s v="Open Market"/>
    <s v="M"/>
    <s v="9.1"/>
    <m/>
    <m/>
    <m/>
    <m/>
    <m/>
    <n v="0"/>
    <n v="6"/>
    <n v="9"/>
    <n v="0"/>
    <n v="0"/>
    <n v="0"/>
    <n v="0"/>
    <n v="0"/>
    <n v="6"/>
    <n v="9"/>
    <n v="0"/>
    <n v="0"/>
    <n v="0"/>
    <n v="0"/>
    <n v="0"/>
    <n v="0"/>
    <n v="0"/>
    <n v="0"/>
    <n v="0"/>
    <n v="0"/>
    <n v="0"/>
    <n v="0"/>
    <n v="0"/>
    <n v="0"/>
    <n v="0"/>
    <n v="0"/>
    <n v="0"/>
    <n v="0"/>
    <m/>
    <m/>
    <s v="Rest of Borough"/>
    <n v="1"/>
    <n v="15"/>
    <m/>
    <m/>
    <m/>
    <m/>
    <m/>
    <m/>
    <m/>
    <m/>
    <m/>
    <m/>
    <m/>
    <m/>
    <m/>
    <m/>
    <m/>
    <m/>
    <m/>
    <m/>
    <m/>
    <n v="0"/>
    <n v="0"/>
  </r>
  <r>
    <n v="2502"/>
    <x v="0"/>
    <s v="2020/1779"/>
    <s v="Springfield Hospital site, 61 Glenburnie Road"/>
    <s v="Phase 5A - Block D1B"/>
    <n v="527221"/>
    <n v="172443"/>
    <s v="Wandsworth Common"/>
    <d v="2021-03-31T00:00:00"/>
    <m/>
    <n v="0"/>
    <n v="9"/>
    <n v="9"/>
    <n v="227"/>
    <n v="227"/>
    <s v="Y"/>
    <s v="Reserved Matters relating to scale, appearance and landscaping in respect of Phase 5A (Plots B - E) of the Springfield Hospital Masterplan pursuant to condition 1 of outline planning permission ref. 2010/3703 dated 20/06/2012 (for the erection of 25,000 sq.m. of replacement mental health facilities (Class C2/C2a); 839 residential dwellings; 9,200 sq.m. elderly persons' care home; 240 sq.m. of retail floorspace (Class A1); a school (Class D1); 3,500 sq.m. of mixed non-residential floorspace (Class A1, A2, A3, A4, B1, D1 or D2); landscaped public park; a combined cooling, heat and power energy centre, associated landscaping, parking, roads, access, infrastructure and other associated works), as varied under application ref. 2014/6585, dated 04/06/2015, application ref. 2016/4760 dated 24/04/2018, and application 2019/2495, dated 28/02/2020. [Phase 5A comprises the erection of buildings of between 2 and 4 storeys high to provide 227 residential units (Use Class C3), provision of 330 sq.m GIA of flexible non-residential floorspace (Use Class A1/A2/A3/A4/B1/D1/D2), 103 car parking spaces, cycle parking, private and communal amenity areas, and associated public realm and landscaping works]."/>
    <s v="DT"/>
    <d v="2020-05-20T00:00:00"/>
    <d v="2020-10-23T00:00:00"/>
    <m/>
    <s v="Nil"/>
    <m/>
    <s v="BF"/>
    <s v="NB"/>
    <x v="1"/>
    <x v="0"/>
    <n v="8.6999999999999994E-2"/>
    <d v="2021-03-31T00:00:00"/>
    <x v="0"/>
    <d v="2024-03-31T00:00:00"/>
    <s v="Open Market"/>
    <s v="M"/>
    <s v="9.1"/>
    <m/>
    <m/>
    <m/>
    <m/>
    <m/>
    <n v="0"/>
    <n v="0"/>
    <n v="7"/>
    <n v="2"/>
    <n v="0"/>
    <n v="0"/>
    <n v="0"/>
    <n v="0"/>
    <n v="0"/>
    <n v="0"/>
    <n v="0"/>
    <n v="0"/>
    <n v="0"/>
    <n v="0"/>
    <n v="0"/>
    <n v="0"/>
    <n v="7"/>
    <n v="2"/>
    <n v="0"/>
    <n v="0"/>
    <n v="0"/>
    <n v="0"/>
    <n v="0"/>
    <n v="0"/>
    <n v="0"/>
    <n v="0"/>
    <n v="0"/>
    <n v="0"/>
    <m/>
    <m/>
    <s v="Rest of Borough"/>
    <n v="1"/>
    <n v="9"/>
    <m/>
    <m/>
    <m/>
    <m/>
    <m/>
    <m/>
    <m/>
    <m/>
    <m/>
    <m/>
    <m/>
    <m/>
    <m/>
    <m/>
    <m/>
    <m/>
    <m/>
    <m/>
    <m/>
    <n v="0"/>
    <n v="0"/>
  </r>
  <r>
    <n v="2502"/>
    <x v="0"/>
    <s v="2020/1779"/>
    <s v="Springfield Hospital site, 61 Glenburnie Road"/>
    <s v="Phase 5A - Block D2A"/>
    <n v="527221"/>
    <n v="172443"/>
    <s v="Wandsworth Common"/>
    <d v="2021-03-31T00:00:00"/>
    <m/>
    <n v="0"/>
    <n v="20"/>
    <n v="20"/>
    <n v="227"/>
    <n v="227"/>
    <s v="Y"/>
    <s v="Reserved Matters relating to scale, appearance and landscaping in respect of Phase 5A (Plots B - E) of the Springfield Hospital Masterplan pursuant to condition 1 of outline planning permission ref. 2010/3703 dated 20/06/2012 (for the erection of 25,000 sq.m. of replacement mental health facilities (Class C2/C2a); 839 residential dwellings; 9,200 sq.m. elderly persons' care home; 240 sq.m. of retail floorspace (Class A1); a school (Class D1); 3,500 sq.m. of mixed non-residential floorspace (Class A1, A2, A3, A4, B1, D1 or D2); landscaped public park; a combined cooling, heat and power energy centre, associated landscaping, parking, roads, access, infrastructure and other associated works), as varied under application ref. 2014/6585, dated 04/06/2015, application ref. 2016/4760 dated 24/04/2018, and application 2019/2495, dated 28/02/2020. [Phase 5A comprises the erection of buildings of between 2 and 4 storeys high to provide 227 residential units (Use Class C3), provision of 330 sq.m GIA of flexible non-residential floorspace (Use Class A1/A2/A3/A4/B1/D1/D2), 103 car parking spaces, cycle parking, private and communal amenity areas, and associated public realm and landscaping works]."/>
    <s v="DT"/>
    <d v="2020-05-20T00:00:00"/>
    <d v="2020-10-23T00:00:00"/>
    <m/>
    <s v="Nil"/>
    <m/>
    <s v="BF"/>
    <s v="NB"/>
    <x v="1"/>
    <x v="0"/>
    <n v="0.193"/>
    <d v="2021-03-31T00:00:00"/>
    <x v="0"/>
    <d v="2024-03-31T00:00:00"/>
    <s v="Open Market"/>
    <s v="M"/>
    <s v="9.1"/>
    <m/>
    <m/>
    <m/>
    <m/>
    <m/>
    <n v="0"/>
    <n v="9"/>
    <n v="11"/>
    <n v="0"/>
    <n v="0"/>
    <n v="0"/>
    <n v="0"/>
    <n v="0"/>
    <n v="9"/>
    <n v="11"/>
    <n v="0"/>
    <n v="0"/>
    <n v="0"/>
    <n v="0"/>
    <n v="0"/>
    <n v="0"/>
    <n v="0"/>
    <n v="0"/>
    <n v="0"/>
    <n v="0"/>
    <n v="0"/>
    <n v="0"/>
    <n v="0"/>
    <n v="0"/>
    <n v="0"/>
    <n v="0"/>
    <n v="0"/>
    <n v="0"/>
    <m/>
    <m/>
    <s v="Rest of Borough"/>
    <n v="1"/>
    <n v="20"/>
    <m/>
    <m/>
    <m/>
    <m/>
    <m/>
    <m/>
    <m/>
    <m/>
    <m/>
    <m/>
    <m/>
    <m/>
    <m/>
    <m/>
    <m/>
    <m/>
    <m/>
    <m/>
    <m/>
    <n v="0"/>
    <n v="0"/>
  </r>
  <r>
    <n v="2502"/>
    <x v="0"/>
    <s v="2020/1779"/>
    <s v="Springfield Hospital site, 61 Glenburnie Road"/>
    <s v="Phase 5A - Block D2B"/>
    <n v="527221"/>
    <n v="172443"/>
    <s v="Wandsworth Common"/>
    <d v="2021-03-31T00:00:00"/>
    <m/>
    <n v="0"/>
    <n v="5"/>
    <n v="5"/>
    <n v="227"/>
    <n v="227"/>
    <s v="Y"/>
    <s v="Reserved Matters relating to scale, appearance and landscaping in respect of Phase 5A (Plots B - E) of the Springfield Hospital Masterplan pursuant to condition 1 of outline planning permission ref. 2010/3703 dated 20/06/2012 (for the erection of 25,000 sq.m. of replacement mental health facilities (Class C2/C2a); 839 residential dwellings; 9,200 sq.m. elderly persons' care home; 240 sq.m. of retail floorspace (Class A1); a school (Class D1); 3,500 sq.m. of mixed non-residential floorspace (Class A1, A2, A3, A4, B1, D1 or D2); landscaped public park; a combined cooling, heat and power energy centre, associated landscaping, parking, roads, access, infrastructure and other associated works), as varied under application ref. 2014/6585, dated 04/06/2015, application ref. 2016/4760 dated 24/04/2018, and application 2019/2495, dated 28/02/2020. [Phase 5A comprises the erection of buildings of between 2 and 4 storeys high to provide 227 residential units (Use Class C3), provision of 330 sq.m GIA of flexible non-residential floorspace (Use Class A1/A2/A3/A4/B1/D1/D2), 103 car parking spaces, cycle parking, private and communal amenity areas, and associated public realm and landscaping works]."/>
    <s v="DT"/>
    <d v="2020-05-20T00:00:00"/>
    <d v="2020-10-23T00:00:00"/>
    <m/>
    <s v="Nil"/>
    <m/>
    <s v="BF"/>
    <s v="NB"/>
    <x v="1"/>
    <x v="0"/>
    <n v="4.8000000000000001E-2"/>
    <d v="2021-03-31T00:00:00"/>
    <x v="0"/>
    <d v="2024-03-31T00:00:00"/>
    <s v="Open Market"/>
    <s v="M"/>
    <s v="9.1"/>
    <m/>
    <m/>
    <m/>
    <m/>
    <m/>
    <n v="0"/>
    <n v="0"/>
    <n v="0"/>
    <n v="5"/>
    <n v="0"/>
    <n v="0"/>
    <n v="0"/>
    <n v="0"/>
    <n v="0"/>
    <n v="0"/>
    <n v="5"/>
    <n v="0"/>
    <n v="0"/>
    <n v="0"/>
    <n v="0"/>
    <n v="0"/>
    <n v="0"/>
    <n v="0"/>
    <n v="0"/>
    <n v="0"/>
    <n v="0"/>
    <n v="0"/>
    <n v="0"/>
    <n v="0"/>
    <n v="0"/>
    <n v="0"/>
    <n v="0"/>
    <n v="0"/>
    <m/>
    <m/>
    <s v="Rest of Borough"/>
    <n v="1"/>
    <n v="5"/>
    <m/>
    <m/>
    <m/>
    <m/>
    <m/>
    <m/>
    <m/>
    <m/>
    <m/>
    <m/>
    <m/>
    <m/>
    <m/>
    <m/>
    <m/>
    <m/>
    <m/>
    <m/>
    <m/>
    <n v="0"/>
    <n v="0"/>
  </r>
  <r>
    <n v="2502"/>
    <x v="0"/>
    <s v="2020/1779"/>
    <s v="Springfield Hospital site, 61 Glenburnie Road"/>
    <s v="Phase 5A - Block D2C"/>
    <n v="527221"/>
    <n v="172443"/>
    <s v="Wandsworth Common"/>
    <d v="2021-03-31T00:00:00"/>
    <m/>
    <n v="0"/>
    <n v="8"/>
    <n v="8"/>
    <n v="227"/>
    <n v="227"/>
    <s v="Y"/>
    <s v="Reserved Matters relating to scale, appearance and landscaping in respect of Phase 5A (Plots B - E) of the Springfield Hospital Masterplan pursuant to condition 1 of outline planning permission ref. 2010/3703 dated 20/06/2012 (for the erection of 25,000 sq.m. of replacement mental health facilities (Class C2/C2a); 839 residential dwellings; 9,200 sq.m. elderly persons' care home; 240 sq.m. of retail floorspace (Class A1); a school (Class D1); 3,500 sq.m. of mixed non-residential floorspace (Class A1, A2, A3, A4, B1, D1 or D2); landscaped public park; a combined cooling, heat and power energy centre, associated landscaping, parking, roads, access, infrastructure and other associated works), as varied under application ref. 2014/6585, dated 04/06/2015, application ref. 2016/4760 dated 24/04/2018, and application 2019/2495, dated 28/02/2020. [Phase 5A comprises the erection of buildings of between 2 and 4 storeys high to provide 227 residential units (Use Class C3), provision of 330 sq.m GIA of flexible non-residential floorspace (Use Class A1/A2/A3/A4/B1/D1/D2), 103 car parking spaces, cycle parking, private and communal amenity areas, and associated public realm and landscaping works]."/>
    <s v="DT"/>
    <d v="2020-05-20T00:00:00"/>
    <d v="2020-10-23T00:00:00"/>
    <m/>
    <s v="Nil"/>
    <m/>
    <s v="BF"/>
    <s v="NB"/>
    <x v="1"/>
    <x v="0"/>
    <n v="7.6999999999999999E-2"/>
    <d v="2021-03-31T00:00:00"/>
    <x v="0"/>
    <d v="2024-03-31T00:00:00"/>
    <s v="Open Market"/>
    <s v="M"/>
    <s v="9.1"/>
    <m/>
    <m/>
    <m/>
    <m/>
    <m/>
    <n v="0"/>
    <n v="0"/>
    <n v="4"/>
    <n v="4"/>
    <n v="0"/>
    <n v="0"/>
    <n v="0"/>
    <n v="0"/>
    <n v="0"/>
    <n v="0"/>
    <n v="0"/>
    <n v="0"/>
    <n v="0"/>
    <n v="0"/>
    <n v="0"/>
    <n v="0"/>
    <n v="4"/>
    <n v="4"/>
    <n v="0"/>
    <n v="0"/>
    <n v="0"/>
    <n v="0"/>
    <n v="0"/>
    <n v="0"/>
    <n v="0"/>
    <n v="0"/>
    <n v="0"/>
    <n v="0"/>
    <m/>
    <m/>
    <s v="Rest of Borough"/>
    <n v="1"/>
    <n v="8"/>
    <m/>
    <m/>
    <m/>
    <m/>
    <m/>
    <m/>
    <m/>
    <m/>
    <m/>
    <m/>
    <m/>
    <m/>
    <m/>
    <m/>
    <m/>
    <m/>
    <m/>
    <m/>
    <m/>
    <n v="0"/>
    <n v="0"/>
  </r>
  <r>
    <n v="2502"/>
    <x v="0"/>
    <s v="2020/1779"/>
    <s v="Springfield Hospital site, 61 Glenburnie Road"/>
    <s v="Phase 5A - Block E1A"/>
    <n v="527221"/>
    <n v="172443"/>
    <s v="Wandsworth Common"/>
    <d v="2021-03-31T00:00:00"/>
    <m/>
    <n v="0"/>
    <n v="20"/>
    <n v="20"/>
    <n v="227"/>
    <n v="227"/>
    <s v="Y"/>
    <s v="Reserved Matters relating to scale, appearance and landscaping in respect of Phase 5A (Plots B - E) of the Springfield Hospital Masterplan pursuant to condition 1 of outline planning permission ref. 2010/3703 dated 20/06/2012 (for the erection of 25,000 sq.m. of replacement mental health facilities (Class C2/C2a); 839 residential dwellings; 9,200 sq.m. elderly persons' care home; 240 sq.m. of retail floorspace (Class A1); a school (Class D1); 3,500 sq.m. of mixed non-residential floorspace (Class A1, A2, A3, A4, B1, D1 or D2); landscaped public park; a combined cooling, heat and power energy centre, associated landscaping, parking, roads, access, infrastructure and other associated works), as varied under application ref. 2014/6585, dated 04/06/2015, application ref. 2016/4760 dated 24/04/2018, and application 2019/2495, dated 28/02/2020. [Phase 5A comprises the erection of buildings of between 2 and 4 storeys high to provide 227 residential units (Use Class C3), provision of 330 sq.m GIA of flexible non-residential floorspace (Use Class A1/A2/A3/A4/B1/D1/D2), 103 car parking spaces, cycle parking, private and communal amenity areas, and associated public realm and landscaping works]."/>
    <s v="DT"/>
    <d v="2020-05-20T00:00:00"/>
    <d v="2020-10-23T00:00:00"/>
    <m/>
    <s v="Nil"/>
    <m/>
    <s v="BF"/>
    <s v="NB"/>
    <x v="1"/>
    <x v="0"/>
    <n v="0.193"/>
    <d v="2021-03-31T00:00:00"/>
    <x v="0"/>
    <d v="2024-03-31T00:00:00"/>
    <s v="Open Market"/>
    <s v="M"/>
    <s v="9.1"/>
    <m/>
    <m/>
    <m/>
    <m/>
    <m/>
    <n v="0"/>
    <n v="9"/>
    <n v="11"/>
    <n v="0"/>
    <n v="0"/>
    <n v="0"/>
    <n v="0"/>
    <n v="0"/>
    <n v="9"/>
    <n v="11"/>
    <n v="0"/>
    <n v="0"/>
    <n v="0"/>
    <n v="0"/>
    <n v="0"/>
    <n v="0"/>
    <n v="0"/>
    <n v="0"/>
    <n v="0"/>
    <n v="0"/>
    <n v="0"/>
    <n v="0"/>
    <n v="0"/>
    <n v="0"/>
    <n v="0"/>
    <n v="0"/>
    <n v="0"/>
    <n v="0"/>
    <m/>
    <m/>
    <s v="Rest of Borough"/>
    <n v="1"/>
    <n v="20"/>
    <m/>
    <m/>
    <m/>
    <m/>
    <m/>
    <m/>
    <m/>
    <m/>
    <m/>
    <m/>
    <m/>
    <m/>
    <m/>
    <m/>
    <m/>
    <m/>
    <m/>
    <m/>
    <m/>
    <n v="0"/>
    <n v="0"/>
  </r>
  <r>
    <n v="2502"/>
    <x v="0"/>
    <s v="2020/1779"/>
    <s v="Springfield Hospital site, 61 Glenburnie Road"/>
    <s v="Phase 5A - Block E1B"/>
    <n v="527221"/>
    <n v="172443"/>
    <s v="Wandsworth Common"/>
    <d v="2021-03-31T00:00:00"/>
    <m/>
    <n v="0"/>
    <n v="7"/>
    <n v="7"/>
    <n v="227"/>
    <n v="227"/>
    <s v="Y"/>
    <s v="Reserved Matters relating to scale, appearance and landscaping in respect of Phase 5A (Plots B - E) of the Springfield Hospital Masterplan pursuant to condition 1 of outline planning permission ref. 2010/3703 dated 20/06/2012 (for the erection of 25,000 sq.m. of replacement mental health facilities (Class C2/C2a); 839 residential dwellings; 9,200 sq.m. elderly persons' care home; 240 sq.m. of retail floorspace (Class A1); a school (Class D1); 3,500 sq.m. of mixed non-residential floorspace (Class A1, A2, A3, A4, B1, D1 or D2); landscaped public park; a combined cooling, heat and power energy centre, associated landscaping, parking, roads, access, infrastructure and other associated works), as varied under application ref. 2014/6585, dated 04/06/2015, application ref. 2016/4760 dated 24/04/2018, and application 2019/2495, dated 28/02/2020. [Phase 5A comprises the erection of buildings of between 2 and 4 storeys high to provide 227 residential units (Use Class C3), provision of 330 sq.m GIA of flexible non-residential floorspace (Use Class A1/A2/A3/A4/B1/D1/D2), 103 car parking spaces, cycle parking, private and communal amenity areas, and associated public realm and landscaping works]."/>
    <s v="DT"/>
    <d v="2020-05-20T00:00:00"/>
    <d v="2020-10-23T00:00:00"/>
    <m/>
    <s v="Nil"/>
    <m/>
    <s v="BF"/>
    <s v="NB"/>
    <x v="1"/>
    <x v="0"/>
    <n v="6.8000000000000005E-2"/>
    <d v="2021-03-31T00:00:00"/>
    <x v="0"/>
    <d v="2024-03-31T00:00:00"/>
    <s v="Open Market"/>
    <s v="M"/>
    <s v="9.1"/>
    <m/>
    <m/>
    <m/>
    <m/>
    <m/>
    <n v="0"/>
    <n v="0"/>
    <n v="3"/>
    <n v="4"/>
    <n v="0"/>
    <n v="0"/>
    <n v="0"/>
    <n v="0"/>
    <n v="0"/>
    <n v="0"/>
    <n v="0"/>
    <n v="0"/>
    <n v="0"/>
    <n v="0"/>
    <n v="0"/>
    <n v="0"/>
    <n v="3"/>
    <n v="4"/>
    <n v="0"/>
    <n v="0"/>
    <n v="0"/>
    <n v="0"/>
    <n v="0"/>
    <n v="0"/>
    <n v="0"/>
    <n v="0"/>
    <n v="0"/>
    <n v="0"/>
    <m/>
    <m/>
    <s v="Rest of Borough"/>
    <n v="1"/>
    <n v="7"/>
    <m/>
    <m/>
    <m/>
    <m/>
    <m/>
    <m/>
    <m/>
    <m/>
    <m/>
    <m/>
    <m/>
    <m/>
    <m/>
    <m/>
    <m/>
    <m/>
    <m/>
    <m/>
    <m/>
    <n v="0"/>
    <n v="0"/>
  </r>
  <r>
    <n v="2502"/>
    <x v="0"/>
    <s v="2020/1779"/>
    <s v="Springfield Hospital site, 61 Glenburnie Road"/>
    <s v="Phase 5A - Block E1C"/>
    <n v="527221"/>
    <n v="172443"/>
    <s v="Wandsworth Common"/>
    <d v="2021-03-31T00:00:00"/>
    <m/>
    <n v="0"/>
    <n v="15"/>
    <n v="15"/>
    <n v="227"/>
    <n v="227"/>
    <s v="Y"/>
    <s v="Reserved Matters relating to scale, appearance and landscaping in respect of Phase 5A (Plots B - E) of the Springfield Hospital Masterplan pursuant to condition 1 of outline planning permission ref. 2010/3703 dated 20/06/2012 (for the erection of 25,000 sq.m. of replacement mental health facilities (Class C2/C2a); 839 residential dwellings; 9,200 sq.m. elderly persons' care home; 240 sq.m. of retail floorspace (Class A1); a school (Class D1); 3,500 sq.m. of mixed non-residential floorspace (Class A1, A2, A3, A4, B1, D1 or D2); landscaped public park; a combined cooling, heat and power energy centre, associated landscaping, parking, roads, access, infrastructure and other associated works), as varied under application ref. 2014/6585, dated 04/06/2015, application ref. 2016/4760 dated 24/04/2018, and application 2019/2495, dated 28/02/2020. [Phase 5A comprises the erection of buildings of between 2 and 4 storeys high to provide 227 residential units (Use Class C3), provision of 330 sq.m GIA of flexible non-residential floorspace (Use Class A1/A2/A3/A4/B1/D1/D2), 103 car parking spaces, cycle parking, private and communal amenity areas, and associated public realm and landscaping works]."/>
    <s v="DT"/>
    <d v="2020-05-20T00:00:00"/>
    <d v="2020-10-23T00:00:00"/>
    <m/>
    <s v="Nil"/>
    <m/>
    <s v="BF"/>
    <s v="NB"/>
    <x v="1"/>
    <x v="0"/>
    <n v="0.14499999999999999"/>
    <d v="2021-03-31T00:00:00"/>
    <x v="0"/>
    <d v="2024-03-31T00:00:00"/>
    <s v="Open Market"/>
    <s v="M"/>
    <s v="9.1"/>
    <m/>
    <m/>
    <m/>
    <m/>
    <m/>
    <n v="0"/>
    <n v="12"/>
    <n v="2"/>
    <n v="1"/>
    <n v="0"/>
    <n v="0"/>
    <n v="0"/>
    <n v="0"/>
    <n v="12"/>
    <n v="2"/>
    <n v="1"/>
    <n v="0"/>
    <n v="0"/>
    <n v="0"/>
    <n v="0"/>
    <n v="0"/>
    <n v="0"/>
    <n v="0"/>
    <n v="0"/>
    <n v="0"/>
    <n v="0"/>
    <n v="0"/>
    <n v="0"/>
    <n v="0"/>
    <n v="0"/>
    <n v="0"/>
    <n v="0"/>
    <n v="0"/>
    <m/>
    <m/>
    <s v="Rest of Borough"/>
    <n v="1"/>
    <n v="15"/>
    <m/>
    <m/>
    <m/>
    <m/>
    <m/>
    <m/>
    <m/>
    <m/>
    <m/>
    <m/>
    <m/>
    <m/>
    <m/>
    <m/>
    <m/>
    <m/>
    <m/>
    <m/>
    <m/>
    <n v="0"/>
    <n v="0"/>
  </r>
  <r>
    <n v="2502"/>
    <x v="0"/>
    <s v="2020/1779"/>
    <s v="Springfield Hospital site, 61 Glenburnie Road"/>
    <s v="Phase 5A - Block E2A"/>
    <n v="527221"/>
    <n v="172443"/>
    <s v="Wandsworth Common"/>
    <d v="2021-03-31T00:00:00"/>
    <m/>
    <n v="0"/>
    <n v="20"/>
    <n v="20"/>
    <n v="227"/>
    <n v="227"/>
    <s v="Y"/>
    <s v="Reserved Matters relating to scale, appearance and landscaping in respect of Phase 5A (Plots B - E) of the Springfield Hospital Masterplan pursuant to condition 1 of outline planning permission ref. 2010/3703 dated 20/06/2012 (for the erection of 25,000 sq.m. of replacement mental health facilities (Class C2/C2a); 839 residential dwellings; 9,200 sq.m. elderly persons' care home; 240 sq.m. of retail floorspace (Class A1); a school (Class D1); 3,500 sq.m. of mixed non-residential floorspace (Class A1, A2, A3, A4, B1, D1 or D2); landscaped public park; a combined cooling, heat and power energy centre, associated landscaping, parking, roads, access, infrastructure and other associated works), as varied under application ref. 2014/6585, dated 04/06/2015, application ref. 2016/4760 dated 24/04/2018, and application 2019/2495, dated 28/02/2020. [Phase 5A comprises the erection of buildings of between 2 and 4 storeys high to provide 227 residential units (Use Class C3), provision of 330 sq.m GIA of flexible non-residential floorspace (Use Class A1/A2/A3/A4/B1/D1/D2), 103 car parking spaces, cycle parking, private and communal amenity areas, and associated public realm and landscaping works]."/>
    <s v="DT"/>
    <d v="2020-05-20T00:00:00"/>
    <d v="2020-10-23T00:00:00"/>
    <m/>
    <s v="Nil"/>
    <m/>
    <s v="BF"/>
    <s v="NB"/>
    <x v="1"/>
    <x v="0"/>
    <n v="0.193"/>
    <d v="2021-03-31T00:00:00"/>
    <x v="0"/>
    <d v="2024-03-31T00:00:00"/>
    <s v="Open Market"/>
    <s v="M"/>
    <s v="9.1"/>
    <m/>
    <m/>
    <m/>
    <m/>
    <m/>
    <n v="0"/>
    <n v="9"/>
    <n v="11"/>
    <n v="0"/>
    <n v="0"/>
    <n v="0"/>
    <n v="0"/>
    <n v="0"/>
    <n v="9"/>
    <n v="11"/>
    <n v="0"/>
    <n v="0"/>
    <n v="0"/>
    <n v="0"/>
    <n v="0"/>
    <n v="0"/>
    <n v="0"/>
    <n v="0"/>
    <n v="0"/>
    <n v="0"/>
    <n v="0"/>
    <n v="0"/>
    <n v="0"/>
    <n v="0"/>
    <n v="0"/>
    <n v="0"/>
    <n v="0"/>
    <n v="0"/>
    <m/>
    <m/>
    <s v="Rest of Borough"/>
    <n v="1"/>
    <n v="20"/>
    <m/>
    <m/>
    <m/>
    <m/>
    <m/>
    <m/>
    <m/>
    <m/>
    <m/>
    <m/>
    <m/>
    <m/>
    <m/>
    <m/>
    <m/>
    <m/>
    <m/>
    <m/>
    <m/>
    <n v="0"/>
    <n v="0"/>
  </r>
  <r>
    <n v="2502"/>
    <x v="0"/>
    <s v="2020/1779"/>
    <s v="Springfield Hospital site, 61 Glenburnie Road"/>
    <s v="Phase 5A - Block E2B"/>
    <n v="527221"/>
    <n v="172443"/>
    <s v="Wandsworth Common"/>
    <d v="2021-03-31T00:00:00"/>
    <m/>
    <n v="0"/>
    <n v="15"/>
    <n v="15"/>
    <n v="227"/>
    <n v="227"/>
    <s v="Y"/>
    <s v="Reserved Matters relating to scale, appearance and landscaping in respect of Phase 5A (Plots B - E) of the Springfield Hospital Masterplan pursuant to condition 1 of outline planning permission ref. 2010/3703 dated 20/06/2012 (for the erection of 25,000 sq.m. of replacement mental health facilities (Class C2/C2a); 839 residential dwellings; 9,200 sq.m. elderly persons' care home; 240 sq.m. of retail floorspace (Class A1); a school (Class D1); 3,500 sq.m. of mixed non-residential floorspace (Class A1, A2, A3, A4, B1, D1 or D2); landscaped public park; a combined cooling, heat and power energy centre, associated landscaping, parking, roads, access, infrastructure and other associated works), as varied under application ref. 2014/6585, dated 04/06/2015, application ref. 2016/4760 dated 24/04/2018, and application 2019/2495, dated 28/02/2020. [Phase 5A comprises the erection of buildings of between 2 and 4 storeys high to provide 227 residential units (Use Class C3), provision of 330 sq.m GIA of flexible non-residential floorspace (Use Class A1/A2/A3/A4/B1/D1/D2), 103 car parking spaces, cycle parking, private and communal amenity areas, and associated public realm and landscaping works]."/>
    <s v="DT"/>
    <d v="2020-05-20T00:00:00"/>
    <d v="2020-10-23T00:00:00"/>
    <m/>
    <s v="Nil"/>
    <m/>
    <s v="BF"/>
    <s v="NB"/>
    <x v="1"/>
    <x v="0"/>
    <n v="0.14499999999999999"/>
    <d v="2021-03-31T00:00:00"/>
    <x v="0"/>
    <d v="2024-03-31T00:00:00"/>
    <s v="Open Market"/>
    <s v="M"/>
    <s v="9.1"/>
    <m/>
    <m/>
    <m/>
    <m/>
    <m/>
    <n v="0"/>
    <n v="6"/>
    <n v="8"/>
    <n v="1"/>
    <n v="0"/>
    <n v="0"/>
    <n v="0"/>
    <n v="0"/>
    <n v="6"/>
    <n v="8"/>
    <n v="1"/>
    <n v="0"/>
    <n v="0"/>
    <n v="0"/>
    <n v="0"/>
    <n v="0"/>
    <n v="0"/>
    <n v="0"/>
    <n v="0"/>
    <n v="0"/>
    <n v="0"/>
    <n v="0"/>
    <n v="0"/>
    <n v="0"/>
    <n v="0"/>
    <n v="0"/>
    <n v="0"/>
    <n v="0"/>
    <m/>
    <m/>
    <s v="Rest of Borough"/>
    <n v="1"/>
    <n v="15"/>
    <m/>
    <m/>
    <m/>
    <m/>
    <m/>
    <m/>
    <m/>
    <m/>
    <m/>
    <m/>
    <m/>
    <m/>
    <m/>
    <m/>
    <m/>
    <m/>
    <m/>
    <m/>
    <m/>
    <n v="0"/>
    <n v="0"/>
  </r>
  <r>
    <n v="2502"/>
    <x v="0"/>
    <s v="2020/1779"/>
    <s v="Springfield Hospital site, 61 Glenburnie Road"/>
    <s v="Phase 5A - Block E2C"/>
    <n v="527221"/>
    <n v="172443"/>
    <s v="Wandsworth Common"/>
    <d v="2021-03-31T00:00:00"/>
    <m/>
    <n v="0"/>
    <n v="15"/>
    <n v="15"/>
    <n v="227"/>
    <n v="227"/>
    <s v="Y"/>
    <s v="Reserved Matters relating to scale, appearance and landscaping in respect of Phase 5A (Plots B - E) of the Springfield Hospital Masterplan pursuant to condition 1 of outline planning permission ref. 2010/3703 dated 20/06/2012 (for the erection of 25,000 sq.m. of replacement mental health facilities (Class C2/C2a); 839 residential dwellings; 9,200 sq.m. elderly persons' care home; 240 sq.m. of retail floorspace (Class A1); a school (Class D1); 3,500 sq.m. of mixed non-residential floorspace (Class A1, A2, A3, A4, B1, D1 or D2); landscaped public park; a combined cooling, heat and power energy centre, associated landscaping, parking, roads, access, infrastructure and other associated works), as varied under application ref. 2014/6585, dated 04/06/2015, application ref. 2016/4760 dated 24/04/2018, and application 2019/2495, dated 28/02/2020. [Phase 5A comprises the erection of buildings of between 2 and 4 storeys high to provide 227 residential units (Use Class C3), provision of 330 sq.m GIA of flexible non-residential floorspace (Use Class A1/A2/A3/A4/B1/D1/D2), 103 car parking spaces, cycle parking, private and communal amenity areas, and associated public realm and landscaping works]."/>
    <s v="DT"/>
    <d v="2020-05-20T00:00:00"/>
    <d v="2020-10-23T00:00:00"/>
    <m/>
    <s v="Nil"/>
    <m/>
    <s v="BF"/>
    <s v="NB"/>
    <x v="1"/>
    <x v="0"/>
    <n v="0.14499999999999999"/>
    <d v="2021-03-31T00:00:00"/>
    <x v="0"/>
    <d v="2024-03-31T00:00:00"/>
    <s v="Open Market"/>
    <s v="M"/>
    <s v="9.1"/>
    <m/>
    <m/>
    <m/>
    <m/>
    <m/>
    <n v="0"/>
    <n v="12"/>
    <n v="3"/>
    <n v="0"/>
    <n v="0"/>
    <n v="0"/>
    <n v="0"/>
    <n v="0"/>
    <n v="12"/>
    <n v="3"/>
    <n v="0"/>
    <n v="0"/>
    <n v="0"/>
    <n v="0"/>
    <n v="0"/>
    <n v="0"/>
    <n v="0"/>
    <n v="0"/>
    <n v="0"/>
    <n v="0"/>
    <n v="0"/>
    <n v="0"/>
    <n v="0"/>
    <n v="0"/>
    <n v="0"/>
    <n v="0"/>
    <n v="0"/>
    <n v="0"/>
    <m/>
    <m/>
    <s v="Rest of Borough"/>
    <n v="1"/>
    <n v="15"/>
    <m/>
    <m/>
    <m/>
    <m/>
    <m/>
    <m/>
    <m/>
    <m/>
    <m/>
    <m/>
    <m/>
    <m/>
    <m/>
    <m/>
    <m/>
    <m/>
    <m/>
    <m/>
    <m/>
    <n v="0"/>
    <n v="0"/>
  </r>
  <r>
    <n v="7039"/>
    <x v="0"/>
    <s v="2020/2195"/>
    <s v="842 Garratt Lane"/>
    <s v=""/>
    <n v="526973"/>
    <n v="171725"/>
    <s v="Tooting Broadway"/>
    <d v="2022-03-31T00:00:00"/>
    <d v="2023-06-30T00:00:00"/>
    <n v="0"/>
    <n v="1"/>
    <n v="1"/>
    <n v="4"/>
    <n v="3"/>
    <m/>
    <s v="Alterations including erection of mansard roof extension to main rear roof and roof extension above two storey back addition, erection of part single/part two storey side and rear extension in connection with creation of 4 x 1-bedroom flats on the upper floors and part change of use of commercial space on ground floor to residential (Class C3 use)."/>
    <s v="PF"/>
    <d v="2020-06-22T00:00:00"/>
    <d v="2020-10-20T00:00:00"/>
    <m/>
    <s v="Nil"/>
    <m/>
    <s v="BF"/>
    <s v="MIX"/>
    <x v="2"/>
    <x v="6"/>
    <n v="3.0000000000000001E-3"/>
    <d v="2022-03-31T00:00:00"/>
    <x v="0"/>
    <d v="2023-06-30T00:00:00"/>
    <s v="Open Market"/>
    <s v="M"/>
    <s v=""/>
    <m/>
    <m/>
    <m/>
    <m/>
    <m/>
    <n v="0"/>
    <n v="1"/>
    <n v="0"/>
    <n v="0"/>
    <n v="0"/>
    <n v="0"/>
    <n v="0"/>
    <n v="0"/>
    <n v="1"/>
    <n v="0"/>
    <n v="0"/>
    <n v="0"/>
    <n v="0"/>
    <n v="0"/>
    <n v="0"/>
    <n v="0"/>
    <n v="0"/>
    <n v="0"/>
    <n v="0"/>
    <n v="0"/>
    <n v="0"/>
    <n v="0"/>
    <n v="0"/>
    <n v="0"/>
    <n v="0"/>
    <n v="0"/>
    <n v="0"/>
    <n v="0"/>
    <m/>
    <m/>
    <s v="Rest of Borough"/>
    <n v="11"/>
    <n v="1"/>
    <m/>
    <m/>
    <m/>
    <m/>
    <m/>
    <m/>
    <m/>
    <m/>
    <m/>
    <m/>
    <m/>
    <m/>
    <m/>
    <m/>
    <m/>
    <m/>
    <m/>
    <m/>
    <m/>
    <n v="0"/>
    <n v="0"/>
  </r>
  <r>
    <n v="7039"/>
    <x v="0"/>
    <s v="2020/2195"/>
    <s v="842 Garratt Lane"/>
    <s v=""/>
    <n v="526973"/>
    <n v="171725"/>
    <s v="Tooting Broadway"/>
    <d v="2022-03-31T00:00:00"/>
    <d v="2023-06-30T00:00:00"/>
    <n v="0"/>
    <n v="1"/>
    <n v="1"/>
    <n v="4"/>
    <n v="3"/>
    <m/>
    <s v="Alterations including erection of mansard roof extension to main rear roof and roof extension above two storey back addition, erection of part single/part two storey side and rear extension in connection with creation of 4 x 1-bedroom flats on the upper floors and part change of use of commercial space on ground floor to residential (Class C3 use)."/>
    <s v="PF"/>
    <d v="2020-06-22T00:00:00"/>
    <d v="2020-10-20T00:00:00"/>
    <m/>
    <s v="Nil"/>
    <m/>
    <s v="BF"/>
    <s v="MIX"/>
    <x v="2"/>
    <x v="7"/>
    <n v="2E-3"/>
    <d v="2022-03-31T00:00:00"/>
    <x v="0"/>
    <d v="2023-06-30T00:00:00"/>
    <s v="Open Market"/>
    <s v="M"/>
    <s v=""/>
    <m/>
    <m/>
    <m/>
    <m/>
    <m/>
    <n v="0"/>
    <n v="1"/>
    <n v="0"/>
    <n v="0"/>
    <n v="0"/>
    <n v="0"/>
    <n v="0"/>
    <n v="0"/>
    <n v="1"/>
    <n v="0"/>
    <n v="0"/>
    <n v="0"/>
    <n v="0"/>
    <n v="0"/>
    <n v="0"/>
    <n v="0"/>
    <n v="0"/>
    <n v="0"/>
    <n v="0"/>
    <n v="0"/>
    <n v="0"/>
    <n v="0"/>
    <n v="0"/>
    <n v="0"/>
    <n v="0"/>
    <n v="0"/>
    <n v="0"/>
    <n v="0"/>
    <m/>
    <m/>
    <s v="Rest of Borough"/>
    <n v="11"/>
    <n v="1"/>
    <m/>
    <m/>
    <m/>
    <m/>
    <m/>
    <m/>
    <m/>
    <m/>
    <m/>
    <m/>
    <m/>
    <m/>
    <m/>
    <m/>
    <m/>
    <m/>
    <m/>
    <m/>
    <m/>
    <n v="0"/>
    <n v="0"/>
  </r>
  <r>
    <n v="7039"/>
    <x v="0"/>
    <s v="2020/2195"/>
    <s v="842 Garratt Lane"/>
    <s v=""/>
    <n v="526973"/>
    <n v="171725"/>
    <s v="Tooting Broadway"/>
    <d v="2022-03-31T00:00:00"/>
    <d v="2023-06-30T00:00:00"/>
    <n v="1"/>
    <n v="2"/>
    <n v="1"/>
    <n v="4"/>
    <n v="3"/>
    <m/>
    <s v="Alterations including erection of mansard roof extension to main rear roof and roof extension above two storey back addition, erection of part single/part two storey side and rear extension in connection with creation of 4 x 1-bedroom flats on the upper floors and part change of use of commercial space on ground floor to residential (Class C3 use)."/>
    <s v="PF"/>
    <d v="2020-06-22T00:00:00"/>
    <d v="2020-10-20T00:00:00"/>
    <m/>
    <s v="Nil"/>
    <m/>
    <s v="BF"/>
    <s v="MIX"/>
    <x v="2"/>
    <x v="5"/>
    <n v="4.0000000000000001E-3"/>
    <d v="2022-03-31T00:00:00"/>
    <x v="0"/>
    <d v="2023-06-30T00:00:00"/>
    <s v="Open Market"/>
    <s v="M"/>
    <s v=""/>
    <m/>
    <m/>
    <m/>
    <m/>
    <m/>
    <n v="0"/>
    <n v="2"/>
    <n v="-1"/>
    <n v="0"/>
    <n v="0"/>
    <n v="0"/>
    <n v="0"/>
    <n v="0"/>
    <n v="2"/>
    <n v="-1"/>
    <n v="0"/>
    <n v="0"/>
    <n v="0"/>
    <n v="0"/>
    <n v="0"/>
    <n v="0"/>
    <n v="0"/>
    <n v="0"/>
    <n v="0"/>
    <n v="0"/>
    <n v="0"/>
    <n v="0"/>
    <n v="0"/>
    <n v="0"/>
    <n v="0"/>
    <n v="0"/>
    <n v="0"/>
    <n v="0"/>
    <m/>
    <m/>
    <s v="Rest of Borough"/>
    <n v="11"/>
    <n v="1"/>
    <m/>
    <m/>
    <m/>
    <m/>
    <m/>
    <m/>
    <m/>
    <m/>
    <m/>
    <m/>
    <m/>
    <m/>
    <m/>
    <m/>
    <m/>
    <m/>
    <m/>
    <m/>
    <m/>
    <n v="0"/>
    <n v="0"/>
  </r>
  <r>
    <n v="5381"/>
    <x v="0"/>
    <s v="2020/2369"/>
    <s v="Battersea Bar/The Chopper, 58-70 York Road"/>
    <s v="ISL"/>
    <n v="526820"/>
    <n v="176155"/>
    <s v="St Mary's"/>
    <d v="2018-11-26T00:00:00"/>
    <m/>
    <n v="0"/>
    <n v="11"/>
    <n v="11"/>
    <n v="93"/>
    <n v="93"/>
    <s v="Y"/>
    <s v="Variation of conditions 2 (in accordance with approved drawings), 36 (number of storeys), 37 (office floorspace), 38 (residential units) and 39 (cycle parking spaces) pursuant to planning permission dated 02/05/2018 ref 2017/5818 (Demolition of existing building and erection of a mixed-use development plus basement, providing office (Class B1a) floorspace at ground and basement levels with residential units (Use Class C3) comprising market and affordable housing on upper floor levels with access to landscaped amenity deck; with car and cycle parking spaces located at basement level; public realm improvements to York Road, Yelverton Road and Badric Court; and associated infrastructure works) to allow creation of additional floor to provide 11 residential units (new total 93), increased depth to basement and elevational treatment alterations at ground and first floor including additional curtain walling at south west corner, reduce office space, and increase amount of cycle parking."/>
    <s v="S73"/>
    <d v="2020-07-22T00:00:00"/>
    <d v="2021-03-10T00:00:00"/>
    <m/>
    <s v="Nil"/>
    <m/>
    <s v="BF"/>
    <s v="NB"/>
    <x v="1"/>
    <x v="0"/>
    <n v="0.01"/>
    <d v="2018-11-26T00:00:00"/>
    <x v="0"/>
    <d v="2023-04-01T00:00:00"/>
    <s v="Intermediate"/>
    <s v="ISL"/>
    <s v="10.14"/>
    <m/>
    <m/>
    <m/>
    <m/>
    <m/>
    <n v="0"/>
    <n v="5"/>
    <n v="6"/>
    <n v="0"/>
    <n v="0"/>
    <n v="0"/>
    <n v="0"/>
    <n v="0"/>
    <n v="5"/>
    <n v="6"/>
    <n v="0"/>
    <n v="0"/>
    <n v="0"/>
    <n v="0"/>
    <n v="0"/>
    <n v="0"/>
    <n v="0"/>
    <n v="0"/>
    <n v="0"/>
    <n v="0"/>
    <n v="0"/>
    <n v="0"/>
    <n v="0"/>
    <n v="0"/>
    <n v="0"/>
    <n v="0"/>
    <n v="0"/>
    <n v="0"/>
    <m/>
    <m/>
    <s v="Wandsworth riverside"/>
    <n v="1"/>
    <n v="11"/>
    <m/>
    <m/>
    <m/>
    <m/>
    <m/>
    <m/>
    <m/>
    <m/>
    <m/>
    <m/>
    <m/>
    <m/>
    <m/>
    <m/>
    <m/>
    <m/>
    <m/>
    <m/>
    <m/>
    <n v="0"/>
    <n v="0"/>
  </r>
  <r>
    <n v="6805"/>
    <x v="0"/>
    <s v="2020/2542"/>
    <s v="231 Putney Bridge Road"/>
    <s v=""/>
    <n v="524490"/>
    <n v="175266"/>
    <s v="Thamesfield"/>
    <d v="2023-06-22T00:00:00"/>
    <d v="2024-02-21T00:00:00"/>
    <n v="0"/>
    <n v="6"/>
    <n v="6"/>
    <n v="8"/>
    <n v="8"/>
    <m/>
    <s v="Alterations including erection of front and rear mansard extensions to main roof and erection of extension at second and third floor level to side elevation in connection with conversion of 6 x 1-bedroom and 2 x 2-bedroom flats."/>
    <s v="PF"/>
    <d v="2020-08-05T00:00:00"/>
    <d v="2020-11-27T00:00:00"/>
    <m/>
    <s v="Nil"/>
    <m/>
    <s v="BF"/>
    <s v="MIX"/>
    <x v="2"/>
    <x v="8"/>
    <n v="1.4E-2"/>
    <d v="2023-06-22T00:00:00"/>
    <x v="1"/>
    <d v="2024-02-21T00:00:00"/>
    <s v="Open Market"/>
    <s v="M"/>
    <s v=""/>
    <m/>
    <m/>
    <m/>
    <m/>
    <m/>
    <n v="0"/>
    <n v="5"/>
    <n v="1"/>
    <n v="0"/>
    <n v="0"/>
    <n v="0"/>
    <n v="0"/>
    <n v="0"/>
    <n v="5"/>
    <n v="1"/>
    <n v="0"/>
    <n v="0"/>
    <n v="0"/>
    <n v="0"/>
    <n v="0"/>
    <n v="0"/>
    <n v="0"/>
    <n v="0"/>
    <n v="0"/>
    <n v="0"/>
    <n v="0"/>
    <n v="0"/>
    <n v="0"/>
    <n v="0"/>
    <n v="0"/>
    <n v="0"/>
    <n v="0"/>
    <n v="0"/>
    <m/>
    <m/>
    <s v="Rest of Borough"/>
    <n v="11"/>
    <n v="6"/>
    <m/>
    <m/>
    <m/>
    <m/>
    <m/>
    <m/>
    <m/>
    <m/>
    <m/>
    <m/>
    <m/>
    <m/>
    <m/>
    <m/>
    <m/>
    <m/>
    <m/>
    <m/>
    <m/>
    <n v="0"/>
    <n v="0"/>
  </r>
  <r>
    <n v="6805"/>
    <x v="0"/>
    <s v="2020/2542"/>
    <s v="231 Putney Bridge Road"/>
    <s v=""/>
    <n v="524490"/>
    <n v="175266"/>
    <s v="Thamesfield"/>
    <d v="2023-06-22T00:00:00"/>
    <d v="2024-02-21T00:00:00"/>
    <n v="0"/>
    <n v="2"/>
    <n v="2"/>
    <n v="8"/>
    <n v="8"/>
    <m/>
    <s v="Alterations including erection of front and rear mansard extensions to main roof and erection of extension at second and third floor level to side elevation in connection with conversion of 6 x 1-bedroom and 2 x 2-bedroom flats."/>
    <s v="PF"/>
    <d v="2020-08-05T00:00:00"/>
    <d v="2020-11-27T00:00:00"/>
    <m/>
    <s v="Nil"/>
    <m/>
    <s v="BF"/>
    <s v="MIX"/>
    <x v="2"/>
    <x v="7"/>
    <n v="5.0000000000000001E-3"/>
    <d v="2023-06-22T00:00:00"/>
    <x v="1"/>
    <d v="2024-02-21T00:00:00"/>
    <s v="Open Market"/>
    <s v="M"/>
    <s v=""/>
    <m/>
    <m/>
    <m/>
    <m/>
    <m/>
    <n v="0"/>
    <n v="1"/>
    <n v="1"/>
    <n v="0"/>
    <n v="0"/>
    <n v="0"/>
    <n v="0"/>
    <n v="0"/>
    <n v="1"/>
    <n v="1"/>
    <n v="0"/>
    <n v="0"/>
    <n v="0"/>
    <n v="0"/>
    <n v="0"/>
    <n v="0"/>
    <n v="0"/>
    <n v="0"/>
    <n v="0"/>
    <n v="0"/>
    <n v="0"/>
    <n v="0"/>
    <n v="0"/>
    <n v="0"/>
    <n v="0"/>
    <n v="0"/>
    <n v="0"/>
    <n v="0"/>
    <m/>
    <m/>
    <s v="Rest of Borough"/>
    <n v="11"/>
    <n v="2"/>
    <m/>
    <m/>
    <m/>
    <m/>
    <m/>
    <m/>
    <m/>
    <m/>
    <m/>
    <m/>
    <m/>
    <m/>
    <m/>
    <m/>
    <m/>
    <m/>
    <m/>
    <m/>
    <m/>
    <n v="0"/>
    <n v="0"/>
  </r>
  <r>
    <n v="4999"/>
    <x v="0"/>
    <s v="2020/3284"/>
    <s v="44 Bolingbroke Grove"/>
    <s v=""/>
    <n v="527475"/>
    <n v="174306"/>
    <s v="Northcote"/>
    <d v="2022-07-01T00:00:00"/>
    <d v="2023-10-02T00:00:00"/>
    <n v="2"/>
    <n v="2"/>
    <n v="0"/>
    <n v="2"/>
    <n v="0"/>
    <m/>
    <s v="Alterations including erection of single-storey rear extension and excavation to enlarge basement with front and rear lightwells in connection with extensions and reconfiguration of the existing 1-bedroom flat (Flat A) and Studio (Flat B) creating 1 x 3-bedroom flat and 1 x 2-bedroom flat."/>
    <s v="PF"/>
    <d v="2020-09-18T00:00:00"/>
    <d v="2020-11-13T00:00:00"/>
    <m/>
    <s v="Nil"/>
    <m/>
    <s v="BF"/>
    <s v="MIX"/>
    <x v="2"/>
    <x v="7"/>
    <n v="1.2E-2"/>
    <d v="2022-07-01T00:00:00"/>
    <x v="0"/>
    <d v="2023-10-02T00:00:00"/>
    <s v="Open Market"/>
    <s v="M"/>
    <s v=""/>
    <m/>
    <m/>
    <m/>
    <m/>
    <m/>
    <n v="-1"/>
    <n v="-1"/>
    <n v="1"/>
    <n v="1"/>
    <n v="0"/>
    <n v="0"/>
    <n v="0"/>
    <n v="-1"/>
    <n v="-1"/>
    <n v="1"/>
    <n v="1"/>
    <n v="0"/>
    <n v="0"/>
    <n v="0"/>
    <n v="0"/>
    <n v="0"/>
    <n v="0"/>
    <n v="0"/>
    <n v="0"/>
    <n v="0"/>
    <n v="0"/>
    <n v="0"/>
    <n v="0"/>
    <n v="0"/>
    <n v="0"/>
    <n v="0"/>
    <n v="0"/>
    <n v="0"/>
    <m/>
    <m/>
    <s v="Rest of Borough"/>
    <n v="11"/>
    <n v="0"/>
    <m/>
    <m/>
    <m/>
    <m/>
    <m/>
    <m/>
    <m/>
    <m/>
    <m/>
    <m/>
    <m/>
    <m/>
    <m/>
    <m/>
    <m/>
    <m/>
    <m/>
    <m/>
    <m/>
    <n v="0"/>
    <n v="0"/>
  </r>
  <r>
    <n v="6472"/>
    <x v="0"/>
    <s v="2020/3342"/>
    <s v="Land rear of 163-165, 163-165 Mitcham Road"/>
    <s v=""/>
    <n v="527866"/>
    <n v="171090"/>
    <s v="Furzedown"/>
    <d v="2023-03-01T00:00:00"/>
    <d v="2024-03-26T00:00:00"/>
    <n v="0"/>
    <n v="3"/>
    <n v="3"/>
    <n v="3"/>
    <n v="3"/>
    <m/>
    <s v="Demolition of existing single-storey warehouse building (Class B8) and erection of  3-storey building to provide 3 x 1-bedroom flats."/>
    <s v="RP"/>
    <d v="2020-09-08T00:00:00"/>
    <d v="2020-11-03T00:00:00"/>
    <m/>
    <s v="APG"/>
    <d v="2021-03-29T00:00:00"/>
    <s v="BF"/>
    <s v="NB"/>
    <x v="2"/>
    <x v="3"/>
    <n v="1.2E-2"/>
    <d v="2023-03-01T00:00:00"/>
    <x v="0"/>
    <d v="2024-03-26T00:00:00"/>
    <s v="Open Market"/>
    <s v="M"/>
    <s v=""/>
    <m/>
    <m/>
    <m/>
    <m/>
    <m/>
    <n v="0"/>
    <n v="3"/>
    <n v="0"/>
    <n v="0"/>
    <n v="0"/>
    <n v="0"/>
    <n v="0"/>
    <n v="0"/>
    <n v="3"/>
    <n v="0"/>
    <n v="0"/>
    <n v="0"/>
    <n v="0"/>
    <n v="0"/>
    <n v="0"/>
    <n v="0"/>
    <n v="0"/>
    <n v="0"/>
    <n v="0"/>
    <n v="0"/>
    <n v="0"/>
    <n v="0"/>
    <n v="0"/>
    <n v="0"/>
    <n v="0"/>
    <n v="0"/>
    <n v="0"/>
    <n v="0"/>
    <s v="Tooting"/>
    <m/>
    <s v="Tooting"/>
    <n v="1"/>
    <n v="3"/>
    <m/>
    <m/>
    <m/>
    <m/>
    <m/>
    <m/>
    <m/>
    <m/>
    <m/>
    <m/>
    <m/>
    <m/>
    <m/>
    <m/>
    <m/>
    <m/>
    <m/>
    <m/>
    <m/>
    <n v="0"/>
    <n v="0"/>
  </r>
  <r>
    <n v="7338"/>
    <x v="0"/>
    <s v="2020/3753"/>
    <s v="51-53 Northcote Road"/>
    <s v=""/>
    <n v="527505"/>
    <n v="174973"/>
    <s v="Lavender"/>
    <d v="2023-04-01T00:00:00"/>
    <d v="2024-03-31T00:00:00"/>
    <n v="0"/>
    <n v="1"/>
    <n v="1"/>
    <n v="1"/>
    <n v="1"/>
    <m/>
    <s v="Alterations to rear block facing Shelgate Road including erection of extension to form additional floor of accommodation in connection with creation of a three-storey 2-bed dwelling house; associated demolition of single storey ground floor extension currently in Use Class E(b) and change of part of ground floor from Class E(b) to C3(a)."/>
    <s v="PF"/>
    <d v="2020-10-20T00:00:00"/>
    <d v="2020-12-15T00:00:00"/>
    <m/>
    <s v="Nil"/>
    <m/>
    <s v="BF"/>
    <s v="MIX"/>
    <x v="2"/>
    <x v="4"/>
    <n v="0.01"/>
    <d v="2023-04-01T00:00:00"/>
    <x v="1"/>
    <d v="2024-03-31T00:00:00"/>
    <s v="Open Market"/>
    <s v="M"/>
    <s v=""/>
    <m/>
    <m/>
    <m/>
    <m/>
    <m/>
    <n v="0"/>
    <n v="0"/>
    <n v="1"/>
    <n v="0"/>
    <n v="0"/>
    <n v="0"/>
    <n v="0"/>
    <n v="0"/>
    <n v="0"/>
    <n v="0"/>
    <n v="0"/>
    <n v="0"/>
    <n v="0"/>
    <n v="0"/>
    <n v="0"/>
    <n v="0"/>
    <n v="1"/>
    <n v="0"/>
    <n v="0"/>
    <n v="0"/>
    <n v="0"/>
    <n v="0"/>
    <n v="0"/>
    <n v="0"/>
    <n v="0"/>
    <n v="0"/>
    <n v="0"/>
    <n v="0"/>
    <s v="Clapham Junction"/>
    <m/>
    <s v="Clapham Junction and York Road / Winstanley Regeneration Area"/>
    <n v="11"/>
    <n v="1"/>
    <m/>
    <m/>
    <m/>
    <m/>
    <m/>
    <m/>
    <m/>
    <m/>
    <m/>
    <m/>
    <m/>
    <m/>
    <m/>
    <m/>
    <m/>
    <m/>
    <m/>
    <m/>
    <m/>
    <n v="0"/>
    <n v="0"/>
  </r>
  <r>
    <n v="7093"/>
    <x v="0"/>
    <s v="2020/3861"/>
    <s v="58 Selkirk Road"/>
    <s v=""/>
    <n v="527391"/>
    <n v="171716"/>
    <s v="Tooting Bec"/>
    <d v="2022-07-11T00:00:00"/>
    <d v="2024-03-08T00:00:00"/>
    <n v="1"/>
    <n v="5"/>
    <n v="4"/>
    <n v="5"/>
    <n v="4"/>
    <m/>
    <s v="Demolition of existing building and erection of two-storey with roof addition and basement building to provide accommodation consisting of 2 x 3-bedroom self-contained flats with media rooms, 3 x 1-bedroom one person self-contained flats with associated refuse and cycle storage."/>
    <s v="PF"/>
    <d v="2020-10-13T00:00:00"/>
    <d v="2021-03-01T00:00:00"/>
    <m/>
    <s v="Nil"/>
    <m/>
    <s v="BF"/>
    <s v="NB"/>
    <x v="2"/>
    <x v="3"/>
    <n v="0.02"/>
    <d v="2022-07-11T00:00:00"/>
    <x v="0"/>
    <d v="2024-03-08T00:00:00"/>
    <s v="Open Market"/>
    <s v="M"/>
    <s v=""/>
    <m/>
    <m/>
    <m/>
    <m/>
    <m/>
    <n v="0"/>
    <n v="3"/>
    <n v="0"/>
    <n v="2"/>
    <n v="-1"/>
    <n v="0"/>
    <n v="0"/>
    <n v="0"/>
    <n v="3"/>
    <n v="0"/>
    <n v="2"/>
    <n v="0"/>
    <n v="0"/>
    <n v="0"/>
    <n v="0"/>
    <n v="0"/>
    <n v="0"/>
    <n v="0"/>
    <n v="-1"/>
    <n v="0"/>
    <n v="0"/>
    <n v="0"/>
    <n v="0"/>
    <n v="0"/>
    <n v="0"/>
    <n v="0"/>
    <n v="0"/>
    <n v="0"/>
    <m/>
    <m/>
    <s v="Rest of Borough"/>
    <n v="1"/>
    <n v="4"/>
    <m/>
    <m/>
    <m/>
    <m/>
    <m/>
    <m/>
    <m/>
    <m/>
    <m/>
    <m/>
    <m/>
    <m/>
    <m/>
    <m/>
    <m/>
    <m/>
    <m/>
    <m/>
    <m/>
    <n v="0"/>
    <n v="0"/>
  </r>
  <r>
    <n v="3514"/>
    <x v="0"/>
    <s v="2020/3867"/>
    <s v="Battersea Gasholder, 101 Prince of Wales Drive"/>
    <s v="Block A"/>
    <n v="528809"/>
    <n v="177181"/>
    <s v="Nine Elms"/>
    <d v="2016-10-19T00:00:00"/>
    <m/>
    <n v="0"/>
    <n v="46"/>
    <n v="46"/>
    <n v="233"/>
    <n v="233"/>
    <s v="Y"/>
    <s v="Application under Section 73 of the Town and Country Planning Act (as amended) for amendments to planning permission 2015/0591 dated 18/09/15, as amended by 2015/5347 dated 05/02/16, 2016/1517 dated 24/10/2016, 2016/6417 dated 03/05/17 and 2020/0501 dated 22/10/2020, for the redevelopment of the site to provide a mixed-use development comprising residential units, including affordable housing; flexible commercial floorspace including retail, financial and professional services, cafe/restaurant, offices, education, community and leisure (A1/A2/A3/B1/D1/D2) uses within buildings ranging from 2 to 26 storeys high; together with landscaped private amenity space and public realm, including publicly accessible routes through the site; an energy centre; basement car parking; basement and ground level cycle parking; refuse storage and servicing; vehicular access and demolition of remaining single-storey structures along the western boundary of the site, excluding the telecommunications equipment."/>
    <s v="S73"/>
    <d v="2020-11-12T00:00:00"/>
    <d v="2021-04-15T00:00:00"/>
    <m/>
    <s v="Nil"/>
    <m/>
    <s v="BF"/>
    <s v="NB"/>
    <x v="1"/>
    <x v="0"/>
    <n v="7.9000000000000001E-2"/>
    <d v="2022-03-31T00:00:00"/>
    <x v="0"/>
    <d v="2024-03-31T00:00:00"/>
    <s v="Open Market"/>
    <s v="M"/>
    <s v="2.1.4"/>
    <m/>
    <n v="46"/>
    <m/>
    <n v="4"/>
    <m/>
    <n v="0"/>
    <n v="0"/>
    <n v="42"/>
    <n v="4"/>
    <n v="0"/>
    <n v="0"/>
    <n v="0"/>
    <n v="0"/>
    <n v="0"/>
    <n v="42"/>
    <n v="4"/>
    <n v="0"/>
    <n v="0"/>
    <n v="0"/>
    <n v="0"/>
    <n v="0"/>
    <n v="0"/>
    <n v="0"/>
    <n v="0"/>
    <n v="0"/>
    <n v="0"/>
    <n v="0"/>
    <n v="0"/>
    <n v="0"/>
    <n v="0"/>
    <n v="0"/>
    <n v="0"/>
    <n v="0"/>
    <m/>
    <s v="Y"/>
    <s v="Nine Elms"/>
    <n v="1"/>
    <n v="46"/>
    <m/>
    <m/>
    <m/>
    <m/>
    <m/>
    <m/>
    <m/>
    <m/>
    <m/>
    <m/>
    <m/>
    <m/>
    <m/>
    <m/>
    <m/>
    <m/>
    <m/>
    <m/>
    <m/>
    <n v="0"/>
    <n v="0"/>
  </r>
  <r>
    <n v="3514"/>
    <x v="0"/>
    <s v="2020/3867"/>
    <s v="Battersea Gasholder, 101 Prince of Wales Drive"/>
    <s v="Block B"/>
    <n v="528809"/>
    <n v="177181"/>
    <s v="Nine Elms"/>
    <d v="2016-10-19T00:00:00"/>
    <m/>
    <n v="0"/>
    <n v="95"/>
    <n v="95"/>
    <n v="233"/>
    <n v="233"/>
    <s v="Y"/>
    <s v="Application under Section 73 of the Town and Country Planning Act (as amended) for amendments to planning permission 2015/0591 dated 18/09/15, as amended by 2015/5347 dated 05/02/16, 2016/1517 dated 24/10/2016, 2016/6417 dated 03/05/17 and 2020/0501 dated 22/10/2020, for the redevelopment of the site to provide a mixed-use development comprising residential units, including affordable housing; flexible commercial floorspace including retail, financial and professional services, cafe/restaurant, offices, education, community and leisure (A1/A2/A3/B1/D1/D2) uses within buildings ranging from 2 to 26 storeys high; together with landscaped private amenity space and public realm, including publicly accessible routes through the site; an energy centre; basement car parking; basement and ground level cycle parking; refuse storage and servicing; vehicular access and demolition of remaining single-storey structures along the western boundary of the site, excluding the telecommunications equipment."/>
    <s v="S73"/>
    <d v="2020-11-12T00:00:00"/>
    <d v="2021-04-15T00:00:00"/>
    <m/>
    <s v="Nil"/>
    <m/>
    <s v="BF"/>
    <s v="NB"/>
    <x v="1"/>
    <x v="0"/>
    <n v="0.20399999999999999"/>
    <d v="2021-04-01T00:00:00"/>
    <x v="0"/>
    <d v="2024-03-31T00:00:00"/>
    <s v="Open Market"/>
    <s v="M"/>
    <s v="2.1.4"/>
    <m/>
    <n v="95"/>
    <m/>
    <n v="10"/>
    <m/>
    <n v="0"/>
    <n v="17"/>
    <n v="53"/>
    <n v="21"/>
    <n v="4"/>
    <n v="0"/>
    <n v="0"/>
    <n v="0"/>
    <n v="17"/>
    <n v="53"/>
    <n v="21"/>
    <n v="4"/>
    <n v="0"/>
    <n v="0"/>
    <n v="0"/>
    <n v="0"/>
    <n v="0"/>
    <n v="0"/>
    <n v="0"/>
    <n v="0"/>
    <n v="0"/>
    <n v="0"/>
    <n v="0"/>
    <n v="0"/>
    <n v="0"/>
    <n v="0"/>
    <n v="0"/>
    <n v="0"/>
    <m/>
    <s v="Y"/>
    <s v="Nine Elms"/>
    <n v="1"/>
    <n v="95"/>
    <m/>
    <m/>
    <m/>
    <m/>
    <m/>
    <m/>
    <m/>
    <m/>
    <m/>
    <m/>
    <m/>
    <m/>
    <m/>
    <m/>
    <m/>
    <m/>
    <m/>
    <m/>
    <m/>
    <n v="0"/>
    <n v="0"/>
  </r>
  <r>
    <n v="3514"/>
    <x v="0"/>
    <s v="2020/3867"/>
    <s v="Battersea Gasholder, 101 Prince of Wales Drive"/>
    <s v="Block F"/>
    <n v="528809"/>
    <n v="177181"/>
    <s v="Nine Elms"/>
    <d v="2016-10-19T00:00:00"/>
    <m/>
    <n v="0"/>
    <n v="92"/>
    <n v="92"/>
    <n v="233"/>
    <n v="233"/>
    <s v="Y"/>
    <s v="Application under Section 73 of the Town and Country Planning Act (as amended) for amendments to planning permission 2015/0591 dated 18/09/15, as amended by 2015/5347 dated 05/02/16, 2016/1517 dated 24/10/2016, 2016/6417 dated 03/05/17 and 2020/0501 dated 22/10/2020, for the redevelopment of the site to provide a mixed-use development comprising residential units, including affordable housing; flexible commercial floorspace including retail, financial and professional services, cafe/restaurant, offices, education, community and leisure (A1/A2/A3/B1/D1/D2) uses within buildings ranging from 2 to 26 storeys high; together with landscaped private amenity space and public realm, including publicly accessible routes through the site; an energy centre; basement car parking; basement and ground level cycle parking; refuse storage and servicing; vehicular access and demolition of remaining single-storey structures along the western boundary of the site, excluding the telecommunications equipment."/>
    <s v="S73"/>
    <d v="2020-11-12T00:00:00"/>
    <d v="2021-04-15T00:00:00"/>
    <m/>
    <s v="Nil"/>
    <m/>
    <s v="BF"/>
    <s v="NB"/>
    <x v="1"/>
    <x v="0"/>
    <n v="0.16900000000000001"/>
    <d v="2022-03-31T00:00:00"/>
    <x v="0"/>
    <d v="2024-03-31T00:00:00"/>
    <s v="Open Market"/>
    <s v="M"/>
    <s v="2.1.4"/>
    <m/>
    <n v="92"/>
    <m/>
    <n v="10"/>
    <m/>
    <n v="0"/>
    <n v="28"/>
    <n v="56"/>
    <n v="4"/>
    <n v="4"/>
    <n v="0"/>
    <n v="0"/>
    <n v="0"/>
    <n v="28"/>
    <n v="56"/>
    <n v="4"/>
    <n v="4"/>
    <n v="0"/>
    <n v="0"/>
    <n v="0"/>
    <n v="0"/>
    <n v="0"/>
    <n v="0"/>
    <n v="0"/>
    <n v="0"/>
    <n v="0"/>
    <n v="0"/>
    <n v="0"/>
    <n v="0"/>
    <n v="0"/>
    <n v="0"/>
    <n v="0"/>
    <n v="0"/>
    <m/>
    <s v="Y"/>
    <s v="Nine Elms"/>
    <n v="1"/>
    <n v="92"/>
    <m/>
    <m/>
    <m/>
    <m/>
    <m/>
    <m/>
    <m/>
    <m/>
    <m/>
    <m/>
    <m/>
    <m/>
    <m/>
    <m/>
    <m/>
    <m/>
    <m/>
    <m/>
    <m/>
    <n v="0"/>
    <n v="0"/>
  </r>
  <r>
    <n v="7488"/>
    <x v="0"/>
    <s v="2020/4252"/>
    <s v="121 Earlsfield Road"/>
    <s v=""/>
    <n v="526356"/>
    <n v="173676"/>
    <s v="Wandle"/>
    <d v="2021-04-20T00:00:00"/>
    <d v="2024-02-23T00:00:00"/>
    <n v="0"/>
    <n v="2"/>
    <n v="2"/>
    <n v="4"/>
    <n v="3"/>
    <m/>
    <s v="Erection of rear mansard, raising the ridge of the main roof by 300mm, erection of pod roof extension with roof terrace, erection of single storey ground floor rear side extension, excavation of front and rear lightwells, alterations to front boundary treatment, conversion of property into 4 self-contained residential units 2 x 3 bedroom, 1 x 2 bedroom and 1 x 1 bedroom units with associated refuse and cycle storage"/>
    <s v="PF"/>
    <d v="2020-11-09T00:00:00"/>
    <d v="2021-01-05T00:00:00"/>
    <m/>
    <s v="Nil"/>
    <m/>
    <s v="BF"/>
    <s v="CON"/>
    <x v="2"/>
    <x v="7"/>
    <n v="1.6E-2"/>
    <d v="2021-04-20T00:00:00"/>
    <x v="0"/>
    <d v="2024-02-23T00:00:00"/>
    <s v="Open Market"/>
    <s v="M"/>
    <s v=""/>
    <m/>
    <m/>
    <m/>
    <m/>
    <m/>
    <n v="0"/>
    <n v="1"/>
    <n v="0"/>
    <n v="1"/>
    <n v="0"/>
    <n v="0"/>
    <n v="0"/>
    <n v="0"/>
    <n v="1"/>
    <n v="0"/>
    <n v="1"/>
    <n v="0"/>
    <n v="0"/>
    <n v="0"/>
    <n v="0"/>
    <n v="0"/>
    <n v="0"/>
    <n v="0"/>
    <n v="0"/>
    <n v="0"/>
    <n v="0"/>
    <n v="0"/>
    <n v="0"/>
    <n v="0"/>
    <n v="0"/>
    <n v="0"/>
    <n v="0"/>
    <n v="0"/>
    <m/>
    <m/>
    <s v="Rest of Borough"/>
    <n v="11"/>
    <n v="2"/>
    <m/>
    <m/>
    <m/>
    <m/>
    <m/>
    <m/>
    <m/>
    <m/>
    <m/>
    <m/>
    <m/>
    <m/>
    <m/>
    <m/>
    <m/>
    <m/>
    <m/>
    <m/>
    <m/>
    <n v="0"/>
    <n v="0"/>
  </r>
  <r>
    <n v="7488"/>
    <x v="0"/>
    <s v="2020/4252"/>
    <s v="121 Earlsfield Road"/>
    <s v=""/>
    <n v="526356"/>
    <n v="173676"/>
    <s v="Wandle"/>
    <d v="2021-04-20T00:00:00"/>
    <d v="2024-02-23T00:00:00"/>
    <n v="1"/>
    <n v="2"/>
    <n v="1"/>
    <n v="4"/>
    <n v="3"/>
    <m/>
    <s v="Erection of rear mansard, raising the ridge of the main roof by 300mm, erection of pod roof extension with roof terrace, erection of single storey ground floor rear side extension, excavation of front and rear lightwells, alterations to front boundary treatment, conversion of property into 4 self-contained residential units 2 x 3 bedroom, 1 x 2 bedroom and 1 x 1 bedroom units with associated refuse and cycle storage"/>
    <s v="PF"/>
    <d v="2020-11-09T00:00:00"/>
    <d v="2021-01-05T00:00:00"/>
    <m/>
    <s v="Nil"/>
    <m/>
    <s v="BF"/>
    <s v="CON"/>
    <x v="2"/>
    <x v="10"/>
    <n v="1.6E-2"/>
    <d v="2021-04-20T00:00:00"/>
    <x v="0"/>
    <d v="2024-02-23T00:00:00"/>
    <s v="Open Market"/>
    <s v="M"/>
    <s v=""/>
    <m/>
    <m/>
    <m/>
    <m/>
    <m/>
    <n v="0"/>
    <n v="0"/>
    <n v="1"/>
    <n v="1"/>
    <n v="0"/>
    <n v="-1"/>
    <n v="0"/>
    <n v="0"/>
    <n v="0"/>
    <n v="1"/>
    <n v="1"/>
    <n v="0"/>
    <n v="0"/>
    <n v="0"/>
    <n v="0"/>
    <n v="0"/>
    <n v="0"/>
    <n v="0"/>
    <n v="0"/>
    <n v="-1"/>
    <n v="0"/>
    <n v="0"/>
    <n v="0"/>
    <n v="0"/>
    <n v="0"/>
    <n v="0"/>
    <n v="0"/>
    <n v="0"/>
    <m/>
    <m/>
    <s v="Rest of Borough"/>
    <n v="11"/>
    <n v="1"/>
    <m/>
    <m/>
    <m/>
    <m/>
    <m/>
    <m/>
    <m/>
    <m/>
    <m/>
    <m/>
    <m/>
    <m/>
    <m/>
    <m/>
    <m/>
    <m/>
    <m/>
    <m/>
    <m/>
    <n v="0"/>
    <n v="0"/>
  </r>
  <r>
    <n v="6305"/>
    <x v="0"/>
    <s v="2020/4436"/>
    <s v="29 Roehampton Lane"/>
    <s v=""/>
    <n v="522122"/>
    <n v="175335"/>
    <s v="Roehampton"/>
    <d v="2022-06-01T00:00:00"/>
    <d v="2024-03-31T00:00:00"/>
    <n v="1"/>
    <n v="4"/>
    <n v="3"/>
    <n v="4"/>
    <n v="3"/>
    <m/>
    <s v="Alterations including installation of side dormer and rear dormer (with french doors and safety railing) and excavation to create basement with front and rear lightwells with grille over in connection with creation of 4 flats with associated bin and cycle storage."/>
    <s v="PF"/>
    <d v="2020-11-19T00:00:00"/>
    <d v="2021-02-01T00:00:00"/>
    <m/>
    <s v="Nil"/>
    <m/>
    <s v="BF"/>
    <s v="CON"/>
    <x v="2"/>
    <x v="10"/>
    <n v="4.3999999999999997E-2"/>
    <d v="2022-06-01T00:00:00"/>
    <x v="0"/>
    <d v="2024-03-31T00:00:00"/>
    <s v="Open Market"/>
    <s v="M"/>
    <s v=""/>
    <m/>
    <m/>
    <m/>
    <m/>
    <m/>
    <n v="0"/>
    <n v="1"/>
    <n v="3"/>
    <n v="0"/>
    <n v="0"/>
    <n v="-1"/>
    <n v="0"/>
    <n v="0"/>
    <n v="1"/>
    <n v="3"/>
    <n v="0"/>
    <n v="0"/>
    <n v="0"/>
    <n v="0"/>
    <n v="0"/>
    <n v="0"/>
    <n v="0"/>
    <n v="0"/>
    <n v="0"/>
    <n v="-1"/>
    <n v="0"/>
    <n v="0"/>
    <n v="0"/>
    <n v="0"/>
    <n v="0"/>
    <n v="0"/>
    <n v="0"/>
    <n v="0"/>
    <m/>
    <m/>
    <s v="Rest of Borough"/>
    <n v="11"/>
    <n v="3"/>
    <m/>
    <m/>
    <m/>
    <m/>
    <m/>
    <m/>
    <m/>
    <m/>
    <m/>
    <m/>
    <m/>
    <m/>
    <m/>
    <m/>
    <m/>
    <m/>
    <m/>
    <m/>
    <m/>
    <n v="0"/>
    <n v="0"/>
  </r>
  <r>
    <n v="7495"/>
    <x v="0"/>
    <s v="2020/4494"/>
    <s v="30a Fountain Road"/>
    <s v=""/>
    <n v="526948"/>
    <n v="171621"/>
    <s v="Tooting Broadway"/>
    <d v="2022-08-18T00:00:00"/>
    <d v="2023-09-20T00:00:00"/>
    <n v="0"/>
    <n v="1"/>
    <n v="1"/>
    <n v="1"/>
    <n v="1"/>
    <m/>
    <s v="Alterations including raising ridge height by 300mm, erection of a mansard roof extension on the main rear roof slope and above part of two-storey rear addition to form new 1-bedroom flat with the formation of a roof terrace with 1.7m obscured glazed screen."/>
    <s v="PF"/>
    <d v="2020-11-23T00:00:00"/>
    <d v="2021-02-15T00:00:00"/>
    <m/>
    <s v="Nil"/>
    <m/>
    <s v="BF"/>
    <s v="MIX"/>
    <x v="2"/>
    <x v="7"/>
    <n v="3.0000000000000001E-3"/>
    <d v="2022-08-18T00:00:00"/>
    <x v="0"/>
    <d v="2023-09-20T00:00:00"/>
    <s v="Open Market"/>
    <s v="M"/>
    <s v=""/>
    <m/>
    <m/>
    <m/>
    <m/>
    <m/>
    <n v="0"/>
    <n v="1"/>
    <n v="0"/>
    <n v="0"/>
    <n v="0"/>
    <n v="0"/>
    <n v="0"/>
    <n v="0"/>
    <n v="1"/>
    <n v="0"/>
    <n v="0"/>
    <n v="0"/>
    <n v="0"/>
    <n v="0"/>
    <n v="0"/>
    <n v="0"/>
    <n v="0"/>
    <n v="0"/>
    <n v="0"/>
    <n v="0"/>
    <n v="0"/>
    <n v="0"/>
    <n v="0"/>
    <n v="0"/>
    <n v="0"/>
    <n v="0"/>
    <n v="0"/>
    <n v="0"/>
    <m/>
    <m/>
    <s v="Rest of Borough"/>
    <n v="11"/>
    <n v="1"/>
    <m/>
    <m/>
    <m/>
    <m/>
    <m/>
    <m/>
    <m/>
    <m/>
    <m/>
    <m/>
    <m/>
    <m/>
    <m/>
    <m/>
    <m/>
    <m/>
    <m/>
    <m/>
    <m/>
    <n v="0"/>
    <n v="0"/>
  </r>
  <r>
    <n v="4686"/>
    <x v="0"/>
    <s v="2020/4633"/>
    <s v="75 Bennerley Road"/>
    <s v=""/>
    <n v="527471"/>
    <n v="174831"/>
    <s v="Northcote"/>
    <d v="2023-03-31T00:00:00"/>
    <d v="2023-04-18T00:00:00"/>
    <n v="2"/>
    <n v="1"/>
    <n v="-1"/>
    <n v="1"/>
    <n v="-1"/>
    <m/>
    <s v="Change of use of basement and upper floor flat into a single dwelling"/>
    <s v="PF"/>
    <d v="2021-01-12T00:00:00"/>
    <d v="2021-03-09T00:00:00"/>
    <m/>
    <s v="Nil"/>
    <m/>
    <s v="BF"/>
    <s v="CON"/>
    <x v="2"/>
    <x v="11"/>
    <n v="1.2E-2"/>
    <d v="2023-03-31T00:00:00"/>
    <x v="0"/>
    <d v="2023-04-18T00:00:00"/>
    <s v="Open Market"/>
    <s v="M"/>
    <s v=""/>
    <m/>
    <m/>
    <m/>
    <m/>
    <m/>
    <n v="0"/>
    <n v="-1"/>
    <n v="0"/>
    <n v="0"/>
    <n v="-1"/>
    <n v="1"/>
    <n v="0"/>
    <n v="0"/>
    <n v="-1"/>
    <n v="0"/>
    <n v="0"/>
    <n v="-1"/>
    <n v="0"/>
    <n v="0"/>
    <n v="0"/>
    <n v="0"/>
    <n v="0"/>
    <n v="0"/>
    <n v="0"/>
    <n v="1"/>
    <n v="0"/>
    <n v="0"/>
    <n v="0"/>
    <n v="0"/>
    <n v="0"/>
    <n v="0"/>
    <n v="0"/>
    <n v="0"/>
    <m/>
    <m/>
    <s v="Clapham Junction and York Road / Winstanley Regeneration Area"/>
    <n v="11"/>
    <n v="-1"/>
    <m/>
    <m/>
    <m/>
    <m/>
    <m/>
    <m/>
    <m/>
    <m/>
    <m/>
    <m/>
    <m/>
    <m/>
    <m/>
    <m/>
    <m/>
    <m/>
    <m/>
    <m/>
    <m/>
    <n v="0"/>
    <n v="0"/>
  </r>
  <r>
    <n v="4793"/>
    <x v="0"/>
    <s v="2020/4678"/>
    <s v="75 Clapham Common North Side"/>
    <s v=""/>
    <n v="528375"/>
    <n v="175229"/>
    <s v="Lavender"/>
    <d v="2023-03-31T00:00:00"/>
    <d v="2023-04-01T00:00:00"/>
    <n v="2"/>
    <n v="1"/>
    <n v="-1"/>
    <n v="1"/>
    <n v="-1"/>
    <m/>
    <s v="Conversion of the property from two flats into a 6-bedroom single dwellinghouse."/>
    <s v="PF"/>
    <d v="2020-12-02T00:00:00"/>
    <d v="2021-02-19T00:00:00"/>
    <m/>
    <s v="Nil"/>
    <m/>
    <s v="BF"/>
    <s v="CON"/>
    <x v="2"/>
    <x v="11"/>
    <n v="0.02"/>
    <d v="2023-03-31T00:00:00"/>
    <x v="0"/>
    <d v="2023-04-01T00:00:00"/>
    <s v="Open Market"/>
    <s v="M"/>
    <s v=""/>
    <m/>
    <m/>
    <m/>
    <m/>
    <m/>
    <n v="0"/>
    <n v="-1"/>
    <n v="0"/>
    <n v="0"/>
    <n v="0"/>
    <n v="0"/>
    <n v="0"/>
    <n v="0"/>
    <n v="-1"/>
    <n v="0"/>
    <n v="0"/>
    <n v="0"/>
    <n v="-1"/>
    <n v="0"/>
    <n v="0"/>
    <n v="0"/>
    <n v="0"/>
    <n v="0"/>
    <n v="0"/>
    <n v="1"/>
    <n v="0"/>
    <n v="0"/>
    <n v="0"/>
    <n v="0"/>
    <n v="0"/>
    <n v="0"/>
    <n v="0"/>
    <n v="0"/>
    <m/>
    <m/>
    <s v="Rest of Borough"/>
    <n v="11"/>
    <n v="-1"/>
    <m/>
    <m/>
    <m/>
    <m/>
    <m/>
    <m/>
    <m/>
    <m/>
    <m/>
    <m/>
    <m/>
    <m/>
    <m/>
    <m/>
    <m/>
    <m/>
    <m/>
    <m/>
    <m/>
    <n v="0"/>
    <n v="0"/>
  </r>
  <r>
    <n v="4693"/>
    <x v="0"/>
    <s v="2020/4959"/>
    <s v="22 Upper Richmond Road"/>
    <s v=""/>
    <n v="524887"/>
    <n v="174632"/>
    <s v="East Putney"/>
    <d v="2022-04-01T00:00:00"/>
    <d v="2023-06-11T00:00:00"/>
    <n v="0"/>
    <n v="3"/>
    <n v="3"/>
    <n v="3"/>
    <n v="3"/>
    <m/>
    <s v="Alterations including erection of part single, part three-storey rear/side extension in connection with the creation of 1 x 1 bedroom flat and 2 x studio flats. Creation of roof-terrace at second floor level."/>
    <s v="PF"/>
    <d v="2020-12-21T00:00:00"/>
    <d v="2021-03-09T00:00:00"/>
    <m/>
    <s v="Nil"/>
    <m/>
    <s v="BF"/>
    <s v="MIX"/>
    <x v="2"/>
    <x v="3"/>
    <n v="5.0000000000000001E-3"/>
    <d v="2022-04-01T00:00:00"/>
    <x v="0"/>
    <d v="2023-06-11T00:00:00"/>
    <s v="Open Market"/>
    <s v="M"/>
    <s v=""/>
    <m/>
    <m/>
    <m/>
    <m/>
    <m/>
    <n v="2"/>
    <n v="1"/>
    <n v="0"/>
    <n v="0"/>
    <n v="0"/>
    <n v="0"/>
    <n v="0"/>
    <n v="2"/>
    <n v="1"/>
    <n v="0"/>
    <n v="0"/>
    <n v="0"/>
    <n v="0"/>
    <n v="0"/>
    <n v="0"/>
    <n v="0"/>
    <n v="0"/>
    <n v="0"/>
    <n v="0"/>
    <n v="0"/>
    <n v="0"/>
    <n v="0"/>
    <n v="0"/>
    <n v="0"/>
    <n v="0"/>
    <n v="0"/>
    <n v="0"/>
    <n v="0"/>
    <m/>
    <m/>
    <s v="Rest of Borough"/>
    <n v="11"/>
    <n v="3"/>
    <m/>
    <m/>
    <m/>
    <m/>
    <m/>
    <m/>
    <m/>
    <m/>
    <m/>
    <m/>
    <m/>
    <m/>
    <m/>
    <m/>
    <m/>
    <m/>
    <m/>
    <m/>
    <m/>
    <n v="0"/>
    <n v="0"/>
  </r>
  <r>
    <n v="4762"/>
    <x v="0"/>
    <s v="2020/4967"/>
    <s v="and 182A, 182 Mitcham Road"/>
    <s v=""/>
    <n v="527890"/>
    <n v="170978"/>
    <s v="Tooting Broadway"/>
    <d v="2022-04-10T00:00:00"/>
    <d v="2023-04-27T00:00:00"/>
    <n v="0"/>
    <n v="1"/>
    <n v="1"/>
    <n v="1"/>
    <n v="1"/>
    <m/>
    <s v="Alterations to existing single storey rear/side extension and replacement rear boundary treatment, in connection with the conversion of the rear part of the ground floor into one-bedroom studio flat."/>
    <s v="PF"/>
    <d v="2020-12-21T00:00:00"/>
    <d v="2021-09-14T00:00:00"/>
    <m/>
    <s v="Nil"/>
    <m/>
    <s v="BF"/>
    <s v="CON"/>
    <x v="2"/>
    <x v="6"/>
    <n v="4.4000000000000003E-3"/>
    <d v="2022-04-10T00:00:00"/>
    <x v="0"/>
    <d v="2023-04-27T00:00:00"/>
    <s v="Open Market"/>
    <s v="M"/>
    <s v=""/>
    <m/>
    <m/>
    <m/>
    <m/>
    <m/>
    <n v="0"/>
    <n v="1"/>
    <n v="0"/>
    <n v="0"/>
    <n v="0"/>
    <n v="0"/>
    <n v="0"/>
    <n v="0"/>
    <n v="1"/>
    <n v="0"/>
    <n v="0"/>
    <n v="0"/>
    <n v="0"/>
    <n v="0"/>
    <n v="0"/>
    <n v="0"/>
    <n v="0"/>
    <n v="0"/>
    <n v="0"/>
    <n v="0"/>
    <n v="0"/>
    <n v="0"/>
    <n v="0"/>
    <n v="0"/>
    <n v="0"/>
    <n v="0"/>
    <n v="0"/>
    <n v="0"/>
    <m/>
    <m/>
    <s v="Tooting"/>
    <n v="11"/>
    <n v="1"/>
    <m/>
    <m/>
    <m/>
    <m/>
    <m/>
    <m/>
    <m/>
    <m/>
    <m/>
    <m/>
    <m/>
    <m/>
    <m/>
    <m/>
    <m/>
    <m/>
    <m/>
    <m/>
    <m/>
    <n v="0"/>
    <n v="0"/>
  </r>
  <r>
    <n v="7291"/>
    <x v="0"/>
    <s v="2020/5053"/>
    <s v="Bank House, 250 Wimbledon Park Road"/>
    <s v=""/>
    <n v="524705"/>
    <n v="173268"/>
    <s v="West Hill"/>
    <d v="2022-07-01T00:00:00"/>
    <d v="2023-04-01T00:00:00"/>
    <n v="0"/>
    <n v="3"/>
    <n v="3"/>
    <n v="3"/>
    <n v="3"/>
    <m/>
    <s v="Alterations including erection of two storey rear and side extensions at the rear and side (plus roof), and alterations at second floor level fronting Augustus Road in connection with change of use of part of the first and second floors from office (Class E) to 3 x 1-bedroom flats (Class C3) with associated cycle and refuse storage"/>
    <s v="PF"/>
    <d v="2020-12-24T00:00:00"/>
    <d v="2021-03-15T00:00:00"/>
    <m/>
    <s v="Nil"/>
    <m/>
    <s v="BF"/>
    <s v="MIX"/>
    <x v="2"/>
    <x v="7"/>
    <n v="7.0000000000000001E-3"/>
    <d v="2022-07-01T00:00:00"/>
    <x v="0"/>
    <d v="2023-04-01T00:00:00"/>
    <s v="Open Market"/>
    <s v="M"/>
    <s v=""/>
    <m/>
    <m/>
    <m/>
    <m/>
    <m/>
    <n v="0"/>
    <n v="3"/>
    <n v="0"/>
    <n v="0"/>
    <n v="0"/>
    <n v="0"/>
    <n v="0"/>
    <n v="0"/>
    <n v="3"/>
    <n v="0"/>
    <n v="0"/>
    <n v="0"/>
    <n v="0"/>
    <n v="0"/>
    <n v="0"/>
    <n v="0"/>
    <n v="0"/>
    <n v="0"/>
    <n v="0"/>
    <n v="0"/>
    <n v="0"/>
    <n v="0"/>
    <n v="0"/>
    <n v="0"/>
    <n v="0"/>
    <n v="0"/>
    <n v="0"/>
    <n v="0"/>
    <m/>
    <m/>
    <s v="Rest of Borough"/>
    <n v="11"/>
    <n v="3"/>
    <m/>
    <m/>
    <m/>
    <m/>
    <m/>
    <m/>
    <m/>
    <m/>
    <m/>
    <m/>
    <m/>
    <m/>
    <m/>
    <m/>
    <m/>
    <m/>
    <m/>
    <m/>
    <m/>
    <n v="0"/>
    <n v="0"/>
  </r>
  <r>
    <n v="7397"/>
    <x v="0"/>
    <s v="2020/5071"/>
    <s v="The Studio, 81 Elmfield Road"/>
    <s v=""/>
    <n v="528375"/>
    <n v="172919"/>
    <s v="South Balham"/>
    <d v="2023-05-05T00:00:00"/>
    <d v="2024-03-22T00:00:00"/>
    <n v="0"/>
    <n v="1"/>
    <n v="1"/>
    <n v="1"/>
    <n v="1"/>
    <m/>
    <s v="Demolition of existing single storey office building (Class E) and erection of two-storey (plus basement) 1-bedroom 1 x person house (Class C3)."/>
    <s v="PF"/>
    <d v="2020-12-28T00:00:00"/>
    <d v="2021-03-24T00:00:00"/>
    <m/>
    <s v="Nil"/>
    <m/>
    <s v="BF"/>
    <s v="NB"/>
    <x v="2"/>
    <x v="6"/>
    <n v="4.0000000000000001E-3"/>
    <d v="2023-05-05T00:00:00"/>
    <x v="1"/>
    <d v="2024-03-22T00:00:00"/>
    <s v="Open Market"/>
    <s v="M"/>
    <s v=""/>
    <m/>
    <m/>
    <m/>
    <m/>
    <m/>
    <n v="0"/>
    <n v="1"/>
    <n v="0"/>
    <n v="0"/>
    <n v="0"/>
    <n v="0"/>
    <n v="0"/>
    <n v="0"/>
    <n v="0"/>
    <n v="0"/>
    <n v="0"/>
    <n v="0"/>
    <n v="0"/>
    <n v="0"/>
    <n v="0"/>
    <n v="1"/>
    <n v="0"/>
    <n v="0"/>
    <n v="0"/>
    <n v="0"/>
    <n v="0"/>
    <n v="0"/>
    <n v="0"/>
    <n v="0"/>
    <n v="0"/>
    <n v="0"/>
    <n v="0"/>
    <n v="0"/>
    <m/>
    <m/>
    <s v="Rest of Borough"/>
    <n v="1"/>
    <n v="1"/>
    <m/>
    <m/>
    <m/>
    <m/>
    <m/>
    <m/>
    <m/>
    <m/>
    <m/>
    <m/>
    <m/>
    <m/>
    <m/>
    <m/>
    <m/>
    <m/>
    <m/>
    <m/>
    <m/>
    <n v="0"/>
    <n v="0"/>
  </r>
  <r>
    <n v="7364"/>
    <x v="0"/>
    <s v="2021/0408"/>
    <s v="5 Parma Crescent"/>
    <s v=""/>
    <n v="527592"/>
    <n v="175427"/>
    <s v="Lavender"/>
    <d v="2022-04-01T00:00:00"/>
    <d v="2023-05-15T00:00:00"/>
    <n v="1"/>
    <n v="7"/>
    <n v="6"/>
    <n v="7"/>
    <n v="6"/>
    <m/>
    <s v="Demolition of existing building and erection of a part 2-storey, part 3-storey building (with basement) to provide 7 flats (2 x 3-bed, 4 x 2-bed, 1 x 1-bed flats) with associated refuse and cycle storage."/>
    <s v="PF"/>
    <d v="2021-01-29T00:00:00"/>
    <d v="2021-05-28T00:00:00"/>
    <m/>
    <s v="Nil"/>
    <m/>
    <s v="BF"/>
    <s v="NB"/>
    <x v="2"/>
    <x v="3"/>
    <n v="3.2000000000000001E-2"/>
    <d v="2022-04-01T00:00:00"/>
    <x v="0"/>
    <d v="2023-05-15T00:00:00"/>
    <s v="Open Market"/>
    <s v="M"/>
    <s v=""/>
    <m/>
    <m/>
    <m/>
    <m/>
    <m/>
    <n v="0"/>
    <n v="1"/>
    <n v="4"/>
    <n v="1"/>
    <n v="0"/>
    <n v="0"/>
    <n v="0"/>
    <n v="0"/>
    <n v="1"/>
    <n v="4"/>
    <n v="2"/>
    <n v="0"/>
    <n v="0"/>
    <n v="0"/>
    <n v="0"/>
    <n v="0"/>
    <n v="0"/>
    <n v="-1"/>
    <n v="0"/>
    <n v="0"/>
    <n v="0"/>
    <n v="0"/>
    <n v="0"/>
    <n v="0"/>
    <n v="0"/>
    <n v="0"/>
    <n v="0"/>
    <n v="0"/>
    <m/>
    <m/>
    <s v="Clapham Junction and York Road / Winstanley Regeneration Area"/>
    <n v="1"/>
    <n v="6"/>
    <m/>
    <m/>
    <m/>
    <m/>
    <m/>
    <m/>
    <m/>
    <m/>
    <m/>
    <m/>
    <m/>
    <m/>
    <m/>
    <m/>
    <m/>
    <m/>
    <m/>
    <m/>
    <m/>
    <n v="0"/>
    <n v="0"/>
  </r>
  <r>
    <n v="3511"/>
    <x v="0"/>
    <s v="2021/0660"/>
    <s v="New Covent Garden Market, Nine Elms Lane (Combined Main Market, Entrance site and Thessaly College site)"/>
    <s v="N6"/>
    <n v="529369"/>
    <n v="177317"/>
    <s v="Nine Elms"/>
    <d v="2019-12-01T00:00:00"/>
    <d v="2024-03-31T00:00:00"/>
    <n v="0"/>
    <n v="17"/>
    <n v="17"/>
    <n v="17"/>
    <n v="17"/>
    <s v="Y"/>
    <s v="Non-Material Amendment (S96A) to amend the details of Reserved Matters approval (ref. 2019/2995 - dated 22 November 2019) for Phase 2 and amended under ref. 2020/1541 (approved 27 May 2020) for Application for approval of reserved matters (Access, Layout, Appearance, Scale and Landscaping) for the 'Phase 2' of the Northern Site Development Zone pursuant to part outline and part detailed planning permission 2014/2810, dated 11/02/15 for: &quot;(a) Demolition of existing wholesale Fruit and Vegetable and Flower Market and ancillary buildings and structures, and residential building on Nine Elms Lane (apart from the existing multi storey car park); (b) Construction of mixed use redevelopment comprising: a new Fruit and Vegetable Market and Flower Market and ancillary uses, including temporary and permanent façade; refurbishment and extension of existing waste collection area (including rooftop sports pitches); residential dwellings; flexible commercial uses, including retail, financial and professional services, café/restaurant, bar uses and hot food takeaways and offices; non-residential institutions; assembly and leisure uses; temporary storage and distribution buildings and associated works; associated car, cycle and motorcycle parking and servicing and new vehicle accesses, energy centres; and landscaping public realm and open space including part of the Linear Park. All matters reserved apart from access, details of all new markets and supporting buildings, and details of Building N8 and associated landscaping); (c) Site clearance and enabling works. An Environmental Statement has been submitted with the application under The Town and Country Planning (Environmental Impact Assessment) Regulations 2011.&quot;"/>
    <s v="S96A"/>
    <d v="2021-02-12T00:00:00"/>
    <d v="2021-05-12T00:00:00"/>
    <m/>
    <s v="Nil"/>
    <m/>
    <s v="BF"/>
    <s v="NB"/>
    <x v="1"/>
    <x v="0"/>
    <n v="0.72299999999999998"/>
    <d v="2019-12-01T00:00:00"/>
    <x v="0"/>
    <d v="2024-03-31T00:00:00"/>
    <s v="Open Market"/>
    <s v="M"/>
    <s v="2.1.27"/>
    <m/>
    <m/>
    <m/>
    <m/>
    <m/>
    <n v="0"/>
    <n v="0"/>
    <n v="0"/>
    <n v="0"/>
    <n v="17"/>
    <n v="0"/>
    <n v="0"/>
    <n v="0"/>
    <n v="0"/>
    <n v="0"/>
    <n v="0"/>
    <n v="17"/>
    <n v="0"/>
    <n v="0"/>
    <n v="0"/>
    <n v="0"/>
    <n v="0"/>
    <n v="0"/>
    <n v="0"/>
    <n v="0"/>
    <n v="0"/>
    <n v="0"/>
    <n v="0"/>
    <n v="0"/>
    <n v="0"/>
    <n v="0"/>
    <n v="0"/>
    <n v="0"/>
    <m/>
    <s v="Y"/>
    <s v="Nine Elms"/>
    <n v="1"/>
    <n v="17"/>
    <m/>
    <m/>
    <m/>
    <m/>
    <m/>
    <m/>
    <m/>
    <m/>
    <m/>
    <m/>
    <m/>
    <m/>
    <m/>
    <m/>
    <m/>
    <m/>
    <m/>
    <m/>
    <m/>
    <n v="0"/>
    <n v="0"/>
  </r>
  <r>
    <n v="6794"/>
    <x v="0"/>
    <s v="2021/0769"/>
    <s v="35 Fullerton Road"/>
    <s v=""/>
    <n v="526068"/>
    <n v="174820"/>
    <s v="Wandsworth Town"/>
    <d v="2022-03-01T00:00:00"/>
    <d v="2023-05-24T00:00:00"/>
    <n v="2"/>
    <n v="1"/>
    <n v="-1"/>
    <n v="1"/>
    <n v="-1"/>
    <m/>
    <s v="Alterations including erection of a mansard roof extension to main rear roof including raising the ridge by 160mm, and extension above part of the two storey back addition; Erection of a part single/part two-storey rear and side addition; Increase to height of flank wall; Installation of a new front entrance door including associated relocation of front bay window at ground floor, and ground floor side entrance door to be replaced by window; In association with conversion of 2 x flats back to a single dwelling."/>
    <s v="PF"/>
    <d v="2021-03-19T00:00:00"/>
    <d v="2021-05-12T00:00:00"/>
    <m/>
    <s v="Nil"/>
    <m/>
    <s v="BF"/>
    <s v="CON"/>
    <x v="2"/>
    <x v="11"/>
    <n v="1.2999999999999999E-2"/>
    <d v="2022-03-01T00:00:00"/>
    <x v="0"/>
    <d v="2023-05-24T00:00:00"/>
    <s v="Open Market"/>
    <s v="M"/>
    <s v=""/>
    <m/>
    <m/>
    <m/>
    <m/>
    <m/>
    <n v="0"/>
    <n v="-2"/>
    <n v="0"/>
    <n v="0"/>
    <n v="1"/>
    <n v="0"/>
    <n v="0"/>
    <n v="0"/>
    <n v="-2"/>
    <n v="0"/>
    <n v="0"/>
    <n v="0"/>
    <n v="0"/>
    <n v="0"/>
    <n v="0"/>
    <n v="0"/>
    <n v="0"/>
    <n v="0"/>
    <n v="1"/>
    <n v="0"/>
    <n v="0"/>
    <n v="0"/>
    <n v="0"/>
    <n v="0"/>
    <n v="0"/>
    <n v="0"/>
    <n v="0"/>
    <n v="0"/>
    <m/>
    <m/>
    <s v="Rest of Borough"/>
    <n v="11"/>
    <n v="-1"/>
    <m/>
    <m/>
    <m/>
    <m/>
    <m/>
    <m/>
    <m/>
    <m/>
    <m/>
    <m/>
    <m/>
    <m/>
    <m/>
    <m/>
    <m/>
    <m/>
    <m/>
    <m/>
    <m/>
    <n v="0"/>
    <n v="0"/>
  </r>
  <r>
    <n v="7361"/>
    <x v="0"/>
    <s v="2021/1302"/>
    <s v="1 Podmore Road"/>
    <s v=""/>
    <n v="526027"/>
    <n v="175089"/>
    <s v="Wandsworth Town"/>
    <d v="2022-07-15T00:00:00"/>
    <d v="2023-05-05T00:00:00"/>
    <n v="0"/>
    <n v="1"/>
    <n v="1"/>
    <n v="1"/>
    <n v="1"/>
    <m/>
    <s v="Determination as to whether prior approval is required for change of use of office at ground floor level (Class E) to residential (Class C3) to provide 1 x 2-bedroom flat."/>
    <s v="PANR"/>
    <d v="2021-03-17T00:00:00"/>
    <d v="2021-05-11T00:00:00"/>
    <m/>
    <s v="Nil"/>
    <m/>
    <s v="BF"/>
    <s v="COU"/>
    <x v="2"/>
    <x v="6"/>
    <n v="6.0000000000000001E-3"/>
    <d v="2022-07-15T00:00:00"/>
    <x v="0"/>
    <d v="2023-05-05T00:00:00"/>
    <s v="Open Market"/>
    <s v="M"/>
    <s v=""/>
    <m/>
    <m/>
    <m/>
    <m/>
    <m/>
    <n v="0"/>
    <n v="0"/>
    <n v="1"/>
    <n v="0"/>
    <n v="0"/>
    <n v="0"/>
    <n v="0"/>
    <n v="0"/>
    <n v="0"/>
    <n v="1"/>
    <n v="0"/>
    <n v="0"/>
    <n v="0"/>
    <n v="0"/>
    <n v="0"/>
    <n v="0"/>
    <n v="0"/>
    <n v="0"/>
    <n v="0"/>
    <n v="0"/>
    <n v="0"/>
    <n v="0"/>
    <n v="0"/>
    <n v="0"/>
    <n v="0"/>
    <n v="0"/>
    <n v="0"/>
    <n v="0"/>
    <m/>
    <m/>
    <s v="Wandsworth Town, including the Wandle Delta Masterplan Area"/>
    <n v="11"/>
    <n v="1"/>
    <m/>
    <m/>
    <m/>
    <m/>
    <m/>
    <m/>
    <m/>
    <m/>
    <m/>
    <m/>
    <m/>
    <m/>
    <m/>
    <m/>
    <m/>
    <m/>
    <m/>
    <m/>
    <m/>
    <n v="0"/>
    <n v="0"/>
  </r>
  <r>
    <n v="5029"/>
    <x v="0"/>
    <s v="2021/1399"/>
    <s v="272-274 Battersea Park road"/>
    <s v=""/>
    <n v="527404"/>
    <n v="176366"/>
    <s v="St Mary's"/>
    <d v="2023-02-01T00:00:00"/>
    <d v="2023-10-06T00:00:00"/>
    <n v="0"/>
    <n v="1"/>
    <n v="1"/>
    <n v="1"/>
    <n v="1"/>
    <m/>
    <s v="Alterations including erection of dormer roof extension to the rear and creation of roof terrace at third floor level with 1.7m glazed safety screen surround in connection with formation of new 1 x 2-bedroom flat; and insertion of rooflights into the front roofslope."/>
    <s v="PF"/>
    <d v="2021-03-24T00:00:00"/>
    <d v="2021-05-17T00:00:00"/>
    <m/>
    <s v="Nil"/>
    <m/>
    <s v="BF"/>
    <s v="MIX"/>
    <x v="2"/>
    <x v="7"/>
    <n v="7.0000000000000001E-3"/>
    <d v="2023-02-01T00:00:00"/>
    <x v="0"/>
    <d v="2023-10-06T00:00:00"/>
    <s v="Open Market"/>
    <s v="M"/>
    <s v=""/>
    <m/>
    <m/>
    <m/>
    <m/>
    <m/>
    <n v="0"/>
    <n v="0"/>
    <n v="1"/>
    <n v="0"/>
    <n v="0"/>
    <n v="0"/>
    <n v="0"/>
    <n v="0"/>
    <n v="0"/>
    <n v="1"/>
    <n v="0"/>
    <n v="0"/>
    <n v="0"/>
    <n v="0"/>
    <n v="0"/>
    <n v="0"/>
    <n v="0"/>
    <n v="0"/>
    <n v="0"/>
    <n v="0"/>
    <n v="0"/>
    <n v="0"/>
    <n v="0"/>
    <n v="0"/>
    <n v="0"/>
    <n v="0"/>
    <n v="0"/>
    <n v="0"/>
    <m/>
    <m/>
    <s v="Rest of Borough"/>
    <n v="11"/>
    <n v="1"/>
    <m/>
    <m/>
    <m/>
    <m/>
    <m/>
    <m/>
    <m/>
    <m/>
    <m/>
    <m/>
    <m/>
    <m/>
    <m/>
    <m/>
    <m/>
    <m/>
    <m/>
    <m/>
    <m/>
    <n v="0"/>
    <n v="0"/>
  </r>
  <r>
    <n v="7631"/>
    <x v="0"/>
    <s v="2021/1530"/>
    <s v="104 Eswyn Road"/>
    <s v=""/>
    <n v="527889"/>
    <n v="171463"/>
    <s v="Tooting Bec"/>
    <d v="2021-11-10T00:00:00"/>
    <d v="2023-04-01T00:00:00"/>
    <n v="1"/>
    <n v="1"/>
    <n v="0"/>
    <n v="1"/>
    <n v="0"/>
    <m/>
    <s v="Alterations including erection of dormer roof extension to main rear roof and roof extension above two storey back addition in connection with conversion of dwelling house (Class C3) into house of multiple occupation (Class C4)."/>
    <s v="LDC Prop"/>
    <d v="2021-03-31T00:00:00"/>
    <d v="2021-05-25T00:00:00"/>
    <m/>
    <s v="Nil"/>
    <m/>
    <s v="BF"/>
    <s v="CON"/>
    <x v="2"/>
    <x v="10"/>
    <n v="3.4659999999999999E-3"/>
    <d v="2021-11-10T00:00:00"/>
    <x v="0"/>
    <d v="2023-04-01T00:00:00"/>
    <s v="Open Market"/>
    <s v="MR"/>
    <s v=""/>
    <m/>
    <m/>
    <m/>
    <m/>
    <m/>
    <n v="0"/>
    <n v="0"/>
    <n v="0"/>
    <n v="0"/>
    <n v="-1"/>
    <n v="1"/>
    <n v="0"/>
    <n v="0"/>
    <n v="0"/>
    <n v="0"/>
    <n v="0"/>
    <n v="0"/>
    <n v="0"/>
    <n v="0"/>
    <n v="0"/>
    <n v="0"/>
    <n v="0"/>
    <n v="0"/>
    <n v="-1"/>
    <n v="1"/>
    <n v="0"/>
    <n v="0"/>
    <n v="0"/>
    <n v="0"/>
    <n v="0"/>
    <n v="0"/>
    <n v="0"/>
    <n v="0"/>
    <m/>
    <m/>
    <s v="Rest of Borough"/>
    <n v="11"/>
    <n v="0"/>
    <m/>
    <m/>
    <m/>
    <m/>
    <m/>
    <m/>
    <m/>
    <m/>
    <m/>
    <m/>
    <m/>
    <m/>
    <m/>
    <m/>
    <m/>
    <m/>
    <m/>
    <m/>
    <m/>
    <n v="0"/>
    <n v="0"/>
  </r>
  <r>
    <n v="6032"/>
    <x v="0"/>
    <s v="2021/1586"/>
    <s v="259 Putney Bridge Road"/>
    <s v=""/>
    <n v="524386"/>
    <n v="175298"/>
    <s v="Thamesfield"/>
    <d v="2021-08-03T00:00:00"/>
    <d v="2023-08-18T00:00:00"/>
    <n v="0"/>
    <n v="1"/>
    <n v="1"/>
    <n v="1"/>
    <n v="1"/>
    <m/>
    <s v="Alterations including erection of front and rear roof extension to main roof (with French doors and safety railings to front elevation), extension above three-storey back addition to provide 1 x 1 bedroom flat with front roof terrace."/>
    <s v="PF"/>
    <d v="2021-04-02T00:00:00"/>
    <d v="2021-07-20T00:00:00"/>
    <m/>
    <s v="Nil"/>
    <m/>
    <s v="BF"/>
    <s v="EXT"/>
    <x v="2"/>
    <x v="7"/>
    <n v="5.4000000000000003E-3"/>
    <d v="2021-08-03T00:00:00"/>
    <x v="0"/>
    <d v="2023-08-18T00:00:00"/>
    <s v="Open Market"/>
    <s v="MR"/>
    <s v=""/>
    <m/>
    <m/>
    <m/>
    <m/>
    <m/>
    <n v="0"/>
    <n v="1"/>
    <n v="0"/>
    <n v="0"/>
    <n v="0"/>
    <n v="0"/>
    <n v="0"/>
    <n v="0"/>
    <n v="1"/>
    <n v="0"/>
    <n v="0"/>
    <n v="0"/>
    <n v="0"/>
    <n v="0"/>
    <n v="0"/>
    <n v="0"/>
    <n v="0"/>
    <n v="0"/>
    <n v="0"/>
    <n v="0"/>
    <n v="0"/>
    <n v="0"/>
    <n v="0"/>
    <n v="0"/>
    <n v="0"/>
    <n v="0"/>
    <n v="0"/>
    <n v="0"/>
    <m/>
    <m/>
    <s v="Rest of Borough"/>
    <n v="11"/>
    <n v="1"/>
    <m/>
    <m/>
    <m/>
    <m/>
    <m/>
    <m/>
    <m/>
    <m/>
    <m/>
    <m/>
    <m/>
    <m/>
    <m/>
    <m/>
    <m/>
    <m/>
    <m/>
    <m/>
    <m/>
    <n v="0"/>
    <n v="0"/>
  </r>
  <r>
    <n v="7187"/>
    <x v="0"/>
    <s v="2021/1682"/>
    <s v="2-18 Yelverton Road"/>
    <s v="Intermediate"/>
    <n v="526782"/>
    <n v="176145"/>
    <s v="St Mary's"/>
    <d v="2020-12-04T00:00:00"/>
    <d v="2024-03-07T00:00:00"/>
    <n v="0"/>
    <n v="41"/>
    <n v="41"/>
    <n v="79"/>
    <n v="79"/>
    <s v="Y"/>
    <s v="Erection of a part 3/17 storey mixed-use development plus basement, providing 369 sq.m of commercial office floor space (Class E) and 224 sq.m of creative workspace (flexible Class E/Sui Generis) at ground and basement levels and 79 residential units at upper levels; communal garden on the 3rd floor; with 6 car parking spaces and cycle parking spaces at basement level; disabled car parking space on Yelverton Road and visitor cycle parking spaces on York Road and associated infrastructure works."/>
    <s v="PFLA"/>
    <d v="2021-04-08T00:00:00"/>
    <d v="2022-12-22T00:00:00"/>
    <m/>
    <s v="Nil"/>
    <m/>
    <s v="BF"/>
    <s v="NB"/>
    <x v="1"/>
    <x v="0"/>
    <n v="2.1000000000000001E-2"/>
    <d v="2020-12-04T00:00:00"/>
    <x v="0"/>
    <d v="2024-03-07T00:00:00"/>
    <s v="Intermediate"/>
    <s v="ISL"/>
    <s v=""/>
    <m/>
    <m/>
    <m/>
    <m/>
    <n v="8"/>
    <n v="0"/>
    <n v="16"/>
    <n v="25"/>
    <n v="0"/>
    <n v="0"/>
    <n v="0"/>
    <n v="0"/>
    <n v="0"/>
    <n v="16"/>
    <n v="25"/>
    <n v="0"/>
    <n v="0"/>
    <n v="0"/>
    <n v="0"/>
    <n v="0"/>
    <n v="0"/>
    <n v="0"/>
    <n v="0"/>
    <n v="0"/>
    <n v="0"/>
    <n v="0"/>
    <n v="0"/>
    <n v="0"/>
    <n v="0"/>
    <n v="0"/>
    <n v="0"/>
    <n v="0"/>
    <n v="0"/>
    <m/>
    <m/>
    <s v="Wandsworth riverside"/>
    <n v="1"/>
    <n v="41"/>
    <m/>
    <m/>
    <m/>
    <m/>
    <m/>
    <m/>
    <m/>
    <m/>
    <m/>
    <m/>
    <m/>
    <m/>
    <m/>
    <m/>
    <m/>
    <m/>
    <m/>
    <m/>
    <m/>
    <n v="0"/>
    <n v="0"/>
  </r>
  <r>
    <n v="7187"/>
    <x v="0"/>
    <s v="2021/1682"/>
    <s v="2-18 Yelverton Road"/>
    <s v="Market"/>
    <n v="526782"/>
    <n v="176145"/>
    <s v="St Mary's"/>
    <d v="2020-12-04T00:00:00"/>
    <d v="2024-03-07T00:00:00"/>
    <n v="0"/>
    <n v="38"/>
    <n v="38"/>
    <n v="79"/>
    <n v="79"/>
    <s v="Y"/>
    <s v="Erection of a part 3/17 storey mixed-use development plus basement, providing 369 sq.m of commercial office floor space (Class E) and 224 sq.m of creative workspace (flexible Class E/Sui Generis) at ground and basement levels and 79 residential units at upper levels; communal garden on the 3rd floor; with 6 car parking spaces and cycle parking spaces at basement level; disabled car parking space on Yelverton Road and visitor cycle parking spaces on York Road and associated infrastructure works."/>
    <s v="PFLA"/>
    <d v="2021-04-08T00:00:00"/>
    <d v="2022-12-22T00:00:00"/>
    <m/>
    <s v="Nil"/>
    <m/>
    <s v="BF"/>
    <s v="NB"/>
    <x v="1"/>
    <x v="0"/>
    <n v="0.02"/>
    <d v="2020-12-04T00:00:00"/>
    <x v="0"/>
    <d v="2024-03-07T00:00:00"/>
    <s v="Open Market"/>
    <s v="MR"/>
    <s v=""/>
    <m/>
    <m/>
    <m/>
    <m/>
    <m/>
    <n v="0"/>
    <n v="8"/>
    <n v="28"/>
    <n v="2"/>
    <n v="0"/>
    <n v="0"/>
    <n v="0"/>
    <n v="0"/>
    <n v="8"/>
    <n v="28"/>
    <n v="2"/>
    <n v="0"/>
    <n v="0"/>
    <n v="0"/>
    <n v="0"/>
    <n v="0"/>
    <n v="0"/>
    <n v="0"/>
    <n v="0"/>
    <n v="0"/>
    <n v="0"/>
    <n v="0"/>
    <n v="0"/>
    <n v="0"/>
    <n v="0"/>
    <n v="0"/>
    <n v="0"/>
    <n v="0"/>
    <m/>
    <m/>
    <s v="Wandsworth riverside"/>
    <n v="1"/>
    <n v="38"/>
    <m/>
    <m/>
    <m/>
    <m/>
    <m/>
    <m/>
    <m/>
    <m/>
    <m/>
    <m/>
    <m/>
    <m/>
    <m/>
    <m/>
    <m/>
    <m/>
    <m/>
    <m/>
    <m/>
    <n v="0"/>
    <n v="0"/>
  </r>
  <r>
    <n v="3046"/>
    <x v="0"/>
    <s v="2021/2164"/>
    <s v="55 Brodrick Road"/>
    <s v=""/>
    <n v="527378"/>
    <n v="172911"/>
    <s v="Trinity"/>
    <d v="2022-06-28T00:00:00"/>
    <d v="2023-12-14T00:00:00"/>
    <n v="5"/>
    <n v="1"/>
    <n v="-4"/>
    <n v="1"/>
    <n v="-4"/>
    <m/>
    <s v="Alterations including erection of dormer roof extension to side roof, single storey rear and side extension, first floor rear extension and installation of replacement fenestration in connection with conversion of 5 flats into single dwellinghouse."/>
    <s v="PF"/>
    <d v="2021-05-06T00:00:00"/>
    <d v="2021-08-09T00:00:00"/>
    <m/>
    <s v="Nil"/>
    <m/>
    <s v="BF"/>
    <s v="MIX"/>
    <x v="2"/>
    <x v="11"/>
    <n v="6.4749999999999999E-3"/>
    <d v="2022-06-28T00:00:00"/>
    <x v="0"/>
    <d v="2023-12-14T00:00:00"/>
    <s v="Open Market"/>
    <s v="M"/>
    <s v=""/>
    <m/>
    <m/>
    <m/>
    <m/>
    <m/>
    <n v="-4"/>
    <n v="-1"/>
    <n v="0"/>
    <n v="0"/>
    <n v="0"/>
    <n v="1"/>
    <n v="0"/>
    <n v="-4"/>
    <n v="-1"/>
    <n v="0"/>
    <n v="0"/>
    <n v="0"/>
    <n v="0"/>
    <n v="0"/>
    <n v="0"/>
    <n v="0"/>
    <n v="0"/>
    <n v="0"/>
    <n v="0"/>
    <n v="1"/>
    <n v="0"/>
    <n v="0"/>
    <n v="0"/>
    <n v="0"/>
    <n v="0"/>
    <n v="0"/>
    <n v="0"/>
    <n v="0"/>
    <m/>
    <m/>
    <s v="Rest of Borough"/>
    <n v="11"/>
    <n v="-4"/>
    <m/>
    <m/>
    <m/>
    <m/>
    <m/>
    <m/>
    <m/>
    <m/>
    <m/>
    <m/>
    <m/>
    <m/>
    <m/>
    <m/>
    <m/>
    <m/>
    <m/>
    <m/>
    <m/>
    <n v="0"/>
    <n v="0"/>
  </r>
  <r>
    <n v="7653"/>
    <x v="0"/>
    <s v="2021/2344"/>
    <s v="Garages Rear of, 88 Longley Road"/>
    <s v=""/>
    <n v="527507"/>
    <n v="170721"/>
    <s v="Tooting Broadway"/>
    <d v="2022-07-01T00:00:00"/>
    <d v="2024-02-08T00:00:00"/>
    <n v="0"/>
    <n v="5"/>
    <n v="5"/>
    <n v="5"/>
    <n v="5"/>
    <m/>
    <s v="Demolition of existing garage/storage facilities and erection of twostorey building to provide 3 x 1-bedroom and 2 x 2-bedroom flats with_x000a_associated terraces, provision of refuse and cycle storage."/>
    <s v="PF"/>
    <d v="2021-06-14T00:00:00"/>
    <d v="2021-11-23T00:00:00"/>
    <m/>
    <s v="Nil"/>
    <m/>
    <s v="BF"/>
    <s v="NB"/>
    <x v="2"/>
    <x v="3"/>
    <n v="1.4999999999999999E-2"/>
    <d v="2022-07-01T00:00:00"/>
    <x v="0"/>
    <d v="2024-02-08T00:00:00"/>
    <s v="Open Market"/>
    <s v="M"/>
    <s v=""/>
    <m/>
    <m/>
    <m/>
    <m/>
    <m/>
    <n v="0"/>
    <n v="3"/>
    <n v="2"/>
    <n v="0"/>
    <n v="0"/>
    <n v="0"/>
    <n v="0"/>
    <n v="0"/>
    <n v="3"/>
    <n v="2"/>
    <n v="0"/>
    <n v="0"/>
    <n v="0"/>
    <n v="0"/>
    <n v="0"/>
    <n v="0"/>
    <n v="0"/>
    <n v="0"/>
    <n v="0"/>
    <n v="0"/>
    <n v="0"/>
    <n v="0"/>
    <n v="0"/>
    <n v="0"/>
    <n v="0"/>
    <n v="0"/>
    <n v="0"/>
    <n v="0"/>
    <m/>
    <m/>
    <s v="Rest of Borough"/>
    <n v="1"/>
    <n v="5"/>
    <m/>
    <m/>
    <m/>
    <m/>
    <m/>
    <m/>
    <m/>
    <m/>
    <m/>
    <m/>
    <m/>
    <m/>
    <m/>
    <m/>
    <m/>
    <m/>
    <m/>
    <m/>
    <m/>
    <n v="0"/>
    <n v="0"/>
  </r>
  <r>
    <n v="3066"/>
    <x v="0"/>
    <s v="2021/2382"/>
    <s v="336 Upper Richmond Road"/>
    <s v=""/>
    <n v="523512"/>
    <n v="175269"/>
    <s v="West Putney"/>
    <d v="2022-03-31T00:00:00"/>
    <d v="2023-06-14T00:00:00"/>
    <n v="2"/>
    <n v="7"/>
    <n v="5"/>
    <n v="7"/>
    <n v="5"/>
    <m/>
    <s v="Variation of condition 2 (Approved Drawings) and 13 (Unit mix) of planning permission dated 20/08/2020 ref 2020/1463 (Erection of replacement single-storey rear/side extensions, erection of dormer extension to main rear and side roof slopes, and formation of a basement with front and rear lightwells in connection with a change of use from Dental Surgery (Class D1) to residential (Class C3) to provide flats with associated amenity space, refuse and bicycle storage.) to allow the changes to the approved drawings to allow alterations to the fenestration; bridges over basement lightwell; door to flat 4; flank walls to lightwells; addition of two first floor balconies to flats 6 and 7 with obscured glazed screening; increase in ground floor extension height; new window on north flank at first floor level and roof light added in flat 5; change of unit mix to 3 x 1 bedroom  3 x 2 bedroom and 1 x 3 bedroom flats."/>
    <s v="PF"/>
    <d v="2021-06-15T00:00:00"/>
    <d v="2021-08-31T00:00:00"/>
    <m/>
    <s v="Nil"/>
    <m/>
    <s v="BF"/>
    <s v="MIX"/>
    <x v="2"/>
    <x v="8"/>
    <n v="6.6000000000000003E-2"/>
    <d v="2022-03-31T00:00:00"/>
    <x v="0"/>
    <d v="2023-06-14T00:00:00"/>
    <s v="Open Market"/>
    <s v="M"/>
    <s v=""/>
    <m/>
    <m/>
    <m/>
    <m/>
    <m/>
    <n v="0"/>
    <n v="3"/>
    <n v="1"/>
    <n v="1"/>
    <n v="0"/>
    <n v="0"/>
    <n v="0"/>
    <n v="0"/>
    <n v="3"/>
    <n v="1"/>
    <n v="1"/>
    <n v="0"/>
    <n v="0"/>
    <n v="0"/>
    <n v="0"/>
    <n v="0"/>
    <n v="0"/>
    <n v="0"/>
    <n v="0"/>
    <n v="0"/>
    <n v="0"/>
    <n v="0"/>
    <n v="0"/>
    <n v="0"/>
    <n v="0"/>
    <n v="0"/>
    <n v="0"/>
    <n v="0"/>
    <m/>
    <m/>
    <s v="Rest of Borough"/>
    <n v="11"/>
    <n v="5"/>
    <m/>
    <m/>
    <m/>
    <m/>
    <m/>
    <m/>
    <m/>
    <m/>
    <m/>
    <m/>
    <m/>
    <m/>
    <m/>
    <m/>
    <m/>
    <m/>
    <m/>
    <m/>
    <m/>
    <n v="0"/>
    <n v="0"/>
  </r>
  <r>
    <n v="6804"/>
    <x v="0"/>
    <s v="2021/2432"/>
    <s v="125 Lower Richmond Road"/>
    <s v=""/>
    <n v="523594"/>
    <n v="175801"/>
    <s v="Thamesfield"/>
    <d v="2023-03-31T00:00:00"/>
    <d v="2024-02-16T00:00:00"/>
    <n v="2"/>
    <n v="5"/>
    <n v="3"/>
    <n v="5"/>
    <n v="3"/>
    <m/>
    <s v="Alterations including erection of part single, part two storey side and rear extensions with roof terraces at first and second floor levels; roof extension to main rear roof with  access to thisrd floor level terrace;  excavation to extend basement including formation of side/rear lightwell;  in connection with conversion to 4 x 1-bedroom and 1 x 3-bedroom flats.  Installation of replacement shopfront and change of use of existing A1/B2 ground floor shop unit to Class E."/>
    <s v="PF"/>
    <d v="2021-06-21T00:00:00"/>
    <d v="2021-11-19T00:00:00"/>
    <m/>
    <s v="Nil"/>
    <m/>
    <s v="BF"/>
    <s v="MIX"/>
    <x v="2"/>
    <x v="8"/>
    <n v="6.8275000000000002E-3"/>
    <d v="2023-03-31T00:00:00"/>
    <x v="0"/>
    <d v="2024-02-16T00:00:00"/>
    <s v="Open Market"/>
    <s v="M"/>
    <s v=""/>
    <m/>
    <m/>
    <m/>
    <m/>
    <m/>
    <n v="0"/>
    <n v="2"/>
    <n v="0"/>
    <n v="1"/>
    <n v="0"/>
    <n v="0"/>
    <n v="0"/>
    <n v="0"/>
    <n v="2"/>
    <n v="0"/>
    <n v="1"/>
    <n v="0"/>
    <n v="0"/>
    <n v="0"/>
    <n v="0"/>
    <n v="0"/>
    <n v="0"/>
    <n v="0"/>
    <n v="0"/>
    <n v="0"/>
    <n v="0"/>
    <n v="0"/>
    <n v="0"/>
    <n v="0"/>
    <n v="0"/>
    <n v="0"/>
    <n v="0"/>
    <n v="0"/>
    <m/>
    <m/>
    <s v="Rest of Borough"/>
    <n v="11"/>
    <n v="3"/>
    <m/>
    <m/>
    <m/>
    <m/>
    <m/>
    <m/>
    <m/>
    <m/>
    <m/>
    <m/>
    <m/>
    <m/>
    <m/>
    <m/>
    <m/>
    <m/>
    <m/>
    <m/>
    <m/>
    <n v="0"/>
    <n v="0"/>
  </r>
  <r>
    <n v="6153"/>
    <x v="0"/>
    <s v="2021/2524"/>
    <s v="58 Rowfant Road"/>
    <s v=""/>
    <n v="528193"/>
    <n v="172920"/>
    <s v="Trinity"/>
    <d v="2021-03-31T00:00:00"/>
    <d v="2023-04-05T00:00:00"/>
    <n v="2"/>
    <n v="1"/>
    <n v="-1"/>
    <n v="1"/>
    <n v="-1"/>
    <m/>
    <s v="Change of use from two flats into a single family dwelling"/>
    <s v="PF"/>
    <d v="2021-06-11T00:00:00"/>
    <d v="2021-08-06T00:00:00"/>
    <m/>
    <s v="Nil"/>
    <m/>
    <s v="BF"/>
    <s v="CON"/>
    <x v="2"/>
    <x v="11"/>
    <n v="5.1166600000000003E-3"/>
    <d v="2021-03-31T00:00:00"/>
    <x v="0"/>
    <d v="2023-04-05T00:00:00"/>
    <s v="Open Market"/>
    <s v="MR"/>
    <s v=""/>
    <m/>
    <m/>
    <m/>
    <m/>
    <m/>
    <n v="0"/>
    <n v="-1"/>
    <n v="0"/>
    <n v="-1"/>
    <n v="1"/>
    <n v="0"/>
    <n v="0"/>
    <n v="0"/>
    <n v="-1"/>
    <n v="0"/>
    <n v="-1"/>
    <n v="0"/>
    <n v="0"/>
    <n v="0"/>
    <n v="0"/>
    <n v="0"/>
    <n v="0"/>
    <n v="0"/>
    <n v="1"/>
    <n v="0"/>
    <n v="0"/>
    <n v="0"/>
    <n v="0"/>
    <n v="0"/>
    <n v="0"/>
    <n v="0"/>
    <n v="0"/>
    <n v="0"/>
    <m/>
    <m/>
    <s v="Rest of Borough"/>
    <n v="11"/>
    <n v="-1"/>
    <m/>
    <m/>
    <m/>
    <m/>
    <m/>
    <m/>
    <m/>
    <m/>
    <m/>
    <m/>
    <m/>
    <m/>
    <m/>
    <m/>
    <m/>
    <m/>
    <m/>
    <m/>
    <m/>
    <n v="0"/>
    <n v="0"/>
  </r>
  <r>
    <n v="7673"/>
    <x v="0"/>
    <s v="2021/2779"/>
    <s v="307 Trinity Road"/>
    <s v=""/>
    <n v="527055"/>
    <n v="173767"/>
    <s v="Wandsworth Common"/>
    <d v="2022-04-01T00:00:00"/>
    <d v="2023-11-27T00:00:00"/>
    <n v="3"/>
    <n v="1"/>
    <n v="-2"/>
    <n v="1"/>
    <n v="-2"/>
    <m/>
    <s v="Alterations including erection of roof extension with side and rear dormers, erection of part single part two storey rear extension with first floor rear roof-terrace, excavation to enlarge basement, formation of vehicle crossover and formation of hardstanding in front garden and erection of single storey outbuilding in rear garden in connection with conversion of existing flats into single dwelling house."/>
    <s v="PF"/>
    <d v="2021-06-24T00:00:00"/>
    <d v="2021-12-22T00:00:00"/>
    <m/>
    <s v="Nil"/>
    <m/>
    <s v="BF"/>
    <s v="MIX"/>
    <x v="2"/>
    <x v="11"/>
    <n v="8.0000000000000002E-3"/>
    <d v="2022-04-01T00:00:00"/>
    <x v="0"/>
    <d v="2023-11-27T00:00:00"/>
    <s v="Open Market"/>
    <s v="M"/>
    <s v=""/>
    <m/>
    <m/>
    <m/>
    <m/>
    <m/>
    <n v="0"/>
    <n v="-2"/>
    <n v="-1"/>
    <n v="0"/>
    <n v="0"/>
    <n v="1"/>
    <n v="0"/>
    <n v="0"/>
    <n v="-2"/>
    <n v="-1"/>
    <n v="0"/>
    <n v="0"/>
    <n v="0"/>
    <n v="0"/>
    <n v="0"/>
    <n v="0"/>
    <n v="0"/>
    <n v="0"/>
    <n v="0"/>
    <n v="1"/>
    <n v="0"/>
    <n v="0"/>
    <n v="0"/>
    <n v="0"/>
    <n v="0"/>
    <n v="0"/>
    <n v="0"/>
    <n v="0"/>
    <m/>
    <m/>
    <s v="Rest of Borough"/>
    <n v="11"/>
    <n v="-2"/>
    <m/>
    <m/>
    <m/>
    <m/>
    <m/>
    <m/>
    <m/>
    <m/>
    <m/>
    <m/>
    <m/>
    <m/>
    <m/>
    <m/>
    <m/>
    <m/>
    <m/>
    <m/>
    <m/>
    <n v="0"/>
    <n v="0"/>
  </r>
  <r>
    <n v="6188"/>
    <x v="0"/>
    <s v="2021/3023"/>
    <s v="Earlsfield House, 1 Swaffield Road"/>
    <s v=""/>
    <n v="525924"/>
    <n v="173800"/>
    <s v="Wandle"/>
    <d v="2022-03-31T00:00:00"/>
    <d v="2023-08-24T00:00:00"/>
    <n v="0"/>
    <n v="5"/>
    <n v="5"/>
    <n v="5"/>
    <n v="5"/>
    <m/>
    <s v="Erection of a side extension with alterations as part of the change of use of Earlsfield House to provide 5 x 2-bedroom residential apartments."/>
    <s v="PF"/>
    <d v="2021-06-23T00:00:00"/>
    <d v="2021-08-31T00:00:00"/>
    <m/>
    <s v="Nil"/>
    <m/>
    <s v="BF"/>
    <s v="MIX"/>
    <x v="2"/>
    <x v="6"/>
    <n v="8.0000000000000002E-3"/>
    <d v="2022-03-31T00:00:00"/>
    <x v="0"/>
    <d v="2023-08-24T00:00:00"/>
    <s v="Open Market"/>
    <s v="M"/>
    <s v=""/>
    <m/>
    <m/>
    <m/>
    <m/>
    <m/>
    <n v="0"/>
    <n v="1"/>
    <n v="4"/>
    <n v="0"/>
    <n v="0"/>
    <n v="0"/>
    <n v="0"/>
    <n v="0"/>
    <n v="1"/>
    <n v="4"/>
    <n v="0"/>
    <n v="0"/>
    <n v="0"/>
    <n v="0"/>
    <n v="0"/>
    <n v="0"/>
    <n v="0"/>
    <n v="0"/>
    <n v="0"/>
    <n v="0"/>
    <n v="0"/>
    <n v="0"/>
    <n v="0"/>
    <n v="0"/>
    <n v="0"/>
    <n v="0"/>
    <n v="0"/>
    <n v="0"/>
    <m/>
    <m/>
    <s v="Wandle Valley"/>
    <n v="11"/>
    <n v="5"/>
    <m/>
    <m/>
    <m/>
    <m/>
    <m/>
    <m/>
    <m/>
    <m/>
    <m/>
    <m/>
    <m/>
    <m/>
    <m/>
    <m/>
    <m/>
    <m/>
    <m/>
    <m/>
    <m/>
    <n v="0"/>
    <n v="0"/>
  </r>
  <r>
    <n v="3938"/>
    <x v="0"/>
    <s v="2021/3086"/>
    <s v="Sleaford Street Industrial Estate &amp; Dairy Crest Distribution Depot, Sleaford Street (Battersea Power Station Phase 4A)"/>
    <s v="Phase 4A (A1.1, A1.2 and A1.3)"/>
    <n v="529318"/>
    <n v="177190"/>
    <s v="Nine Elms"/>
    <d v="2016-05-16T00:00:00"/>
    <d v="2023-10-11T00:00:00"/>
    <n v="0"/>
    <n v="168"/>
    <n v="168"/>
    <n v="386"/>
    <n v="386"/>
    <s v="Y"/>
    <s v="Application under Section 96a of the Town and Country Planning Act 1990 for non-material amendments (variation to Condition 11 (approved drawings) to vary the mix of housing types to provide 10% M4(3) wheelchair user dwellings) to planning permission 2016/3778, dated 21/11/2016 for &quot;Application under Section 73 of the Town and Country Planning Act (as amended) for Amendments to planning permission (ref: 2015/3555) dated 3rd December 2015 (as amended by 19th April 2016 approval for non-material amendments under Section 96A - ref: 2016/2065) for the demolition of all existing buildings, and construction of seven new buildings of between 1-storey and 18-storeys, containing residential units; non-residential institution (D1) floorspace; business (B1) floorspace; retail/restaurant &amp; cafe (A1/A3) floorspace); and an electricity substation. The proposals include vehicle/cycle parking, plant, the alteration of the vehicle access from Thessaly Road, and associated works and landscaping. (The Amendments include removal of the primary electricity substation; removal of the basement level; provision of car and cycle parking at grade; replacement of flexible B1/C3 use on ground floor of Block A2 with B1 use and flexible A1/A3/B1 use; reconfiguration of health centre; revised finished floor level to Block A1; reduction in footprint of Block A2; minor alterations to elevations; and reconfiguration of internal layouts resulting in changes to unit and tenure mix and 12 additional residential units overall). An Environmental Statement has been submitted with the application under the Town and Country Planning (Environmental Impact Assessment) Regulations 2011 (as amended 2015)&quot;"/>
    <s v="S96A"/>
    <d v="2021-06-28T00:00:00"/>
    <d v="2021-07-26T00:00:00"/>
    <m/>
    <s v="Nil"/>
    <m/>
    <s v="BF"/>
    <s v="NB"/>
    <x v="1"/>
    <x v="0"/>
    <n v="0.309"/>
    <d v="2019-03-25T00:00:00"/>
    <x v="0"/>
    <d v="2023-10-11T00:00:00"/>
    <s v="Social/Affordable Rent"/>
    <s v="AL"/>
    <s v="2.1.14"/>
    <m/>
    <m/>
    <n v="147"/>
    <m/>
    <n v="21"/>
    <n v="2"/>
    <n v="60"/>
    <n v="44"/>
    <n v="30"/>
    <n v="32"/>
    <n v="0"/>
    <n v="0"/>
    <n v="2"/>
    <n v="60"/>
    <n v="44"/>
    <n v="30"/>
    <n v="32"/>
    <n v="0"/>
    <n v="0"/>
    <n v="0"/>
    <n v="0"/>
    <n v="0"/>
    <n v="0"/>
    <n v="0"/>
    <n v="0"/>
    <n v="0"/>
    <n v="0"/>
    <n v="0"/>
    <n v="0"/>
    <n v="0"/>
    <n v="0"/>
    <n v="0"/>
    <n v="0"/>
    <m/>
    <s v="Y"/>
    <s v="Nine Elms"/>
    <n v="1"/>
    <n v="168"/>
    <m/>
    <m/>
    <m/>
    <m/>
    <m/>
    <m/>
    <m/>
    <m/>
    <m/>
    <m/>
    <m/>
    <m/>
    <m/>
    <m/>
    <m/>
    <m/>
    <m/>
    <m/>
    <m/>
    <n v="0"/>
    <n v="0"/>
  </r>
  <r>
    <n v="3938"/>
    <x v="0"/>
    <s v="2021/3086"/>
    <s v="Sleaford Street Industrial Estate &amp; Dairy Crest Distribution Depot, Sleaford Street (Battersea Power Station Phase 4A)"/>
    <s v="Phase 4A (A2 and A3)"/>
    <n v="529318"/>
    <n v="177190"/>
    <s v="Nine Elms"/>
    <d v="2016-05-16T00:00:00"/>
    <d v="2023-10-11T00:00:00"/>
    <n v="0"/>
    <n v="82"/>
    <n v="82"/>
    <n v="386"/>
    <n v="386"/>
    <s v="Y"/>
    <s v="Application under Section 96a of the Town and Country Planning Act 1990 for non-material amendments (variation to Condition 11 (approved drawings) to vary the mix of housing types to provide 10% M4(3) wheelchair user dwellings) to planning permission 2016/3778, dated 21/11/2016 for &quot;Application under Section 73 of the Town and Country Planning Act (as amended) for Amendments to planning permission (ref: 2015/3555) dated 3rd December 2015 (as amended by 19th April 2016 approval for non-material amendments under Section 96A - ref: 2016/2065) for the demolition of all existing buildings, and construction of seven new buildings of between 1-storey and 18-storeys, containing residential units; non-residential institution (D1) floorspace; business (B1) floorspace; retail/restaurant &amp; cafe (A1/A3) floorspace); and an electricity substation. The proposals include vehicle/cycle parking, plant, the alteration of the vehicle access from Thessaly Road, and associated works and landscaping. (The Amendments include removal of the primary electricity substation; removal of the basement level; provision of car and cycle parking at grade; replacement of flexible B1/C3 use on ground floor of Block A2 with B1 use and flexible A1/A3/B1 use; reconfiguration of health centre; revised finished floor level to Block A1; reduction in footprint of Block A2; minor alterations to elevations; and reconfiguration of internal layouts resulting in changes to unit and tenure mix and 12 additional residential units overall). An Environmental Statement has been submitted with the application under the Town and Country Planning (Environmental Impact Assessment) Regulations 2011 (as amended 2015)&quot;"/>
    <s v="S96A"/>
    <d v="2021-06-28T00:00:00"/>
    <d v="2021-07-26T00:00:00"/>
    <m/>
    <s v="Nil"/>
    <m/>
    <s v="BF"/>
    <s v="NB"/>
    <x v="1"/>
    <x v="0"/>
    <n v="0.151"/>
    <d v="2019-03-25T00:00:00"/>
    <x v="0"/>
    <d v="2023-10-11T00:00:00"/>
    <s v="Social/Affordable Rent"/>
    <s v="AL"/>
    <s v="2.1.14"/>
    <m/>
    <m/>
    <n v="77"/>
    <m/>
    <n v="5"/>
    <n v="0"/>
    <n v="0"/>
    <n v="40"/>
    <n v="39"/>
    <n v="3"/>
    <n v="0"/>
    <n v="0"/>
    <n v="0"/>
    <n v="0"/>
    <n v="40"/>
    <n v="39"/>
    <n v="3"/>
    <n v="0"/>
    <n v="0"/>
    <n v="0"/>
    <n v="0"/>
    <n v="0"/>
    <n v="0"/>
    <n v="0"/>
    <n v="0"/>
    <n v="0"/>
    <n v="0"/>
    <n v="0"/>
    <n v="0"/>
    <n v="0"/>
    <n v="0"/>
    <n v="0"/>
    <n v="0"/>
    <m/>
    <s v="Y"/>
    <s v="Nine Elms"/>
    <n v="1"/>
    <n v="82"/>
    <m/>
    <m/>
    <m/>
    <m/>
    <m/>
    <m/>
    <m/>
    <m/>
    <m/>
    <m/>
    <m/>
    <m/>
    <m/>
    <m/>
    <m/>
    <m/>
    <m/>
    <m/>
    <m/>
    <n v="0"/>
    <n v="0"/>
  </r>
  <r>
    <n v="7787"/>
    <x v="0"/>
    <s v="2021/3294"/>
    <s v="34 Rogers Road"/>
    <s v=""/>
    <n v="527051"/>
    <n v="171896"/>
    <s v="Tooting Broadway"/>
    <d v="2023-04-01T00:00:00"/>
    <d v="2023-04-01T00:00:00"/>
    <n v="1"/>
    <n v="0"/>
    <n v="-1"/>
    <n v="0"/>
    <n v="-1"/>
    <m/>
    <s v="Change of use from House of Multiple Occupation (Class C4) for up to 6 occupants to House of Multiple Occupation (Sui generis) for up to 10 occupants and provision of cycle and refuse storage within the front garden."/>
    <s v="PF"/>
    <d v="2021-07-27T00:00:00"/>
    <d v="2021-09-21T00:00:00"/>
    <m/>
    <s v="Nil"/>
    <m/>
    <s v="BF"/>
    <s v="COU"/>
    <x v="2"/>
    <x v="9"/>
    <n v="0.182"/>
    <d v="2023-04-01T00:00:00"/>
    <x v="1"/>
    <d v="2023-04-01T00:00:00"/>
    <s v="Open Market"/>
    <s v="M"/>
    <s v=""/>
    <m/>
    <m/>
    <m/>
    <m/>
    <m/>
    <n v="0"/>
    <n v="0"/>
    <n v="0"/>
    <n v="0"/>
    <n v="0"/>
    <n v="-1"/>
    <n v="0"/>
    <n v="0"/>
    <n v="0"/>
    <n v="0"/>
    <n v="0"/>
    <n v="0"/>
    <n v="-1"/>
    <n v="0"/>
    <n v="0"/>
    <n v="0"/>
    <n v="0"/>
    <n v="0"/>
    <n v="0"/>
    <n v="0"/>
    <n v="0"/>
    <n v="0"/>
    <n v="0"/>
    <n v="0"/>
    <n v="0"/>
    <n v="0"/>
    <n v="0"/>
    <n v="0"/>
    <m/>
    <m/>
    <s v="Rest of Borough"/>
    <n v="11"/>
    <n v="-1"/>
    <m/>
    <m/>
    <m/>
    <m/>
    <m/>
    <m/>
    <m/>
    <m/>
    <m/>
    <m/>
    <m/>
    <m/>
    <m/>
    <m/>
    <m/>
    <m/>
    <m/>
    <m/>
    <m/>
    <n v="0"/>
    <n v="0"/>
  </r>
  <r>
    <n v="6381"/>
    <x v="0"/>
    <s v="2021/3335"/>
    <s v="189b Balham High Road"/>
    <s v=""/>
    <n v="528420"/>
    <n v="173036"/>
    <s v="South Balham"/>
    <d v="2022-07-31T00:00:00"/>
    <d v="2024-01-25T00:00:00"/>
    <n v="0"/>
    <n v="1"/>
    <n v="1"/>
    <n v="1"/>
    <n v="1"/>
    <m/>
    <s v="Change of use from storage facility (Class B8) to a single family dwelling house (Class C3) including external alterations."/>
    <s v="PF"/>
    <d v="2021-08-25T00:00:00"/>
    <d v="2022-01-17T00:00:00"/>
    <m/>
    <s v="Nil"/>
    <m/>
    <s v="BF"/>
    <s v="COU"/>
    <x v="2"/>
    <x v="8"/>
    <n v="6.0000000000000001E-3"/>
    <d v="2022-07-31T00:00:00"/>
    <x v="0"/>
    <d v="2024-01-25T00:00:00"/>
    <s v="Open Market"/>
    <s v="M"/>
    <s v=""/>
    <m/>
    <m/>
    <m/>
    <m/>
    <m/>
    <n v="0"/>
    <n v="0"/>
    <n v="0"/>
    <n v="1"/>
    <n v="0"/>
    <n v="0"/>
    <n v="0"/>
    <n v="0"/>
    <n v="0"/>
    <n v="0"/>
    <n v="0"/>
    <n v="0"/>
    <n v="0"/>
    <n v="0"/>
    <n v="0"/>
    <n v="0"/>
    <n v="0"/>
    <n v="1"/>
    <n v="0"/>
    <n v="0"/>
    <n v="0"/>
    <n v="0"/>
    <n v="0"/>
    <n v="0"/>
    <n v="0"/>
    <n v="0"/>
    <n v="0"/>
    <n v="0"/>
    <m/>
    <m/>
    <s v="Rest of Borough"/>
    <n v="11"/>
    <n v="1"/>
    <m/>
    <m/>
    <m/>
    <m/>
    <m/>
    <m/>
    <m/>
    <m/>
    <m/>
    <m/>
    <m/>
    <m/>
    <m/>
    <m/>
    <m/>
    <m/>
    <m/>
    <m/>
    <m/>
    <n v="0"/>
    <n v="0"/>
  </r>
  <r>
    <n v="7624"/>
    <x v="0"/>
    <s v="2021/3621"/>
    <s v="26 Dalebury Road"/>
    <s v=""/>
    <n v="527535"/>
    <n v="172689"/>
    <s v="Trinity"/>
    <d v="2023-03-31T00:00:00"/>
    <d v="2023-04-01T00:00:00"/>
    <n v="2"/>
    <n v="1"/>
    <n v="-1"/>
    <n v="1"/>
    <n v="-1"/>
    <m/>
    <s v="Conversion of two flats into single dwelling house."/>
    <s v="PF"/>
    <d v="2021-08-02T00:00:00"/>
    <d v="2021-12-15T00:00:00"/>
    <m/>
    <s v="Nil"/>
    <m/>
    <s v="BF"/>
    <s v="CON"/>
    <x v="2"/>
    <x v="11"/>
    <n v="8.7226600000000001E-3"/>
    <d v="2023-03-31T00:00:00"/>
    <x v="0"/>
    <d v="2023-04-01T00:00:00"/>
    <s v="Open Market"/>
    <s v="M"/>
    <s v=""/>
    <m/>
    <m/>
    <m/>
    <m/>
    <m/>
    <n v="0"/>
    <n v="0"/>
    <n v="-1"/>
    <n v="0"/>
    <n v="0"/>
    <n v="0"/>
    <n v="0"/>
    <n v="0"/>
    <n v="0"/>
    <n v="-1"/>
    <n v="0"/>
    <n v="0"/>
    <n v="-1"/>
    <n v="0"/>
    <n v="0"/>
    <n v="0"/>
    <n v="0"/>
    <n v="0"/>
    <n v="0"/>
    <n v="1"/>
    <n v="0"/>
    <n v="0"/>
    <n v="0"/>
    <n v="0"/>
    <n v="0"/>
    <n v="0"/>
    <n v="0"/>
    <n v="0"/>
    <m/>
    <m/>
    <s v="Rest of Borough"/>
    <n v="11"/>
    <n v="-1"/>
    <m/>
    <m/>
    <m/>
    <m/>
    <m/>
    <m/>
    <m/>
    <m/>
    <m/>
    <m/>
    <m/>
    <m/>
    <m/>
    <m/>
    <m/>
    <m/>
    <m/>
    <m/>
    <m/>
    <n v="0"/>
    <n v="0"/>
  </r>
  <r>
    <n v="7327"/>
    <x v="0"/>
    <s v="2021/3791"/>
    <s v="44 and 46, Alfriston Road"/>
    <s v=""/>
    <n v="527931"/>
    <n v="174869"/>
    <s v="Northcote"/>
    <d v="2022-01-10T00:00:00"/>
    <d v="2024-01-09T00:00:00"/>
    <n v="2"/>
    <n v="2"/>
    <n v="0"/>
    <n v="2"/>
    <n v="0"/>
    <m/>
    <s v="Demolition of existing houses and erection of 2 x three-storey (plus basement) terraced houses and associated single-storey outbuildings, landscaping and boundary treatment."/>
    <s v="PF"/>
    <d v="2021-08-11T00:00:00"/>
    <d v="2021-11-23T00:00:00"/>
    <m/>
    <s v="Nil"/>
    <m/>
    <s v="BF"/>
    <s v="NB"/>
    <x v="2"/>
    <x v="3"/>
    <n v="1.4999999999999999E-2"/>
    <d v="2022-01-10T00:00:00"/>
    <x v="0"/>
    <d v="2024-01-09T00:00:00"/>
    <s v="Open Market"/>
    <s v="M"/>
    <s v=""/>
    <m/>
    <m/>
    <m/>
    <m/>
    <m/>
    <n v="0"/>
    <n v="0"/>
    <n v="-2"/>
    <n v="0"/>
    <n v="2"/>
    <n v="0"/>
    <n v="0"/>
    <n v="0"/>
    <n v="0"/>
    <n v="-2"/>
    <n v="0"/>
    <n v="2"/>
    <n v="0"/>
    <n v="0"/>
    <n v="0"/>
    <n v="0"/>
    <n v="0"/>
    <n v="0"/>
    <n v="0"/>
    <n v="0"/>
    <n v="0"/>
    <n v="0"/>
    <n v="0"/>
    <n v="0"/>
    <n v="0"/>
    <n v="0"/>
    <n v="0"/>
    <n v="0"/>
    <m/>
    <m/>
    <s v="Rest of Borough"/>
    <n v="1"/>
    <n v="0"/>
    <m/>
    <m/>
    <m/>
    <m/>
    <m/>
    <m/>
    <m/>
    <m/>
    <m/>
    <m/>
    <m/>
    <m/>
    <m/>
    <m/>
    <m/>
    <m/>
    <m/>
    <m/>
    <m/>
    <n v="0"/>
    <n v="0"/>
  </r>
  <r>
    <n v="4257"/>
    <x v="0"/>
    <s v="2021/4289"/>
    <s v="50-52 Upper Tooting Road"/>
    <s v=""/>
    <n v="527846"/>
    <n v="172221"/>
    <s v="Tooting Bec"/>
    <d v="2022-03-31T00:00:00"/>
    <d v="2023-05-23T00:00:00"/>
    <n v="2"/>
    <n v="0"/>
    <n v="-2"/>
    <n v="0"/>
    <n v="-2"/>
    <m/>
    <s v="Alterations including demolition of single storey rear extensions and outbuildings at rear of Nos.50-52 and part change of use of rear ground floors from takeaway (Sui Generis) to HMO (Sui Generis) at No.50 and from retail (Class E) to HMO (Sui Generis) at No.52.  Erection of single storey side/rear extension at No.52, erection of two-storey rear extensions and extensions over part of back additions at Nos.50-52, increased height of extract flue in connection with creation of a 13 rooms House of Multiple Occupation."/>
    <s v="PF"/>
    <d v="2021-10-08T00:00:00"/>
    <d v="2022-02-03T00:00:00"/>
    <m/>
    <s v="Nil"/>
    <m/>
    <s v="BF"/>
    <s v="MIX"/>
    <x v="2"/>
    <x v="7"/>
    <n v="0"/>
    <d v="2022-03-31T00:00:00"/>
    <x v="0"/>
    <d v="2023-05-23T00:00:00"/>
    <s v="Open Market"/>
    <s v="MR"/>
    <s v=""/>
    <m/>
    <m/>
    <m/>
    <m/>
    <m/>
    <n v="0"/>
    <n v="0"/>
    <n v="0"/>
    <n v="0"/>
    <n v="0"/>
    <n v="-2"/>
    <n v="0"/>
    <n v="0"/>
    <n v="0"/>
    <n v="0"/>
    <n v="0"/>
    <n v="0"/>
    <n v="-2"/>
    <n v="0"/>
    <n v="0"/>
    <n v="0"/>
    <n v="0"/>
    <n v="0"/>
    <n v="0"/>
    <n v="0"/>
    <n v="0"/>
    <n v="0"/>
    <n v="0"/>
    <n v="0"/>
    <n v="0"/>
    <n v="0"/>
    <n v="0"/>
    <n v="0"/>
    <m/>
    <m/>
    <s v="Rest of Borough"/>
    <n v="11"/>
    <n v="-2"/>
    <m/>
    <m/>
    <m/>
    <m/>
    <m/>
    <m/>
    <m/>
    <m/>
    <m/>
    <m/>
    <m/>
    <m/>
    <m/>
    <m/>
    <m/>
    <m/>
    <m/>
    <m/>
    <m/>
    <n v="0"/>
    <n v="0"/>
  </r>
  <r>
    <n v="7730"/>
    <x v="0"/>
    <s v="2021/4534"/>
    <s v="99 Lacy Road (Guildford House)"/>
    <s v=""/>
    <n v="523735"/>
    <n v="175468"/>
    <s v="Thamesfield"/>
    <d v="2022-09-05T00:00:00"/>
    <d v="2023-09-08T00:00:00"/>
    <n v="0"/>
    <n v="1"/>
    <n v="1"/>
    <n v="1"/>
    <n v="1"/>
    <m/>
    <s v="Formation of a new 2-bedroom dwelling at lower ground floor level."/>
    <s v="PF"/>
    <d v="2021-10-04T00:00:00"/>
    <d v="2022-02-23T00:00:00"/>
    <m/>
    <s v="Nil"/>
    <m/>
    <s v="BF"/>
    <s v="CON"/>
    <x v="2"/>
    <x v="8"/>
    <n v="6.0000000000000001E-3"/>
    <d v="2022-09-05T00:00:00"/>
    <x v="0"/>
    <d v="2023-09-08T00:00:00"/>
    <s v="Open Market"/>
    <s v="M"/>
    <s v=""/>
    <m/>
    <m/>
    <m/>
    <m/>
    <m/>
    <n v="0"/>
    <n v="0"/>
    <n v="1"/>
    <n v="0"/>
    <n v="0"/>
    <n v="0"/>
    <n v="0"/>
    <n v="0"/>
    <n v="0"/>
    <n v="1"/>
    <n v="0"/>
    <n v="0"/>
    <n v="0"/>
    <n v="0"/>
    <n v="0"/>
    <n v="0"/>
    <n v="0"/>
    <n v="0"/>
    <n v="0"/>
    <n v="0"/>
    <n v="0"/>
    <n v="0"/>
    <n v="0"/>
    <n v="0"/>
    <n v="0"/>
    <n v="0"/>
    <n v="0"/>
    <n v="0"/>
    <m/>
    <m/>
    <s v="Rest of Borough"/>
    <n v="11"/>
    <n v="1"/>
    <m/>
    <m/>
    <m/>
    <m/>
    <m/>
    <m/>
    <m/>
    <m/>
    <m/>
    <m/>
    <m/>
    <m/>
    <m/>
    <m/>
    <m/>
    <m/>
    <m/>
    <m/>
    <m/>
    <n v="0"/>
    <n v="0"/>
  </r>
  <r>
    <n v="7781"/>
    <x v="0"/>
    <s v="2021/4551"/>
    <s v="178 Lavender Hill"/>
    <s v=""/>
    <n v="527713"/>
    <n v="175549"/>
    <s v="Shaftesbury &amp; Queenstown"/>
    <d v="2022-04-01T00:00:00"/>
    <d v="2023-04-08T00:00:00"/>
    <n v="1"/>
    <n v="4"/>
    <n v="3"/>
    <n v="4"/>
    <n v="3"/>
    <m/>
    <s v="Alterations including erection of a dormer extension to side and rear roof; two-storey extension above two-storey back addition and part-single/part-two-storey rear extension to back-addition; Formation of a roof terraces/balconies at first, second, third and fourth floors; Partial change of use of basement and ground floor from commercial use class E to residential use class C3 in connection with the creation of 2 x 1 bedroom and 2 x 2 bedroom flats."/>
    <s v="PF"/>
    <d v="2021-10-25T00:00:00"/>
    <d v="2022-03-03T00:00:00"/>
    <m/>
    <s v="Nil"/>
    <m/>
    <s v="BF"/>
    <s v="MIX"/>
    <x v="2"/>
    <x v="1"/>
    <n v="5.3499999999999997E-3"/>
    <d v="2022-04-01T00:00:00"/>
    <x v="0"/>
    <d v="2023-04-08T00:00:00"/>
    <s v="Open Market"/>
    <s v="M"/>
    <s v=""/>
    <m/>
    <m/>
    <m/>
    <m/>
    <m/>
    <n v="0"/>
    <n v="2"/>
    <n v="2"/>
    <n v="0"/>
    <n v="0"/>
    <n v="-1"/>
    <n v="0"/>
    <n v="0"/>
    <n v="2"/>
    <n v="2"/>
    <n v="0"/>
    <n v="0"/>
    <n v="-1"/>
    <n v="0"/>
    <n v="0"/>
    <n v="0"/>
    <n v="0"/>
    <n v="0"/>
    <n v="0"/>
    <n v="0"/>
    <n v="0"/>
    <n v="0"/>
    <n v="0"/>
    <n v="0"/>
    <n v="0"/>
    <n v="0"/>
    <n v="0"/>
    <n v="0"/>
    <s v="Clapham Junction"/>
    <m/>
    <s v="Clapham Junction and York Road / Winstanley Regeneration Area"/>
    <n v="11"/>
    <n v="3"/>
    <m/>
    <m/>
    <m/>
    <m/>
    <m/>
    <m/>
    <m/>
    <m/>
    <m/>
    <m/>
    <m/>
    <m/>
    <m/>
    <m/>
    <m/>
    <m/>
    <m/>
    <m/>
    <m/>
    <n v="0"/>
    <n v="0"/>
  </r>
  <r>
    <n v="4396"/>
    <x v="0"/>
    <s v="2021/4566"/>
    <s v="314 Garratt Lane"/>
    <s v=""/>
    <n v="525854"/>
    <n v="173217"/>
    <s v="Wandle"/>
    <d v="2022-12-08T00:00:00"/>
    <d v="2024-03-28T00:00:00"/>
    <n v="1"/>
    <n v="2"/>
    <n v="1"/>
    <n v="2"/>
    <n v="1"/>
    <m/>
    <s v="Alterations including erection of a roof extension to main rear roof, raising the main roof ridge height by 300mm, and extension above part of the two-storey back addition, in connection with conversion from 1 x 3-bed flat to 2 x 1-bed flats with associated refuse and cycle storage. (Amended drawings received.)"/>
    <s v="PF"/>
    <d v="2021-11-08T00:00:00"/>
    <d v="2022-03-04T00:00:00"/>
    <m/>
    <s v="Nil"/>
    <m/>
    <s v="BF"/>
    <s v="MIX"/>
    <x v="2"/>
    <x v="7"/>
    <n v="3.0000000000000001E-3"/>
    <d v="2022-12-08T00:00:00"/>
    <x v="0"/>
    <d v="2024-03-28T00:00:00"/>
    <s v="Open Market"/>
    <s v="M"/>
    <s v=""/>
    <m/>
    <m/>
    <m/>
    <m/>
    <m/>
    <n v="0"/>
    <n v="2"/>
    <n v="0"/>
    <n v="-1"/>
    <n v="0"/>
    <n v="0"/>
    <n v="0"/>
    <n v="0"/>
    <n v="2"/>
    <n v="0"/>
    <n v="-1"/>
    <n v="0"/>
    <n v="0"/>
    <n v="0"/>
    <n v="0"/>
    <n v="0"/>
    <n v="0"/>
    <n v="0"/>
    <n v="0"/>
    <n v="0"/>
    <n v="0"/>
    <n v="0"/>
    <n v="0"/>
    <n v="0"/>
    <n v="0"/>
    <n v="0"/>
    <n v="0"/>
    <n v="0"/>
    <m/>
    <m/>
    <s v="Wandle Valley"/>
    <n v="11"/>
    <n v="1"/>
    <m/>
    <m/>
    <m/>
    <m/>
    <m/>
    <m/>
    <m/>
    <m/>
    <m/>
    <m/>
    <m/>
    <m/>
    <m/>
    <m/>
    <m/>
    <m/>
    <m/>
    <m/>
    <m/>
    <n v="0"/>
    <n v="0"/>
  </r>
  <r>
    <n v="7593"/>
    <x v="0"/>
    <s v="2021/4567"/>
    <s v="285-287 Putney Bridge Road"/>
    <s v=""/>
    <n v="524313"/>
    <n v="175351"/>
    <s v="Thamesfield"/>
    <d v="2022-03-31T00:00:00"/>
    <m/>
    <n v="0"/>
    <n v="2"/>
    <n v="2"/>
    <n v="3"/>
    <n v="3"/>
    <m/>
    <s v="Change of use of the ground floor and basement levels from retail/restaurant (Class E)  into residential (Class C3) to provide 2 x 2-bedroom and 1 x 3-bedroom flats and formation of lightwells to rear and side. (Amendments to previous permission ref 2021/0535 dated 31/03/21 to amend the layouts of the flats)."/>
    <s v="PF"/>
    <d v="2021-10-05T00:00:00"/>
    <d v="2021-12-23T00:00:00"/>
    <m/>
    <s v="Nil"/>
    <m/>
    <s v="BF"/>
    <s v="MIX"/>
    <x v="2"/>
    <x v="4"/>
    <n v="1.7999999999999999E-2"/>
    <d v="2022-03-31T00:00:00"/>
    <x v="0"/>
    <d v="2023-09-30T00:00:00"/>
    <s v="Open Market"/>
    <s v="M"/>
    <s v=""/>
    <m/>
    <m/>
    <m/>
    <m/>
    <m/>
    <n v="0"/>
    <n v="0"/>
    <n v="2"/>
    <n v="0"/>
    <n v="0"/>
    <n v="0"/>
    <n v="0"/>
    <n v="0"/>
    <n v="0"/>
    <n v="2"/>
    <n v="0"/>
    <n v="0"/>
    <n v="0"/>
    <n v="0"/>
    <n v="0"/>
    <n v="0"/>
    <n v="0"/>
    <n v="0"/>
    <n v="0"/>
    <n v="0"/>
    <n v="0"/>
    <n v="0"/>
    <n v="0"/>
    <n v="0"/>
    <n v="0"/>
    <n v="0"/>
    <n v="0"/>
    <n v="0"/>
    <m/>
    <m/>
    <s v="Rest of Borough"/>
    <n v="11"/>
    <n v="2"/>
    <m/>
    <m/>
    <m/>
    <m/>
    <m/>
    <m/>
    <m/>
    <m/>
    <m/>
    <m/>
    <m/>
    <m/>
    <m/>
    <m/>
    <m/>
    <m/>
    <m/>
    <m/>
    <m/>
    <n v="0"/>
    <n v="0"/>
  </r>
  <r>
    <n v="7361"/>
    <x v="0"/>
    <s v="2021/4589"/>
    <s v="1 Podmore Road"/>
    <s v=""/>
    <n v="526027"/>
    <n v="175089"/>
    <s v="Wandsworth Town"/>
    <d v="2022-07-15T00:00:00"/>
    <d v="2023-05-05T00:00:00"/>
    <n v="1"/>
    <n v="2"/>
    <n v="1"/>
    <n v="2"/>
    <n v="1"/>
    <m/>
    <s v="Alterations including erection of front and rear roof extension to provide an additional floor of accommodation to create 1 x1 bedroom flat."/>
    <s v="PF"/>
    <d v="2021-10-06T00:00:00"/>
    <d v="2022-05-03T00:00:00"/>
    <m/>
    <s v="Nil"/>
    <m/>
    <s v="BF"/>
    <s v="EXT"/>
    <x v="2"/>
    <x v="7"/>
    <n v="3.0000000000000001E-3"/>
    <d v="2022-07-15T00:00:00"/>
    <x v="0"/>
    <d v="2023-05-05T00:00:00"/>
    <s v="Open Market"/>
    <s v="M"/>
    <s v=""/>
    <m/>
    <m/>
    <m/>
    <m/>
    <m/>
    <n v="0"/>
    <n v="1"/>
    <n v="0"/>
    <n v="0"/>
    <n v="0"/>
    <n v="0"/>
    <n v="0"/>
    <n v="0"/>
    <n v="1"/>
    <n v="0"/>
    <n v="0"/>
    <n v="0"/>
    <n v="0"/>
    <n v="0"/>
    <n v="0"/>
    <n v="0"/>
    <n v="0"/>
    <n v="0"/>
    <n v="0"/>
    <n v="0"/>
    <n v="0"/>
    <n v="0"/>
    <n v="0"/>
    <n v="0"/>
    <n v="0"/>
    <n v="0"/>
    <n v="0"/>
    <n v="0"/>
    <m/>
    <m/>
    <s v="Wandsworth Town, including the Wandle Delta Masterplan Area"/>
    <n v="11"/>
    <n v="1"/>
    <m/>
    <m/>
    <m/>
    <m/>
    <m/>
    <m/>
    <m/>
    <m/>
    <m/>
    <m/>
    <m/>
    <m/>
    <m/>
    <m/>
    <m/>
    <m/>
    <m/>
    <m/>
    <m/>
    <n v="0"/>
    <n v="0"/>
  </r>
  <r>
    <n v="536"/>
    <x v="0"/>
    <s v="2021/4727"/>
    <s v="Argylle House, 1a All Saints Passage"/>
    <s v=""/>
    <n v="525441"/>
    <n v="174750"/>
    <s v="Wandsworth Town"/>
    <d v="2022-02-03T00:00:00"/>
    <d v="2024-03-06T00:00:00"/>
    <n v="4"/>
    <n v="16"/>
    <n v="12"/>
    <n v="17"/>
    <n v="13"/>
    <s v="Y"/>
    <s v="Variation of conditions 2 (in accordance with drawings) and 3 (materials) pursuant to planning permission dated 30/01/2020 ref 2016/7216 (Demolition of the existing building and construction of a part 4 part 5 storey building providing 17 residential units and 106sqm flexible B1 commercial floorspace with communal external amenity space at fourth floor level) to allow minor changes to the appearance of the building, layout of commercial waste and cycle stores and to change the wording of Condition 3 to include compliance trigger instead of pre-commencement."/>
    <s v="S73"/>
    <d v="2021-10-14T00:00:00"/>
    <d v="2022-06-21T00:00:00"/>
    <m/>
    <s v="Nil"/>
    <m/>
    <s v="BF"/>
    <s v="NB"/>
    <x v="1"/>
    <x v="0"/>
    <n v="4.3999999999999997E-2"/>
    <d v="2022-02-03T00:00:00"/>
    <x v="0"/>
    <d v="2024-03-06T00:00:00"/>
    <s v="Open Market"/>
    <s v="M"/>
    <s v=""/>
    <m/>
    <m/>
    <n v="15"/>
    <m/>
    <n v="1"/>
    <n v="2"/>
    <n v="2"/>
    <n v="7"/>
    <n v="1"/>
    <n v="0"/>
    <n v="0"/>
    <n v="0"/>
    <n v="2"/>
    <n v="2"/>
    <n v="7"/>
    <n v="1"/>
    <n v="0"/>
    <n v="0"/>
    <n v="0"/>
    <n v="0"/>
    <n v="0"/>
    <n v="0"/>
    <n v="0"/>
    <n v="0"/>
    <n v="0"/>
    <n v="0"/>
    <n v="0"/>
    <n v="0"/>
    <n v="0"/>
    <n v="0"/>
    <n v="0"/>
    <n v="0"/>
    <n v="0"/>
    <s v="Wandsworth"/>
    <m/>
    <s v="Wandsworth Town, including the Wandle Delta Masterplan Area"/>
    <n v="1"/>
    <n v="12"/>
    <m/>
    <m/>
    <m/>
    <m/>
    <m/>
    <m/>
    <m/>
    <m/>
    <m/>
    <m/>
    <m/>
    <m/>
    <m/>
    <m/>
    <m/>
    <m/>
    <m/>
    <m/>
    <m/>
    <n v="0"/>
    <n v="0"/>
  </r>
  <r>
    <n v="536"/>
    <x v="0"/>
    <s v="2021/4727"/>
    <s v="Argylle House, 1a All Saints Passage"/>
    <s v="1 x 3 unit @ g/f rear of commercial"/>
    <n v="525441"/>
    <n v="174750"/>
    <s v="Wandsworth Town"/>
    <d v="2022-02-03T00:00:00"/>
    <d v="2024-03-06T00:00:00"/>
    <n v="0"/>
    <n v="1"/>
    <n v="1"/>
    <n v="17"/>
    <n v="13"/>
    <s v="Y"/>
    <s v="Variation of conditions 2 (in accordance with drawings) and 3 (materials) pursuant to planning permission dated 30/01/2020 ref 2016/7216 (Demolition of the existing building and construction of a part 4 part 5 storey building providing 17 residential units and 106sqm flexible B1 commercial floorspace with communal external amenity space at fourth floor level) to allow minor changes to the appearance of the building, layout of commercial waste and cycle stores and to change the wording of Condition 3 to include compliance trigger instead of pre-commencement."/>
    <s v="S73"/>
    <d v="2021-10-14T00:00:00"/>
    <d v="2022-06-21T00:00:00"/>
    <m/>
    <s v="Nil"/>
    <m/>
    <s v="BF"/>
    <s v="NB"/>
    <x v="1"/>
    <x v="0"/>
    <n v="3.0000000000000001E-3"/>
    <d v="2022-02-03T00:00:00"/>
    <x v="0"/>
    <d v="2024-03-06T00:00:00"/>
    <s v="Open Market"/>
    <s v="M"/>
    <s v=""/>
    <m/>
    <m/>
    <n v="1"/>
    <m/>
    <m/>
    <n v="0"/>
    <n v="0"/>
    <n v="0"/>
    <n v="1"/>
    <n v="0"/>
    <n v="0"/>
    <n v="0"/>
    <n v="0"/>
    <n v="0"/>
    <n v="0"/>
    <n v="1"/>
    <n v="0"/>
    <n v="0"/>
    <n v="0"/>
    <n v="0"/>
    <n v="0"/>
    <n v="0"/>
    <n v="0"/>
    <n v="0"/>
    <n v="0"/>
    <n v="0"/>
    <n v="0"/>
    <n v="0"/>
    <n v="0"/>
    <n v="0"/>
    <n v="0"/>
    <n v="0"/>
    <n v="0"/>
    <s v="Wandsworth"/>
    <m/>
    <s v="Wandsworth Town, including the Wandle Delta Masterplan Area"/>
    <n v="1"/>
    <n v="1"/>
    <m/>
    <m/>
    <m/>
    <m/>
    <m/>
    <m/>
    <m/>
    <m/>
    <m/>
    <m/>
    <m/>
    <m/>
    <m/>
    <m/>
    <m/>
    <m/>
    <m/>
    <m/>
    <m/>
    <n v="0"/>
    <n v="0"/>
  </r>
  <r>
    <n v="7689"/>
    <x v="0"/>
    <s v="2021/4782"/>
    <s v="547 Old York Road"/>
    <s v=""/>
    <n v="525880"/>
    <n v="174953"/>
    <s v="Wandsworth Town"/>
    <d v="2022-12-19T00:00:00"/>
    <d v="2024-02-21T00:00:00"/>
    <n v="1"/>
    <n v="3"/>
    <n v="2"/>
    <n v="3"/>
    <n v="2"/>
    <m/>
    <s v="Alterations including erection of a front dormer and a rear mansard roof extension (with French doors and safety railing) to main roof; extension above part of the two-storey back addition; erection of a single storey rear/side extension and formation of a first floor rear roof terrace with glazed screen; removal of window and installation of French doors and safety railing to first floor rear elevation; installation of a new shopfront and front access to upper floors; associated refuse and cycle storage, in connection with use of upper floors as 2 x 2- bed and 1 x 1-bed flats plus 1 x commercial unit (Class E) on part of the ground floor and basement levels."/>
    <s v="PF"/>
    <d v="2021-10-18T00:00:00"/>
    <d v="2021-12-13T00:00:00"/>
    <m/>
    <s v="Nil"/>
    <m/>
    <s v="BF"/>
    <s v="COU"/>
    <x v="2"/>
    <x v="7"/>
    <n v="7.0000000000000001E-3"/>
    <d v="2022-12-19T00:00:00"/>
    <x v="0"/>
    <d v="2024-02-21T00:00:00"/>
    <s v="Open Market"/>
    <s v="M"/>
    <s v=""/>
    <m/>
    <m/>
    <m/>
    <m/>
    <m/>
    <n v="0"/>
    <n v="1"/>
    <n v="2"/>
    <n v="-1"/>
    <n v="0"/>
    <n v="0"/>
    <n v="0"/>
    <n v="0"/>
    <n v="1"/>
    <n v="2"/>
    <n v="0"/>
    <n v="0"/>
    <n v="0"/>
    <n v="0"/>
    <n v="0"/>
    <n v="0"/>
    <n v="0"/>
    <n v="-1"/>
    <n v="0"/>
    <n v="0"/>
    <n v="0"/>
    <n v="0"/>
    <n v="0"/>
    <n v="0"/>
    <n v="0"/>
    <n v="0"/>
    <n v="0"/>
    <n v="0"/>
    <m/>
    <m/>
    <s v="Wandsworth Town, including the Wandle Delta Masterplan Area"/>
    <n v="11"/>
    <n v="2"/>
    <m/>
    <m/>
    <m/>
    <m/>
    <m/>
    <m/>
    <m/>
    <m/>
    <m/>
    <m/>
    <m/>
    <m/>
    <m/>
    <m/>
    <m/>
    <m/>
    <m/>
    <m/>
    <m/>
    <n v="0"/>
    <n v="0"/>
  </r>
  <r>
    <n v="7654"/>
    <x v="0"/>
    <s v="2021/5066"/>
    <s v="468 Garratt Lane"/>
    <s v=""/>
    <n v="526105"/>
    <n v="172633"/>
    <s v="Wandsworth Common"/>
    <d v="2023-03-31T00:00:00"/>
    <d v="2024-03-31T00:00:00"/>
    <n v="1"/>
    <n v="3"/>
    <n v="2"/>
    <n v="3"/>
    <n v="2"/>
    <m/>
    <s v="Alterations including erection of rear extensions at ground, first and second floor levels including raising the main ridge of the roof by 300mm; F ormation of roof terrace at rear first floor and provision of refuse and cycle storage at rear in connection with use of the rear part of the gorund floor and upper floors as  3 x 1-bedroom flats."/>
    <s v="PF"/>
    <d v="2021-11-04T00:00:00"/>
    <d v="2021-12-30T00:00:00"/>
    <m/>
    <s v="Nil"/>
    <m/>
    <s v="BF"/>
    <s v="CON"/>
    <x v="2"/>
    <x v="5"/>
    <n v="3.6075E-3"/>
    <d v="2023-03-31T00:00:00"/>
    <x v="0"/>
    <d v="2024-03-31T00:00:00"/>
    <s v="Open Market"/>
    <s v="M"/>
    <s v=""/>
    <m/>
    <m/>
    <m/>
    <m/>
    <m/>
    <n v="0"/>
    <n v="3"/>
    <n v="-1"/>
    <n v="0"/>
    <n v="0"/>
    <n v="0"/>
    <n v="0"/>
    <n v="0"/>
    <n v="3"/>
    <n v="-1"/>
    <n v="0"/>
    <n v="0"/>
    <n v="0"/>
    <n v="0"/>
    <n v="0"/>
    <n v="0"/>
    <n v="0"/>
    <n v="0"/>
    <n v="0"/>
    <n v="0"/>
    <n v="0"/>
    <n v="0"/>
    <n v="0"/>
    <n v="0"/>
    <n v="0"/>
    <n v="0"/>
    <n v="0"/>
    <n v="0"/>
    <m/>
    <m/>
    <s v="Wandle Valley"/>
    <n v="11"/>
    <n v="2"/>
    <m/>
    <m/>
    <m/>
    <m/>
    <m/>
    <m/>
    <m/>
    <m/>
    <m/>
    <m/>
    <m/>
    <m/>
    <m/>
    <m/>
    <m/>
    <m/>
    <m/>
    <m/>
    <m/>
    <n v="0"/>
    <n v="0"/>
  </r>
  <r>
    <n v="7693"/>
    <x v="0"/>
    <s v="2021/5482"/>
    <s v="17 Haldon Road"/>
    <s v=""/>
    <n v="524931"/>
    <n v="174479"/>
    <s v="East Putney"/>
    <d v="2022-03-31T00:00:00"/>
    <d v="2023-05-18T00:00:00"/>
    <n v="1"/>
    <n v="3"/>
    <n v="2"/>
    <n v="3"/>
    <n v="2"/>
    <m/>
    <s v="Alterations including erection of hip to gable roof extension and rear mansard extension with rear dormer (with french doors and safety railings), erection of roof extension above part of two storey back addition, and single storey side and rear extension. Works in connection with conversion of dwellinghouse into 2 x 3-bedroom and 1 x 1-bedroom flats; refuse and cycle storage proposed for front garden."/>
    <s v="PF"/>
    <d v="2021-12-06T00:00:00"/>
    <d v="2022-01-31T00:00:00"/>
    <m/>
    <s v="Nil"/>
    <m/>
    <s v="BF"/>
    <s v="MIX"/>
    <x v="2"/>
    <x v="10"/>
    <n v="5.0000000000000001E-3"/>
    <d v="2022-03-31T00:00:00"/>
    <x v="0"/>
    <d v="2023-05-18T00:00:00"/>
    <s v="Open Market"/>
    <s v="M"/>
    <s v=""/>
    <m/>
    <m/>
    <m/>
    <m/>
    <m/>
    <n v="0"/>
    <n v="1"/>
    <n v="0"/>
    <n v="2"/>
    <n v="0"/>
    <n v="-1"/>
    <n v="0"/>
    <n v="0"/>
    <n v="1"/>
    <n v="0"/>
    <n v="2"/>
    <n v="0"/>
    <n v="0"/>
    <n v="0"/>
    <n v="0"/>
    <n v="0"/>
    <n v="0"/>
    <n v="0"/>
    <n v="0"/>
    <n v="-1"/>
    <n v="0"/>
    <n v="0"/>
    <n v="0"/>
    <n v="0"/>
    <n v="0"/>
    <n v="0"/>
    <n v="0"/>
    <n v="0"/>
    <m/>
    <m/>
    <s v="Rest of Borough"/>
    <n v="11"/>
    <n v="2"/>
    <m/>
    <m/>
    <m/>
    <m/>
    <m/>
    <m/>
    <m/>
    <m/>
    <m/>
    <m/>
    <m/>
    <m/>
    <m/>
    <m/>
    <m/>
    <m/>
    <m/>
    <m/>
    <m/>
    <n v="0"/>
    <n v="0"/>
  </r>
  <r>
    <n v="7628"/>
    <x v="0"/>
    <s v="2021/5566"/>
    <s v="Bristol Gardens, 4 Portsmouth Road"/>
    <s v=""/>
    <n v="523110"/>
    <n v="173693"/>
    <s v="West Putney"/>
    <d v="2023-06-01T00:00:00"/>
    <d v="2023-08-31T00:00:00"/>
    <n v="3"/>
    <n v="1"/>
    <n v="-2"/>
    <n v="1"/>
    <n v="-2"/>
    <m/>
    <s v="Alterations including demolition of existing garage and erection of a single storey rear extension; various changes to the facades and fenestration; insertion of rooflights and erection of refuse store against eastern boundary, in connection with deconversion to use as a single dwelling."/>
    <s v="PF"/>
    <d v="2022-01-07T00:00:00"/>
    <d v="2022-03-15T00:00:00"/>
    <m/>
    <s v="Nil"/>
    <m/>
    <s v="BF"/>
    <s v="MIX"/>
    <x v="2"/>
    <x v="11"/>
    <n v="1.396E-2"/>
    <d v="2023-06-01T00:00:00"/>
    <x v="1"/>
    <d v="2023-08-31T00:00:00"/>
    <s v="Open Market"/>
    <s v="M"/>
    <s v=""/>
    <m/>
    <m/>
    <m/>
    <m/>
    <m/>
    <n v="0"/>
    <n v="-1"/>
    <n v="-2"/>
    <n v="0"/>
    <n v="0"/>
    <n v="1"/>
    <n v="0"/>
    <n v="0"/>
    <n v="-1"/>
    <n v="-2"/>
    <n v="0"/>
    <n v="0"/>
    <n v="0"/>
    <n v="0"/>
    <n v="0"/>
    <n v="0"/>
    <n v="0"/>
    <n v="0"/>
    <n v="0"/>
    <n v="1"/>
    <n v="0"/>
    <n v="0"/>
    <n v="0"/>
    <n v="0"/>
    <n v="0"/>
    <n v="0"/>
    <n v="0"/>
    <n v="0"/>
    <m/>
    <m/>
    <s v="Rest of Borough"/>
    <n v="11"/>
    <n v="-2"/>
    <m/>
    <m/>
    <m/>
    <m/>
    <m/>
    <m/>
    <m/>
    <m/>
    <m/>
    <m/>
    <m/>
    <m/>
    <m/>
    <m/>
    <m/>
    <m/>
    <m/>
    <m/>
    <m/>
    <n v="0"/>
    <n v="0"/>
  </r>
  <r>
    <n v="7751"/>
    <x v="0"/>
    <s v="2021/5596"/>
    <s v="93 Tooting Bec Road"/>
    <s v=""/>
    <n v="528291"/>
    <n v="172218"/>
    <s v="South Balham"/>
    <d v="2023-03-31T00:00:00"/>
    <d v="2023-08-14T00:00:00"/>
    <n v="1"/>
    <n v="3"/>
    <n v="2"/>
    <n v="3"/>
    <n v="2"/>
    <m/>
    <s v="Alterations including erection of mansard roof extension to main rear roof, formation of roof terrace above two-storey back addition with 1.7m high screen surround, and  single-storey rear/side extension, in connection with conversion of property into  1 x 3-bedroom, 1 x 2-bedroom and 1 x 1-bedroom flats."/>
    <s v="PF"/>
    <d v="2021-12-21T00:00:00"/>
    <d v="2022-02-15T00:00:00"/>
    <m/>
    <s v="Nil"/>
    <m/>
    <s v="BF"/>
    <s v="MIX"/>
    <x v="2"/>
    <x v="10"/>
    <n v="6.0000000000000001E-3"/>
    <d v="2023-03-31T00:00:00"/>
    <x v="0"/>
    <d v="2023-08-14T00:00:00"/>
    <s v="Open Market"/>
    <s v="M"/>
    <s v=""/>
    <m/>
    <m/>
    <m/>
    <m/>
    <m/>
    <n v="0"/>
    <n v="1"/>
    <n v="1"/>
    <n v="1"/>
    <n v="0"/>
    <n v="-1"/>
    <n v="0"/>
    <n v="0"/>
    <n v="1"/>
    <n v="1"/>
    <n v="1"/>
    <n v="0"/>
    <n v="0"/>
    <n v="0"/>
    <n v="0"/>
    <n v="0"/>
    <n v="0"/>
    <n v="0"/>
    <n v="0"/>
    <n v="-1"/>
    <n v="0"/>
    <n v="0"/>
    <n v="0"/>
    <n v="0"/>
    <n v="0"/>
    <n v="0"/>
    <n v="0"/>
    <n v="0"/>
    <m/>
    <m/>
    <s v="Rest of Borough"/>
    <n v="11"/>
    <n v="2"/>
    <m/>
    <m/>
    <m/>
    <m/>
    <m/>
    <m/>
    <m/>
    <m/>
    <m/>
    <m/>
    <m/>
    <m/>
    <m/>
    <m/>
    <m/>
    <m/>
    <m/>
    <m/>
    <m/>
    <n v="0"/>
    <n v="0"/>
  </r>
  <r>
    <n v="7756"/>
    <x v="0"/>
    <s v="2021/5781"/>
    <s v="8 Alderbrook Road"/>
    <s v=""/>
    <n v="528535"/>
    <n v="174164"/>
    <s v="Balham"/>
    <d v="2023-03-31T00:00:00"/>
    <d v="2024-03-04T00:00:00"/>
    <n v="1"/>
    <n v="6"/>
    <n v="5"/>
    <n v="6"/>
    <n v="5"/>
    <m/>
    <s v="Demolition of existing building and erection of three-storey (plus basement and roof levels) building comprising 2 x 1 bedroom flats, 2 x 2-bedroom flats and 2 x 3-bedroom flats with associated landscaping works, cycle parking and refuse storage."/>
    <s v="PF"/>
    <d v="2021-12-22T00:00:00"/>
    <d v="2022-03-28T00:00:00"/>
    <m/>
    <s v="Nil"/>
    <m/>
    <s v="BF"/>
    <s v="NB"/>
    <x v="2"/>
    <x v="3"/>
    <n v="1.439E-2"/>
    <d v="2023-05-23T00:00:00"/>
    <x v="1"/>
    <d v="2024-03-04T00:00:00"/>
    <s v="Open Market"/>
    <s v="M"/>
    <s v=""/>
    <m/>
    <m/>
    <m/>
    <m/>
    <m/>
    <n v="0"/>
    <n v="2"/>
    <n v="2"/>
    <n v="2"/>
    <n v="-1"/>
    <n v="0"/>
    <n v="0"/>
    <n v="0"/>
    <n v="2"/>
    <n v="2"/>
    <n v="2"/>
    <n v="0"/>
    <n v="0"/>
    <n v="0"/>
    <n v="0"/>
    <n v="0"/>
    <n v="0"/>
    <n v="0"/>
    <n v="-1"/>
    <n v="0"/>
    <n v="0"/>
    <n v="0"/>
    <n v="0"/>
    <n v="0"/>
    <n v="0"/>
    <n v="0"/>
    <n v="0"/>
    <n v="0"/>
    <m/>
    <m/>
    <s v="Rest of Borough"/>
    <n v="1"/>
    <n v="5"/>
    <m/>
    <m/>
    <m/>
    <m/>
    <m/>
    <m/>
    <m/>
    <m/>
    <m/>
    <m/>
    <m/>
    <m/>
    <m/>
    <m/>
    <m/>
    <m/>
    <m/>
    <m/>
    <m/>
    <n v="0"/>
    <n v="0"/>
  </r>
  <r>
    <n v="6772"/>
    <x v="0"/>
    <s v="2022/0056"/>
    <s v="30 Bramcote Road"/>
    <s v=""/>
    <n v="522806"/>
    <n v="175115"/>
    <s v="West Putney"/>
    <d v="2022-03-15T00:00:00"/>
    <d v="2023-12-20T00:00:00"/>
    <n v="1"/>
    <n v="1"/>
    <n v="0"/>
    <n v="1"/>
    <n v="0"/>
    <m/>
    <s v="Non-material amendment to planning permission dated 05/04/2019 ref_x000a_ 2018/4926 (Demolition of existing building and erection of a two-storey _x000a_(plus basement and roof levels) 5-bedroom detached house.) to allow _x000a_the basement to be omitted"/>
    <s v="S96A"/>
    <d v="2022-01-07T00:00:00"/>
    <d v="2022-02-24T00:00:00"/>
    <m/>
    <s v="Nil"/>
    <m/>
    <s v="BF"/>
    <s v="NB"/>
    <x v="2"/>
    <x v="3"/>
    <n v="2.7199999999999998E-2"/>
    <d v="2022-03-15T00:00:00"/>
    <x v="0"/>
    <d v="2023-12-20T00:00:00"/>
    <s v="Open Market"/>
    <s v="M"/>
    <s v=""/>
    <m/>
    <m/>
    <m/>
    <m/>
    <m/>
    <n v="0"/>
    <n v="0"/>
    <n v="-1"/>
    <n v="0"/>
    <n v="0"/>
    <n v="1"/>
    <n v="0"/>
    <n v="0"/>
    <n v="0"/>
    <n v="0"/>
    <n v="0"/>
    <n v="0"/>
    <n v="0"/>
    <n v="0"/>
    <n v="0"/>
    <n v="0"/>
    <n v="-1"/>
    <n v="0"/>
    <n v="0"/>
    <n v="1"/>
    <n v="0"/>
    <n v="0"/>
    <n v="0"/>
    <n v="0"/>
    <n v="0"/>
    <n v="0"/>
    <n v="0"/>
    <n v="0"/>
    <m/>
    <m/>
    <s v="Rest of Borough"/>
    <n v="1"/>
    <n v="0"/>
    <m/>
    <m/>
    <m/>
    <m/>
    <m/>
    <m/>
    <m/>
    <m/>
    <m/>
    <m/>
    <m/>
    <m/>
    <m/>
    <m/>
    <m/>
    <m/>
    <m/>
    <m/>
    <m/>
    <n v="0"/>
    <n v="0"/>
  </r>
  <r>
    <n v="7794"/>
    <x v="0"/>
    <s v="2022/0128"/>
    <s v="Upper Floors, 6a York Road"/>
    <s v=""/>
    <n v="527039"/>
    <n v="176160"/>
    <s v="St Mary's"/>
    <d v="2023-01-20T00:00:00"/>
    <d v="2024-03-31T00:00:00"/>
    <n v="1"/>
    <n v="2"/>
    <n v="1"/>
    <n v="2"/>
    <n v="1"/>
    <m/>
    <s v="Alterations including erection of roof extension to create additional floor of accommodation; formation of roof terrace above two-storey back addition with screen surround and conversion of the upper floor flat into 1 x 2-bedroom and 1 x 1-bedroom  flat."/>
    <s v="PF"/>
    <d v="2022-03-04T00:00:00"/>
    <d v="2022-06-22T00:00:00"/>
    <m/>
    <s v="Nil"/>
    <m/>
    <s v="BF"/>
    <s v="MIX"/>
    <x v="2"/>
    <x v="5"/>
    <n v="4.7000000000000002E-3"/>
    <d v="2023-01-20T00:00:00"/>
    <x v="0"/>
    <d v="2024-03-31T00:00:00"/>
    <s v="Open Market"/>
    <s v="M"/>
    <s v=""/>
    <m/>
    <m/>
    <m/>
    <m/>
    <m/>
    <n v="0"/>
    <n v="1"/>
    <n v="1"/>
    <n v="0"/>
    <n v="-1"/>
    <n v="0"/>
    <n v="0"/>
    <n v="0"/>
    <n v="1"/>
    <n v="1"/>
    <n v="0"/>
    <n v="-1"/>
    <n v="0"/>
    <n v="0"/>
    <n v="0"/>
    <n v="0"/>
    <n v="0"/>
    <n v="0"/>
    <n v="0"/>
    <n v="0"/>
    <n v="0"/>
    <n v="0"/>
    <n v="0"/>
    <n v="0"/>
    <n v="0"/>
    <n v="0"/>
    <n v="0"/>
    <n v="0"/>
    <m/>
    <m/>
    <s v="Rest of Borough"/>
    <n v="11"/>
    <n v="1"/>
    <m/>
    <m/>
    <m/>
    <m/>
    <m/>
    <m/>
    <m/>
    <m/>
    <m/>
    <m/>
    <m/>
    <m/>
    <m/>
    <m/>
    <m/>
    <m/>
    <m/>
    <m/>
    <m/>
    <n v="0"/>
    <n v="0"/>
  </r>
  <r>
    <n v="7763"/>
    <x v="0"/>
    <s v="2022/0172"/>
    <s v="34 Roehampton High Street"/>
    <s v=""/>
    <n v="522433"/>
    <n v="173822"/>
    <s v="Roehampton"/>
    <d v="2022-05-16T00:00:00"/>
    <d v="2023-05-15T00:00:00"/>
    <n v="1"/>
    <n v="2"/>
    <n v="1"/>
    <n v="2"/>
    <n v="1"/>
    <m/>
    <s v="Alterations to include the erection of two-storey rear extension, formation of a roof terrace above with opague balustrade. Change of use of part of lower and ground floor commercial space (Class Use E/A3) to form a 2-bedroom flat (Class Use C3)"/>
    <s v="PF"/>
    <d v="2022-02-02T00:00:00"/>
    <d v="2022-03-29T00:00:00"/>
    <m/>
    <s v="Nil"/>
    <m/>
    <s v="BF"/>
    <s v="MIX"/>
    <x v="2"/>
    <x v="8"/>
    <n v="8.6999999999999994E-3"/>
    <d v="2022-05-16T00:00:00"/>
    <x v="0"/>
    <d v="2023-05-15T00:00:00"/>
    <s v="Open Market"/>
    <s v="MR"/>
    <s v=""/>
    <m/>
    <m/>
    <m/>
    <m/>
    <m/>
    <n v="0"/>
    <n v="0"/>
    <n v="1"/>
    <n v="0"/>
    <n v="0"/>
    <n v="0"/>
    <n v="0"/>
    <n v="0"/>
    <n v="0"/>
    <n v="1"/>
    <n v="0"/>
    <n v="0"/>
    <n v="0"/>
    <n v="0"/>
    <n v="0"/>
    <n v="0"/>
    <n v="0"/>
    <n v="0"/>
    <n v="0"/>
    <n v="0"/>
    <n v="0"/>
    <n v="0"/>
    <n v="0"/>
    <n v="0"/>
    <n v="0"/>
    <n v="0"/>
    <n v="0"/>
    <n v="0"/>
    <m/>
    <m/>
    <s v="Roehampton and Alton Estate Regeneration Areea"/>
    <n v="11"/>
    <n v="1"/>
    <m/>
    <m/>
    <m/>
    <m/>
    <m/>
    <m/>
    <m/>
    <m/>
    <m/>
    <m/>
    <m/>
    <m/>
    <m/>
    <m/>
    <m/>
    <m/>
    <m/>
    <m/>
    <m/>
    <n v="0"/>
    <n v="0"/>
  </r>
  <r>
    <n v="5680"/>
    <x v="0"/>
    <s v="2022/0732"/>
    <s v="575 Battersea Park Road"/>
    <s v=""/>
    <n v="527140"/>
    <n v="176148"/>
    <s v="Falconbrook"/>
    <d v="2023-03-31T00:00:00"/>
    <d v="2023-07-06T00:00:00"/>
    <n v="1"/>
    <n v="2"/>
    <n v="1"/>
    <n v="2"/>
    <n v="1"/>
    <m/>
    <s v="Alterations including erection of roof extensions to main rear roof and above two storey back addition, formation of first floor roof terrace with screen surround in connection with conversion of existing flat into 1 x 1-bedroom and 1 x studio flats."/>
    <s v="PF"/>
    <d v="2022-02-21T00:00:00"/>
    <d v="2022-07-13T00:00:00"/>
    <m/>
    <s v="Nil"/>
    <m/>
    <s v="BF"/>
    <s v="MIX"/>
    <x v="2"/>
    <x v="7"/>
    <n v="6.0000000000000001E-3"/>
    <d v="2023-03-31T00:00:00"/>
    <x v="0"/>
    <d v="2023-07-06T00:00:00"/>
    <s v="Open Market"/>
    <s v="MR"/>
    <s v=""/>
    <m/>
    <m/>
    <m/>
    <m/>
    <m/>
    <n v="1"/>
    <n v="1"/>
    <n v="-1"/>
    <n v="0"/>
    <n v="0"/>
    <n v="0"/>
    <n v="0"/>
    <n v="1"/>
    <n v="1"/>
    <n v="-1"/>
    <n v="0"/>
    <n v="0"/>
    <n v="0"/>
    <n v="0"/>
    <n v="0"/>
    <n v="0"/>
    <n v="0"/>
    <n v="0"/>
    <n v="0"/>
    <n v="0"/>
    <n v="0"/>
    <n v="0"/>
    <n v="0"/>
    <n v="0"/>
    <n v="0"/>
    <n v="0"/>
    <n v="0"/>
    <n v="0"/>
    <m/>
    <m/>
    <s v="Rest of Borough"/>
    <n v="11"/>
    <n v="1"/>
    <m/>
    <m/>
    <m/>
    <m/>
    <m/>
    <m/>
    <m/>
    <m/>
    <m/>
    <m/>
    <m/>
    <m/>
    <m/>
    <m/>
    <m/>
    <m/>
    <m/>
    <m/>
    <m/>
    <n v="0"/>
    <n v="0"/>
  </r>
  <r>
    <n v="3240"/>
    <x v="0"/>
    <s v="2022/0779"/>
    <s v="Land rear of and, 165 Battersea High Street"/>
    <s v=""/>
    <n v="527072"/>
    <n v="176221"/>
    <s v="St Mary's"/>
    <d v="2023-03-31T00:00:00"/>
    <d v="2024-02-07T00:00:00"/>
    <n v="0"/>
    <n v="1"/>
    <n v="1"/>
    <n v="1"/>
    <n v="1"/>
    <m/>
    <s v="Change of use of ground floor from Class E (Commercial) to Class C3 (Dwellinghouse) 1-bedroom flat, together with associated external alterations including replacement frontage."/>
    <s v="PF"/>
    <d v="2022-02-24T00:00:00"/>
    <d v="2022-04-21T00:00:00"/>
    <m/>
    <s v="Nil"/>
    <m/>
    <s v="BF"/>
    <s v="CON"/>
    <x v="2"/>
    <x v="4"/>
    <n v="5.0000000000000001E-3"/>
    <d v="2023-03-31T00:00:00"/>
    <x v="0"/>
    <d v="2024-02-07T00:00:00"/>
    <s v="Open Market"/>
    <s v="M"/>
    <s v=""/>
    <m/>
    <m/>
    <m/>
    <m/>
    <m/>
    <n v="0"/>
    <n v="1"/>
    <n v="0"/>
    <n v="0"/>
    <n v="0"/>
    <n v="0"/>
    <n v="0"/>
    <n v="0"/>
    <n v="1"/>
    <n v="0"/>
    <n v="0"/>
    <n v="0"/>
    <n v="0"/>
    <n v="0"/>
    <n v="0"/>
    <n v="0"/>
    <n v="0"/>
    <n v="0"/>
    <n v="0"/>
    <n v="0"/>
    <n v="0"/>
    <n v="0"/>
    <n v="0"/>
    <n v="0"/>
    <n v="0"/>
    <n v="0"/>
    <n v="0"/>
    <n v="0"/>
    <m/>
    <m/>
    <s v="Rest of Borough"/>
    <n v="11"/>
    <n v="1"/>
    <m/>
    <m/>
    <m/>
    <m/>
    <m/>
    <m/>
    <m/>
    <m/>
    <m/>
    <m/>
    <m/>
    <m/>
    <m/>
    <m/>
    <m/>
    <m/>
    <m/>
    <m/>
    <m/>
    <n v="0"/>
    <n v="0"/>
  </r>
  <r>
    <n v="7799"/>
    <x v="0"/>
    <s v="2022/0892"/>
    <s v="173 Earlsfield Road"/>
    <s v=""/>
    <n v="526281"/>
    <n v="173564"/>
    <s v="Wandle"/>
    <d v="2022-07-31T00:00:00"/>
    <d v="2023-12-20T00:00:00"/>
    <n v="1"/>
    <n v="4"/>
    <n v="3"/>
    <n v="4"/>
    <n v="3"/>
    <m/>
    <s v="Alterations in connection with conversion of existing dwellinghouse into 2 x 3-bedroom, 1 x 2-bedroom and 1 x 1-bedroom flats with associated refuse and cycle storage."/>
    <s v="PF"/>
    <d v="2022-03-02T00:00:00"/>
    <d v="2022-05-05T00:00:00"/>
    <m/>
    <s v="Nil"/>
    <m/>
    <s v="BF"/>
    <s v="CON"/>
    <x v="2"/>
    <x v="10"/>
    <n v="8.2749999999999994E-3"/>
    <d v="2022-07-31T00:00:00"/>
    <x v="0"/>
    <d v="2023-12-20T00:00:00"/>
    <s v="Open Market"/>
    <s v="M"/>
    <s v=""/>
    <m/>
    <m/>
    <m/>
    <m/>
    <m/>
    <n v="0"/>
    <n v="1"/>
    <n v="1"/>
    <n v="2"/>
    <n v="0"/>
    <n v="-1"/>
    <n v="0"/>
    <n v="0"/>
    <n v="1"/>
    <n v="1"/>
    <n v="2"/>
    <n v="0"/>
    <n v="0"/>
    <n v="0"/>
    <n v="0"/>
    <n v="0"/>
    <n v="0"/>
    <n v="0"/>
    <n v="0"/>
    <n v="-1"/>
    <n v="0"/>
    <n v="0"/>
    <n v="0"/>
    <n v="0"/>
    <n v="0"/>
    <n v="0"/>
    <n v="0"/>
    <n v="0"/>
    <m/>
    <m/>
    <s v="Rest of Borough"/>
    <n v="11"/>
    <n v="3"/>
    <m/>
    <m/>
    <m/>
    <m/>
    <m/>
    <m/>
    <m/>
    <m/>
    <m/>
    <m/>
    <m/>
    <m/>
    <m/>
    <m/>
    <m/>
    <m/>
    <m/>
    <m/>
    <m/>
    <n v="0"/>
    <n v="0"/>
  </r>
  <r>
    <n v="7841"/>
    <x v="0"/>
    <s v="2022/1787"/>
    <s v="59 Howards Lane"/>
    <s v=""/>
    <n v="523247"/>
    <n v="175077"/>
    <s v="West Putney"/>
    <d v="2023-01-30T00:00:00"/>
    <d v="2024-02-06T00:00:00"/>
    <n v="1"/>
    <n v="1"/>
    <n v="0"/>
    <n v="1"/>
    <n v="0"/>
    <m/>
    <s v="Alterations including erection of side and rear dormers and single storey rear/side extension in connection with use of property as a single dwelling."/>
    <s v="PF"/>
    <d v="2022-05-25T00:00:00"/>
    <d v="2022-08-10T00:00:00"/>
    <m/>
    <s v="Nil"/>
    <m/>
    <s v="BF"/>
    <s v="CON"/>
    <x v="2"/>
    <x v="11"/>
    <n v="7.0000000000000001E-3"/>
    <d v="2023-01-30T00:00:00"/>
    <x v="0"/>
    <d v="2024-02-06T00:00:00"/>
    <s v="Open Market"/>
    <s v="M"/>
    <s v=""/>
    <m/>
    <m/>
    <m/>
    <m/>
    <m/>
    <n v="0"/>
    <n v="0"/>
    <n v="-1"/>
    <n v="0"/>
    <n v="1"/>
    <n v="0"/>
    <n v="0"/>
    <n v="0"/>
    <n v="0"/>
    <n v="-1"/>
    <n v="0"/>
    <n v="0"/>
    <n v="0"/>
    <n v="0"/>
    <n v="0"/>
    <n v="0"/>
    <n v="0"/>
    <n v="0"/>
    <n v="1"/>
    <n v="0"/>
    <n v="0"/>
    <n v="0"/>
    <n v="0"/>
    <n v="0"/>
    <n v="0"/>
    <n v="0"/>
    <n v="0"/>
    <n v="0"/>
    <m/>
    <m/>
    <s v="Rest of Borough"/>
    <n v="11"/>
    <n v="0"/>
    <m/>
    <m/>
    <m/>
    <m/>
    <m/>
    <m/>
    <m/>
    <m/>
    <m/>
    <m/>
    <m/>
    <m/>
    <m/>
    <m/>
    <m/>
    <m/>
    <m/>
    <m/>
    <m/>
    <n v="0"/>
    <n v="0"/>
  </r>
  <r>
    <n v="7871"/>
    <x v="0"/>
    <s v="2022/2900"/>
    <s v="Ground Floor, 10 Trinity Crescent"/>
    <s v=""/>
    <n v="527933"/>
    <n v="172591"/>
    <s v="Trinity"/>
    <d v="2023-04-01T00:00:00"/>
    <d v="2023-04-01T00:00:00"/>
    <n v="0"/>
    <n v="1"/>
    <n v="1"/>
    <n v="1"/>
    <n v="1"/>
    <m/>
    <s v="Determination as to whether prior approval is required for change of use from Nursery (Class E) to residential (Class C3) to provide 1 x 2-bedroom flat."/>
    <s v="PAG"/>
    <d v="2022-07-11T00:00:00"/>
    <d v="2022-09-01T00:00:00"/>
    <m/>
    <s v="Nil"/>
    <m/>
    <s v="BF"/>
    <s v="COU"/>
    <x v="2"/>
    <x v="8"/>
    <n v="7.7000000000000002E-3"/>
    <d v="2023-04-01T00:00:00"/>
    <x v="1"/>
    <d v="2023-04-01T00:00:00"/>
    <s v="Open Market"/>
    <s v="M"/>
    <s v=""/>
    <m/>
    <m/>
    <m/>
    <m/>
    <m/>
    <n v="0"/>
    <n v="0"/>
    <n v="1"/>
    <n v="0"/>
    <n v="0"/>
    <n v="0"/>
    <n v="0"/>
    <n v="0"/>
    <n v="0"/>
    <n v="1"/>
    <n v="0"/>
    <n v="0"/>
    <n v="0"/>
    <n v="0"/>
    <n v="0"/>
    <n v="0"/>
    <n v="0"/>
    <n v="0"/>
    <n v="0"/>
    <n v="0"/>
    <n v="0"/>
    <n v="0"/>
    <n v="0"/>
    <n v="0"/>
    <n v="0"/>
    <n v="0"/>
    <n v="0"/>
    <n v="0"/>
    <m/>
    <m/>
    <s v="Rest of Borough"/>
    <n v="11"/>
    <n v="1"/>
    <m/>
    <m/>
    <m/>
    <m/>
    <m/>
    <m/>
    <m/>
    <m/>
    <m/>
    <m/>
    <m/>
    <m/>
    <m/>
    <m/>
    <m/>
    <m/>
    <m/>
    <m/>
    <m/>
    <n v="0"/>
    <n v="0"/>
  </r>
  <r>
    <n v="7874"/>
    <x v="0"/>
    <s v="2022/3040"/>
    <s v="70 Culverden Road"/>
    <s v=""/>
    <n v="529175"/>
    <n v="172575"/>
    <s v="South Balham"/>
    <d v="2023-04-01T00:00:00"/>
    <d v="2023-12-04T00:00:00"/>
    <n v="3"/>
    <n v="1"/>
    <n v="-2"/>
    <n v="1"/>
    <n v="-2"/>
    <m/>
    <s v="Conversion of building from three flats to single dwellinghouse."/>
    <s v="PF"/>
    <d v="2022-07-20T00:00:00"/>
    <d v="2022-09-14T00:00:00"/>
    <m/>
    <s v="Nil"/>
    <m/>
    <s v="BF"/>
    <s v="CON"/>
    <x v="2"/>
    <x v="11"/>
    <n v="6.1000000000000004E-3"/>
    <d v="2023-04-01T00:00:00"/>
    <x v="1"/>
    <d v="2023-12-04T00:00:00"/>
    <s v="Open Market"/>
    <s v="M"/>
    <s v=""/>
    <m/>
    <m/>
    <m/>
    <m/>
    <m/>
    <n v="0"/>
    <n v="-1"/>
    <n v="-2"/>
    <n v="0"/>
    <n v="0"/>
    <n v="1"/>
    <n v="0"/>
    <n v="0"/>
    <n v="-1"/>
    <n v="-2"/>
    <n v="0"/>
    <n v="0"/>
    <n v="0"/>
    <n v="0"/>
    <n v="0"/>
    <n v="0"/>
    <n v="0"/>
    <n v="0"/>
    <n v="0"/>
    <n v="1"/>
    <n v="0"/>
    <n v="0"/>
    <n v="0"/>
    <n v="0"/>
    <n v="0"/>
    <n v="0"/>
    <n v="0"/>
    <n v="0"/>
    <m/>
    <m/>
    <s v="Rest of Borough"/>
    <n v="11"/>
    <n v="-2"/>
    <m/>
    <m/>
    <m/>
    <m/>
    <m/>
    <m/>
    <m/>
    <m/>
    <m/>
    <m/>
    <m/>
    <m/>
    <m/>
    <m/>
    <m/>
    <m/>
    <m/>
    <m/>
    <m/>
    <n v="0"/>
    <n v="0"/>
  </r>
  <r>
    <n v="177"/>
    <x v="0"/>
    <s v="2022/3107"/>
    <s v="BISHOPS WHF, RANSOME'S DK, Parkgate Road"/>
    <s v=""/>
    <n v="527351"/>
    <n v="177209"/>
    <s v="Battersea Park"/>
    <d v="2023-04-01T00:00:00"/>
    <d v="2023-11-06T00:00:00"/>
    <n v="0"/>
    <n v="2"/>
    <n v="2"/>
    <n v="2"/>
    <n v="2"/>
    <m/>
    <s v="Alterations including installation of barrier to river walk frontage in connection with change of use of the ground floor from office (Class E) to residential (Class C3) to provide 2 x 3-bedroom flats."/>
    <s v="PF"/>
    <d v="2022-08-25T00:00:00"/>
    <d v="2022-10-31T00:00:00"/>
    <m/>
    <s v="Nil"/>
    <m/>
    <s v="BF"/>
    <s v="COU"/>
    <x v="2"/>
    <x v="6"/>
    <n v="3.2599999999999997E-2"/>
    <d v="2023-04-01T00:00:00"/>
    <x v="1"/>
    <d v="2023-11-06T00:00:00"/>
    <s v="Open Market"/>
    <s v="M"/>
    <s v=""/>
    <m/>
    <m/>
    <m/>
    <m/>
    <m/>
    <n v="0"/>
    <n v="0"/>
    <n v="0"/>
    <n v="2"/>
    <n v="0"/>
    <n v="0"/>
    <n v="0"/>
    <n v="0"/>
    <n v="0"/>
    <n v="0"/>
    <n v="2"/>
    <n v="0"/>
    <n v="0"/>
    <n v="0"/>
    <n v="0"/>
    <n v="0"/>
    <n v="0"/>
    <n v="0"/>
    <n v="0"/>
    <n v="0"/>
    <n v="0"/>
    <n v="0"/>
    <n v="0"/>
    <n v="0"/>
    <n v="0"/>
    <n v="0"/>
    <n v="0"/>
    <n v="0"/>
    <m/>
    <m/>
    <s v="Wandsworth riverside"/>
    <n v="11"/>
    <n v="2"/>
    <m/>
    <m/>
    <m/>
    <m/>
    <m/>
    <m/>
    <m/>
    <m/>
    <m/>
    <m/>
    <m/>
    <m/>
    <m/>
    <m/>
    <m/>
    <m/>
    <m/>
    <m/>
    <m/>
    <n v="0"/>
    <n v="0"/>
  </r>
  <r>
    <n v="7876"/>
    <x v="0"/>
    <s v="2022/3165"/>
    <s v="43 Pulborough Road"/>
    <s v=""/>
    <n v="524744"/>
    <n v="173640"/>
    <s v="Southfields"/>
    <d v="2024-03-31T00:00:00"/>
    <d v="2024-03-31T00:00:00"/>
    <n v="2"/>
    <n v="1"/>
    <n v="-1"/>
    <n v="1"/>
    <n v="-1"/>
    <m/>
    <s v="Alterations in connection with de-conversion of two flats into single dwelling house."/>
    <s v="PF"/>
    <d v="2022-08-17T00:00:00"/>
    <d v="2022-10-21T00:00:00"/>
    <m/>
    <s v="Nil"/>
    <m/>
    <s v="BF"/>
    <s v="CON"/>
    <x v="2"/>
    <x v="11"/>
    <n v="5.566667E-3"/>
    <d v="2024-03-31T00:00:00"/>
    <x v="1"/>
    <d v="2024-03-31T00:00:00"/>
    <s v="Open Market"/>
    <s v="M"/>
    <s v=""/>
    <m/>
    <m/>
    <m/>
    <m/>
    <m/>
    <n v="0"/>
    <n v="0"/>
    <n v="-2"/>
    <n v="0"/>
    <n v="0"/>
    <n v="1"/>
    <n v="0"/>
    <n v="0"/>
    <n v="0"/>
    <n v="-2"/>
    <n v="0"/>
    <n v="0"/>
    <n v="0"/>
    <n v="0"/>
    <n v="0"/>
    <n v="0"/>
    <n v="0"/>
    <n v="0"/>
    <n v="0"/>
    <n v="1"/>
    <n v="0"/>
    <n v="0"/>
    <n v="0"/>
    <n v="0"/>
    <n v="0"/>
    <n v="0"/>
    <n v="0"/>
    <n v="0"/>
    <m/>
    <m/>
    <s v="Rest of Borough"/>
    <n v="11"/>
    <n v="-1"/>
    <m/>
    <m/>
    <m/>
    <m/>
    <m/>
    <m/>
    <m/>
    <m/>
    <m/>
    <m/>
    <m/>
    <m/>
    <m/>
    <m/>
    <m/>
    <m/>
    <m/>
    <m/>
    <m/>
    <n v="0"/>
    <n v="0"/>
  </r>
  <r>
    <n v="6805"/>
    <x v="0"/>
    <s v="2022/3316"/>
    <s v="231 Putney Bridge Road"/>
    <s v=""/>
    <n v="524490"/>
    <n v="175266"/>
    <s v="Thamesfield"/>
    <d v="2023-06-22T00:00:00"/>
    <d v="2024-02-21T00:00:00"/>
    <n v="0"/>
    <n v="3"/>
    <n v="3"/>
    <n v="3"/>
    <n v="3"/>
    <m/>
    <s v="Alterations in connection with use of the ground floor of the former bar/public house (Sui Generis Use)  as 2 x 1-bedroom and 1 x 2-bedroom flats with cycle and refuse storage."/>
    <s v="PFLA"/>
    <d v="2022-11-02T00:00:00"/>
    <d v="2023-11-08T00:00:00"/>
    <s v="Y"/>
    <s v="Nil"/>
    <m/>
    <s v="BF"/>
    <s v="CON"/>
    <x v="2"/>
    <x v="8"/>
    <n v="1.8200000000000001E-2"/>
    <d v="2023-06-22T00:00:00"/>
    <x v="1"/>
    <d v="2024-02-21T00:00:00"/>
    <s v="Open Market"/>
    <s v="M"/>
    <s v=""/>
    <m/>
    <m/>
    <m/>
    <m/>
    <m/>
    <n v="0"/>
    <n v="2"/>
    <n v="1"/>
    <n v="0"/>
    <n v="0"/>
    <n v="0"/>
    <n v="0"/>
    <n v="0"/>
    <n v="2"/>
    <n v="1"/>
    <n v="0"/>
    <n v="0"/>
    <n v="0"/>
    <n v="0"/>
    <n v="0"/>
    <n v="0"/>
    <n v="0"/>
    <n v="0"/>
    <n v="0"/>
    <n v="0"/>
    <n v="0"/>
    <n v="0"/>
    <n v="0"/>
    <n v="0"/>
    <n v="0"/>
    <n v="0"/>
    <n v="0"/>
    <n v="0"/>
    <m/>
    <m/>
    <s v="Rest of Borough"/>
    <n v="11"/>
    <n v="3"/>
    <m/>
    <m/>
    <m/>
    <m/>
    <m/>
    <m/>
    <m/>
    <m/>
    <m/>
    <m/>
    <m/>
    <m/>
    <m/>
    <m/>
    <m/>
    <m/>
    <m/>
    <m/>
    <m/>
    <n v="0"/>
    <n v="0"/>
  </r>
  <r>
    <n v="4705"/>
    <x v="0"/>
    <s v="2022/3830"/>
    <s v="165 Battersea Rise"/>
    <s v=""/>
    <n v="527104"/>
    <n v="174977"/>
    <s v="Lavender"/>
    <d v="2023-04-01T00:00:00"/>
    <d v="2024-03-31T00:00:00"/>
    <n v="0"/>
    <n v="1"/>
    <n v="1"/>
    <n v="1"/>
    <n v="1"/>
    <m/>
    <s v="Determination as to whether prior approval is required for change of use from office (Class E) at ground floor level from (Class B) to residential (Class C3) to provide a studio flat (Class C3)."/>
    <s v="PAG"/>
    <d v="2022-09-13T00:00:00"/>
    <d v="2022-11-04T00:00:00"/>
    <m/>
    <s v="Nil"/>
    <m/>
    <s v="BF"/>
    <s v="COU"/>
    <x v="2"/>
    <x v="6"/>
    <n v="4.3E-3"/>
    <d v="2023-04-01T00:00:00"/>
    <x v="1"/>
    <d v="2024-03-31T00:00:00"/>
    <s v="Open Market"/>
    <s v="M"/>
    <s v=""/>
    <m/>
    <m/>
    <m/>
    <m/>
    <m/>
    <n v="1"/>
    <n v="0"/>
    <n v="0"/>
    <n v="0"/>
    <n v="0"/>
    <n v="0"/>
    <n v="0"/>
    <n v="1"/>
    <n v="0"/>
    <n v="0"/>
    <n v="0"/>
    <n v="0"/>
    <n v="0"/>
    <n v="0"/>
    <n v="0"/>
    <n v="0"/>
    <n v="0"/>
    <n v="0"/>
    <n v="0"/>
    <n v="0"/>
    <n v="0"/>
    <n v="0"/>
    <n v="0"/>
    <n v="0"/>
    <n v="0"/>
    <n v="0"/>
    <n v="0"/>
    <n v="0"/>
    <m/>
    <m/>
    <s v="Rest of Borough"/>
    <n v="11"/>
    <n v="1"/>
    <m/>
    <m/>
    <m/>
    <m/>
    <m/>
    <m/>
    <m/>
    <m/>
    <m/>
    <m/>
    <m/>
    <m/>
    <m/>
    <m/>
    <m/>
    <m/>
    <m/>
    <m/>
    <m/>
    <n v="0"/>
    <n v="0"/>
  </r>
  <r>
    <n v="7848"/>
    <x v="0"/>
    <s v="2022/3863"/>
    <s v="302 Trinity Road"/>
    <s v=""/>
    <n v="527025"/>
    <n v="173893"/>
    <s v="Wandsworth Common"/>
    <d v="2023-03-31T00:00:00"/>
    <d v="2023-12-11T00:00:00"/>
    <n v="3"/>
    <n v="1"/>
    <n v="-2"/>
    <n v="1"/>
    <n v="-2"/>
    <m/>
    <s v="Conversion of property into a 4-bedroom house."/>
    <s v="PF"/>
    <d v="2022-10-08T00:00:00"/>
    <d v="2022-12-01T00:00:00"/>
    <m/>
    <s v="Nil"/>
    <m/>
    <s v="BF"/>
    <s v="CON"/>
    <x v="2"/>
    <x v="11"/>
    <n v="6.8999999999999999E-3"/>
    <d v="2023-03-31T00:00:00"/>
    <x v="0"/>
    <d v="2023-12-11T00:00:00"/>
    <s v="Open Market"/>
    <s v="M"/>
    <s v=""/>
    <m/>
    <m/>
    <m/>
    <m/>
    <m/>
    <n v="0"/>
    <n v="-3"/>
    <n v="0"/>
    <n v="0"/>
    <n v="1"/>
    <n v="0"/>
    <n v="0"/>
    <n v="0"/>
    <n v="-3"/>
    <n v="0"/>
    <n v="0"/>
    <n v="0"/>
    <n v="0"/>
    <n v="0"/>
    <n v="0"/>
    <n v="0"/>
    <n v="0"/>
    <n v="0"/>
    <n v="1"/>
    <n v="0"/>
    <n v="0"/>
    <n v="0"/>
    <n v="0"/>
    <n v="0"/>
    <n v="0"/>
    <n v="0"/>
    <n v="0"/>
    <n v="0"/>
    <m/>
    <m/>
    <s v="Rest of Borough"/>
    <n v="11"/>
    <n v="-2"/>
    <m/>
    <m/>
    <m/>
    <m/>
    <m/>
    <m/>
    <m/>
    <m/>
    <m/>
    <m/>
    <m/>
    <m/>
    <m/>
    <m/>
    <m/>
    <m/>
    <m/>
    <m/>
    <m/>
    <n v="0"/>
    <n v="0"/>
  </r>
  <r>
    <n v="7908"/>
    <x v="0"/>
    <s v="2022/4228"/>
    <s v="101 Fernlea Road"/>
    <s v=""/>
    <n v="529032"/>
    <n v="173104"/>
    <s v="Balham"/>
    <d v="2023-04-01T00:00:00"/>
    <d v="2024-02-01T00:00:00"/>
    <n v="2"/>
    <n v="3"/>
    <n v="1"/>
    <n v="3"/>
    <n v="1"/>
    <m/>
    <s v="Erection of a hip to gable side roof extension with dormer extenion to rear roof slope and extension above two-storey rear addition. Erection of replacement rear/side ground floor extension. Extensions and alterations in connection with the conversion 1x 1-bedroom and 1x2 bedroom flats to 1x 3-bedroom, 1 x 2-bedroom and 1x 1-bedroom flats. _x000a_Conversion and extension of existing property from 2 flat to 3 flats."/>
    <s v="PF"/>
    <d v="2022-10-14T00:00:00"/>
    <d v="2023-01-03T00:00:00"/>
    <m/>
    <s v="Nil"/>
    <m/>
    <s v="BF"/>
    <s v="CON"/>
    <x v="2"/>
    <x v="7"/>
    <n v="7.566667E-3"/>
    <d v="2023-04-01T00:00:00"/>
    <x v="1"/>
    <d v="2024-02-01T00:00:00"/>
    <s v="Open Market"/>
    <s v="M"/>
    <s v=""/>
    <m/>
    <m/>
    <m/>
    <m/>
    <m/>
    <n v="0"/>
    <n v="0"/>
    <n v="0"/>
    <n v="1"/>
    <n v="0"/>
    <n v="0"/>
    <n v="0"/>
    <n v="0"/>
    <n v="0"/>
    <n v="0"/>
    <n v="1"/>
    <n v="0"/>
    <n v="0"/>
    <n v="0"/>
    <n v="0"/>
    <n v="0"/>
    <n v="0"/>
    <n v="0"/>
    <n v="0"/>
    <n v="0"/>
    <n v="0"/>
    <n v="0"/>
    <n v="0"/>
    <n v="0"/>
    <n v="0"/>
    <n v="0"/>
    <n v="0"/>
    <n v="0"/>
    <m/>
    <m/>
    <s v="Rest of Borough"/>
    <n v="11"/>
    <n v="1"/>
    <m/>
    <m/>
    <m/>
    <m/>
    <m/>
    <m/>
    <m/>
    <m/>
    <m/>
    <m/>
    <m/>
    <m/>
    <m/>
    <m/>
    <m/>
    <m/>
    <m/>
    <m/>
    <m/>
    <n v="0"/>
    <n v="0"/>
  </r>
  <r>
    <n v="7640"/>
    <x v="0"/>
    <s v="2022/4451"/>
    <s v="172-174 Tooting High Street"/>
    <s v=""/>
    <n v="527216"/>
    <n v="171096"/>
    <s v="Tooting Broadway"/>
    <d v="2023-03-11T00:00:00"/>
    <d v="2024-03-31T00:00:00"/>
    <n v="0"/>
    <n v="3"/>
    <n v="3"/>
    <n v="3"/>
    <n v="3"/>
    <m/>
    <s v="Alterations including erection of ground and first floor side/rear extension and part change of use from commercial (Class E) to residential (Class C3) to form 1 x studio and 1 x 1 bedroom residential units; erection of an additional storey at third floor level to form 1 x 1 bedroom residential unit. Erection of single-storey side extension to the Class E Commercial floorspace at ground floor level and external alterations."/>
    <s v="PF"/>
    <d v="2022-10-31T00:00:00"/>
    <d v="2023-01-24T00:00:00"/>
    <m/>
    <s v="Nil"/>
    <m/>
    <s v="BF"/>
    <s v="MIX"/>
    <x v="2"/>
    <x v="7"/>
    <n v="5.3666670000000003E-3"/>
    <d v="2023-06-13T00:00:00"/>
    <x v="1"/>
    <d v="2024-03-31T00:00:00"/>
    <s v="Open Market"/>
    <s v="MR"/>
    <s v=""/>
    <m/>
    <m/>
    <m/>
    <m/>
    <m/>
    <n v="1"/>
    <n v="2"/>
    <n v="0"/>
    <n v="0"/>
    <n v="0"/>
    <n v="0"/>
    <n v="0"/>
    <n v="1"/>
    <n v="2"/>
    <n v="0"/>
    <n v="0"/>
    <n v="0"/>
    <n v="0"/>
    <n v="0"/>
    <n v="0"/>
    <n v="0"/>
    <n v="0"/>
    <n v="0"/>
    <n v="0"/>
    <n v="0"/>
    <n v="0"/>
    <n v="0"/>
    <n v="0"/>
    <n v="0"/>
    <n v="0"/>
    <n v="0"/>
    <n v="0"/>
    <n v="0"/>
    <m/>
    <m/>
    <s v="Tooting"/>
    <n v="11"/>
    <n v="3"/>
    <m/>
    <m/>
    <m/>
    <m/>
    <m/>
    <m/>
    <m/>
    <m/>
    <m/>
    <m/>
    <m/>
    <m/>
    <m/>
    <m/>
    <m/>
    <m/>
    <m/>
    <m/>
    <m/>
    <n v="0"/>
    <n v="0"/>
  </r>
  <r>
    <n v="1469"/>
    <x v="0"/>
    <s v="2022/4595"/>
    <s v="144 Wandsworth High Street"/>
    <s v=""/>
    <n v="525271"/>
    <n v="174673"/>
    <s v="East Putney"/>
    <d v="2023-06-07T00:00:00"/>
    <d v="2024-01-12T00:00:00"/>
    <n v="0"/>
    <n v="1"/>
    <n v="1"/>
    <n v="1"/>
    <n v="1"/>
    <m/>
    <s v="Change of use of the ground floor from retail (Class E) to a 1-bedroom flat  (Class C3) together with alterations to front and rear elevations."/>
    <s v="PF"/>
    <d v="2022-12-05T00:00:00"/>
    <d v="2023-02-27T00:00:00"/>
    <m/>
    <s v="Nil"/>
    <m/>
    <s v="BF"/>
    <s v="COU"/>
    <x v="2"/>
    <x v="4"/>
    <n v="4.1999999999999997E-3"/>
    <d v="2023-07-06T00:00:00"/>
    <x v="1"/>
    <d v="2024-01-12T00:00:00"/>
    <s v="Open Market"/>
    <s v="MR"/>
    <s v=""/>
    <m/>
    <m/>
    <m/>
    <m/>
    <m/>
    <n v="1"/>
    <n v="0"/>
    <n v="0"/>
    <n v="0"/>
    <n v="0"/>
    <n v="0"/>
    <n v="0"/>
    <n v="1"/>
    <n v="0"/>
    <n v="0"/>
    <n v="0"/>
    <n v="0"/>
    <n v="0"/>
    <n v="0"/>
    <n v="0"/>
    <n v="0"/>
    <n v="0"/>
    <n v="0"/>
    <n v="0"/>
    <n v="0"/>
    <n v="0"/>
    <n v="0"/>
    <n v="0"/>
    <n v="0"/>
    <n v="0"/>
    <n v="0"/>
    <n v="0"/>
    <n v="0"/>
    <m/>
    <m/>
    <s v="Wandsworth Town, including the Wandle Delta Masterplan Area"/>
    <n v="11"/>
    <n v="1"/>
    <m/>
    <m/>
    <m/>
    <m/>
    <m/>
    <m/>
    <m/>
    <m/>
    <m/>
    <m/>
    <m/>
    <m/>
    <m/>
    <m/>
    <m/>
    <m/>
    <m/>
    <m/>
    <m/>
    <n v="0"/>
    <n v="0"/>
  </r>
  <r>
    <n v="6728"/>
    <x v="0"/>
    <s v="2022/4696"/>
    <s v="221 Mitcham Lane"/>
    <s v=""/>
    <n v="529035"/>
    <n v="170671"/>
    <s v="Furzedown"/>
    <d v="2023-01-24T00:00:00"/>
    <d v="2023-04-01T00:00:00"/>
    <n v="1"/>
    <n v="2"/>
    <n v="1"/>
    <n v="2"/>
    <n v="1"/>
    <m/>
    <s v="Alterations include the erection of a dormer roof extension to main rear roof and single-storey rear extension in connection with the conversion of the property into 1 x 3-bedroom and 1 x 4-bedroom flats with associated landscaping, cycle and refuse storage."/>
    <s v="PF"/>
    <d v="2022-11-29T00:00:00"/>
    <d v="2023-01-24T00:00:00"/>
    <m/>
    <s v="Nil"/>
    <m/>
    <s v="BF"/>
    <s v="MIX"/>
    <x v="2"/>
    <x v="10"/>
    <n v="6.0000000000000001E-3"/>
    <d v="2023-01-24T00:00:00"/>
    <x v="0"/>
    <d v="2023-04-01T00:00:00"/>
    <s v="Open Market"/>
    <s v="M"/>
    <s v=""/>
    <m/>
    <m/>
    <m/>
    <m/>
    <m/>
    <n v="0"/>
    <n v="0"/>
    <n v="0"/>
    <n v="1"/>
    <n v="0"/>
    <n v="0"/>
    <n v="0"/>
    <n v="0"/>
    <n v="0"/>
    <n v="0"/>
    <n v="1"/>
    <n v="1"/>
    <n v="0"/>
    <n v="0"/>
    <n v="0"/>
    <n v="0"/>
    <n v="0"/>
    <n v="0"/>
    <n v="-1"/>
    <n v="0"/>
    <n v="0"/>
    <n v="0"/>
    <n v="0"/>
    <n v="0"/>
    <n v="0"/>
    <n v="0"/>
    <n v="0"/>
    <n v="0"/>
    <m/>
    <m/>
    <s v="Rest of Borough"/>
    <n v="11"/>
    <n v="1"/>
    <m/>
    <m/>
    <m/>
    <m/>
    <m/>
    <m/>
    <m/>
    <m/>
    <m/>
    <m/>
    <m/>
    <m/>
    <m/>
    <m/>
    <m/>
    <m/>
    <m/>
    <m/>
    <m/>
    <n v="0"/>
    <n v="0"/>
  </r>
  <r>
    <n v="7305"/>
    <x v="0"/>
    <s v="2022/4799"/>
    <s v="292 Cavendish Road"/>
    <s v=""/>
    <n v="529000"/>
    <n v="173317"/>
    <s v="Balham"/>
    <d v="2023-04-25T00:00:00"/>
    <d v="2024-03-04T00:00:00"/>
    <n v="0"/>
    <n v="1"/>
    <n v="1"/>
    <n v="1"/>
    <n v="1"/>
    <m/>
    <s v="Alterations including erection of single storey rear and side extension in connection with change of use and conversion of restaurant (Class E) to residential (Class C3) to provide 1 x 2-bedroom flat."/>
    <s v="PF"/>
    <d v="2022-11-23T00:00:00"/>
    <d v="2023-02-02T00:00:00"/>
    <m/>
    <s v="Nil"/>
    <m/>
    <s v="BF"/>
    <s v="CON"/>
    <x v="2"/>
    <x v="6"/>
    <n v="6.6000000000000003E-2"/>
    <d v="2023-04-25T00:00:00"/>
    <x v="1"/>
    <d v="2024-03-04T00:00:00"/>
    <s v="Open Market"/>
    <s v="M"/>
    <s v=""/>
    <m/>
    <m/>
    <m/>
    <m/>
    <m/>
    <n v="0"/>
    <n v="0"/>
    <n v="1"/>
    <n v="0"/>
    <n v="0"/>
    <n v="0"/>
    <n v="0"/>
    <n v="0"/>
    <n v="0"/>
    <n v="1"/>
    <n v="0"/>
    <n v="0"/>
    <n v="0"/>
    <n v="0"/>
    <n v="0"/>
    <n v="0"/>
    <n v="0"/>
    <n v="0"/>
    <n v="0"/>
    <n v="0"/>
    <n v="0"/>
    <n v="0"/>
    <n v="0"/>
    <n v="0"/>
    <n v="0"/>
    <n v="0"/>
    <n v="0"/>
    <n v="0"/>
    <m/>
    <m/>
    <s v="Rest of Borough"/>
    <n v="11"/>
    <n v="1"/>
    <m/>
    <m/>
    <m/>
    <m/>
    <m/>
    <m/>
    <m/>
    <m/>
    <m/>
    <m/>
    <m/>
    <m/>
    <m/>
    <m/>
    <m/>
    <m/>
    <m/>
    <m/>
    <m/>
    <n v="0"/>
    <n v="0"/>
  </r>
  <r>
    <n v="7725"/>
    <x v="0"/>
    <s v="2022/5109"/>
    <s v="First &amp; Second Floors, 33 Clarendon Drive"/>
    <s v=""/>
    <n v="523495"/>
    <n v="175369"/>
    <s v="Thamesfield"/>
    <d v="2023-04-13T00:00:00"/>
    <d v="2024-03-31T00:00:00"/>
    <n v="1"/>
    <n v="1"/>
    <n v="0"/>
    <n v="1"/>
    <n v="0"/>
    <m/>
    <s v="Alterations including erection of dormer to front roofslope and single storey rear and side extension in connection with change of use from house of multiple occupation (Class C4) to dwellinghouse (Class C3)."/>
    <s v="PF"/>
    <d v="2022-12-16T00:00:00"/>
    <d v="2023-03-07T00:00:00"/>
    <m/>
    <s v="Nil"/>
    <m/>
    <s v="BF"/>
    <s v="CON"/>
    <x v="2"/>
    <x v="8"/>
    <n v="3.3000000000000002E-2"/>
    <d v="2023-04-13T00:00:00"/>
    <x v="1"/>
    <d v="2024-03-31T00:00:00"/>
    <s v="Open Market"/>
    <s v="M"/>
    <s v=""/>
    <m/>
    <m/>
    <m/>
    <m/>
    <m/>
    <n v="0"/>
    <n v="0"/>
    <n v="0"/>
    <n v="1"/>
    <n v="0"/>
    <n v="-1"/>
    <n v="0"/>
    <n v="0"/>
    <n v="0"/>
    <n v="0"/>
    <n v="0"/>
    <n v="0"/>
    <n v="0"/>
    <n v="0"/>
    <n v="0"/>
    <n v="0"/>
    <n v="0"/>
    <n v="1"/>
    <n v="0"/>
    <n v="-1"/>
    <n v="0"/>
    <n v="0"/>
    <n v="0"/>
    <n v="0"/>
    <n v="0"/>
    <n v="0"/>
    <n v="0"/>
    <n v="0"/>
    <m/>
    <m/>
    <s v="Rest of Borough"/>
    <n v="11"/>
    <n v="0"/>
    <m/>
    <m/>
    <m/>
    <m/>
    <m/>
    <m/>
    <m/>
    <m/>
    <m/>
    <m/>
    <m/>
    <m/>
    <m/>
    <m/>
    <m/>
    <m/>
    <m/>
    <m/>
    <m/>
    <n v="0"/>
    <n v="0"/>
  </r>
  <r>
    <n v="7930"/>
    <x v="0"/>
    <s v="2022/5140"/>
    <s v="8 Southcroft Road"/>
    <s v=""/>
    <n v="528073"/>
    <n v="170895"/>
    <s v="Furzedown"/>
    <d v="2023-03-31T00:00:00"/>
    <d v="2024-01-18T00:00:00"/>
    <n v="0"/>
    <n v="1"/>
    <n v="1"/>
    <n v="1"/>
    <n v="1"/>
    <m/>
    <s v="Alterations including erection of mansard roof extension to main rear roof and extension above part of the two-storey back addition, and formation of roof terrace above two-storey back addition with 1.7m high screen surround in connection with creation of 1 x 1 bedroom flat. Installation of glazed doors and external stairs at first floor rear elevation to rear garden."/>
    <s v="PF"/>
    <d v="2022-12-15T00:00:00"/>
    <d v="2023-02-16T00:00:00"/>
    <m/>
    <s v="Nil"/>
    <m/>
    <s v="BF"/>
    <s v="EXT"/>
    <x v="2"/>
    <x v="7"/>
    <n v="3.8999999999999998E-3"/>
    <d v="2023-03-31T00:00:00"/>
    <x v="0"/>
    <d v="2024-01-18T00:00:00"/>
    <s v="Open Market"/>
    <s v="M"/>
    <s v=""/>
    <m/>
    <m/>
    <m/>
    <m/>
    <m/>
    <n v="0"/>
    <n v="1"/>
    <n v="0"/>
    <n v="0"/>
    <n v="0"/>
    <n v="0"/>
    <n v="0"/>
    <n v="0"/>
    <n v="1"/>
    <n v="0"/>
    <n v="0"/>
    <n v="0"/>
    <n v="0"/>
    <n v="0"/>
    <n v="0"/>
    <n v="0"/>
    <n v="0"/>
    <n v="0"/>
    <n v="0"/>
    <n v="0"/>
    <n v="0"/>
    <n v="0"/>
    <n v="0"/>
    <n v="0"/>
    <n v="0"/>
    <n v="0"/>
    <n v="0"/>
    <n v="0"/>
    <m/>
    <m/>
    <s v="Rest of Borough"/>
    <n v="11"/>
    <n v="1"/>
    <m/>
    <m/>
    <m/>
    <m/>
    <m/>
    <m/>
    <m/>
    <m/>
    <m/>
    <m/>
    <m/>
    <m/>
    <m/>
    <m/>
    <m/>
    <m/>
    <m/>
    <m/>
    <m/>
    <n v="0"/>
    <n v="0"/>
  </r>
  <r>
    <n v="7955"/>
    <x v="0"/>
    <s v="2023/0610"/>
    <s v="591 A Garratt Lane"/>
    <s v=""/>
    <n v="526135"/>
    <n v="172709"/>
    <s v="Wandsworth Common"/>
    <d v="2023-05-15T00:00:00"/>
    <d v="2024-03-31T00:00:00"/>
    <n v="1"/>
    <n v="3"/>
    <n v="2"/>
    <n v="3"/>
    <n v="2"/>
    <m/>
    <s v="Alterations including erection of a dormer extension to main rear roof and extension above three storey back addition in connection with the conversion of 2 x 1 bedroom flats to 3 x 1 bedroom flats."/>
    <s v="PF"/>
    <d v="2023-02-15T00:00:00"/>
    <d v="2023-05-15T00:00:00"/>
    <s v="Y"/>
    <s v="Nil"/>
    <m/>
    <s v="BF"/>
    <s v="CON"/>
    <x v="2"/>
    <x v="5"/>
    <n v="5.9665999999999999E-3"/>
    <d v="2023-05-15T00:00:00"/>
    <x v="1"/>
    <d v="2024-03-31T00:00:00"/>
    <s v="Open Market"/>
    <s v="M"/>
    <s v=""/>
    <m/>
    <m/>
    <m/>
    <m/>
    <m/>
    <n v="1"/>
    <n v="2"/>
    <n v="0"/>
    <n v="0"/>
    <n v="-1"/>
    <n v="0"/>
    <n v="0"/>
    <n v="1"/>
    <n v="2"/>
    <n v="0"/>
    <n v="0"/>
    <n v="-1"/>
    <n v="0"/>
    <n v="0"/>
    <n v="0"/>
    <n v="0"/>
    <n v="0"/>
    <n v="0"/>
    <n v="0"/>
    <n v="0"/>
    <n v="0"/>
    <n v="0"/>
    <n v="0"/>
    <n v="0"/>
    <n v="0"/>
    <n v="0"/>
    <n v="0"/>
    <n v="0"/>
    <m/>
    <m/>
    <s v="Wandle Valley"/>
    <n v="11"/>
    <n v="2"/>
    <m/>
    <m/>
    <m/>
    <m/>
    <m/>
    <m/>
    <m/>
    <m/>
    <m/>
    <m/>
    <m/>
    <m/>
    <m/>
    <m/>
    <m/>
    <m/>
    <m/>
    <m/>
    <m/>
    <n v="0"/>
    <n v="0"/>
  </r>
  <r>
    <n v="3033"/>
    <x v="0"/>
    <s v="2023/0852"/>
    <s v="17 Earldom Road (Land rear of 40 Clarendon Drive)"/>
    <s v=""/>
    <n v="523403"/>
    <n v="175458"/>
    <s v="Thamesfield"/>
    <d v="2023-04-28T00:00:00"/>
    <d v="2023-04-28T00:00:00"/>
    <n v="0"/>
    <n v="1"/>
    <n v="1"/>
    <n v="1"/>
    <n v="1"/>
    <m/>
    <s v="Continued use as 1-bedroom self contained dwelling."/>
    <s v="LDC Exist"/>
    <d v="2023-03-03T00:00:00"/>
    <d v="2023-04-28T00:00:00"/>
    <s v="Y"/>
    <s v="Nil"/>
    <m/>
    <s v="BF"/>
    <s v="UK"/>
    <x v="2"/>
    <x v="8"/>
    <n v="5.0000000000000001E-3"/>
    <d v="2023-04-28T00:00:00"/>
    <x v="1"/>
    <d v="2023-04-28T00:00:00"/>
    <s v="Open Market"/>
    <s v="M"/>
    <s v=""/>
    <m/>
    <m/>
    <m/>
    <m/>
    <m/>
    <n v="0"/>
    <n v="1"/>
    <n v="0"/>
    <n v="0"/>
    <n v="0"/>
    <n v="0"/>
    <n v="0"/>
    <n v="0"/>
    <n v="1"/>
    <n v="0"/>
    <n v="0"/>
    <n v="0"/>
    <n v="0"/>
    <n v="0"/>
    <n v="0"/>
    <n v="0"/>
    <n v="0"/>
    <n v="0"/>
    <n v="0"/>
    <n v="0"/>
    <n v="0"/>
    <n v="0"/>
    <n v="0"/>
    <n v="0"/>
    <n v="0"/>
    <n v="0"/>
    <n v="0"/>
    <n v="0"/>
    <m/>
    <m/>
    <s v="Rest of Borough"/>
    <n v="11"/>
    <n v="1"/>
    <m/>
    <m/>
    <m/>
    <m/>
    <m/>
    <m/>
    <m/>
    <m/>
    <m/>
    <m/>
    <m/>
    <m/>
    <m/>
    <m/>
    <m/>
    <m/>
    <m/>
    <m/>
    <m/>
    <n v="0"/>
    <n v="0"/>
  </r>
  <r>
    <n v="7972"/>
    <x v="0"/>
    <s v="2023/1034"/>
    <s v="Ground floor flat &amp; First Floor Flat, 34 Graveney Road"/>
    <s v=""/>
    <n v="527349"/>
    <n v="171670"/>
    <s v="Tooting Broadway"/>
    <d v="2023-05-16T00:00:00"/>
    <d v="2023-05-16T00:00:00"/>
    <n v="1"/>
    <n v="2"/>
    <n v="1"/>
    <n v="2"/>
    <n v="1"/>
    <m/>
    <s v="Conversion of dwellinghouse to 2 flats."/>
    <s v="LDC Exist"/>
    <d v="2023-03-21T00:00:00"/>
    <d v="2023-05-16T00:00:00"/>
    <s v="Y"/>
    <s v="Nil"/>
    <m/>
    <s v="BF"/>
    <s v="CON"/>
    <x v="2"/>
    <x v="10"/>
    <n v="5.4999999999999997E-3"/>
    <d v="2023-05-16T00:00:00"/>
    <x v="1"/>
    <d v="2023-05-16T00:00:00"/>
    <s v="Open Market"/>
    <s v="M"/>
    <s v=""/>
    <m/>
    <m/>
    <m/>
    <m/>
    <m/>
    <n v="0"/>
    <n v="1"/>
    <n v="1"/>
    <n v="-1"/>
    <n v="0"/>
    <n v="0"/>
    <n v="0"/>
    <n v="0"/>
    <n v="1"/>
    <n v="1"/>
    <n v="0"/>
    <n v="0"/>
    <n v="0"/>
    <n v="0"/>
    <n v="0"/>
    <n v="0"/>
    <n v="0"/>
    <n v="-1"/>
    <n v="0"/>
    <n v="0"/>
    <n v="0"/>
    <n v="0"/>
    <n v="0"/>
    <n v="0"/>
    <n v="0"/>
    <n v="0"/>
    <n v="0"/>
    <n v="0"/>
    <m/>
    <m/>
    <s v="Rest of Borough"/>
    <n v="11"/>
    <n v="1"/>
    <m/>
    <m/>
    <m/>
    <m/>
    <m/>
    <m/>
    <m/>
    <m/>
    <m/>
    <m/>
    <m/>
    <m/>
    <m/>
    <m/>
    <m/>
    <m/>
    <m/>
    <m/>
    <m/>
    <n v="0"/>
    <n v="0"/>
  </r>
  <r>
    <n v="7906"/>
    <x v="0"/>
    <s v="2023/1082"/>
    <s v="92 Bedford Hill"/>
    <s v=""/>
    <n v="528720"/>
    <n v="173041"/>
    <s v="South Balham"/>
    <d v="2023-03-31T00:00:00"/>
    <d v="2023-11-20T00:00:00"/>
    <n v="2"/>
    <n v="3"/>
    <n v="1"/>
    <n v="3"/>
    <n v="1"/>
    <m/>
    <s v="Alterations including erection of mansard roof extension to main rear roof to form additional storey, insertion of windows to ground floor rear elevation and new front entrance. Extensions, alterations and part change of use from commercial to residential in connection with creation of 2 x 2-bedroom and 1 x 1-bedroom flats with associated refuse and cycle storage."/>
    <s v="PF"/>
    <d v="2023-05-17T00:00:00"/>
    <d v="2023-11-15T00:00:00"/>
    <s v="Y"/>
    <s v="Nil"/>
    <m/>
    <s v="BF"/>
    <s v="MIX"/>
    <x v="2"/>
    <x v="4"/>
    <n v="5.8966670000000004E-3"/>
    <d v="2023-03-31T00:00:00"/>
    <x v="0"/>
    <d v="2023-11-20T00:00:00"/>
    <s v="Open Market"/>
    <s v="M"/>
    <s v=""/>
    <m/>
    <m/>
    <m/>
    <m/>
    <m/>
    <n v="-1"/>
    <n v="2"/>
    <n v="1"/>
    <n v="-1"/>
    <n v="0"/>
    <n v="0"/>
    <n v="0"/>
    <n v="-1"/>
    <n v="2"/>
    <n v="1"/>
    <n v="-1"/>
    <n v="0"/>
    <n v="0"/>
    <n v="0"/>
    <n v="0"/>
    <n v="0"/>
    <n v="0"/>
    <n v="0"/>
    <n v="0"/>
    <n v="0"/>
    <n v="0"/>
    <n v="0"/>
    <n v="0"/>
    <n v="0"/>
    <n v="0"/>
    <n v="0"/>
    <n v="0"/>
    <n v="0"/>
    <m/>
    <m/>
    <s v="Rest of Borough"/>
    <n v="11"/>
    <n v="1"/>
    <m/>
    <m/>
    <m/>
    <m/>
    <m/>
    <m/>
    <m/>
    <m/>
    <m/>
    <m/>
    <m/>
    <m/>
    <m/>
    <m/>
    <m/>
    <m/>
    <m/>
    <m/>
    <m/>
    <n v="0"/>
    <n v="0"/>
  </r>
  <r>
    <n v="7973"/>
    <x v="0"/>
    <s v="2023/1222"/>
    <s v="162 Mitcham Road"/>
    <s v=""/>
    <n v="527811"/>
    <n v="171019"/>
    <s v="Tooting Broadway"/>
    <d v="2023-06-06T00:00:00"/>
    <d v="2023-11-23T00:00:00"/>
    <n v="0"/>
    <n v="1"/>
    <n v="1"/>
    <n v="1"/>
    <n v="1"/>
    <m/>
    <s v="Determination as to whether prior approval is required for part change of use from retail (Class E) to a studio flat (Class C3)."/>
    <s v="PAG"/>
    <d v="2023-03-29T00:00:00"/>
    <d v="2023-05-19T00:00:00"/>
    <s v="Y"/>
    <s v="Nil"/>
    <m/>
    <s v="BF"/>
    <s v="COU"/>
    <x v="2"/>
    <x v="4"/>
    <n v="1.7700000000000001E-3"/>
    <d v="2023-06-06T00:00:00"/>
    <x v="1"/>
    <d v="2023-11-23T00:00:00"/>
    <s v="Open Market"/>
    <s v="M"/>
    <s v=""/>
    <m/>
    <m/>
    <m/>
    <m/>
    <m/>
    <n v="1"/>
    <n v="0"/>
    <n v="0"/>
    <n v="0"/>
    <n v="0"/>
    <n v="0"/>
    <n v="0"/>
    <n v="1"/>
    <n v="0"/>
    <n v="0"/>
    <n v="0"/>
    <n v="0"/>
    <n v="0"/>
    <n v="0"/>
    <n v="0"/>
    <n v="0"/>
    <n v="0"/>
    <n v="0"/>
    <n v="0"/>
    <n v="0"/>
    <n v="0"/>
    <n v="0"/>
    <n v="0"/>
    <n v="0"/>
    <n v="0"/>
    <n v="0"/>
    <n v="0"/>
    <n v="0"/>
    <m/>
    <m/>
    <s v="Tooting"/>
    <n v="11"/>
    <n v="1"/>
    <m/>
    <m/>
    <m/>
    <m/>
    <m/>
    <m/>
    <m/>
    <m/>
    <m/>
    <m/>
    <m/>
    <m/>
    <m/>
    <m/>
    <m/>
    <m/>
    <m/>
    <m/>
    <m/>
    <n v="0"/>
    <n v="0"/>
  </r>
  <r>
    <n v="7964"/>
    <x v="0"/>
    <s v="2023/1257"/>
    <s v="7 and 7a Khartoum Road"/>
    <s v=""/>
    <n v="526926"/>
    <n v="171727"/>
    <s v="Tooting Broadway"/>
    <d v="2023-05-23T00:00:00"/>
    <d v="2023-05-23T00:00:00"/>
    <n v="1"/>
    <n v="2"/>
    <n v="1"/>
    <n v="2"/>
    <n v="1"/>
    <m/>
    <s v="Continued use of property as two flats"/>
    <s v="LDC"/>
    <d v="2023-03-31T00:00:00"/>
    <d v="2023-05-23T00:00:00"/>
    <s v="Y"/>
    <s v="Nil"/>
    <m/>
    <s v="BF"/>
    <s v="CON"/>
    <x v="2"/>
    <x v="10"/>
    <n v="5.3E-3"/>
    <d v="2023-05-23T00:00:00"/>
    <x v="1"/>
    <d v="2023-05-23T00:00:00"/>
    <s v="Open Market"/>
    <s v="M"/>
    <s v=""/>
    <m/>
    <m/>
    <m/>
    <m/>
    <m/>
    <n v="0"/>
    <n v="1"/>
    <n v="1"/>
    <n v="-1"/>
    <n v="0"/>
    <n v="0"/>
    <n v="0"/>
    <n v="0"/>
    <n v="1"/>
    <n v="1"/>
    <n v="0"/>
    <n v="0"/>
    <n v="0"/>
    <n v="0"/>
    <n v="0"/>
    <n v="0"/>
    <n v="0"/>
    <n v="-1"/>
    <n v="0"/>
    <n v="0"/>
    <n v="0"/>
    <n v="0"/>
    <n v="0"/>
    <n v="0"/>
    <n v="0"/>
    <n v="0"/>
    <n v="0"/>
    <n v="0"/>
    <m/>
    <m/>
    <s v="Rest of Borough"/>
    <n v="11"/>
    <n v="1"/>
    <m/>
    <m/>
    <m/>
    <m/>
    <m/>
    <m/>
    <m/>
    <m/>
    <m/>
    <m/>
    <m/>
    <m/>
    <m/>
    <m/>
    <m/>
    <m/>
    <m/>
    <m/>
    <m/>
    <n v="0"/>
    <n v="0"/>
  </r>
  <r>
    <n v="322"/>
    <x v="0"/>
    <s v="2023/1310"/>
    <s v="Battersea Park Studios, 2 Shuttleworth Road (131 Battersea High Street)"/>
    <s v="London Affordable"/>
    <n v="527020"/>
    <n v="176330"/>
    <s v="St Mary's"/>
    <d v="2023-07-04T00:00:00"/>
    <d v="2023-07-04T00:00:00"/>
    <n v="63"/>
    <n v="68"/>
    <n v="5"/>
    <n v="71"/>
    <n v="0"/>
    <s v="Y"/>
    <s v="Submission of details pursuant to Condition 43 (Affordable Housing Tenure Mix) of planning permission 2019/0854 dated 28/11/19 (Minor Material Amendment (S73) to amend Condition 16 (No structures on Roof) and Condition 24 (Carbon Reduction), and remove Condition 25 (Details of Photovoltaic Panels), Condition 27 (BREEAM) and Condition 39 (Off-Site Highways Works) of planning permission 2017/0764 dated 06/11/17, which was a Minor Material Amendment (S73) pursuant to planning permission 2015/2963 dated 13/01/2017 for the demolition of existing recording studio and lock-up garages and erection of a three-to seven-storey building with basement to provide 77 residential units (C3 use class) (19 x1 bedroom, 50 x 2 bedroom, 8 x 3 bedroom) and 624 sqm of recording studio floorspace (sui-generis use class); associated car parking, landscaping and public realm improvements)."/>
    <s v="DT"/>
    <d v="2023-04-04T00:00:00"/>
    <d v="2023-07-04T00:00:00"/>
    <s v="Y"/>
    <s v="Nil"/>
    <m/>
    <s v="BF"/>
    <s v="NB"/>
    <x v="1"/>
    <x v="0"/>
    <n v="0.27500000000000002"/>
    <d v="2023-07-04T00:00:00"/>
    <x v="1"/>
    <d v="2023-07-04T00:00:00"/>
    <s v="Social/Affordable Rent"/>
    <s v="AL"/>
    <s v=""/>
    <m/>
    <m/>
    <m/>
    <m/>
    <m/>
    <n v="0"/>
    <n v="15"/>
    <n v="37"/>
    <n v="8"/>
    <n v="8"/>
    <n v="0"/>
    <n v="-63"/>
    <n v="0"/>
    <n v="15"/>
    <n v="37"/>
    <n v="8"/>
    <n v="8"/>
    <n v="0"/>
    <n v="-63"/>
    <n v="0"/>
    <n v="0"/>
    <n v="0"/>
    <n v="0"/>
    <n v="0"/>
    <n v="0"/>
    <n v="0"/>
    <n v="0"/>
    <n v="0"/>
    <n v="0"/>
    <n v="0"/>
    <n v="0"/>
    <n v="0"/>
    <n v="0"/>
    <m/>
    <m/>
    <s v="Rest of Borough"/>
    <n v="1"/>
    <n v="5"/>
    <m/>
    <m/>
    <m/>
    <m/>
    <m/>
    <m/>
    <m/>
    <m/>
    <m/>
    <m/>
    <m/>
    <m/>
    <m/>
    <m/>
    <m/>
    <m/>
    <m/>
    <m/>
    <m/>
    <n v="0"/>
    <n v="0"/>
  </r>
  <r>
    <n v="322"/>
    <x v="0"/>
    <s v="2023/1310"/>
    <s v="Battersea Park Studios, 2 Shuttleworth Road (131 Battersea High Street)"/>
    <s v="Shared Ownership"/>
    <n v="527020"/>
    <n v="176330"/>
    <s v="St Mary's"/>
    <d v="2023-07-04T00:00:00"/>
    <d v="2023-07-04T00:00:00"/>
    <n v="8"/>
    <n v="3"/>
    <n v="-5"/>
    <n v="71"/>
    <n v="0"/>
    <s v="Y"/>
    <s v="Submission of details pursuant to Condition 43 (Affordable Housing Tenure Mix) of planning permission 2019/0854 dated 28/11/19 (Minor Material Amendment (S73) to amend Condition 16 (No structures on Roof) and Condition 24 (Carbon Reduction), and remove Condition 25 (Details of Photovoltaic Panels), Condition 27 (BREEAM) and Condition 39 (Off-Site Highways Works) of planning permission 2017/0764 dated 06/11/17, which was a Minor Material Amendment (S73) pursuant to planning permission 2015/2963 dated 13/01/2017 for the demolition of existing recording studio and lock-up garages and erection of a three-to seven-storey building with basement to provide 77 residential units (C3 use class) (19 x1 bedroom, 50 x 2 bedroom, 8 x 3 bedroom) and 624 sqm of recording studio floorspace (sui-generis use class); associated car parking, landscaping and public realm improvements)."/>
    <s v="DT"/>
    <d v="2023-04-04T00:00:00"/>
    <d v="2023-07-04T00:00:00"/>
    <s v="Y"/>
    <s v="Nil"/>
    <m/>
    <s v="BF"/>
    <s v="NB"/>
    <x v="1"/>
    <x v="0"/>
    <n v="1.2E-2"/>
    <d v="2023-07-04T00:00:00"/>
    <x v="1"/>
    <d v="2023-07-04T00:00:00"/>
    <s v="Intermediate"/>
    <s v="ISE"/>
    <s v=""/>
    <m/>
    <m/>
    <m/>
    <m/>
    <m/>
    <n v="0"/>
    <n v="0"/>
    <n v="2"/>
    <n v="1"/>
    <n v="0"/>
    <n v="0"/>
    <n v="-8"/>
    <n v="0"/>
    <n v="0"/>
    <n v="2"/>
    <n v="1"/>
    <n v="0"/>
    <n v="0"/>
    <n v="-8"/>
    <n v="0"/>
    <n v="0"/>
    <n v="0"/>
    <n v="0"/>
    <n v="0"/>
    <n v="0"/>
    <n v="0"/>
    <n v="0"/>
    <n v="0"/>
    <n v="0"/>
    <n v="0"/>
    <n v="0"/>
    <n v="0"/>
    <n v="0"/>
    <m/>
    <m/>
    <s v="Rest of Borough"/>
    <n v="1"/>
    <n v="-5"/>
    <m/>
    <m/>
    <m/>
    <m/>
    <m/>
    <m/>
    <m/>
    <m/>
    <m/>
    <m/>
    <m/>
    <m/>
    <m/>
    <m/>
    <m/>
    <m/>
    <m/>
    <m/>
    <m/>
    <n v="0"/>
    <n v="0"/>
  </r>
  <r>
    <n v="7976"/>
    <x v="0"/>
    <s v="2023/1384"/>
    <s v="Rear of, 631 Garratt Lane"/>
    <s v=""/>
    <n v="526142"/>
    <n v="172566"/>
    <s v="Wandsworth Common"/>
    <d v="2023-06-12T00:00:00"/>
    <d v="2023-06-12T00:00:00"/>
    <n v="0"/>
    <n v="1"/>
    <n v="1"/>
    <n v="1"/>
    <n v="1"/>
    <m/>
    <s v="Retrospective permission for the erection of two-storey 1-bedroom house with access from Quinton Street.(Revisions to planning permission 2018/5918 dated 22/05/19 to allow omission of first floor side roof terrace, revisions to fenestration including addition of ground floor front windows in place of bifold doors and installation of air source heat pump to roof). Refuse and cycle storage provision."/>
    <s v="PF"/>
    <d v="2023-04-17T00:00:00"/>
    <d v="2023-06-12T00:00:00"/>
    <s v="Y"/>
    <s v="Nil"/>
    <m/>
    <s v="BF"/>
    <s v="NB"/>
    <x v="2"/>
    <x v="3"/>
    <n v="3.3E-3"/>
    <d v="2023-06-12T00:00:00"/>
    <x v="1"/>
    <d v="2023-06-12T00:00:00"/>
    <s v="Open Market"/>
    <s v="M"/>
    <s v=""/>
    <m/>
    <m/>
    <m/>
    <m/>
    <m/>
    <n v="0"/>
    <n v="1"/>
    <n v="0"/>
    <n v="0"/>
    <n v="0"/>
    <n v="0"/>
    <n v="0"/>
    <n v="0"/>
    <n v="0"/>
    <n v="0"/>
    <n v="0"/>
    <n v="0"/>
    <n v="0"/>
    <n v="0"/>
    <n v="0"/>
    <n v="1"/>
    <n v="0"/>
    <n v="0"/>
    <n v="0"/>
    <n v="0"/>
    <n v="0"/>
    <n v="0"/>
    <n v="0"/>
    <n v="0"/>
    <n v="0"/>
    <n v="0"/>
    <n v="0"/>
    <n v="0"/>
    <m/>
    <m/>
    <s v="Wandle Valley"/>
    <n v="1"/>
    <n v="1"/>
    <m/>
    <m/>
    <m/>
    <m/>
    <m/>
    <m/>
    <m/>
    <m/>
    <m/>
    <m/>
    <m/>
    <m/>
    <m/>
    <m/>
    <m/>
    <m/>
    <m/>
    <m/>
    <m/>
    <n v="0"/>
    <n v="0"/>
  </r>
  <r>
    <n v="4538"/>
    <x v="0"/>
    <s v="2023/1489"/>
    <s v="2 Coral Row"/>
    <s v=""/>
    <n v="526439"/>
    <n v="175756"/>
    <s v="St Mary's"/>
    <d v="2023-06-28T00:00:00"/>
    <d v="2023-06-28T00:00:00"/>
    <n v="1"/>
    <n v="1"/>
    <n v="0"/>
    <n v="1"/>
    <n v="0"/>
    <m/>
    <s v="Continued use as single dwelling house (Class C3)."/>
    <s v="LDC Exist"/>
    <d v="2023-04-19T00:00:00"/>
    <d v="2023-06-28T00:00:00"/>
    <s v="Y"/>
    <s v="Nil"/>
    <m/>
    <s v="BF"/>
    <s v="CON"/>
    <x v="2"/>
    <x v="8"/>
    <n v="1.1900000000000001E-2"/>
    <d v="2023-06-28T00:00:00"/>
    <x v="1"/>
    <d v="2023-06-28T00:00:00"/>
    <s v="Open Market"/>
    <s v="M"/>
    <s v="10.15"/>
    <m/>
    <m/>
    <m/>
    <m/>
    <m/>
    <n v="0"/>
    <n v="0"/>
    <n v="0"/>
    <n v="0"/>
    <n v="0"/>
    <n v="1"/>
    <n v="-1"/>
    <n v="0"/>
    <n v="0"/>
    <n v="0"/>
    <n v="0"/>
    <n v="0"/>
    <n v="0"/>
    <n v="0"/>
    <n v="0"/>
    <n v="0"/>
    <n v="0"/>
    <n v="0"/>
    <n v="0"/>
    <n v="1"/>
    <n v="0"/>
    <n v="0"/>
    <n v="0"/>
    <n v="0"/>
    <n v="0"/>
    <n v="0"/>
    <n v="0"/>
    <n v="-1"/>
    <m/>
    <m/>
    <s v="Wandsworth riverside"/>
    <n v="11"/>
    <n v="0"/>
    <m/>
    <m/>
    <m/>
    <m/>
    <m/>
    <m/>
    <m/>
    <m/>
    <m/>
    <m/>
    <m/>
    <m/>
    <m/>
    <m/>
    <m/>
    <m/>
    <m/>
    <m/>
    <m/>
    <n v="0"/>
    <n v="0"/>
  </r>
  <r>
    <n v="786"/>
    <x v="0"/>
    <s v="2023/1526"/>
    <s v="Laglin Lodge, 7 Eardley Road"/>
    <s v=""/>
    <n v="529441"/>
    <n v="171210"/>
    <s v="Furzedown"/>
    <d v="2023-06-15T00:00:00"/>
    <d v="2023-06-15T00:00:00"/>
    <n v="0"/>
    <n v="1"/>
    <n v="1"/>
    <n v="1"/>
    <n v="1"/>
    <m/>
    <s v="Continued use of the basement as a studio flat."/>
    <s v="LDC Exist"/>
    <d v="2023-04-21T00:00:00"/>
    <d v="2023-06-15T00:00:00"/>
    <s v="Y"/>
    <s v="Nil"/>
    <m/>
    <s v="BF"/>
    <s v="EXT"/>
    <x v="2"/>
    <x v="7"/>
    <n v="3.3999999999999998E-3"/>
    <d v="2023-06-15T00:00:00"/>
    <x v="1"/>
    <d v="2023-06-15T00:00:00"/>
    <s v="Open Market"/>
    <s v="M"/>
    <s v=""/>
    <m/>
    <m/>
    <m/>
    <m/>
    <m/>
    <n v="1"/>
    <n v="0"/>
    <n v="0"/>
    <n v="0"/>
    <n v="0"/>
    <n v="0"/>
    <n v="0"/>
    <n v="1"/>
    <n v="0"/>
    <n v="0"/>
    <n v="0"/>
    <n v="0"/>
    <n v="0"/>
    <n v="0"/>
    <n v="0"/>
    <n v="0"/>
    <n v="0"/>
    <n v="0"/>
    <n v="0"/>
    <n v="0"/>
    <n v="0"/>
    <n v="0"/>
    <n v="0"/>
    <n v="0"/>
    <n v="0"/>
    <n v="0"/>
    <n v="0"/>
    <n v="0"/>
    <m/>
    <m/>
    <s v="Rest of Borough"/>
    <n v="11"/>
    <n v="1"/>
    <m/>
    <m/>
    <m/>
    <m/>
    <m/>
    <m/>
    <m/>
    <m/>
    <m/>
    <m/>
    <m/>
    <m/>
    <m/>
    <m/>
    <m/>
    <m/>
    <m/>
    <m/>
    <m/>
    <n v="0"/>
    <n v="0"/>
  </r>
  <r>
    <n v="7977"/>
    <x v="0"/>
    <s v="2023/1663"/>
    <s v="41 Ashlone Road"/>
    <s v=""/>
    <n v="523507"/>
    <n v="176038"/>
    <s v="Thamesfield"/>
    <d v="2023-07-12T00:00:00"/>
    <d v="2023-07-12T00:00:00"/>
    <n v="1"/>
    <n v="2"/>
    <n v="1"/>
    <n v="2"/>
    <n v="1"/>
    <m/>
    <s v="Continued use of the property as two flats."/>
    <s v="LDC Exist"/>
    <d v="2023-04-28T00:00:00"/>
    <d v="2023-07-12T00:00:00"/>
    <s v="Y"/>
    <s v="Nil"/>
    <m/>
    <s v="BF"/>
    <s v="CON"/>
    <x v="2"/>
    <x v="10"/>
    <n v="6.45E-3"/>
    <d v="2023-07-12T00:00:00"/>
    <x v="1"/>
    <d v="2023-07-12T00:00:00"/>
    <s v="Open Market"/>
    <s v="MR"/>
    <s v=""/>
    <m/>
    <m/>
    <m/>
    <m/>
    <m/>
    <n v="0"/>
    <n v="0"/>
    <n v="1"/>
    <n v="1"/>
    <n v="-1"/>
    <n v="0"/>
    <n v="0"/>
    <n v="0"/>
    <n v="0"/>
    <n v="1"/>
    <n v="1"/>
    <n v="0"/>
    <n v="0"/>
    <n v="0"/>
    <n v="0"/>
    <n v="0"/>
    <n v="0"/>
    <n v="0"/>
    <n v="-1"/>
    <n v="0"/>
    <n v="0"/>
    <n v="0"/>
    <n v="0"/>
    <n v="0"/>
    <n v="0"/>
    <n v="0"/>
    <n v="0"/>
    <n v="0"/>
    <m/>
    <m/>
    <s v="Wandsworth riverside"/>
    <n v="11"/>
    <n v="1"/>
    <m/>
    <m/>
    <m/>
    <m/>
    <m/>
    <m/>
    <m/>
    <m/>
    <m/>
    <m/>
    <m/>
    <m/>
    <m/>
    <m/>
    <m/>
    <m/>
    <m/>
    <m/>
    <m/>
    <n v="0"/>
    <n v="0"/>
  </r>
  <r>
    <n v="7988"/>
    <x v="0"/>
    <s v="2023/1850"/>
    <s v="64 Wimbledon Park"/>
    <s v=""/>
    <n v="525016"/>
    <n v="173968"/>
    <s v="East Putney"/>
    <d v="2023-08-24T00:00:00"/>
    <d v="2023-11-30T00:00:00"/>
    <n v="2"/>
    <n v="1"/>
    <n v="-1"/>
    <n v="1"/>
    <n v="-1"/>
    <m/>
    <s v="Installation of replacement windows throughout in connection with deconversion of two flats into a single dwelling house."/>
    <s v="PF"/>
    <d v="2023-05-12T00:00:00"/>
    <d v="2023-08-24T00:00:00"/>
    <s v="Y"/>
    <s v="Nil"/>
    <m/>
    <s v="BF"/>
    <s v="CON"/>
    <x v="2"/>
    <x v="11"/>
    <n v="0.01"/>
    <d v="2023-08-24T00:00:00"/>
    <x v="1"/>
    <d v="2023-11-30T00:00:00"/>
    <s v="Open Market"/>
    <s v="M"/>
    <s v=""/>
    <m/>
    <m/>
    <m/>
    <m/>
    <m/>
    <n v="0"/>
    <n v="-1"/>
    <n v="-1"/>
    <n v="1"/>
    <n v="0"/>
    <n v="0"/>
    <n v="0"/>
    <n v="0"/>
    <n v="0"/>
    <n v="0"/>
    <n v="0"/>
    <n v="0"/>
    <n v="0"/>
    <n v="0"/>
    <n v="0"/>
    <n v="-1"/>
    <n v="-1"/>
    <n v="1"/>
    <n v="0"/>
    <n v="0"/>
    <n v="0"/>
    <n v="0"/>
    <n v="0"/>
    <n v="0"/>
    <n v="0"/>
    <n v="0"/>
    <n v="0"/>
    <n v="0"/>
    <m/>
    <m/>
    <s v="Rest of Borough"/>
    <n v="11"/>
    <n v="-1"/>
    <m/>
    <m/>
    <m/>
    <m/>
    <m/>
    <m/>
    <m/>
    <m/>
    <m/>
    <m/>
    <m/>
    <m/>
    <m/>
    <m/>
    <m/>
    <m/>
    <m/>
    <m/>
    <m/>
    <n v="0"/>
    <n v="0"/>
  </r>
  <r>
    <n v="7995"/>
    <x v="0"/>
    <s v="2023/2045"/>
    <s v="7 Devereux Road"/>
    <s v=""/>
    <n v="527837"/>
    <n v="174319"/>
    <s v="Northcote"/>
    <d v="2023-08-04T00:00:00"/>
    <d v="2023-08-04T00:00:00"/>
    <n v="1"/>
    <n v="1"/>
    <n v="0"/>
    <n v="1"/>
    <n v="0"/>
    <m/>
    <s v="Change of use from HMO use (Class C4) to residential dwelling house (Class C3)."/>
    <s v="LDC Prop"/>
    <d v="2023-06-09T00:00:00"/>
    <d v="2023-08-04T00:00:00"/>
    <s v="Y"/>
    <s v="Nil"/>
    <m/>
    <s v="BF"/>
    <s v="CON"/>
    <x v="2"/>
    <x v="1"/>
    <n v="8.9999999999999993E-3"/>
    <d v="2023-08-04T00:00:00"/>
    <x v="1"/>
    <d v="2023-08-04T00:00:00"/>
    <s v="Open Market"/>
    <s v="M"/>
    <s v=""/>
    <m/>
    <m/>
    <m/>
    <m/>
    <m/>
    <n v="0"/>
    <n v="0"/>
    <n v="0"/>
    <n v="0"/>
    <n v="1"/>
    <n v="-1"/>
    <n v="0"/>
    <n v="0"/>
    <n v="0"/>
    <n v="0"/>
    <n v="0"/>
    <n v="0"/>
    <n v="0"/>
    <n v="0"/>
    <n v="0"/>
    <n v="0"/>
    <n v="0"/>
    <n v="0"/>
    <n v="1"/>
    <n v="-1"/>
    <n v="0"/>
    <n v="0"/>
    <n v="0"/>
    <n v="0"/>
    <n v="0"/>
    <n v="0"/>
    <n v="0"/>
    <n v="0"/>
    <m/>
    <m/>
    <s v="Rest of Borough"/>
    <n v="11"/>
    <n v="0"/>
    <m/>
    <m/>
    <m/>
    <m/>
    <m/>
    <m/>
    <m/>
    <m/>
    <m/>
    <m/>
    <m/>
    <m/>
    <m/>
    <m/>
    <m/>
    <m/>
    <m/>
    <m/>
    <m/>
    <n v="0"/>
    <n v="0"/>
  </r>
  <r>
    <n v="7951"/>
    <x v="0"/>
    <s v="2023/2092"/>
    <s v="Flat G, 64-66 Lavender Hill"/>
    <s v=""/>
    <n v="528323"/>
    <n v="175738"/>
    <s v="Shaftesbury &amp; Queenstown"/>
    <d v="2023-08-11T00:00:00"/>
    <d v="2023-08-11T00:00:00"/>
    <n v="0"/>
    <n v="1"/>
    <n v="1"/>
    <n v="1"/>
    <n v="1"/>
    <m/>
    <s v="Continued use of Flat G as 1 x 1-bedroom flat."/>
    <s v="LDC Exist"/>
    <d v="2023-06-19T00:00:00"/>
    <d v="2023-08-11T00:00:00"/>
    <s v="Y"/>
    <s v="Nil"/>
    <m/>
    <s v="BF"/>
    <s v="CON"/>
    <x v="2"/>
    <x v="6"/>
    <n v="7.0000000000000001E-3"/>
    <d v="2023-08-11T00:00:00"/>
    <x v="1"/>
    <d v="2023-08-11T00:00:00"/>
    <s v="Open Market"/>
    <s v="MR"/>
    <s v=""/>
    <m/>
    <m/>
    <m/>
    <m/>
    <m/>
    <n v="0"/>
    <n v="1"/>
    <n v="0"/>
    <n v="0"/>
    <n v="0"/>
    <n v="0"/>
    <n v="0"/>
    <n v="0"/>
    <n v="1"/>
    <n v="0"/>
    <n v="0"/>
    <n v="0"/>
    <n v="0"/>
    <n v="0"/>
    <n v="0"/>
    <n v="0"/>
    <n v="0"/>
    <n v="0"/>
    <n v="0"/>
    <n v="0"/>
    <n v="0"/>
    <n v="0"/>
    <n v="0"/>
    <n v="0"/>
    <n v="0"/>
    <n v="0"/>
    <n v="0"/>
    <n v="0"/>
    <m/>
    <m/>
    <s v="Rest of Borough"/>
    <n v="11"/>
    <n v="1"/>
    <m/>
    <m/>
    <m/>
    <m/>
    <m/>
    <m/>
    <m/>
    <m/>
    <m/>
    <m/>
    <m/>
    <m/>
    <m/>
    <m/>
    <m/>
    <m/>
    <m/>
    <m/>
    <m/>
    <n v="0"/>
    <n v="0"/>
  </r>
  <r>
    <n v="7941"/>
    <x v="0"/>
    <s v="2023/2484"/>
    <s v="Flat Ground Floor &amp; Flat First Floor, 4 Gartmoor Gardens"/>
    <s v=""/>
    <n v="524686"/>
    <n v="173123"/>
    <s v="West Hill"/>
    <d v="2023-10-25T00:00:00"/>
    <d v="2024-02-18T00:00:00"/>
    <n v="2"/>
    <n v="1"/>
    <n v="-1"/>
    <n v="1"/>
    <n v="-1"/>
    <m/>
    <s v="De-conversion of ground floor and first floor flat to a single-family house."/>
    <s v="PF"/>
    <d v="2023-07-06T00:00:00"/>
    <d v="2023-10-25T00:00:00"/>
    <s v="Y"/>
    <s v="Nil"/>
    <m/>
    <s v="BF"/>
    <s v="CON"/>
    <x v="2"/>
    <x v="11"/>
    <n v="6.7999999999999996E-3"/>
    <d v="2023-10-25T00:00:00"/>
    <x v="1"/>
    <d v="2024-02-18T00:00:00"/>
    <s v="Open Market"/>
    <s v="M"/>
    <s v=""/>
    <m/>
    <m/>
    <m/>
    <m/>
    <m/>
    <n v="0"/>
    <n v="-1"/>
    <n v="-1"/>
    <n v="0"/>
    <n v="1"/>
    <n v="0"/>
    <n v="0"/>
    <n v="0"/>
    <n v="-1"/>
    <n v="-1"/>
    <n v="0"/>
    <n v="0"/>
    <n v="0"/>
    <n v="0"/>
    <n v="0"/>
    <n v="0"/>
    <n v="0"/>
    <n v="0"/>
    <n v="1"/>
    <n v="0"/>
    <n v="0"/>
    <n v="0"/>
    <n v="0"/>
    <n v="0"/>
    <n v="0"/>
    <n v="0"/>
    <n v="0"/>
    <n v="0"/>
    <m/>
    <m/>
    <s v="Rest of Borough"/>
    <n v="11"/>
    <n v="-1"/>
    <m/>
    <m/>
    <m/>
    <m/>
    <m/>
    <m/>
    <m/>
    <m/>
    <m/>
    <m/>
    <m/>
    <m/>
    <m/>
    <m/>
    <m/>
    <m/>
    <m/>
    <m/>
    <m/>
    <n v="0"/>
    <n v="0"/>
  </r>
  <r>
    <n v="8014"/>
    <x v="0"/>
    <s v="2023/2543"/>
    <s v="and 10 Cinnamon Row SW11 3TW, 10 Molasses Row"/>
    <s v=""/>
    <n v="526480"/>
    <n v="175808"/>
    <s v="St Mary's"/>
    <d v="2023-09-18T00:00:00"/>
    <d v="2023-09-18T00:00:00"/>
    <n v="1"/>
    <n v="1"/>
    <n v="0"/>
    <n v="1"/>
    <n v="0"/>
    <m/>
    <s v="Alterations to include the change of use of the ground and first floor from office (Class E) to residential use (Class C3) and combination with existing residential floorspace above to form a single dwelling. Replacement of existing timber balcony with a glass floor; replacment of windows/doors."/>
    <s v="PF"/>
    <d v="2023-07-24T00:00:00"/>
    <d v="2023-09-18T00:00:00"/>
    <s v="Y"/>
    <s v="Nil"/>
    <m/>
    <s v="BF"/>
    <s v="MIX"/>
    <x v="2"/>
    <x v="6"/>
    <n v="0.01"/>
    <d v="2023-09-18T00:00:00"/>
    <x v="1"/>
    <d v="2023-09-18T00:00:00"/>
    <s v="Open Market"/>
    <s v="M"/>
    <s v=""/>
    <m/>
    <m/>
    <m/>
    <m/>
    <m/>
    <n v="0"/>
    <n v="0"/>
    <n v="-1"/>
    <n v="0"/>
    <n v="1"/>
    <n v="0"/>
    <n v="0"/>
    <n v="0"/>
    <n v="0"/>
    <n v="-1"/>
    <n v="0"/>
    <n v="0"/>
    <n v="0"/>
    <n v="0"/>
    <n v="0"/>
    <n v="0"/>
    <n v="0"/>
    <n v="0"/>
    <n v="1"/>
    <n v="0"/>
    <n v="0"/>
    <n v="0"/>
    <n v="0"/>
    <n v="0"/>
    <n v="0"/>
    <n v="0"/>
    <n v="0"/>
    <n v="0"/>
    <m/>
    <m/>
    <s v="Wandsworth riverside"/>
    <n v="11"/>
    <n v="0"/>
    <m/>
    <m/>
    <m/>
    <m/>
    <m/>
    <m/>
    <m/>
    <m/>
    <m/>
    <m/>
    <m/>
    <m/>
    <m/>
    <m/>
    <m/>
    <m/>
    <m/>
    <m/>
    <m/>
    <n v="0"/>
    <n v="0"/>
  </r>
  <r>
    <n v="7120"/>
    <x v="0"/>
    <s v="2023/3133"/>
    <s v="515 Battersea Park Road"/>
    <s v=""/>
    <n v="527464"/>
    <n v="176353"/>
    <s v="St Mary's"/>
    <d v="2023-12-04T00:00:00"/>
    <d v="2023-12-04T00:00:00"/>
    <n v="2"/>
    <n v="4"/>
    <n v="2"/>
    <n v="4"/>
    <n v="2"/>
    <m/>
    <s v="Retrospective planning application for alterations including the erection and retention of a second floor rear extension and terrace. Internal alterations and reconfiguration associated with changes to the existing unit mix to create 4 x 1 bed flats.  Increase in size of rear terrace at first floor level to be enclosed by an obscure glazed screen. Use of ground floor level as Class E (Office)."/>
    <s v="PF"/>
    <d v="2023-10-03T00:00:00"/>
    <d v="2023-12-04T00:00:00"/>
    <s v="Y"/>
    <s v="Nil"/>
    <m/>
    <s v="BF"/>
    <s v="CON"/>
    <x v="2"/>
    <x v="5"/>
    <n v="8.5699999999999995E-3"/>
    <d v="2023-12-04T00:00:00"/>
    <x v="1"/>
    <d v="2023-12-04T00:00:00"/>
    <s v="Open Market"/>
    <s v="M"/>
    <s v=""/>
    <m/>
    <m/>
    <m/>
    <m/>
    <m/>
    <n v="0"/>
    <n v="1"/>
    <n v="1"/>
    <n v="0"/>
    <n v="0"/>
    <n v="0"/>
    <n v="0"/>
    <n v="0"/>
    <n v="1"/>
    <n v="1"/>
    <n v="0"/>
    <n v="0"/>
    <n v="0"/>
    <n v="0"/>
    <n v="0"/>
    <n v="0"/>
    <n v="0"/>
    <n v="0"/>
    <n v="0"/>
    <n v="0"/>
    <n v="0"/>
    <n v="0"/>
    <n v="0"/>
    <n v="0"/>
    <n v="0"/>
    <n v="0"/>
    <n v="0"/>
    <n v="0"/>
    <m/>
    <m/>
    <s v="Rest of Borough"/>
    <n v="11"/>
    <n v="2"/>
    <m/>
    <m/>
    <m/>
    <m/>
    <m/>
    <m/>
    <m/>
    <m/>
    <m/>
    <m/>
    <m/>
    <m/>
    <m/>
    <m/>
    <m/>
    <m/>
    <m/>
    <m/>
    <m/>
    <n v="0"/>
    <n v="0"/>
  </r>
  <r>
    <n v="8032"/>
    <x v="0"/>
    <s v="2023/3199"/>
    <s v="81 Chestnut Grove"/>
    <s v=""/>
    <n v="528261"/>
    <n v="173519"/>
    <s v="Balham"/>
    <d v="2023-10-20T00:00:00"/>
    <d v="2023-10-20T00:00:00"/>
    <n v="1"/>
    <n v="2"/>
    <n v="1"/>
    <n v="2"/>
    <n v="1"/>
    <m/>
    <s v="Use of ground floor as two flats (Class C3)."/>
    <s v="LDC Exist"/>
    <d v="2023-08-21T00:00:00"/>
    <d v="2023-10-20T00:00:00"/>
    <s v="Y"/>
    <s v="Nil"/>
    <m/>
    <s v="BF"/>
    <s v="CON"/>
    <x v="2"/>
    <x v="5"/>
    <n v="6.6604999999999998E-3"/>
    <d v="2023-10-20T00:00:00"/>
    <x v="1"/>
    <d v="2023-10-20T00:00:00"/>
    <s v="Open Market"/>
    <s v="MR"/>
    <s v=""/>
    <m/>
    <m/>
    <m/>
    <m/>
    <m/>
    <n v="2"/>
    <n v="-1"/>
    <n v="0"/>
    <n v="0"/>
    <n v="0"/>
    <n v="0"/>
    <n v="0"/>
    <n v="2"/>
    <n v="-1"/>
    <n v="0"/>
    <n v="0"/>
    <n v="0"/>
    <n v="0"/>
    <n v="0"/>
    <n v="0"/>
    <n v="0"/>
    <n v="0"/>
    <n v="0"/>
    <n v="0"/>
    <n v="0"/>
    <n v="0"/>
    <n v="0"/>
    <n v="0"/>
    <n v="0"/>
    <n v="0"/>
    <n v="0"/>
    <n v="0"/>
    <n v="0"/>
    <m/>
    <m/>
    <s v="Rest of Borough"/>
    <n v="11"/>
    <n v="1"/>
    <m/>
    <m/>
    <m/>
    <m/>
    <m/>
    <m/>
    <m/>
    <m/>
    <m/>
    <m/>
    <m/>
    <m/>
    <m/>
    <m/>
    <m/>
    <m/>
    <m/>
    <m/>
    <m/>
    <n v="0"/>
    <n v="0"/>
  </r>
  <r>
    <n v="7816"/>
    <x v="0"/>
    <s v="2023/3519"/>
    <s v="Flat 1b, 178 Queenstown Road"/>
    <s v=""/>
    <n v="528747"/>
    <n v="176619"/>
    <s v="Shaftesbury &amp; Queenstown"/>
    <d v="2023-11-22T00:00:00"/>
    <d v="2023-11-22T00:00:00"/>
    <n v="1"/>
    <n v="2"/>
    <n v="1"/>
    <n v="2"/>
    <n v="1"/>
    <m/>
    <s v="Continued use of the second floor as a self-contained unit."/>
    <s v="LDC Exist"/>
    <d v="2023-09-19T00:00:00"/>
    <d v="2023-11-22T00:00:00"/>
    <s v="Y"/>
    <s v="Nil"/>
    <m/>
    <s v="BF"/>
    <s v="COU"/>
    <x v="2"/>
    <x v="5"/>
    <n v="1.1599999999999999E-2"/>
    <d v="2023-11-22T00:00:00"/>
    <x v="1"/>
    <d v="2023-11-22T00:00:00"/>
    <s v="Open Market"/>
    <s v="M"/>
    <s v=""/>
    <m/>
    <m/>
    <m/>
    <m/>
    <m/>
    <n v="0"/>
    <n v="1"/>
    <n v="0"/>
    <n v="0"/>
    <n v="0"/>
    <n v="0"/>
    <n v="0"/>
    <n v="0"/>
    <n v="1"/>
    <n v="0"/>
    <n v="0"/>
    <n v="0"/>
    <n v="0"/>
    <n v="0"/>
    <n v="0"/>
    <n v="0"/>
    <n v="0"/>
    <n v="0"/>
    <n v="0"/>
    <n v="0"/>
    <n v="0"/>
    <n v="0"/>
    <n v="0"/>
    <n v="0"/>
    <n v="0"/>
    <n v="0"/>
    <n v="0"/>
    <n v="0"/>
    <m/>
    <s v="Y"/>
    <s v="Nine Elms"/>
    <n v="11"/>
    <n v="1"/>
    <m/>
    <m/>
    <m/>
    <m/>
    <m/>
    <m/>
    <m/>
    <m/>
    <m/>
    <m/>
    <m/>
    <m/>
    <m/>
    <m/>
    <m/>
    <m/>
    <m/>
    <m/>
    <m/>
    <n v="0"/>
    <n v="0"/>
  </r>
  <r>
    <n v="8005"/>
    <x v="0"/>
    <s v="2023/3555"/>
    <s v="252 C Battersea Park Road"/>
    <s v=""/>
    <n v="527468"/>
    <n v="176394"/>
    <s v="St Mary's"/>
    <d v="2023-12-08T00:00:00"/>
    <d v="2023-12-08T00:00:00"/>
    <n v="0"/>
    <n v="1"/>
    <n v="1"/>
    <n v="1"/>
    <n v="1"/>
    <m/>
    <s v="Use of ground floor as a single dwellling Class C3"/>
    <s v="LDC Exist"/>
    <d v="2023-10-13T00:00:00"/>
    <d v="2023-12-08T00:00:00"/>
    <s v="Y"/>
    <s v="Nil"/>
    <m/>
    <s v="BF"/>
    <s v="COU"/>
    <x v="2"/>
    <x v="4"/>
    <n v="5.0000000000000001E-3"/>
    <d v="2023-12-08T00:00:00"/>
    <x v="1"/>
    <d v="2023-12-08T00:00:00"/>
    <s v="Open Market"/>
    <s v="M"/>
    <s v=""/>
    <m/>
    <m/>
    <m/>
    <m/>
    <m/>
    <n v="0"/>
    <n v="1"/>
    <n v="0"/>
    <n v="0"/>
    <n v="0"/>
    <n v="0"/>
    <n v="0"/>
    <n v="0"/>
    <n v="1"/>
    <n v="0"/>
    <n v="0"/>
    <n v="0"/>
    <n v="0"/>
    <n v="0"/>
    <n v="0"/>
    <n v="0"/>
    <n v="0"/>
    <n v="0"/>
    <n v="0"/>
    <n v="0"/>
    <n v="0"/>
    <n v="0"/>
    <n v="0"/>
    <n v="0"/>
    <n v="0"/>
    <n v="0"/>
    <n v="0"/>
    <n v="0"/>
    <m/>
    <m/>
    <s v="Rest of Borough"/>
    <n v="11"/>
    <n v="1"/>
    <m/>
    <m/>
    <m/>
    <m/>
    <m/>
    <m/>
    <m/>
    <m/>
    <m/>
    <m/>
    <m/>
    <m/>
    <m/>
    <m/>
    <m/>
    <m/>
    <m/>
    <m/>
    <m/>
    <n v="0"/>
    <n v="0"/>
  </r>
  <r>
    <n v="6569"/>
    <x v="0"/>
    <s v="2023/3556"/>
    <s v="547 Battersea Park Road"/>
    <s v=""/>
    <n v="527371"/>
    <n v="176315"/>
    <s v="St Mary's"/>
    <d v="2023-12-07T00:00:00"/>
    <d v="2023-12-07T00:00:00"/>
    <n v="0"/>
    <n v="1"/>
    <n v="1"/>
    <n v="1"/>
    <n v="1"/>
    <m/>
    <s v="Continued use of the property as a self-contained flat to rear ground floor."/>
    <s v="LDC Exist"/>
    <d v="2023-10-13T00:00:00"/>
    <d v="2023-12-07T00:00:00"/>
    <s v="Y"/>
    <s v="Nil"/>
    <m/>
    <s v="BF"/>
    <s v="COU"/>
    <x v="2"/>
    <x v="4"/>
    <n v="1.5E-3"/>
    <d v="2023-12-07T00:00:00"/>
    <x v="1"/>
    <d v="2023-12-07T00:00:00"/>
    <s v="Open Market"/>
    <s v="M"/>
    <s v=""/>
    <m/>
    <m/>
    <m/>
    <m/>
    <m/>
    <n v="0"/>
    <n v="1"/>
    <n v="0"/>
    <n v="0"/>
    <n v="0"/>
    <n v="0"/>
    <n v="0"/>
    <n v="0"/>
    <n v="1"/>
    <n v="0"/>
    <n v="0"/>
    <n v="0"/>
    <n v="0"/>
    <n v="0"/>
    <n v="0"/>
    <n v="0"/>
    <n v="0"/>
    <n v="0"/>
    <n v="0"/>
    <n v="0"/>
    <n v="0"/>
    <n v="0"/>
    <n v="0"/>
    <n v="0"/>
    <n v="0"/>
    <n v="0"/>
    <n v="0"/>
    <n v="0"/>
    <m/>
    <m/>
    <s v="Rest of Borough"/>
    <n v="11"/>
    <n v="1"/>
    <m/>
    <m/>
    <m/>
    <m/>
    <m/>
    <m/>
    <m/>
    <m/>
    <m/>
    <m/>
    <m/>
    <m/>
    <m/>
    <m/>
    <m/>
    <m/>
    <m/>
    <m/>
    <m/>
    <n v="0"/>
    <n v="0"/>
  </r>
  <r>
    <n v="8063"/>
    <x v="0"/>
    <s v="2023/3978"/>
    <s v="4 Westover Road"/>
    <s v=""/>
    <n v="526445"/>
    <n v="174223"/>
    <s v="Wandle"/>
    <d v="2024-01-17T00:00:00"/>
    <d v="2024-01-17T00:00:00"/>
    <n v="1"/>
    <n v="1"/>
    <n v="0"/>
    <n v="1"/>
    <n v="0"/>
    <m/>
    <s v="Retention of front façade with demolition and rebuilding of remainder of dwelling, incorporating alterations and extensions including an additional dormer and amended dormer to the main rear roof slope and replacement dormer to front roof slope; excavation to enlarge existing basement, including formation of front lightwells with grilles over; erection of single storey side and rear extensions; alterations to some fenestration, and erection of enlarged single storey rear outbuilding. [Note: This is a partially retrospective application]."/>
    <s v="PF"/>
    <d v="2023-10-20T00:00:00"/>
    <d v="2024-01-17T00:00:00"/>
    <s v="Y"/>
    <s v="Nil"/>
    <m/>
    <s v="BF"/>
    <s v="NB"/>
    <x v="2"/>
    <x v="3"/>
    <n v="7.0107000000000003E-2"/>
    <d v="2024-01-17T00:00:00"/>
    <x v="1"/>
    <d v="2024-01-17T00:00:00"/>
    <s v="Open Market"/>
    <s v="M"/>
    <s v=""/>
    <m/>
    <m/>
    <m/>
    <m/>
    <m/>
    <n v="0"/>
    <n v="0"/>
    <n v="0"/>
    <n v="0"/>
    <n v="0"/>
    <n v="0"/>
    <n v="0"/>
    <n v="0"/>
    <n v="0"/>
    <n v="0"/>
    <n v="0"/>
    <n v="0"/>
    <n v="0"/>
    <n v="0"/>
    <n v="0"/>
    <n v="0"/>
    <n v="0"/>
    <n v="0"/>
    <n v="0"/>
    <n v="0"/>
    <n v="0"/>
    <n v="0"/>
    <n v="0"/>
    <n v="0"/>
    <n v="0"/>
    <n v="0"/>
    <n v="0"/>
    <n v="0"/>
    <m/>
    <m/>
    <s v="Rest of Borough"/>
    <n v="1"/>
    <n v="0"/>
    <m/>
    <m/>
    <m/>
    <m/>
    <m/>
    <m/>
    <m/>
    <m/>
    <m/>
    <m/>
    <m/>
    <m/>
    <m/>
    <m/>
    <m/>
    <m/>
    <m/>
    <m/>
    <m/>
    <n v="0"/>
    <n v="0"/>
  </r>
  <r>
    <n v="5423"/>
    <x v="0"/>
    <s v="2023/4658"/>
    <s v="346 Garratt Lane"/>
    <s v=""/>
    <n v="525984"/>
    <n v="173043"/>
    <s v="Wandle"/>
    <d v="2023-04-01T00:00:00"/>
    <d v="2024-03-31T00:00:00"/>
    <n v="0"/>
    <n v="1"/>
    <n v="1"/>
    <n v="1"/>
    <n v="1"/>
    <m/>
    <s v="Determination as to whether prior approval is required for change of use from office over first and second floor level (Class E(c) to a 1 x 2-bedroom dwelling (Class C3)"/>
    <s v="PANR"/>
    <d v="2023-12-14T00:00:00"/>
    <d v="2024-02-01T00:00:00"/>
    <s v="Y"/>
    <s v="Nil"/>
    <m/>
    <s v="BF"/>
    <s v="COU"/>
    <x v="2"/>
    <x v="6"/>
    <n v="5.0000000000000001E-3"/>
    <d v="2023-04-01T00:00:00"/>
    <x v="1"/>
    <d v="2024-03-31T00:00:00"/>
    <s v="Open Market"/>
    <s v="M"/>
    <s v=""/>
    <m/>
    <m/>
    <m/>
    <m/>
    <m/>
    <n v="0"/>
    <n v="0"/>
    <n v="1"/>
    <n v="0"/>
    <n v="0"/>
    <n v="0"/>
    <n v="0"/>
    <n v="0"/>
    <n v="0"/>
    <n v="1"/>
    <n v="0"/>
    <n v="0"/>
    <n v="0"/>
    <n v="0"/>
    <n v="0"/>
    <n v="0"/>
    <n v="0"/>
    <n v="0"/>
    <n v="0"/>
    <n v="0"/>
    <n v="0"/>
    <n v="0"/>
    <n v="0"/>
    <n v="0"/>
    <n v="0"/>
    <n v="0"/>
    <n v="0"/>
    <n v="0"/>
    <m/>
    <m/>
    <s v="Wandle Valley"/>
    <n v="11"/>
    <n v="1"/>
    <m/>
    <m/>
    <m/>
    <m/>
    <m/>
    <m/>
    <m/>
    <m/>
    <m/>
    <m/>
    <m/>
    <m/>
    <m/>
    <m/>
    <m/>
    <m/>
    <m/>
    <m/>
    <m/>
    <n v="0"/>
    <n v="0"/>
  </r>
  <r>
    <n v="8083"/>
    <x v="0"/>
    <s v="2023/4693"/>
    <s v="3 Archway Mews"/>
    <s v=""/>
    <n v="524447"/>
    <n v="175272"/>
    <s v="Thamesfield"/>
    <d v="2024-02-23T00:00:00"/>
    <d v="2024-02-23T00:00:00"/>
    <n v="1"/>
    <n v="1"/>
    <n v="0"/>
    <n v="1"/>
    <n v="0"/>
    <m/>
    <s v="Continued use of the property as a single dwelling."/>
    <s v="LDC Exist"/>
    <d v="2023-12-19T00:00:00"/>
    <d v="2024-02-23T00:00:00"/>
    <s v="Y"/>
    <s v="Nil"/>
    <m/>
    <s v="BF"/>
    <s v="COU"/>
    <x v="2"/>
    <x v="6"/>
    <n v="5.0000000000000001E-3"/>
    <d v="2024-02-23T00:00:00"/>
    <x v="1"/>
    <d v="2024-02-23T00:00:00"/>
    <s v="Open Market"/>
    <s v="M"/>
    <s v=""/>
    <m/>
    <m/>
    <m/>
    <m/>
    <m/>
    <n v="0"/>
    <n v="0"/>
    <n v="0"/>
    <n v="0"/>
    <n v="0"/>
    <n v="0"/>
    <n v="0"/>
    <n v="0"/>
    <n v="0"/>
    <n v="0"/>
    <n v="0"/>
    <n v="0"/>
    <n v="0"/>
    <n v="0"/>
    <n v="0"/>
    <n v="0"/>
    <n v="0"/>
    <n v="1"/>
    <n v="0"/>
    <n v="0"/>
    <n v="0"/>
    <n v="0"/>
    <n v="0"/>
    <n v="0"/>
    <n v="-1"/>
    <n v="0"/>
    <n v="0"/>
    <n v="0"/>
    <m/>
    <m/>
    <s v="Rest of Borough"/>
    <n v="11"/>
    <n v="0"/>
    <m/>
    <m/>
    <m/>
    <m/>
    <m/>
    <m/>
    <m/>
    <m/>
    <m/>
    <m/>
    <m/>
    <m/>
    <m/>
    <m/>
    <m/>
    <m/>
    <m/>
    <m/>
    <m/>
    <n v="0"/>
    <n v="0"/>
  </r>
  <r>
    <n v="7809"/>
    <x v="0"/>
    <s v="2023/4697"/>
    <s v="22 Gwendolen Avenue"/>
    <s v=""/>
    <n v="523600"/>
    <n v="174996"/>
    <s v="West Putney"/>
    <d v="2024-02-14T00:00:00"/>
    <d v="2024-02-14T00:00:00"/>
    <n v="3"/>
    <n v="1"/>
    <n v="-2"/>
    <n v="1"/>
    <n v="-2"/>
    <m/>
    <s v="Use as single dwelling house (Class C3)."/>
    <s v="LDC Exist"/>
    <d v="2023-12-20T00:00:00"/>
    <d v="2024-02-14T00:00:00"/>
    <s v="Y"/>
    <s v="Nil"/>
    <m/>
    <s v="BF"/>
    <s v="CON"/>
    <x v="2"/>
    <x v="11"/>
    <n v="0"/>
    <d v="2024-02-14T00:00:00"/>
    <x v="1"/>
    <d v="2024-02-14T00:00:00"/>
    <s v="Open Market"/>
    <s v="M"/>
    <s v=""/>
    <m/>
    <m/>
    <m/>
    <m/>
    <m/>
    <n v="0"/>
    <n v="-1"/>
    <n v="-2"/>
    <n v="0"/>
    <n v="1"/>
    <n v="0"/>
    <n v="0"/>
    <n v="0"/>
    <n v="-1"/>
    <n v="-2"/>
    <n v="0"/>
    <n v="0"/>
    <n v="0"/>
    <n v="0"/>
    <n v="0"/>
    <n v="0"/>
    <n v="0"/>
    <n v="0"/>
    <n v="1"/>
    <n v="0"/>
    <n v="0"/>
    <n v="0"/>
    <n v="0"/>
    <n v="0"/>
    <n v="0"/>
    <n v="0"/>
    <n v="0"/>
    <n v="0"/>
    <m/>
    <m/>
    <s v="Rest of Borough"/>
    <n v="11"/>
    <n v="-2"/>
    <m/>
    <m/>
    <m/>
    <m/>
    <m/>
    <m/>
    <m/>
    <m/>
    <m/>
    <m/>
    <m/>
    <m/>
    <m/>
    <m/>
    <m/>
    <m/>
    <m/>
    <m/>
    <m/>
    <n v="0"/>
    <n v="0"/>
  </r>
  <r>
    <n v="8086"/>
    <x v="0"/>
    <s v="2023/4778"/>
    <s v="13 Baskerville Road"/>
    <s v=""/>
    <n v="527273"/>
    <n v="173831"/>
    <s v="Wandsworth Common"/>
    <d v="2024-03-08T00:00:00"/>
    <d v="2024-03-08T00:00:00"/>
    <n v="1"/>
    <n v="1"/>
    <n v="0"/>
    <n v="1"/>
    <n v="0"/>
    <m/>
    <s v="Change of use from HMO use (Class C4) to residential dwelling house (Class C3)."/>
    <s v="LDC Prop"/>
    <d v="2024-01-03T00:00:00"/>
    <d v="2024-03-08T00:00:00"/>
    <s v="Y"/>
    <s v="Nil"/>
    <m/>
    <s v="BF"/>
    <s v="COU"/>
    <x v="2"/>
    <x v="11"/>
    <n v="3.8351000000000003E-2"/>
    <d v="2024-03-08T00:00:00"/>
    <x v="1"/>
    <d v="2024-03-08T00:00:00"/>
    <s v="Open Market"/>
    <s v="M"/>
    <s v=""/>
    <m/>
    <m/>
    <m/>
    <m/>
    <m/>
    <n v="0"/>
    <n v="0"/>
    <n v="0"/>
    <n v="0"/>
    <n v="0"/>
    <n v="0"/>
    <n v="0"/>
    <n v="0"/>
    <n v="0"/>
    <n v="0"/>
    <n v="0"/>
    <n v="0"/>
    <n v="0"/>
    <n v="0"/>
    <n v="0"/>
    <n v="0"/>
    <n v="0"/>
    <n v="0"/>
    <n v="0"/>
    <n v="0"/>
    <n v="0"/>
    <n v="0"/>
    <n v="0"/>
    <n v="0"/>
    <n v="0"/>
    <n v="0"/>
    <n v="0"/>
    <n v="0"/>
    <m/>
    <m/>
    <s v="Rest of Borough"/>
    <n v="11"/>
    <n v="0"/>
    <m/>
    <m/>
    <m/>
    <m/>
    <m/>
    <m/>
    <m/>
    <m/>
    <m/>
    <m/>
    <m/>
    <m/>
    <m/>
    <m/>
    <m/>
    <m/>
    <m/>
    <m/>
    <m/>
    <n v="0"/>
    <n v="0"/>
  </r>
  <r>
    <n v="8110"/>
    <x v="0"/>
    <s v="2024/0296"/>
    <s v="5 Coral Row"/>
    <s v=""/>
    <n v="526413"/>
    <n v="175739"/>
    <s v="St Mary's"/>
    <d v="2024-03-22T00:00:00"/>
    <d v="2024-03-22T00:00:00"/>
    <n v="1"/>
    <n v="1"/>
    <n v="0"/>
    <n v="1"/>
    <n v="0"/>
    <m/>
    <s v="To establish the use of the property as a single family dwellinghouse (Use Class C3)."/>
    <s v="LDC Exist"/>
    <d v="2024-01-29T00:00:00"/>
    <d v="2024-03-22T00:00:00"/>
    <s v="Y"/>
    <s v="Nil"/>
    <m/>
    <s v="BF"/>
    <s v="CON"/>
    <x v="2"/>
    <x v="8"/>
    <n v="1.0992E-2"/>
    <d v="2024-03-22T00:00:00"/>
    <x v="1"/>
    <d v="2024-03-22T00:00:00"/>
    <s v="Open Market"/>
    <s v="M"/>
    <s v=""/>
    <m/>
    <m/>
    <m/>
    <m/>
    <m/>
    <n v="0"/>
    <n v="0"/>
    <n v="0"/>
    <n v="0"/>
    <n v="1"/>
    <n v="-1"/>
    <n v="0"/>
    <n v="0"/>
    <n v="0"/>
    <n v="0"/>
    <n v="0"/>
    <n v="0"/>
    <n v="0"/>
    <n v="0"/>
    <n v="0"/>
    <n v="0"/>
    <n v="0"/>
    <n v="0"/>
    <n v="1"/>
    <n v="0"/>
    <n v="0"/>
    <n v="0"/>
    <n v="0"/>
    <n v="0"/>
    <n v="0"/>
    <n v="0"/>
    <n v="-1"/>
    <n v="0"/>
    <m/>
    <m/>
    <s v="Wandsworth riverside"/>
    <n v="11"/>
    <n v="0"/>
    <m/>
    <m/>
    <m/>
    <m/>
    <m/>
    <m/>
    <m/>
    <m/>
    <m/>
    <m/>
    <m/>
    <m/>
    <m/>
    <m/>
    <m/>
    <m/>
    <m/>
    <m/>
    <m/>
    <n v="0"/>
    <n v="0"/>
  </r>
  <r>
    <n v="3961"/>
    <x v="0"/>
    <s v="2022/3055"/>
    <s v="Dadu's Parade, 180-218 Upper Tooting Road"/>
    <s v=""/>
    <n v="527645"/>
    <n v="171873"/>
    <s v="Tooting Bec"/>
    <s v="18/11/2022"/>
    <s v="18/11/2022"/>
    <n v="32"/>
    <n v="0"/>
    <n v="-32"/>
    <n v="0"/>
    <n v="0"/>
    <s v="Y"/>
    <s v="Submission of details for the viability review mechanism pursuant to Schedule 3 of section 106 agreement dated 10th August 2018 related to planning permission ref 2017/4726 (as varied by 2020/2855 dated 02/12/2021) (Demolition of the existing buildings, with the retention and restoration of the RACS building facade and redevelopment of the remainder of the site to provide a part single/part four/part five-storey building to provide up to 2,105sqm of flexible floorspace at ground level for retail, financial and professional services, restaurant, pub and bar (Classes A1-A4) and 173sqm floorspace for community use (Class D1/D2); a 96-bedroom hotel (Class C1); 41 residential units (comprising 9 x 1-bedroom, 29 x 2-bedroom and 3 x 3-bedroom units); associated car parking for 45 cars (including 29 spaces for public use), 124 cycle parking spaces, servicing areas and landscaping) and to modify the s.106 legal agreement to remove obligations relating to affordable housing provision."/>
    <s v="S106"/>
    <s v="21/07/2022"/>
    <s v="18/11/2022"/>
    <m/>
    <s v="Nil"/>
    <s v=""/>
    <s v="BF"/>
    <s v="CON"/>
    <x v="3"/>
    <x v="0"/>
    <n v="0.14599999999999999"/>
    <s v="18/11/2022"/>
    <x v="0"/>
    <s v="18/11/2022"/>
    <s v="Open Market"/>
    <s v="MR"/>
    <s v="5.1"/>
    <m/>
    <n v="0"/>
    <m/>
    <n v="0"/>
    <m/>
    <n v="0"/>
    <n v="-7"/>
    <n v="-22"/>
    <n v="-3"/>
    <n v="0"/>
    <n v="0"/>
    <n v="0"/>
    <n v="0"/>
    <n v="-7"/>
    <n v="-22"/>
    <n v="-3"/>
    <n v="0"/>
    <n v="0"/>
    <n v="0"/>
    <n v="0"/>
    <n v="0"/>
    <n v="0"/>
    <n v="0"/>
    <n v="0"/>
    <n v="0"/>
    <n v="0"/>
    <n v="0"/>
    <n v="0"/>
    <n v="0"/>
    <n v="0"/>
    <n v="0"/>
    <n v="0"/>
    <n v="0"/>
    <s v="Tooting"/>
    <m/>
    <s v="Tooting"/>
    <n v="23"/>
    <n v="-32"/>
    <m/>
    <m/>
    <m/>
    <m/>
    <m/>
    <m/>
    <m/>
    <m/>
    <m/>
    <m/>
    <m/>
    <m/>
    <m/>
    <m/>
    <m/>
    <m/>
    <m/>
    <m/>
    <m/>
    <n v="0"/>
    <n v="0"/>
  </r>
  <r>
    <n v="3961"/>
    <x v="0"/>
    <s v="2022/3055"/>
    <s v="Dadu's Parade, 180-218 Upper Tooting Road"/>
    <s v=""/>
    <n v="527645"/>
    <n v="171873"/>
    <s v="Tooting Bec"/>
    <s v="18/11/2022"/>
    <s v="18/11/2022"/>
    <n v="9"/>
    <n v="0"/>
    <n v="-9"/>
    <n v="0"/>
    <n v="0"/>
    <s v="Y"/>
    <s v="Submission of details for the viability review mechanism pursuant to Schedule 3 of section 106 agreement dated 10th August 2018 related to planning permission ref 2017/4726 (as varied by 2020/2855 dated 02/12/2021) (Demolition of the existing buildings, with the retention and restoration of the RACS building facade and redevelopment of the remainder of the site to provide a part single/part four/part five-storey building to provide up to 2,105sqm of flexible floorspace at ground level for retail, financial and professional services, restaurant, pub and bar (Classes A1-A4) and 173sqm floorspace for community use (Class D1/D2); a 96-bedroom hotel (Class C1); 41 residential units (comprising 9 x 1-bedroom, 29 x 2-bedroom and 3 x 3-bedroom units); associated car parking for 45 cars (including 29 spaces for public use), 124 cycle parking spaces, servicing areas and landscaping) and to modify the s.106 legal agreement to remove obligations relating to affordable housing provision."/>
    <s v="S106"/>
    <s v="21/07/2022"/>
    <s v="18/11/2022"/>
    <m/>
    <s v="Nil"/>
    <s v=""/>
    <s v="BF"/>
    <s v="CON"/>
    <x v="3"/>
    <x v="0"/>
    <n v="0.06"/>
    <s v="18/11/2022"/>
    <x v="0"/>
    <s v="18/11/2022"/>
    <s v="Open Market"/>
    <s v="MR"/>
    <s v="5.1"/>
    <m/>
    <n v="0"/>
    <m/>
    <n v="0"/>
    <m/>
    <n v="0"/>
    <n v="-2"/>
    <n v="-6"/>
    <n v="-1"/>
    <n v="0"/>
    <n v="0"/>
    <n v="0"/>
    <n v="0"/>
    <n v="-2"/>
    <n v="-6"/>
    <n v="-1"/>
    <n v="0"/>
    <n v="0"/>
    <n v="0"/>
    <n v="0"/>
    <n v="0"/>
    <n v="0"/>
    <n v="0"/>
    <n v="0"/>
    <n v="0"/>
    <n v="0"/>
    <n v="0"/>
    <n v="0"/>
    <n v="0"/>
    <n v="0"/>
    <n v="0"/>
    <n v="0"/>
    <n v="0"/>
    <s v="Tooting"/>
    <m/>
    <s v="Tooting"/>
    <n v="23"/>
    <n v="-9"/>
    <m/>
    <m/>
    <m/>
    <m/>
    <m/>
    <m/>
    <m/>
    <m/>
    <m/>
    <m/>
    <m/>
    <m/>
    <m/>
    <m/>
    <m/>
    <m/>
    <m/>
    <m/>
    <m/>
    <n v="0"/>
    <n v="0"/>
  </r>
  <r>
    <n v="378"/>
    <x v="1"/>
    <s v="2022/3878"/>
    <s v="190-194 Mitcham Road"/>
    <s v=""/>
    <n v="527913"/>
    <n v="170958"/>
    <s v="Tooting Broadway"/>
    <d v="2023-08-16T00:00:00"/>
    <m/>
    <n v="0"/>
    <n v="21"/>
    <n v="21"/>
    <n v="21"/>
    <n v="21"/>
    <s v="Y"/>
    <s v="Demolition of existing building and erection of part 3 and part 4 storey building to provide 21 no. residential apartments (use class C3), and commercial/community space (use class E) together with private amenity space, blue badge parking space, access and landscaping."/>
    <s v="PFLA"/>
    <d v="2022-09-16T00:00:00"/>
    <d v="2023-03-31T00:00:00"/>
    <m/>
    <s v="Nil"/>
    <m/>
    <s v="BF"/>
    <s v="NB"/>
    <x v="1"/>
    <x v="0"/>
    <n v="4.5874999999999999E-2"/>
    <d v="2023-08-16T00:00:00"/>
    <x v="1"/>
    <m/>
    <s v="Open Market"/>
    <s v="M"/>
    <s v=""/>
    <m/>
    <m/>
    <n v="19"/>
    <m/>
    <n v="2"/>
    <n v="1"/>
    <n v="4"/>
    <n v="14"/>
    <n v="2"/>
    <n v="0"/>
    <n v="0"/>
    <n v="0"/>
    <n v="1"/>
    <n v="4"/>
    <n v="14"/>
    <n v="2"/>
    <n v="0"/>
    <n v="0"/>
    <n v="0"/>
    <n v="0"/>
    <n v="0"/>
    <n v="0"/>
    <n v="0"/>
    <n v="0"/>
    <n v="0"/>
    <n v="0"/>
    <n v="0"/>
    <n v="0"/>
    <n v="0"/>
    <n v="0"/>
    <n v="0"/>
    <n v="0"/>
    <n v="0"/>
    <m/>
    <m/>
    <s v="Rest of Borough"/>
    <n v="5"/>
    <m/>
    <m/>
    <n v="21"/>
    <m/>
    <m/>
    <m/>
    <m/>
    <m/>
    <m/>
    <m/>
    <m/>
    <m/>
    <m/>
    <m/>
    <m/>
    <m/>
    <m/>
    <m/>
    <m/>
    <m/>
    <n v="21"/>
    <n v="21"/>
  </r>
  <r>
    <n v="4260"/>
    <x v="1"/>
    <s v="2013/5264"/>
    <s v="155 Burntwood Lane"/>
    <s v=""/>
    <n v="526461"/>
    <n v="172543"/>
    <s v="Wandsworth Common"/>
    <d v="2018-03-31T00:00:00"/>
    <m/>
    <n v="0"/>
    <n v="3"/>
    <n v="3"/>
    <n v="3"/>
    <n v="3"/>
    <m/>
    <s v="Demolition of rear addition and alterations including erection of part single part two-storey front, side, rear extensions to rear addition, alterations to front and side ground floor elevations and enclosure of front and side forecourt in connection with use as three flats."/>
    <s v="PF"/>
    <d v="2013-10-21T00:00:00"/>
    <d v="2013-10-21T00:00:00"/>
    <m/>
    <s v="Nil"/>
    <m/>
    <s v="BF"/>
    <s v="MIX"/>
    <x v="2"/>
    <x v="4"/>
    <n v="3.4000000000000002E-2"/>
    <d v="2018-03-31T00:00:00"/>
    <x v="0"/>
    <m/>
    <s v="Open Market"/>
    <s v="M"/>
    <s v=""/>
    <m/>
    <m/>
    <m/>
    <m/>
    <m/>
    <n v="0"/>
    <n v="0"/>
    <n v="2"/>
    <n v="1"/>
    <n v="0"/>
    <n v="0"/>
    <n v="0"/>
    <n v="0"/>
    <n v="0"/>
    <n v="2"/>
    <n v="1"/>
    <n v="0"/>
    <n v="0"/>
    <n v="0"/>
    <n v="0"/>
    <n v="0"/>
    <n v="0"/>
    <n v="0"/>
    <n v="0"/>
    <n v="0"/>
    <n v="0"/>
    <n v="0"/>
    <n v="0"/>
    <n v="0"/>
    <n v="0"/>
    <n v="0"/>
    <n v="0"/>
    <n v="0"/>
    <m/>
    <m/>
    <s v="Rest of Borough"/>
    <n v="13"/>
    <m/>
    <n v="3"/>
    <m/>
    <m/>
    <m/>
    <m/>
    <m/>
    <m/>
    <m/>
    <m/>
    <m/>
    <m/>
    <m/>
    <m/>
    <m/>
    <m/>
    <m/>
    <m/>
    <m/>
    <m/>
    <n v="3"/>
    <n v="3"/>
  </r>
  <r>
    <n v="5514"/>
    <x v="1"/>
    <s v="2013/6430"/>
    <s v="15 Fernthorpe Road"/>
    <s v=""/>
    <n v="529246"/>
    <n v="170855"/>
    <s v="Furzedown"/>
    <d v="2017-04-01T00:00:00"/>
    <m/>
    <n v="0"/>
    <n v="1"/>
    <n v="1"/>
    <n v="1"/>
    <n v="1"/>
    <m/>
    <s v="Demolition of existing garage. Construction of three-storey side extension with rear roof extension and conversion into self contained two bedroomed dwelling. Installation of 6 solar panels to front roof slope."/>
    <s v="PF"/>
    <d v="2014-01-08T00:00:00"/>
    <d v="2015-04-13T00:00:00"/>
    <m/>
    <s v="Nil"/>
    <m/>
    <s v="BF"/>
    <s v="MIX"/>
    <x v="2"/>
    <x v="3"/>
    <n v="7.0000000000000001E-3"/>
    <d v="2017-04-01T00:00:00"/>
    <x v="0"/>
    <m/>
    <s v="Open Market"/>
    <s v="M"/>
    <s v=""/>
    <m/>
    <n v="1"/>
    <m/>
    <m/>
    <m/>
    <n v="0"/>
    <n v="0"/>
    <n v="1"/>
    <n v="0"/>
    <n v="0"/>
    <n v="0"/>
    <n v="0"/>
    <n v="0"/>
    <n v="0"/>
    <n v="0"/>
    <n v="0"/>
    <n v="0"/>
    <n v="0"/>
    <n v="0"/>
    <n v="0"/>
    <n v="0"/>
    <n v="1"/>
    <n v="0"/>
    <n v="0"/>
    <n v="0"/>
    <n v="0"/>
    <n v="0"/>
    <n v="0"/>
    <n v="0"/>
    <n v="0"/>
    <n v="0"/>
    <n v="0"/>
    <n v="0"/>
    <m/>
    <m/>
    <s v="Rest of Borough"/>
    <n v="13"/>
    <m/>
    <n v="1"/>
    <m/>
    <m/>
    <m/>
    <m/>
    <m/>
    <m/>
    <m/>
    <m/>
    <m/>
    <m/>
    <m/>
    <m/>
    <m/>
    <m/>
    <m/>
    <m/>
    <m/>
    <m/>
    <n v="1"/>
    <n v="1"/>
  </r>
  <r>
    <n v="2154"/>
    <x v="1"/>
    <s v="2014/1622"/>
    <s v="Mission Church development site, 22-24 Kellino Street (Tooting Boys' Club)"/>
    <s v=""/>
    <n v="527691"/>
    <n v="171695"/>
    <s v="Tooting Bec"/>
    <d v="2017-09-11T00:00:00"/>
    <m/>
    <n v="0"/>
    <n v="4"/>
    <n v="4"/>
    <n v="4"/>
    <n v="4"/>
    <m/>
    <s v="Change of use of the existing building from former community building (Class D1) to create four self-contained residential units comprising internal and external alterations (including terraces) and extensions."/>
    <s v="PF"/>
    <d v="2014-05-06T00:00:00"/>
    <d v="2014-07-18T00:00:00"/>
    <m/>
    <s v="Nil"/>
    <m/>
    <s v="BF"/>
    <s v="MIX"/>
    <x v="2"/>
    <x v="3"/>
    <n v="1.9E-2"/>
    <d v="2017-09-11T00:00:00"/>
    <x v="0"/>
    <m/>
    <s v="Open Market"/>
    <s v="M"/>
    <s v=""/>
    <m/>
    <m/>
    <m/>
    <m/>
    <m/>
    <n v="0"/>
    <n v="0"/>
    <n v="2"/>
    <n v="2"/>
    <n v="0"/>
    <n v="0"/>
    <n v="0"/>
    <n v="0"/>
    <n v="0"/>
    <n v="2"/>
    <n v="2"/>
    <n v="0"/>
    <n v="0"/>
    <n v="0"/>
    <n v="0"/>
    <n v="0"/>
    <n v="0"/>
    <n v="0"/>
    <n v="0"/>
    <n v="0"/>
    <n v="0"/>
    <n v="0"/>
    <n v="0"/>
    <n v="0"/>
    <n v="0"/>
    <n v="0"/>
    <n v="0"/>
    <n v="0"/>
    <m/>
    <m/>
    <s v="Tooting"/>
    <n v="13"/>
    <m/>
    <n v="4"/>
    <m/>
    <m/>
    <m/>
    <m/>
    <m/>
    <m/>
    <m/>
    <m/>
    <m/>
    <m/>
    <m/>
    <m/>
    <m/>
    <m/>
    <m/>
    <m/>
    <m/>
    <m/>
    <n v="4"/>
    <n v="4"/>
  </r>
  <r>
    <n v="3511"/>
    <x v="1"/>
    <s v="2019/4187"/>
    <s v="New Covent Garden Market, Nine Elms Lane (Combined Main Market, Entrance site and Thessaly College site)"/>
    <s v="N10"/>
    <n v="529369"/>
    <n v="177317"/>
    <s v="Nine Elms"/>
    <d v="2019-07-26T00:00:00"/>
    <m/>
    <n v="0"/>
    <n v="316"/>
    <n v="316"/>
    <n v="542"/>
    <n v="542"/>
    <s v="Y"/>
    <s v="Section 96A application for non-material amendments (alteration to the layouts of Buildings N9 and N10 to accommodate additional family units, alterations at ground floor to residential amenity areas and external design changes to Buildings N9 and N10) to Reserved Matters Approval ref. 2018/5698 dated 22/03/2019: &quot;Application for approval of reserved matters (Access, Layout, Appearance, Scale and Landscaping) for Phase 1B of the Northern Site Development Zone pursuant to part outline and part detailed planning permission 2014/2810, dated 11/02/15 &quot;For part outline and part detail planning permission for: (a) demolition of existing wholesale Fruit and Vegetable and Flower Market and ancillary buildings and structures, and residential building on Nine Elms Lane (apart from the existing multi storey car park); (b) Construction of mixed-use redevelopment comprising: a new Fruit and Vegetable Market and Flower Market and ancillary uses, including temporary and permanent façade; refurbishment and extension of existing waste collection area (including rooftop sports pitches); residential dwellings; flexible commercial uses, including retail, financial and professional services, café/restaurant, bar uses and hot food takeaways and offices; non-residential institutions; assembly and leisure uses; temporary storage and distribution buildings and associated works; associated car, cycle and motorcycle parking and servicing and new vehicle accesses, energy centres; and landscaping public realm and open space including part of the Linear Park. All matters reserved apart from access, details of all new markets and supporting buildings, and details of Building N8 and associated landscaping); (c) Site clearance and enabling works. An Environmental Statement has been submitted with the application under The Town and Country Planning (Environmental Impact Assessment) Regulations 2011.&quot;"/>
    <s v="S96A"/>
    <d v="2019-10-08T00:00:00"/>
    <d v="2019-10-22T00:00:00"/>
    <m/>
    <s v="Nil"/>
    <m/>
    <s v="BF"/>
    <s v="NB"/>
    <x v="1"/>
    <x v="0"/>
    <n v="1.764"/>
    <d v="2019-07-26T00:00:00"/>
    <x v="0"/>
    <m/>
    <s v="Open Market"/>
    <s v="M"/>
    <s v="2.1.27"/>
    <m/>
    <n v="288"/>
    <m/>
    <n v="28"/>
    <m/>
    <n v="0"/>
    <n v="98"/>
    <n v="134"/>
    <n v="74"/>
    <n v="10"/>
    <n v="0"/>
    <n v="0"/>
    <n v="0"/>
    <n v="98"/>
    <n v="134"/>
    <n v="74"/>
    <n v="10"/>
    <n v="0"/>
    <n v="0"/>
    <n v="0"/>
    <n v="0"/>
    <n v="0"/>
    <n v="0"/>
    <n v="0"/>
    <n v="0"/>
    <n v="0"/>
    <n v="0"/>
    <n v="0"/>
    <n v="0"/>
    <n v="0"/>
    <n v="0"/>
    <n v="0"/>
    <n v="0"/>
    <m/>
    <s v="Y"/>
    <s v="Nine Elms"/>
    <n v="5"/>
    <m/>
    <m/>
    <m/>
    <m/>
    <m/>
    <m/>
    <n v="316"/>
    <m/>
    <m/>
    <m/>
    <m/>
    <m/>
    <m/>
    <m/>
    <m/>
    <m/>
    <m/>
    <m/>
    <m/>
    <m/>
    <n v="0"/>
    <n v="316"/>
  </r>
  <r>
    <n v="3511"/>
    <x v="1"/>
    <s v="2023/3874"/>
    <s v="New Covent Garden Market, Nine Elms Lane (Combined Main Market, Entrance site and Thessaly College site)"/>
    <s v="N5"/>
    <n v="529369"/>
    <n v="177317"/>
    <s v="Nine Elms"/>
    <d v="2019-12-01T00:00:00"/>
    <m/>
    <n v="0"/>
    <n v="102"/>
    <n v="102"/>
    <n v="607"/>
    <n v="607"/>
    <s v="Y"/>
    <s v="Application under S96A of the Town &amp; Country Planning Act for 'non-material' amendments (revisions to the approved drawings listed in Condition 1 following detailed design development, including alterations to the unit mix and alteration to core layouts and design and other consequential amendments) to planning permission dated 26/07/2023 ref. 2022/4809."/>
    <s v="S96A"/>
    <d v="2023-10-13T00:00:00"/>
    <d v="2023-11-20T00:00:00"/>
    <s v="Y"/>
    <s v="Nil"/>
    <m/>
    <s v="BF"/>
    <s v="NB"/>
    <x v="1"/>
    <x v="0"/>
    <n v="0"/>
    <d v="2019-12-01T00:00:00"/>
    <x v="0"/>
    <m/>
    <s v="Open Market"/>
    <s v="M"/>
    <s v="2.1.27"/>
    <m/>
    <m/>
    <m/>
    <m/>
    <n v="16"/>
    <n v="10"/>
    <n v="12"/>
    <n v="54"/>
    <n v="25"/>
    <n v="1"/>
    <n v="0"/>
    <n v="0"/>
    <n v="10"/>
    <n v="12"/>
    <n v="54"/>
    <n v="25"/>
    <n v="1"/>
    <n v="0"/>
    <n v="0"/>
    <n v="0"/>
    <n v="0"/>
    <n v="0"/>
    <n v="0"/>
    <n v="0"/>
    <n v="0"/>
    <n v="0"/>
    <n v="0"/>
    <n v="0"/>
    <n v="0"/>
    <n v="0"/>
    <n v="0"/>
    <n v="0"/>
    <n v="0"/>
    <m/>
    <s v="Y"/>
    <s v="Nine Elms"/>
    <n v="5"/>
    <m/>
    <m/>
    <m/>
    <m/>
    <m/>
    <n v="102"/>
    <m/>
    <m/>
    <m/>
    <m/>
    <m/>
    <m/>
    <m/>
    <m/>
    <m/>
    <m/>
    <m/>
    <m/>
    <m/>
    <m/>
    <n v="102"/>
    <n v="102"/>
  </r>
  <r>
    <n v="5775"/>
    <x v="1"/>
    <s v="2014/6325"/>
    <s v="Land rear of, 13 Thurleigh Road"/>
    <s v=""/>
    <n v="527719"/>
    <n v="174043"/>
    <s v="Northcote"/>
    <d v="2017-07-05T00:00:00"/>
    <m/>
    <n v="0"/>
    <n v="1"/>
    <n v="1"/>
    <n v="1"/>
    <n v="1"/>
    <m/>
    <s v="Demolition of existing garages, erection of a single-storey plus basement attached self-contained dwelling fronting Blenkame Road with boundary treatment and associated landscaping."/>
    <s v="PF"/>
    <d v="2014-11-06T00:00:00"/>
    <d v="2015-02-27T00:00:00"/>
    <m/>
    <s v="Nil"/>
    <m/>
    <s v="BF"/>
    <s v="NB"/>
    <x v="2"/>
    <x v="3"/>
    <n v="8.9999999999999993E-3"/>
    <d v="2017-07-05T00:00:00"/>
    <x v="0"/>
    <m/>
    <s v="Open Market"/>
    <s v="M"/>
    <s v=""/>
    <m/>
    <m/>
    <m/>
    <m/>
    <m/>
    <n v="0"/>
    <n v="0"/>
    <n v="1"/>
    <n v="0"/>
    <n v="0"/>
    <n v="0"/>
    <n v="0"/>
    <n v="0"/>
    <n v="0"/>
    <n v="0"/>
    <n v="0"/>
    <n v="0"/>
    <n v="0"/>
    <n v="0"/>
    <n v="0"/>
    <n v="0"/>
    <n v="1"/>
    <n v="0"/>
    <n v="0"/>
    <n v="0"/>
    <n v="0"/>
    <n v="0"/>
    <n v="0"/>
    <n v="0"/>
    <n v="0"/>
    <n v="0"/>
    <n v="0"/>
    <n v="0"/>
    <m/>
    <m/>
    <s v="Rest of Borough"/>
    <n v="3"/>
    <m/>
    <n v="1"/>
    <m/>
    <m/>
    <m/>
    <m/>
    <m/>
    <m/>
    <m/>
    <m/>
    <m/>
    <m/>
    <m/>
    <m/>
    <m/>
    <m/>
    <m/>
    <m/>
    <m/>
    <m/>
    <n v="1"/>
    <n v="1"/>
  </r>
  <r>
    <n v="5554"/>
    <x v="1"/>
    <s v="2015/0277"/>
    <s v="Kerry Cottage, 1A Cambalt Road"/>
    <s v=""/>
    <n v="523841"/>
    <n v="174804"/>
    <s v="West Putney"/>
    <d v="2017-07-21T00:00:00"/>
    <m/>
    <n v="1"/>
    <n v="1"/>
    <n v="0"/>
    <n v="1"/>
    <n v="0"/>
    <m/>
    <s v="Demolition of existing building and erection of detached 2-storey house with accommodation at basement level; erection of east brick boundary wall."/>
    <s v="PF"/>
    <d v="2015-01-20T00:00:00"/>
    <d v="2015-03-17T00:00:00"/>
    <m/>
    <s v="Nil"/>
    <m/>
    <s v="BF"/>
    <s v="NB"/>
    <x v="2"/>
    <x v="3"/>
    <n v="2.3E-2"/>
    <d v="2017-07-21T00:00:00"/>
    <x v="0"/>
    <m/>
    <s v="Open Market"/>
    <s v="M"/>
    <s v=""/>
    <m/>
    <m/>
    <m/>
    <m/>
    <m/>
    <n v="0"/>
    <n v="0"/>
    <n v="0"/>
    <n v="-1"/>
    <n v="1"/>
    <n v="0"/>
    <n v="0"/>
    <n v="0"/>
    <n v="0"/>
    <n v="0"/>
    <n v="0"/>
    <n v="0"/>
    <n v="0"/>
    <n v="0"/>
    <n v="0"/>
    <n v="0"/>
    <n v="0"/>
    <n v="-1"/>
    <n v="1"/>
    <n v="0"/>
    <n v="0"/>
    <n v="0"/>
    <n v="0"/>
    <n v="0"/>
    <n v="0"/>
    <n v="0"/>
    <n v="0"/>
    <n v="0"/>
    <m/>
    <m/>
    <s v="Rest of Borough"/>
    <n v="3"/>
    <m/>
    <n v="0"/>
    <m/>
    <m/>
    <m/>
    <m/>
    <m/>
    <m/>
    <m/>
    <m/>
    <m/>
    <m/>
    <m/>
    <m/>
    <m/>
    <m/>
    <m/>
    <m/>
    <m/>
    <m/>
    <n v="0"/>
    <n v="0"/>
  </r>
  <r>
    <n v="2304"/>
    <x v="1"/>
    <s v="2015/5875"/>
    <s v="Chelsea Bridge Wharf (southern site), Queenstown Road (Phase 5, Residential Blocks F &amp; G (Lanson House &amp; Burnelli House))"/>
    <s v=""/>
    <n v="528666"/>
    <n v="177450"/>
    <s v="Battersea Park"/>
    <d v="2019-03-31T00:00:00"/>
    <m/>
    <n v="0"/>
    <n v="7"/>
    <n v="7"/>
    <n v="7"/>
    <n v="7"/>
    <m/>
    <s v="Change of use from &quot;flexible commercial space&quot; to provide 7 residential apartments with associated screening and landscaping"/>
    <s v="PFLA"/>
    <d v="2015-10-19T00:00:00"/>
    <d v="2016-04-05T00:00:00"/>
    <m/>
    <s v="Nil"/>
    <m/>
    <s v="BF"/>
    <s v="COU"/>
    <x v="2"/>
    <x v="6"/>
    <n v="5.8999999999999997E-2"/>
    <d v="2019-03-31T00:00:00"/>
    <x v="0"/>
    <m/>
    <s v="Open Market"/>
    <s v="M"/>
    <s v=""/>
    <m/>
    <n v="7"/>
    <m/>
    <m/>
    <m/>
    <n v="0"/>
    <n v="3"/>
    <n v="4"/>
    <n v="0"/>
    <n v="0"/>
    <n v="0"/>
    <n v="0"/>
    <n v="0"/>
    <n v="3"/>
    <n v="4"/>
    <n v="0"/>
    <n v="0"/>
    <n v="0"/>
    <n v="0"/>
    <n v="0"/>
    <n v="0"/>
    <n v="0"/>
    <n v="0"/>
    <n v="0"/>
    <n v="0"/>
    <n v="0"/>
    <n v="0"/>
    <n v="0"/>
    <n v="0"/>
    <n v="0"/>
    <n v="0"/>
    <n v="0"/>
    <n v="0"/>
    <m/>
    <s v="Y"/>
    <s v="Nine Elms"/>
    <n v="13"/>
    <m/>
    <n v="7"/>
    <m/>
    <m/>
    <m/>
    <m/>
    <m/>
    <m/>
    <m/>
    <m/>
    <m/>
    <m/>
    <m/>
    <m/>
    <m/>
    <m/>
    <m/>
    <m/>
    <m/>
    <m/>
    <n v="7"/>
    <n v="7"/>
  </r>
  <r>
    <n v="5589"/>
    <x v="1"/>
    <s v="2016/3838"/>
    <s v="Chatfield Court, 56 Chatfield Road"/>
    <s v=""/>
    <n v="526329"/>
    <n v="175625"/>
    <s v="St Mary's"/>
    <d v="2020-04-01T00:00:00"/>
    <m/>
    <n v="0"/>
    <n v="9"/>
    <n v="9"/>
    <n v="9"/>
    <n v="9"/>
    <m/>
    <s v="Demolition of existing roof structure and erection of four-storey extension (to create fourth, fifth, sixth and seventh floors) to provide 2 x 1-bedroom, 5 x 2-bedroom and  2 x 3-bedroom residential units, creation of balconies and roof terraces, and external alterations."/>
    <s v="PF"/>
    <d v="2016-06-30T00:00:00"/>
    <d v="2016-11-28T00:00:00"/>
    <m/>
    <s v="Nil"/>
    <m/>
    <s v="BF"/>
    <s v="EXT"/>
    <x v="2"/>
    <x v="7"/>
    <n v="2.7E-2"/>
    <d v="2020-04-01T00:00:00"/>
    <x v="0"/>
    <m/>
    <s v="Open Market"/>
    <s v="M"/>
    <s v=""/>
    <m/>
    <n v="9"/>
    <m/>
    <m/>
    <m/>
    <n v="0"/>
    <n v="2"/>
    <n v="5"/>
    <n v="2"/>
    <n v="0"/>
    <n v="0"/>
    <n v="0"/>
    <n v="0"/>
    <n v="2"/>
    <n v="5"/>
    <n v="2"/>
    <n v="0"/>
    <n v="0"/>
    <n v="0"/>
    <n v="0"/>
    <n v="0"/>
    <n v="0"/>
    <n v="0"/>
    <n v="0"/>
    <n v="0"/>
    <n v="0"/>
    <n v="0"/>
    <n v="0"/>
    <n v="0"/>
    <n v="0"/>
    <n v="0"/>
    <n v="0"/>
    <n v="0"/>
    <m/>
    <m/>
    <s v="Wandsworth riverside"/>
    <n v="13"/>
    <m/>
    <n v="9"/>
    <m/>
    <m/>
    <m/>
    <m/>
    <m/>
    <m/>
    <m/>
    <m/>
    <m/>
    <m/>
    <m/>
    <m/>
    <m/>
    <m/>
    <m/>
    <m/>
    <m/>
    <m/>
    <n v="9"/>
    <n v="9"/>
  </r>
  <r>
    <n v="5377"/>
    <x v="1"/>
    <s v="2016/4349"/>
    <s v="28 Tooting Bec Road"/>
    <s v=""/>
    <n v="528146"/>
    <n v="172290"/>
    <s v="Tooting Bec"/>
    <d v="2018-03-31T00:00:00"/>
    <m/>
    <n v="1"/>
    <n v="3"/>
    <n v="2"/>
    <n v="3"/>
    <n v="2"/>
    <m/>
    <s v="Alterations including the erection of a single storey side and rear extension, rear mansard roof extension and extension over part of rear addition, excavation to create basement including a rear lightwell, installation of roof-lights to the front in connection with conversion of part of the basement level, rear of the ground floor, 1st and 2nd floors of the property to form 2 x 1-bedroom and 1 x 2-bedroom flats, and  use of part of the basement for commercial purposes."/>
    <s v="PF"/>
    <d v="2016-08-05T00:00:00"/>
    <d v="2016-10-24T00:00:00"/>
    <m/>
    <s v="Nil"/>
    <m/>
    <s v="BF"/>
    <s v="MIX"/>
    <x v="2"/>
    <x v="5"/>
    <n v="7.0000000000000001E-3"/>
    <d v="2018-03-31T00:00:00"/>
    <x v="0"/>
    <m/>
    <s v="Open Market"/>
    <s v="M"/>
    <s v=""/>
    <m/>
    <m/>
    <m/>
    <m/>
    <m/>
    <n v="0"/>
    <n v="2"/>
    <n v="1"/>
    <n v="-1"/>
    <n v="0"/>
    <n v="0"/>
    <n v="0"/>
    <n v="0"/>
    <n v="2"/>
    <n v="1"/>
    <n v="-1"/>
    <n v="0"/>
    <n v="0"/>
    <n v="0"/>
    <n v="0"/>
    <n v="0"/>
    <n v="0"/>
    <n v="0"/>
    <n v="0"/>
    <n v="0"/>
    <n v="0"/>
    <n v="0"/>
    <n v="0"/>
    <n v="0"/>
    <n v="0"/>
    <n v="0"/>
    <n v="0"/>
    <n v="0"/>
    <m/>
    <m/>
    <s v="Rest of Borough"/>
    <n v="13"/>
    <m/>
    <n v="2"/>
    <m/>
    <m/>
    <m/>
    <m/>
    <m/>
    <m/>
    <m/>
    <m/>
    <m/>
    <m/>
    <m/>
    <m/>
    <m/>
    <m/>
    <m/>
    <m/>
    <m/>
    <m/>
    <n v="2"/>
    <n v="2"/>
  </r>
  <r>
    <n v="3511"/>
    <x v="1"/>
    <s v="2023/3874"/>
    <s v="New Covent Garden Market, Nine Elms Lane (Combined Main Market, Entrance site and Thessaly College site)"/>
    <s v="N4"/>
    <n v="529369"/>
    <n v="177317"/>
    <s v="Nine Elms"/>
    <d v="2019-12-01T00:00:00"/>
    <m/>
    <n v="0"/>
    <n v="100"/>
    <n v="100"/>
    <n v="607"/>
    <n v="607"/>
    <s v="Y"/>
    <s v="Application under S96A of the Town &amp; Country Planning Act for 'non-material' amendments (revisions to the approved drawings listed in Condition 1 following detailed design development, including alterations to the unit mix and alteration to core layouts and design and other consequential amendments) to planning permission dated 26/07/2023 ref. 2022/4809."/>
    <s v="S96A"/>
    <d v="2023-10-13T00:00:00"/>
    <d v="2023-11-20T00:00:00"/>
    <s v="Y"/>
    <s v="Nil"/>
    <m/>
    <s v="BF"/>
    <s v="NB"/>
    <x v="1"/>
    <x v="0"/>
    <n v="0"/>
    <d v="2019-12-01T00:00:00"/>
    <x v="0"/>
    <m/>
    <s v="Open Market"/>
    <s v="M"/>
    <s v="2.1.27"/>
    <m/>
    <m/>
    <m/>
    <m/>
    <n v="8"/>
    <n v="0"/>
    <n v="59"/>
    <n v="23"/>
    <n v="16"/>
    <n v="2"/>
    <n v="0"/>
    <n v="0"/>
    <n v="0"/>
    <n v="59"/>
    <n v="23"/>
    <n v="16"/>
    <n v="2"/>
    <n v="0"/>
    <n v="0"/>
    <n v="0"/>
    <n v="0"/>
    <n v="0"/>
    <n v="0"/>
    <n v="0"/>
    <n v="0"/>
    <n v="0"/>
    <n v="0"/>
    <n v="0"/>
    <n v="0"/>
    <n v="0"/>
    <n v="0"/>
    <n v="0"/>
    <n v="0"/>
    <m/>
    <s v="Y"/>
    <s v="Nine Elms"/>
    <n v="5"/>
    <m/>
    <m/>
    <m/>
    <m/>
    <m/>
    <n v="100"/>
    <m/>
    <m/>
    <m/>
    <m/>
    <m/>
    <m/>
    <m/>
    <m/>
    <m/>
    <m/>
    <m/>
    <m/>
    <m/>
    <m/>
    <n v="100"/>
    <n v="100"/>
  </r>
  <r>
    <n v="6311"/>
    <x v="1"/>
    <s v="2016/6287"/>
    <s v="25 Crockerton Road"/>
    <s v=""/>
    <n v="527604"/>
    <n v="172607"/>
    <s v="Trinity"/>
    <d v="2017-11-08T00:00:00"/>
    <m/>
    <n v="4"/>
    <n v="1"/>
    <n v="-3"/>
    <n v="1"/>
    <n v="-3"/>
    <m/>
    <s v="Alterations in connection with the conversion of the property from four flats (2 x 1-bedroom and 2 x 2-bedroom) to a single dwellinghouse (seven-bedroom). Formation of rear roof terrace at main roof level with 1.1m high balustrade."/>
    <s v="PF"/>
    <d v="2016-10-27T00:00:00"/>
    <d v="2016-12-21T00:00:00"/>
    <m/>
    <s v="Nil"/>
    <m/>
    <s v="BF"/>
    <s v="CON"/>
    <x v="2"/>
    <x v="11"/>
    <n v="2.8000000000000001E-2"/>
    <d v="2017-11-08T00:00:00"/>
    <x v="0"/>
    <m/>
    <s v="Open Market"/>
    <s v="M"/>
    <s v=""/>
    <m/>
    <m/>
    <m/>
    <m/>
    <m/>
    <n v="0"/>
    <n v="-2"/>
    <n v="-2"/>
    <n v="0"/>
    <n v="0"/>
    <n v="1"/>
    <n v="0"/>
    <n v="0"/>
    <n v="-2"/>
    <n v="-2"/>
    <n v="0"/>
    <n v="0"/>
    <n v="0"/>
    <n v="0"/>
    <n v="0"/>
    <n v="0"/>
    <n v="0"/>
    <n v="0"/>
    <n v="0"/>
    <n v="1"/>
    <n v="0"/>
    <n v="0"/>
    <n v="0"/>
    <n v="0"/>
    <n v="0"/>
    <n v="0"/>
    <n v="0"/>
    <n v="0"/>
    <m/>
    <m/>
    <s v="Rest of Borough"/>
    <n v="13"/>
    <m/>
    <n v="-3"/>
    <m/>
    <m/>
    <m/>
    <m/>
    <m/>
    <m/>
    <m/>
    <m/>
    <m/>
    <m/>
    <m/>
    <m/>
    <m/>
    <m/>
    <m/>
    <m/>
    <m/>
    <m/>
    <n v="-3"/>
    <n v="-3"/>
  </r>
  <r>
    <n v="3511"/>
    <x v="1"/>
    <s v="2023/3874"/>
    <s v="New Covent Garden Market, Nine Elms Lane (Combined Main Market, Entrance site and Thessaly College site)"/>
    <s v="N1 (Market)"/>
    <n v="529369"/>
    <n v="177317"/>
    <s v="Nine Elms"/>
    <d v="2019-12-01T00:00:00"/>
    <m/>
    <n v="0"/>
    <n v="145"/>
    <n v="145"/>
    <n v="607"/>
    <n v="607"/>
    <s v="Y"/>
    <s v="Application under S96A of the Town &amp; Country Planning Act for 'non-material' amendments (revisions to the approved drawings listed in Condition 1 following detailed design development, including alterations to the unit mix and alteration to core layouts and design and other consequential amendments) to planning permission dated 26/07/2023 ref. 2022/4809."/>
    <s v="S96A"/>
    <d v="2023-10-13T00:00:00"/>
    <d v="2023-11-20T00:00:00"/>
    <s v="Y"/>
    <s v="Nil"/>
    <m/>
    <s v="BF"/>
    <s v="NB"/>
    <x v="1"/>
    <x v="0"/>
    <n v="0"/>
    <d v="2019-12-01T00:00:00"/>
    <x v="0"/>
    <m/>
    <s v="Open Market"/>
    <s v="M"/>
    <s v="2.1.27"/>
    <m/>
    <m/>
    <m/>
    <m/>
    <m/>
    <n v="22"/>
    <n v="44"/>
    <n v="77"/>
    <n v="2"/>
    <n v="0"/>
    <n v="0"/>
    <n v="0"/>
    <n v="22"/>
    <n v="44"/>
    <n v="77"/>
    <n v="2"/>
    <n v="0"/>
    <n v="0"/>
    <n v="0"/>
    <n v="0"/>
    <n v="0"/>
    <n v="0"/>
    <n v="0"/>
    <n v="0"/>
    <n v="0"/>
    <n v="0"/>
    <n v="0"/>
    <n v="0"/>
    <n v="0"/>
    <n v="0"/>
    <n v="0"/>
    <n v="0"/>
    <n v="0"/>
    <m/>
    <s v="Y"/>
    <s v="Nine Elms"/>
    <n v="5"/>
    <m/>
    <m/>
    <m/>
    <m/>
    <n v="145"/>
    <m/>
    <m/>
    <m/>
    <m/>
    <m/>
    <m/>
    <m/>
    <m/>
    <m/>
    <m/>
    <m/>
    <m/>
    <m/>
    <m/>
    <m/>
    <n v="145"/>
    <n v="145"/>
  </r>
  <r>
    <n v="3511"/>
    <x v="1"/>
    <s v="2023/3874"/>
    <s v="New Covent Garden Market, Nine Elms Lane (Combined Main Market, Entrance site and Thessaly College site)"/>
    <s v="N3"/>
    <n v="529369"/>
    <n v="177317"/>
    <s v="Nine Elms"/>
    <d v="2019-12-01T00:00:00"/>
    <m/>
    <n v="0"/>
    <n v="85"/>
    <n v="85"/>
    <n v="607"/>
    <n v="607"/>
    <s v="Y"/>
    <s v="Application under S96A of the Town &amp; Country Planning Act for 'non-material' amendments (revisions to the approved drawings listed in Condition 1 following detailed design development, including alterations to the unit mix and alteration to core layouts and design and other consequential amendments) to planning permission dated 26/07/2023 ref. 2022/4809."/>
    <s v="S96A"/>
    <d v="2023-10-13T00:00:00"/>
    <d v="2023-11-20T00:00:00"/>
    <s v="Y"/>
    <s v="Nil"/>
    <m/>
    <s v="BF"/>
    <s v="NB"/>
    <x v="1"/>
    <x v="0"/>
    <n v="0"/>
    <d v="2019-12-01T00:00:00"/>
    <x v="0"/>
    <m/>
    <s v="Open Market"/>
    <s v="M"/>
    <s v="2.1.27"/>
    <m/>
    <m/>
    <m/>
    <m/>
    <m/>
    <n v="0"/>
    <n v="43"/>
    <n v="29"/>
    <n v="10"/>
    <n v="3"/>
    <n v="0"/>
    <n v="0"/>
    <n v="0"/>
    <n v="43"/>
    <n v="29"/>
    <n v="10"/>
    <n v="3"/>
    <n v="0"/>
    <n v="0"/>
    <n v="0"/>
    <n v="0"/>
    <n v="0"/>
    <n v="0"/>
    <n v="0"/>
    <n v="0"/>
    <n v="0"/>
    <n v="0"/>
    <n v="0"/>
    <n v="0"/>
    <n v="0"/>
    <n v="0"/>
    <n v="0"/>
    <n v="0"/>
    <m/>
    <s v="Y"/>
    <s v="Nine Elms"/>
    <n v="5"/>
    <m/>
    <m/>
    <m/>
    <m/>
    <n v="85"/>
    <m/>
    <m/>
    <m/>
    <m/>
    <m/>
    <m/>
    <m/>
    <m/>
    <m/>
    <m/>
    <m/>
    <m/>
    <m/>
    <m/>
    <m/>
    <n v="85"/>
    <n v="85"/>
  </r>
  <r>
    <n v="5376"/>
    <x v="1"/>
    <s v="2017/2024"/>
    <s v="land adjacent to 72, 72A Bedford Hill"/>
    <s v=""/>
    <n v="528703"/>
    <n v="173099"/>
    <s v="South Balham"/>
    <d v="2017-11-06T00:00:00"/>
    <m/>
    <n v="0"/>
    <n v="1"/>
    <n v="1"/>
    <n v="2"/>
    <n v="2"/>
    <m/>
    <s v="Erection of a three storey building (between 72 Bedford Hill and the railway embankment) to provide a shop/store on ground floor and a two bedroom maisonette on first and second floors.  (Amended drawings received  showing alterations to the development) (Amendments to planning permission dated 23/07/2014 ref 2013/3267 to include the erection of mansard roof extension to main rear roof and conversion  to provide 1 x 1-bedroom.)"/>
    <s v="PF"/>
    <d v="2017-09-12T00:00:00"/>
    <d v="2017-11-06T00:00:00"/>
    <m/>
    <s v="Nil"/>
    <m/>
    <s v="BF"/>
    <s v="EXT"/>
    <x v="2"/>
    <x v="7"/>
    <n v="4.0000000000000001E-3"/>
    <d v="2017-11-06T00:00:00"/>
    <x v="0"/>
    <m/>
    <s v="Open Market"/>
    <s v="M"/>
    <s v=""/>
    <m/>
    <m/>
    <m/>
    <m/>
    <m/>
    <n v="1"/>
    <n v="0"/>
    <n v="0"/>
    <n v="0"/>
    <n v="0"/>
    <n v="0"/>
    <n v="0"/>
    <n v="1"/>
    <n v="0"/>
    <n v="0"/>
    <n v="0"/>
    <n v="0"/>
    <n v="0"/>
    <n v="0"/>
    <n v="0"/>
    <n v="0"/>
    <n v="0"/>
    <n v="0"/>
    <n v="0"/>
    <n v="0"/>
    <n v="0"/>
    <n v="0"/>
    <n v="0"/>
    <n v="0"/>
    <n v="0"/>
    <n v="0"/>
    <n v="0"/>
    <n v="0"/>
    <m/>
    <m/>
    <s v="Balham"/>
    <n v="13"/>
    <m/>
    <n v="1"/>
    <m/>
    <m/>
    <m/>
    <m/>
    <m/>
    <m/>
    <m/>
    <m/>
    <m/>
    <m/>
    <m/>
    <m/>
    <m/>
    <m/>
    <m/>
    <m/>
    <m/>
    <m/>
    <n v="1"/>
    <n v="1"/>
  </r>
  <r>
    <n v="5376"/>
    <x v="1"/>
    <s v="2017/2024"/>
    <s v="land adjacent to 72, 72A Bedford Hill"/>
    <s v=""/>
    <n v="528703"/>
    <n v="173099"/>
    <s v="South Balham"/>
    <d v="2017-11-06T00:00:00"/>
    <m/>
    <n v="0"/>
    <n v="1"/>
    <n v="1"/>
    <n v="2"/>
    <n v="2"/>
    <m/>
    <s v="Erection of a three storey building (between 72 Bedford Hill and the railway embankment) to provide a shop/store on ground floor and a two bedroom maisonette on first and second floors.  (Amended drawings received  showing alterations to the development) (Amendments to planning permission dated 23/07/2014 ref 2013/3267 to include the erection of mansard roof extension to main rear roof and conversion  to provide 1 x 1-bedroom.)"/>
    <s v="PF"/>
    <d v="2017-09-12T00:00:00"/>
    <d v="2017-11-06T00:00:00"/>
    <m/>
    <s v="Nil"/>
    <m/>
    <s v="BF"/>
    <s v="EXT"/>
    <x v="2"/>
    <x v="3"/>
    <n v="6.0000000000000001E-3"/>
    <d v="2017-11-06T00:00:00"/>
    <x v="0"/>
    <m/>
    <s v="Open Market"/>
    <s v="M"/>
    <s v=""/>
    <m/>
    <m/>
    <m/>
    <m/>
    <m/>
    <n v="0"/>
    <n v="0"/>
    <n v="1"/>
    <n v="0"/>
    <n v="0"/>
    <n v="0"/>
    <n v="0"/>
    <n v="0"/>
    <n v="0"/>
    <n v="1"/>
    <n v="0"/>
    <n v="0"/>
    <n v="0"/>
    <n v="0"/>
    <n v="0"/>
    <n v="0"/>
    <n v="0"/>
    <n v="0"/>
    <n v="0"/>
    <n v="0"/>
    <n v="0"/>
    <n v="0"/>
    <n v="0"/>
    <n v="0"/>
    <n v="0"/>
    <n v="0"/>
    <n v="0"/>
    <n v="0"/>
    <m/>
    <m/>
    <s v="Balham"/>
    <n v="13"/>
    <m/>
    <n v="1"/>
    <m/>
    <m/>
    <m/>
    <m/>
    <m/>
    <m/>
    <m/>
    <m/>
    <m/>
    <m/>
    <m/>
    <m/>
    <m/>
    <m/>
    <m/>
    <m/>
    <m/>
    <m/>
    <n v="1"/>
    <n v="1"/>
  </r>
  <r>
    <n v="6318"/>
    <x v="1"/>
    <s v="2017/3137"/>
    <s v="37 Oldridge Road"/>
    <s v=""/>
    <n v="528567"/>
    <n v="173770"/>
    <s v="Balham"/>
    <d v="2022-04-01T00:00:00"/>
    <m/>
    <n v="1"/>
    <n v="5"/>
    <n v="4"/>
    <n v="5"/>
    <n v="4"/>
    <m/>
    <s v="Demolition of existing building and erection of a four-storey building to provide 1 x studio, 1 x 1-bedroom and 2 x 2 bedroom flats, the erection of  a single-storey (plus basement) 1-bedroom house; associated cycle and refuse storage."/>
    <s v="PF"/>
    <d v="2017-06-05T00:00:00"/>
    <d v="2017-10-24T00:00:00"/>
    <m/>
    <s v="Nil"/>
    <m/>
    <s v="BF"/>
    <s v="NB"/>
    <x v="2"/>
    <x v="3"/>
    <n v="0.01"/>
    <d v="2022-04-01T00:00:00"/>
    <x v="0"/>
    <m/>
    <s v="Open Market"/>
    <s v="M"/>
    <s v=""/>
    <m/>
    <m/>
    <m/>
    <m/>
    <m/>
    <n v="1"/>
    <n v="2"/>
    <n v="1"/>
    <n v="0"/>
    <n v="0"/>
    <n v="0"/>
    <n v="0"/>
    <n v="1"/>
    <n v="1"/>
    <n v="2"/>
    <n v="0"/>
    <n v="0"/>
    <n v="0"/>
    <n v="0"/>
    <n v="0"/>
    <n v="1"/>
    <n v="-1"/>
    <n v="0"/>
    <n v="0"/>
    <n v="0"/>
    <n v="0"/>
    <n v="0"/>
    <n v="0"/>
    <n v="0"/>
    <n v="0"/>
    <n v="0"/>
    <n v="0"/>
    <n v="0"/>
    <m/>
    <m/>
    <s v="Rest of Borough"/>
    <n v="3"/>
    <m/>
    <n v="4"/>
    <m/>
    <m/>
    <m/>
    <m/>
    <m/>
    <m/>
    <m/>
    <m/>
    <m/>
    <m/>
    <m/>
    <m/>
    <m/>
    <m/>
    <m/>
    <m/>
    <m/>
    <m/>
    <n v="4"/>
    <n v="4"/>
  </r>
  <r>
    <n v="5142"/>
    <x v="1"/>
    <s v="2017/6879"/>
    <s v="5 Laitwood Road"/>
    <s v=""/>
    <n v="528703"/>
    <n v="173473"/>
    <s v="Balham"/>
    <d v="2022-04-01T00:00:00"/>
    <m/>
    <n v="1"/>
    <n v="5"/>
    <n v="4"/>
    <n v="5"/>
    <n v="4"/>
    <m/>
    <s v="Alterations including the erection of a part single, part two-storey rear extension and excavation of a basement level including formation of front lightwell with grille over and rear lightwell with high screen surrounds; in connection with conversion of existing dwelling into 1x1-bedroom, 2 x2-bedroom and 2x3-bedroom flats with assoicated cycle and refuse storage."/>
    <s v="PF"/>
    <d v="2017-12-15T00:00:00"/>
    <d v="2018-02-09T00:00:00"/>
    <m/>
    <s v="Nil"/>
    <m/>
    <s v="BF"/>
    <s v="MIX"/>
    <x v="2"/>
    <x v="10"/>
    <n v="3.6999999999999998E-2"/>
    <d v="2022-04-01T00:00:00"/>
    <x v="0"/>
    <m/>
    <s v="Open Market"/>
    <s v="M"/>
    <s v=""/>
    <m/>
    <m/>
    <m/>
    <m/>
    <m/>
    <n v="0"/>
    <n v="1"/>
    <n v="2"/>
    <n v="2"/>
    <n v="0"/>
    <n v="-1"/>
    <n v="0"/>
    <n v="0"/>
    <n v="1"/>
    <n v="2"/>
    <n v="2"/>
    <n v="0"/>
    <n v="0"/>
    <n v="0"/>
    <n v="0"/>
    <n v="0"/>
    <n v="0"/>
    <n v="0"/>
    <n v="0"/>
    <n v="-1"/>
    <n v="0"/>
    <n v="0"/>
    <n v="0"/>
    <n v="0"/>
    <n v="0"/>
    <n v="0"/>
    <n v="0"/>
    <n v="0"/>
    <m/>
    <m/>
    <s v="Balham"/>
    <n v="13"/>
    <m/>
    <n v="4"/>
    <m/>
    <m/>
    <m/>
    <m/>
    <m/>
    <m/>
    <m/>
    <m/>
    <m/>
    <m/>
    <m/>
    <m/>
    <m/>
    <m/>
    <m/>
    <m/>
    <m/>
    <m/>
    <n v="4"/>
    <n v="4"/>
  </r>
  <r>
    <n v="5561"/>
    <x v="1"/>
    <s v="2018/0001"/>
    <s v="27 Sainfoin Road"/>
    <s v=""/>
    <n v="528467"/>
    <n v="172710"/>
    <s v="South Balham"/>
    <d v="2021-02-08T00:00:00"/>
    <m/>
    <n v="1"/>
    <n v="3"/>
    <n v="2"/>
    <n v="3"/>
    <n v="2"/>
    <m/>
    <s v="Erection of mansard extension to main rear roof (with French doors and safety railings) and single storey rear/side extension, in connection with conversion of property into 1 x 3-bedroom and 2 x 2-bedroom flats."/>
    <s v="PF"/>
    <d v="2018-01-02T00:00:00"/>
    <d v="2018-02-27T00:00:00"/>
    <m/>
    <s v="Nil"/>
    <m/>
    <s v="BF"/>
    <s v="MIX"/>
    <x v="2"/>
    <x v="10"/>
    <n v="1.7000000000000001E-2"/>
    <d v="2021-02-08T00:00:00"/>
    <x v="0"/>
    <m/>
    <s v="Open Market"/>
    <s v="M"/>
    <s v=""/>
    <m/>
    <m/>
    <m/>
    <m/>
    <m/>
    <n v="0"/>
    <n v="0"/>
    <n v="2"/>
    <n v="1"/>
    <n v="-1"/>
    <n v="0"/>
    <n v="0"/>
    <n v="0"/>
    <n v="0"/>
    <n v="2"/>
    <n v="1"/>
    <n v="0"/>
    <n v="0"/>
    <n v="0"/>
    <n v="0"/>
    <n v="0"/>
    <n v="0"/>
    <n v="0"/>
    <n v="-1"/>
    <n v="0"/>
    <n v="0"/>
    <n v="0"/>
    <n v="0"/>
    <n v="0"/>
    <n v="0"/>
    <n v="0"/>
    <n v="0"/>
    <n v="0"/>
    <m/>
    <m/>
    <s v="Rest of Borough"/>
    <n v="13"/>
    <m/>
    <n v="2"/>
    <m/>
    <m/>
    <m/>
    <m/>
    <m/>
    <m/>
    <m/>
    <m/>
    <m/>
    <m/>
    <m/>
    <m/>
    <m/>
    <m/>
    <m/>
    <m/>
    <m/>
    <m/>
    <n v="2"/>
    <n v="2"/>
  </r>
  <r>
    <n v="3511"/>
    <x v="1"/>
    <s v="2023/3874"/>
    <s v="New Covent Garden Market, Nine Elms Lane (Combined Main Market, Entrance site and Thessaly College site)"/>
    <s v="N2 (Market)"/>
    <n v="529369"/>
    <n v="177317"/>
    <s v="Nine Elms"/>
    <d v="2019-12-01T00:00:00"/>
    <m/>
    <n v="0"/>
    <n v="81"/>
    <n v="81"/>
    <n v="607"/>
    <n v="607"/>
    <s v="Y"/>
    <s v="Application under S96A of the Town &amp; Country Planning Act for 'non-material' amendments (revisions to the approved drawings listed in Condition 1 following detailed design development, including alterations to the unit mix and alteration to core layouts and design and other consequential amendments) to planning permission dated 26/07/2023 ref. 2022/4809."/>
    <s v="S96A"/>
    <d v="2023-10-13T00:00:00"/>
    <d v="2023-11-20T00:00:00"/>
    <s v="Y"/>
    <s v="Nil"/>
    <m/>
    <s v="BF"/>
    <s v="NB"/>
    <x v="1"/>
    <x v="0"/>
    <n v="0"/>
    <d v="2019-12-01T00:00:00"/>
    <x v="0"/>
    <m/>
    <s v="Open Market"/>
    <s v="M"/>
    <s v="2.1.27"/>
    <m/>
    <m/>
    <m/>
    <m/>
    <n v="14"/>
    <n v="0"/>
    <n v="26"/>
    <n v="37"/>
    <n v="16"/>
    <n v="2"/>
    <n v="0"/>
    <n v="0"/>
    <n v="0"/>
    <n v="26"/>
    <n v="37"/>
    <n v="16"/>
    <n v="2"/>
    <n v="0"/>
    <n v="0"/>
    <n v="0"/>
    <n v="0"/>
    <n v="0"/>
    <n v="0"/>
    <n v="0"/>
    <n v="0"/>
    <n v="0"/>
    <n v="0"/>
    <n v="0"/>
    <n v="0"/>
    <n v="0"/>
    <n v="0"/>
    <n v="0"/>
    <n v="0"/>
    <m/>
    <s v="Y"/>
    <s v="Nine Elms"/>
    <n v="5"/>
    <m/>
    <m/>
    <m/>
    <m/>
    <n v="81"/>
    <m/>
    <m/>
    <m/>
    <m/>
    <m/>
    <m/>
    <m/>
    <m/>
    <m/>
    <m/>
    <m/>
    <m/>
    <m/>
    <m/>
    <m/>
    <n v="81"/>
    <n v="81"/>
  </r>
  <r>
    <n v="3511"/>
    <x v="1"/>
    <s v="2023/3874"/>
    <s v="New Covent Garden Market, Nine Elms Lane (Combined Main Market, Entrance site and Thessaly College site)"/>
    <s v="N2 (Affordable)"/>
    <n v="529369"/>
    <n v="177317"/>
    <s v="Nine Elms"/>
    <d v="2019-12-01T00:00:00"/>
    <m/>
    <n v="0"/>
    <n v="58"/>
    <n v="58"/>
    <n v="607"/>
    <n v="607"/>
    <s v="Y"/>
    <s v="Application under S96A of the Town &amp; Country Planning Act for 'non-material' amendments (revisions to the approved drawings listed in Condition 1 following detailed design development, including alterations to the unit mix and alteration to core layouts and design and other consequential amendments) to planning permission dated 26/07/2023 ref. 2022/4809."/>
    <s v="S96A"/>
    <d v="2023-10-13T00:00:00"/>
    <d v="2023-11-20T00:00:00"/>
    <s v="Y"/>
    <s v="Nil"/>
    <m/>
    <s v="BF"/>
    <s v="NB"/>
    <x v="1"/>
    <x v="0"/>
    <n v="0"/>
    <d v="2019-12-01T00:00:00"/>
    <x v="0"/>
    <m/>
    <s v="Social/Affordable Rent"/>
    <s v="AU"/>
    <s v="2.1.27"/>
    <m/>
    <m/>
    <m/>
    <m/>
    <n v="9"/>
    <n v="9"/>
    <n v="33"/>
    <n v="8"/>
    <n v="8"/>
    <n v="0"/>
    <n v="0"/>
    <n v="0"/>
    <n v="9"/>
    <n v="33"/>
    <n v="8"/>
    <n v="8"/>
    <n v="0"/>
    <n v="0"/>
    <n v="0"/>
    <n v="0"/>
    <n v="0"/>
    <n v="0"/>
    <n v="0"/>
    <n v="0"/>
    <n v="0"/>
    <n v="0"/>
    <n v="0"/>
    <n v="0"/>
    <n v="0"/>
    <n v="0"/>
    <n v="0"/>
    <n v="0"/>
    <n v="0"/>
    <m/>
    <s v="Y"/>
    <s v="Nine Elms"/>
    <n v="5"/>
    <m/>
    <m/>
    <m/>
    <m/>
    <n v="58"/>
    <m/>
    <m/>
    <m/>
    <m/>
    <m/>
    <m/>
    <m/>
    <m/>
    <m/>
    <m/>
    <m/>
    <m/>
    <m/>
    <m/>
    <m/>
    <n v="58"/>
    <n v="58"/>
  </r>
  <r>
    <n v="3511"/>
    <x v="1"/>
    <s v="2023/3874"/>
    <s v="New Covent Garden Market, Nine Elms Lane (Combined Main Market, Entrance site and Thessaly College site)"/>
    <s v="N1 (Affordable)"/>
    <n v="529369"/>
    <n v="177317"/>
    <s v="Nine Elms"/>
    <d v="2019-12-01T00:00:00"/>
    <m/>
    <n v="0"/>
    <n v="36"/>
    <n v="36"/>
    <n v="607"/>
    <n v="607"/>
    <s v="Y"/>
    <s v="Application under S96A of the Town &amp; Country Planning Act for 'non-material' amendments (revisions to the approved drawings listed in Condition 1 following detailed design development, including alterations to the unit mix and alteration to core layouts and design and other consequential amendments) to planning permission dated 26/07/2023 ref. 2022/4809."/>
    <s v="S96A"/>
    <d v="2023-10-13T00:00:00"/>
    <d v="2023-11-20T00:00:00"/>
    <s v="Y"/>
    <s v="Nil"/>
    <m/>
    <s v="BF"/>
    <s v="NB"/>
    <x v="1"/>
    <x v="0"/>
    <n v="0"/>
    <d v="2019-12-01T00:00:00"/>
    <x v="0"/>
    <m/>
    <s v="Social/Affordable Rent"/>
    <s v="AU"/>
    <s v="2.1.27"/>
    <m/>
    <m/>
    <m/>
    <m/>
    <m/>
    <n v="0"/>
    <n v="1"/>
    <n v="34"/>
    <n v="1"/>
    <n v="0"/>
    <n v="0"/>
    <n v="0"/>
    <n v="0"/>
    <n v="1"/>
    <n v="34"/>
    <n v="1"/>
    <n v="0"/>
    <n v="0"/>
    <n v="0"/>
    <n v="0"/>
    <n v="0"/>
    <n v="0"/>
    <n v="0"/>
    <n v="0"/>
    <n v="0"/>
    <n v="0"/>
    <n v="0"/>
    <n v="0"/>
    <n v="0"/>
    <n v="0"/>
    <n v="0"/>
    <n v="0"/>
    <n v="0"/>
    <m/>
    <s v="Y"/>
    <s v="Nine Elms"/>
    <n v="5"/>
    <m/>
    <m/>
    <m/>
    <m/>
    <n v="36"/>
    <m/>
    <m/>
    <m/>
    <m/>
    <m/>
    <m/>
    <m/>
    <m/>
    <m/>
    <m/>
    <m/>
    <m/>
    <m/>
    <m/>
    <m/>
    <n v="36"/>
    <n v="36"/>
  </r>
  <r>
    <n v="6815"/>
    <x v="1"/>
    <s v="2018/0585"/>
    <s v="The Surgery, Claudia Place"/>
    <s v=""/>
    <n v="524144"/>
    <n v="173132"/>
    <s v="West Hill"/>
    <d v="2020-03-25T00:00:00"/>
    <m/>
    <n v="0"/>
    <n v="1"/>
    <n v="1"/>
    <n v="1"/>
    <n v="1"/>
    <m/>
    <s v="Demolition of existing building and erection of a part-single, part four-storey 3-bedroomed dwellinghouse including roof terrace, with one off-street parking space."/>
    <s v="PF"/>
    <d v="2018-02-15T00:00:00"/>
    <d v="2018-07-23T00:00:00"/>
    <m/>
    <s v="Nil"/>
    <m/>
    <s v="BF"/>
    <s v="NB"/>
    <x v="2"/>
    <x v="3"/>
    <n v="7.0000000000000001E-3"/>
    <d v="2020-03-25T00:00:00"/>
    <x v="0"/>
    <m/>
    <s v="Open Market"/>
    <s v="M"/>
    <s v=""/>
    <m/>
    <m/>
    <m/>
    <m/>
    <m/>
    <n v="0"/>
    <n v="0"/>
    <n v="0"/>
    <n v="1"/>
    <n v="0"/>
    <n v="0"/>
    <n v="0"/>
    <n v="0"/>
    <n v="0"/>
    <n v="0"/>
    <n v="0"/>
    <n v="0"/>
    <n v="0"/>
    <n v="0"/>
    <n v="0"/>
    <n v="0"/>
    <n v="0"/>
    <n v="1"/>
    <n v="0"/>
    <n v="0"/>
    <n v="0"/>
    <n v="0"/>
    <n v="0"/>
    <n v="0"/>
    <n v="0"/>
    <n v="0"/>
    <n v="0"/>
    <n v="0"/>
    <m/>
    <m/>
    <s v="Rest of Borough"/>
    <n v="3"/>
    <m/>
    <n v="1"/>
    <m/>
    <m/>
    <m/>
    <m/>
    <m/>
    <m/>
    <m/>
    <m/>
    <m/>
    <m/>
    <m/>
    <m/>
    <m/>
    <m/>
    <m/>
    <m/>
    <m/>
    <m/>
    <n v="1"/>
    <n v="1"/>
  </r>
  <r>
    <n v="5862"/>
    <x v="1"/>
    <s v="2018/0859"/>
    <s v="87 Putney High Street"/>
    <s v="conversion + extn"/>
    <n v="524068"/>
    <n v="175336"/>
    <s v="Thamesfield"/>
    <d v="2018-03-31T00:00:00"/>
    <m/>
    <n v="1"/>
    <n v="3"/>
    <n v="2"/>
    <n v="5"/>
    <n v="4"/>
    <m/>
    <s v="Alterations and erection of three-storey (first to third floors) rear extension in connection with conversion of upper floors into 3 x 2-bedroom self-contained flats (Class C3) together with the erection of a three storey building to the rear of the site to provide 2 residential flats (Class C3)  (1 x 1-bedroom and 1 x 2-bedroom). Formation of a communal first floor terrace and new residential access with cycle and refuse stores from Token Yard."/>
    <s v="PF"/>
    <d v="2018-03-29T00:00:00"/>
    <d v="2018-08-23T00:00:00"/>
    <m/>
    <s v="Nil"/>
    <m/>
    <s v="BF"/>
    <s v="MIX"/>
    <x v="2"/>
    <x v="5"/>
    <n v="8.9999999999999993E-3"/>
    <d v="2018-03-31T00:00:00"/>
    <x v="0"/>
    <m/>
    <s v="Open Market"/>
    <s v="M"/>
    <s v=""/>
    <m/>
    <m/>
    <m/>
    <m/>
    <m/>
    <n v="0"/>
    <n v="0"/>
    <n v="3"/>
    <n v="-1"/>
    <n v="0"/>
    <n v="0"/>
    <n v="0"/>
    <n v="0"/>
    <n v="0"/>
    <n v="3"/>
    <n v="-1"/>
    <n v="0"/>
    <n v="0"/>
    <n v="0"/>
    <n v="0"/>
    <n v="0"/>
    <n v="0"/>
    <n v="0"/>
    <n v="0"/>
    <n v="0"/>
    <n v="0"/>
    <n v="0"/>
    <n v="0"/>
    <n v="0"/>
    <n v="0"/>
    <n v="0"/>
    <n v="0"/>
    <n v="0"/>
    <s v="Putney"/>
    <m/>
    <s v="Putney"/>
    <n v="13"/>
    <m/>
    <n v="2"/>
    <m/>
    <m/>
    <m/>
    <m/>
    <m/>
    <m/>
    <m/>
    <m/>
    <m/>
    <m/>
    <m/>
    <m/>
    <m/>
    <m/>
    <m/>
    <m/>
    <m/>
    <m/>
    <n v="2"/>
    <n v="2"/>
  </r>
  <r>
    <n v="5862"/>
    <x v="1"/>
    <s v="2018/0859"/>
    <s v="87 Putney High Street"/>
    <s v="new build"/>
    <n v="524068"/>
    <n v="175336"/>
    <s v="Thamesfield"/>
    <d v="2018-03-31T00:00:00"/>
    <m/>
    <n v="0"/>
    <n v="2"/>
    <n v="2"/>
    <n v="5"/>
    <n v="4"/>
    <m/>
    <s v="Alterations and erection of three-storey (first to third floors) rear extension in connection with conversion of upper floors into 3 x 2-bedroom self-contained flats (Class C3) together with the erection of a three storey building to the rear of the site to provide 2 residential flats (Class C3)  (1 x 1-bedroom and 1 x 2-bedroom). Formation of a communal first floor terrace and new residential access with cycle and refuse stores from Token Yard."/>
    <s v="PF"/>
    <d v="2018-03-29T00:00:00"/>
    <d v="2018-08-23T00:00:00"/>
    <m/>
    <s v="Nil"/>
    <m/>
    <s v="BF"/>
    <s v="MIX"/>
    <x v="2"/>
    <x v="3"/>
    <n v="5.0000000000000001E-3"/>
    <d v="2018-03-31T00:00:00"/>
    <x v="0"/>
    <m/>
    <s v="Open Market"/>
    <s v="M"/>
    <s v=""/>
    <m/>
    <m/>
    <m/>
    <m/>
    <m/>
    <n v="0"/>
    <n v="1"/>
    <n v="1"/>
    <n v="0"/>
    <n v="0"/>
    <n v="0"/>
    <n v="0"/>
    <n v="0"/>
    <n v="1"/>
    <n v="1"/>
    <n v="0"/>
    <n v="0"/>
    <n v="0"/>
    <n v="0"/>
    <n v="0"/>
    <n v="0"/>
    <n v="0"/>
    <n v="0"/>
    <n v="0"/>
    <n v="0"/>
    <n v="0"/>
    <n v="0"/>
    <n v="0"/>
    <n v="0"/>
    <n v="0"/>
    <n v="0"/>
    <n v="0"/>
    <n v="0"/>
    <s v="Putney"/>
    <m/>
    <s v="Putney"/>
    <n v="13"/>
    <m/>
    <n v="2"/>
    <m/>
    <m/>
    <m/>
    <m/>
    <m/>
    <m/>
    <m/>
    <m/>
    <m/>
    <m/>
    <m/>
    <m/>
    <m/>
    <m/>
    <m/>
    <m/>
    <m/>
    <m/>
    <n v="2"/>
    <n v="2"/>
  </r>
  <r>
    <n v="6196"/>
    <x v="1"/>
    <s v="2018/0917"/>
    <s v="Land adjacent, 80 Manville Road"/>
    <s v=""/>
    <n v="528701"/>
    <n v="172342"/>
    <s v="South Balham"/>
    <d v="2021-04-01T00:00:00"/>
    <m/>
    <n v="0"/>
    <n v="1"/>
    <n v="1"/>
    <n v="1"/>
    <n v="1"/>
    <m/>
    <s v="Demolition of existing garage and erection of part single, part two-storey (plus basement) 3-bedroom detached house with associated landscaping, boundary treatment, cycle, refuse storage and car parking."/>
    <s v="PF"/>
    <d v="2018-03-06T00:00:00"/>
    <d v="2018-05-30T00:00:00"/>
    <m/>
    <s v="Nil"/>
    <m/>
    <s v="BF"/>
    <s v="NB"/>
    <x v="2"/>
    <x v="3"/>
    <n v="8.9999999999999993E-3"/>
    <d v="2021-04-01T00:00:00"/>
    <x v="0"/>
    <m/>
    <s v="Open Market"/>
    <s v="M"/>
    <s v=""/>
    <m/>
    <m/>
    <m/>
    <m/>
    <m/>
    <n v="0"/>
    <n v="0"/>
    <n v="0"/>
    <n v="1"/>
    <n v="0"/>
    <n v="0"/>
    <n v="0"/>
    <n v="0"/>
    <n v="0"/>
    <n v="0"/>
    <n v="0"/>
    <n v="0"/>
    <n v="0"/>
    <n v="0"/>
    <n v="0"/>
    <n v="0"/>
    <n v="0"/>
    <n v="1"/>
    <n v="0"/>
    <n v="0"/>
    <n v="0"/>
    <n v="0"/>
    <n v="0"/>
    <n v="0"/>
    <n v="0"/>
    <n v="0"/>
    <n v="0"/>
    <n v="0"/>
    <m/>
    <m/>
    <s v="Rest of Borough"/>
    <n v="3"/>
    <m/>
    <n v="1"/>
    <m/>
    <m/>
    <m/>
    <m/>
    <m/>
    <m/>
    <m/>
    <m/>
    <m/>
    <m/>
    <m/>
    <m/>
    <m/>
    <m/>
    <m/>
    <m/>
    <m/>
    <m/>
    <n v="1"/>
    <n v="1"/>
  </r>
  <r>
    <n v="6969"/>
    <x v="1"/>
    <s v="2018/2554"/>
    <s v="Vehicle Repair Workshop Rear of, 7-9 Aldis Street"/>
    <s v=""/>
    <n v="527156"/>
    <n v="171085"/>
    <s v="Tooting Broadway"/>
    <d v="2022-04-01T00:00:00"/>
    <m/>
    <n v="0"/>
    <n v="2"/>
    <n v="2"/>
    <n v="2"/>
    <n v="2"/>
    <m/>
    <s v="Demolition of existing building and erection of two x 2-bedroom single storey houses with associated cycle and refuse storage."/>
    <s v="PF"/>
    <d v="2018-05-31T00:00:00"/>
    <d v="2018-09-03T00:00:00"/>
    <m/>
    <s v="Nil"/>
    <m/>
    <s v="BF"/>
    <s v="NB"/>
    <x v="2"/>
    <x v="3"/>
    <n v="2.8000000000000001E-2"/>
    <d v="2022-04-01T00:00:00"/>
    <x v="0"/>
    <m/>
    <s v="Open Market"/>
    <s v="M"/>
    <s v=""/>
    <m/>
    <m/>
    <m/>
    <m/>
    <m/>
    <n v="0"/>
    <n v="0"/>
    <n v="2"/>
    <n v="0"/>
    <n v="0"/>
    <n v="0"/>
    <n v="0"/>
    <n v="0"/>
    <n v="0"/>
    <n v="0"/>
    <n v="0"/>
    <n v="0"/>
    <n v="0"/>
    <n v="0"/>
    <n v="0"/>
    <n v="0"/>
    <n v="2"/>
    <n v="0"/>
    <n v="0"/>
    <n v="0"/>
    <n v="0"/>
    <n v="0"/>
    <n v="0"/>
    <n v="0"/>
    <n v="0"/>
    <n v="0"/>
    <n v="0"/>
    <n v="0"/>
    <m/>
    <m/>
    <s v="Tooting"/>
    <n v="3"/>
    <m/>
    <n v="2"/>
    <m/>
    <m/>
    <m/>
    <m/>
    <m/>
    <m/>
    <m/>
    <m/>
    <m/>
    <m/>
    <m/>
    <m/>
    <m/>
    <m/>
    <m/>
    <m/>
    <m/>
    <m/>
    <n v="2"/>
    <n v="2"/>
  </r>
  <r>
    <n v="6317"/>
    <x v="1"/>
    <s v="2018/3122"/>
    <s v="Garages rear of 21, Granard Avenue"/>
    <s v=""/>
    <n v="522879"/>
    <n v="174549"/>
    <s v="West Putney"/>
    <d v="2021-09-13T00:00:00"/>
    <m/>
    <n v="0"/>
    <n v="4"/>
    <n v="4"/>
    <n v="4"/>
    <n v="4"/>
    <m/>
    <s v="Demolition of existing garages and construction of 4 x 2-bedroom houses ground and first floors with part basement."/>
    <s v="PF"/>
    <d v="2018-06-25T00:00:00"/>
    <d v="2018-10-23T00:00:00"/>
    <m/>
    <s v="Nil"/>
    <m/>
    <s v="BF"/>
    <s v="NB"/>
    <x v="2"/>
    <x v="3"/>
    <n v="5.6000000000000001E-2"/>
    <d v="2021-09-13T00:00:00"/>
    <x v="0"/>
    <m/>
    <s v="Open Market"/>
    <s v="M"/>
    <s v=""/>
    <m/>
    <m/>
    <m/>
    <m/>
    <m/>
    <n v="0"/>
    <n v="0"/>
    <n v="4"/>
    <n v="0"/>
    <n v="0"/>
    <n v="0"/>
    <n v="0"/>
    <n v="0"/>
    <n v="0"/>
    <n v="0"/>
    <n v="0"/>
    <n v="0"/>
    <n v="0"/>
    <n v="0"/>
    <n v="0"/>
    <n v="0"/>
    <n v="4"/>
    <n v="0"/>
    <n v="0"/>
    <n v="0"/>
    <n v="0"/>
    <n v="0"/>
    <n v="0"/>
    <n v="0"/>
    <n v="0"/>
    <n v="0"/>
    <n v="0"/>
    <n v="0"/>
    <m/>
    <m/>
    <s v="Rest of Borough"/>
    <n v="3"/>
    <m/>
    <n v="4"/>
    <m/>
    <m/>
    <m/>
    <m/>
    <m/>
    <m/>
    <m/>
    <m/>
    <m/>
    <m/>
    <m/>
    <m/>
    <m/>
    <m/>
    <m/>
    <m/>
    <m/>
    <m/>
    <n v="4"/>
    <n v="4"/>
  </r>
  <r>
    <n v="7005"/>
    <x v="1"/>
    <s v="2018/3634"/>
    <s v="26 Drakefield Road"/>
    <s v=""/>
    <n v="528240"/>
    <n v="172415"/>
    <s v="South Balham"/>
    <d v="2021-04-01T00:00:00"/>
    <m/>
    <n v="3"/>
    <n v="1"/>
    <n v="-2"/>
    <n v="1"/>
    <n v="-2"/>
    <m/>
    <s v="Alterations including the erection of a single storey side and rear extension; conversion of building from 1 x 1 bedroom and 2 x 2 bedroom flats into a single dwellinghouse."/>
    <s v="PF"/>
    <d v="2018-08-13T00:00:00"/>
    <d v="2018-10-05T00:00:00"/>
    <m/>
    <s v="Nil"/>
    <m/>
    <s v="BF"/>
    <s v="MIX"/>
    <x v="2"/>
    <x v="11"/>
    <n v="2.3E-2"/>
    <d v="2021-04-01T00:00:00"/>
    <x v="0"/>
    <m/>
    <s v="Open Market"/>
    <s v="M"/>
    <s v=""/>
    <m/>
    <m/>
    <m/>
    <m/>
    <m/>
    <n v="0"/>
    <n v="-1"/>
    <n v="-2"/>
    <n v="0"/>
    <n v="1"/>
    <n v="0"/>
    <n v="0"/>
    <n v="0"/>
    <n v="-1"/>
    <n v="-2"/>
    <n v="0"/>
    <n v="0"/>
    <n v="0"/>
    <n v="0"/>
    <n v="0"/>
    <n v="0"/>
    <n v="0"/>
    <n v="0"/>
    <n v="1"/>
    <n v="0"/>
    <n v="0"/>
    <n v="0"/>
    <n v="0"/>
    <n v="0"/>
    <n v="0"/>
    <n v="0"/>
    <n v="0"/>
    <n v="0"/>
    <m/>
    <m/>
    <s v="Rest of Borough"/>
    <n v="13"/>
    <m/>
    <n v="-2"/>
    <m/>
    <m/>
    <m/>
    <m/>
    <m/>
    <m/>
    <m/>
    <m/>
    <m/>
    <m/>
    <m/>
    <m/>
    <m/>
    <m/>
    <m/>
    <m/>
    <m/>
    <m/>
    <n v="-2"/>
    <n v="-2"/>
  </r>
  <r>
    <n v="5589"/>
    <x v="1"/>
    <s v="2018/4579"/>
    <s v="Chatfield Court, 56 Chatfield Road"/>
    <s v=""/>
    <n v="526329"/>
    <n v="175625"/>
    <s v="St Mary's"/>
    <d v="2020-04-01T00:00:00"/>
    <m/>
    <n v="0"/>
    <n v="14"/>
    <n v="14"/>
    <n v="14"/>
    <n v="14"/>
    <s v="Y"/>
    <s v="Determination as to whether prior approval is required for change of use from office (Class B1a) to residential (Class C3) to provide 13 x 1-bedroom and 1 x 2-bedroom flats."/>
    <s v="PAG"/>
    <d v="2018-10-01T00:00:00"/>
    <d v="2018-11-22T00:00:00"/>
    <m/>
    <s v="Nil"/>
    <m/>
    <s v="BF"/>
    <s v="COU"/>
    <x v="4"/>
    <x v="0"/>
    <n v="4.3999999999999997E-2"/>
    <d v="2020-04-01T00:00:00"/>
    <x v="0"/>
    <m/>
    <s v="Open Market"/>
    <s v="M"/>
    <s v=""/>
    <m/>
    <m/>
    <m/>
    <m/>
    <m/>
    <n v="0"/>
    <n v="13"/>
    <n v="1"/>
    <n v="0"/>
    <n v="0"/>
    <n v="0"/>
    <n v="0"/>
    <n v="0"/>
    <n v="13"/>
    <n v="1"/>
    <n v="0"/>
    <n v="0"/>
    <n v="0"/>
    <n v="0"/>
    <n v="0"/>
    <n v="0"/>
    <n v="0"/>
    <n v="0"/>
    <n v="0"/>
    <n v="0"/>
    <n v="0"/>
    <n v="0"/>
    <n v="0"/>
    <n v="0"/>
    <n v="0"/>
    <n v="0"/>
    <n v="0"/>
    <n v="0"/>
    <m/>
    <m/>
    <s v="Wandsworth riverside"/>
    <n v="13"/>
    <m/>
    <n v="14"/>
    <m/>
    <m/>
    <m/>
    <m/>
    <m/>
    <m/>
    <m/>
    <m/>
    <m/>
    <m/>
    <m/>
    <m/>
    <m/>
    <m/>
    <m/>
    <m/>
    <m/>
    <m/>
    <n v="14"/>
    <n v="14"/>
  </r>
  <r>
    <n v="6669"/>
    <x v="1"/>
    <s v="2018/4639"/>
    <s v="Car storage site rear of, 1 Kenlor Road"/>
    <s v=""/>
    <n v="527101"/>
    <n v="170989"/>
    <s v="Tooting Broadway"/>
    <d v="2022-01-18T00:00:00"/>
    <m/>
    <n v="0"/>
    <n v="1"/>
    <n v="1"/>
    <n v="1"/>
    <n v="1"/>
    <m/>
    <s v="Demolition of existing single storey building and the erection of a single-storey one bedroom detached house with associated cycle and refuse storage and landscaping."/>
    <s v="PF"/>
    <d v="2018-10-01T00:00:00"/>
    <d v="2018-11-26T00:00:00"/>
    <m/>
    <s v="Nil"/>
    <m/>
    <s v="BF"/>
    <s v="NB"/>
    <x v="2"/>
    <x v="3"/>
    <n v="7.0000000000000001E-3"/>
    <d v="2022-01-18T00:00:00"/>
    <x v="0"/>
    <m/>
    <s v="Open Market"/>
    <s v="M"/>
    <s v=""/>
    <m/>
    <m/>
    <m/>
    <m/>
    <m/>
    <n v="0"/>
    <n v="1"/>
    <n v="0"/>
    <n v="0"/>
    <n v="0"/>
    <n v="0"/>
    <n v="0"/>
    <n v="0"/>
    <n v="0"/>
    <n v="0"/>
    <n v="0"/>
    <n v="0"/>
    <n v="0"/>
    <n v="0"/>
    <n v="0"/>
    <n v="1"/>
    <n v="0"/>
    <n v="0"/>
    <n v="0"/>
    <n v="0"/>
    <n v="0"/>
    <n v="0"/>
    <n v="0"/>
    <n v="0"/>
    <n v="0"/>
    <n v="0"/>
    <n v="0"/>
    <n v="0"/>
    <m/>
    <m/>
    <s v="Tooting"/>
    <n v="3"/>
    <m/>
    <n v="1"/>
    <m/>
    <m/>
    <m/>
    <m/>
    <m/>
    <m/>
    <m/>
    <m/>
    <m/>
    <m/>
    <m/>
    <m/>
    <m/>
    <m/>
    <m/>
    <m/>
    <m/>
    <m/>
    <n v="1"/>
    <n v="1"/>
  </r>
  <r>
    <n v="6167"/>
    <x v="1"/>
    <s v="2018/5658"/>
    <s v="Garages between 23 &amp; 25, Darley Road"/>
    <s v=""/>
    <n v="527551"/>
    <n v="174388"/>
    <s v="Northcote"/>
    <d v="2022-04-01T00:00:00"/>
    <m/>
    <n v="0"/>
    <n v="1"/>
    <n v="1"/>
    <n v="1"/>
    <n v="1"/>
    <m/>
    <s v="Demolition of existing garages and erection of two-storey(plus basement) 4-bedroom house with associated refuse and cycle storage."/>
    <s v="PF"/>
    <d v="2018-12-05T00:00:00"/>
    <d v="2019-05-02T00:00:00"/>
    <m/>
    <s v="Nil"/>
    <m/>
    <s v="BF"/>
    <s v="NB"/>
    <x v="2"/>
    <x v="3"/>
    <n v="1.7999999999999999E-2"/>
    <d v="2022-04-01T00:00:00"/>
    <x v="0"/>
    <m/>
    <s v="Open Market"/>
    <s v="M"/>
    <s v=""/>
    <m/>
    <m/>
    <m/>
    <m/>
    <m/>
    <n v="0"/>
    <n v="0"/>
    <n v="0"/>
    <n v="0"/>
    <n v="1"/>
    <n v="0"/>
    <n v="0"/>
    <n v="0"/>
    <n v="0"/>
    <n v="0"/>
    <n v="0"/>
    <n v="0"/>
    <n v="0"/>
    <n v="0"/>
    <n v="0"/>
    <n v="0"/>
    <n v="0"/>
    <n v="0"/>
    <n v="1"/>
    <n v="0"/>
    <n v="0"/>
    <n v="0"/>
    <n v="0"/>
    <n v="0"/>
    <n v="0"/>
    <n v="0"/>
    <n v="0"/>
    <n v="0"/>
    <m/>
    <m/>
    <s v="Rest of Borough"/>
    <n v="3"/>
    <m/>
    <n v="1"/>
    <m/>
    <m/>
    <m/>
    <m/>
    <m/>
    <m/>
    <m/>
    <m/>
    <m/>
    <m/>
    <m/>
    <m/>
    <m/>
    <m/>
    <m/>
    <m/>
    <m/>
    <m/>
    <n v="1"/>
    <n v="1"/>
  </r>
  <r>
    <n v="1188"/>
    <x v="1"/>
    <s v="2019/0014"/>
    <s v="113 St Johns Hill"/>
    <s v=""/>
    <n v="526940"/>
    <n v="175148"/>
    <s v="Wandsworth Town"/>
    <d v="2022-04-01T00:00:00"/>
    <m/>
    <n v="0"/>
    <n v="3"/>
    <n v="3"/>
    <n v="3"/>
    <n v="3"/>
    <m/>
    <s v="Erection of four-storey (including accommodation within the roofspace) plus basement level building to provide flexible commercial use for retail (Class A1), professional services (Class A2) or business (Class B1) in the front part of both ground floor level and basement; with 2 x 2-bedroom and 1 x1 bedroom flats in the remainder of the building. [The main changes are a reduction of rearmost element from two-storeys to single storey; omssion of roof terraces and juliette balconies; alterations to some proposed windows, including reduction in size of dormer within rear roofslope, and amendments to proposed shopfront; reduction of flat A from a 2 bedroom to a one bedroom unit]."/>
    <s v="PF"/>
    <d v="2019-01-03T00:00:00"/>
    <d v="2019-06-28T00:00:00"/>
    <m/>
    <s v="Nil"/>
    <m/>
    <s v="BF"/>
    <s v="MIX"/>
    <x v="2"/>
    <x v="3"/>
    <n v="7.0000000000000001E-3"/>
    <d v="2022-04-01T00:00:00"/>
    <x v="0"/>
    <m/>
    <s v="Open Market"/>
    <s v="M"/>
    <s v=""/>
    <m/>
    <m/>
    <m/>
    <m/>
    <m/>
    <n v="0"/>
    <n v="0"/>
    <n v="3"/>
    <n v="0"/>
    <n v="0"/>
    <n v="0"/>
    <n v="0"/>
    <n v="0"/>
    <n v="0"/>
    <n v="3"/>
    <n v="0"/>
    <n v="0"/>
    <n v="0"/>
    <n v="0"/>
    <n v="0"/>
    <n v="0"/>
    <n v="0"/>
    <n v="0"/>
    <n v="0"/>
    <n v="0"/>
    <n v="0"/>
    <n v="0"/>
    <n v="0"/>
    <n v="0"/>
    <n v="0"/>
    <n v="0"/>
    <n v="0"/>
    <n v="0"/>
    <m/>
    <m/>
    <s v="Rest of Borough"/>
    <n v="13"/>
    <m/>
    <n v="3"/>
    <m/>
    <m/>
    <m/>
    <m/>
    <m/>
    <m/>
    <m/>
    <m/>
    <m/>
    <m/>
    <m/>
    <m/>
    <m/>
    <m/>
    <m/>
    <m/>
    <m/>
    <m/>
    <n v="3"/>
    <n v="3"/>
  </r>
  <r>
    <n v="6704"/>
    <x v="1"/>
    <s v="2019/0435"/>
    <s v="Ross Court, 81 Putney Hill"/>
    <s v=""/>
    <n v="523738"/>
    <n v="173863"/>
    <s v="East Putney"/>
    <d v="2021-06-16T00:00:00"/>
    <m/>
    <n v="0"/>
    <n v="1"/>
    <n v="1"/>
    <n v="1"/>
    <n v="1"/>
    <m/>
    <s v="Determination as to whether prior approval is required for change of use from storage (Class B8) to residential (Class C3) to provide 1 x 1-bed flat."/>
    <s v="PAG"/>
    <d v="2019-02-06T00:00:00"/>
    <d v="2019-03-29T00:00:00"/>
    <m/>
    <s v="Nil"/>
    <m/>
    <s v="BF"/>
    <s v="COU"/>
    <x v="2"/>
    <x v="8"/>
    <n v="8.9999999999999993E-3"/>
    <d v="2021-06-16T00:00:00"/>
    <x v="0"/>
    <m/>
    <s v="Open Market"/>
    <s v="M"/>
    <s v=""/>
    <m/>
    <m/>
    <m/>
    <m/>
    <m/>
    <n v="0"/>
    <n v="1"/>
    <n v="0"/>
    <n v="0"/>
    <n v="0"/>
    <n v="0"/>
    <n v="0"/>
    <n v="0"/>
    <n v="1"/>
    <n v="0"/>
    <n v="0"/>
    <n v="0"/>
    <n v="0"/>
    <n v="0"/>
    <n v="0"/>
    <n v="0"/>
    <n v="0"/>
    <n v="0"/>
    <n v="0"/>
    <n v="0"/>
    <n v="0"/>
    <n v="0"/>
    <n v="0"/>
    <n v="0"/>
    <n v="0"/>
    <n v="0"/>
    <n v="0"/>
    <n v="0"/>
    <m/>
    <m/>
    <s v="Rest of Borough"/>
    <n v="13"/>
    <m/>
    <n v="1"/>
    <m/>
    <m/>
    <m/>
    <m/>
    <m/>
    <m/>
    <m/>
    <m/>
    <m/>
    <m/>
    <m/>
    <m/>
    <m/>
    <m/>
    <m/>
    <m/>
    <m/>
    <m/>
    <n v="1"/>
    <n v="1"/>
  </r>
  <r>
    <n v="6660"/>
    <x v="1"/>
    <s v="2019/0762"/>
    <s v="garages north of 8, 8 Buckmaster Road"/>
    <s v=""/>
    <n v="527260"/>
    <n v="175041"/>
    <s v="Lavender"/>
    <d v="2022-04-01T00:00:00"/>
    <m/>
    <n v="0"/>
    <n v="1"/>
    <n v="1"/>
    <n v="1"/>
    <n v="1"/>
    <m/>
    <s v="Demolition of existing single-storey vehicle garages and the erection of a two-storey plus basement 2 x bedroom dwellinghouse (Class C3)."/>
    <s v="PF"/>
    <d v="2019-09-13T00:00:00"/>
    <d v="2019-05-24T00:00:00"/>
    <m/>
    <s v="Nil"/>
    <m/>
    <s v="BF"/>
    <s v="NB"/>
    <x v="2"/>
    <x v="3"/>
    <n v="7.0000000000000001E-3"/>
    <d v="2022-04-01T00:00:00"/>
    <x v="0"/>
    <m/>
    <s v="Open Market"/>
    <s v="M"/>
    <s v=""/>
    <m/>
    <m/>
    <m/>
    <m/>
    <m/>
    <n v="0"/>
    <n v="0"/>
    <n v="1"/>
    <n v="0"/>
    <n v="0"/>
    <n v="0"/>
    <n v="0"/>
    <n v="0"/>
    <n v="0"/>
    <n v="0"/>
    <n v="0"/>
    <n v="0"/>
    <n v="0"/>
    <n v="0"/>
    <n v="0"/>
    <n v="0"/>
    <n v="1"/>
    <n v="0"/>
    <n v="0"/>
    <n v="0"/>
    <n v="0"/>
    <n v="0"/>
    <n v="0"/>
    <n v="0"/>
    <n v="0"/>
    <n v="0"/>
    <n v="0"/>
    <n v="0"/>
    <m/>
    <m/>
    <s v="Clapham Junction and York Road / Winstanley Regeneration Area"/>
    <n v="3"/>
    <m/>
    <n v="1"/>
    <m/>
    <m/>
    <m/>
    <m/>
    <m/>
    <m/>
    <m/>
    <m/>
    <m/>
    <m/>
    <m/>
    <m/>
    <m/>
    <m/>
    <m/>
    <m/>
    <m/>
    <m/>
    <n v="1"/>
    <n v="1"/>
  </r>
  <r>
    <n v="1882"/>
    <x v="1"/>
    <s v="2019/0799"/>
    <s v="175 Wandsworth High Street"/>
    <s v=""/>
    <n v="525371"/>
    <n v="174659"/>
    <s v="Wandsworth Town"/>
    <d v="2018-04-01T00:00:00"/>
    <m/>
    <n v="0"/>
    <n v="1"/>
    <n v="1"/>
    <n v="1"/>
    <n v="1"/>
    <m/>
    <s v="Variation of condition 4 (restricted use) and 2 (in accordance with approved drawings) of planning permission dated 09/12/2016 ref 2016/5757 (Change of use of upper and lower ground floors restaurant &amp; sandwich bar (Class A3) to 3 x commercial units (Class B1a), including external alterations to the front, side and rear elevations.) so as to allow change of use from office at rear ground and lower ground floors (Class B1a) to residential (Class C3)."/>
    <s v="S73"/>
    <d v="2019-03-12T00:00:00"/>
    <d v="2019-05-15T00:00:00"/>
    <m/>
    <s v="Nil"/>
    <m/>
    <s v="BF"/>
    <s v="COU"/>
    <x v="2"/>
    <x v="8"/>
    <n v="5.0000000000000001E-3"/>
    <d v="2018-04-01T00:00:00"/>
    <x v="0"/>
    <m/>
    <s v="Open Market"/>
    <s v="M"/>
    <s v=""/>
    <m/>
    <m/>
    <m/>
    <m/>
    <m/>
    <n v="0"/>
    <n v="1"/>
    <n v="0"/>
    <n v="0"/>
    <n v="0"/>
    <n v="0"/>
    <n v="0"/>
    <n v="0"/>
    <n v="1"/>
    <n v="0"/>
    <n v="0"/>
    <n v="0"/>
    <n v="0"/>
    <n v="0"/>
    <n v="0"/>
    <n v="0"/>
    <n v="0"/>
    <n v="0"/>
    <n v="0"/>
    <n v="0"/>
    <n v="0"/>
    <n v="0"/>
    <n v="0"/>
    <n v="0"/>
    <n v="0"/>
    <n v="0"/>
    <n v="0"/>
    <n v="0"/>
    <s v="Wandsworth"/>
    <m/>
    <s v="Wandsworth Town, including the Wandle Delta Masterplan Area"/>
    <n v="13"/>
    <m/>
    <n v="1"/>
    <m/>
    <m/>
    <m/>
    <m/>
    <m/>
    <m/>
    <m/>
    <m/>
    <m/>
    <m/>
    <m/>
    <m/>
    <m/>
    <m/>
    <m/>
    <m/>
    <m/>
    <m/>
    <n v="1"/>
    <n v="1"/>
  </r>
  <r>
    <n v="6501"/>
    <x v="1"/>
    <s v="2019/0866"/>
    <s v="1023-1025 Garratt Lane"/>
    <s v=""/>
    <n v="527304"/>
    <n v="171639"/>
    <s v="Tooting Broadway"/>
    <d v="2022-09-08T00:00:00"/>
    <m/>
    <n v="0"/>
    <n v="17"/>
    <n v="17"/>
    <n v="17"/>
    <n v="17"/>
    <s v="Y"/>
    <s v="Variation of conditions 2, 3 and 7 (in accordance with approved drawings) pursuant to planning permission dated 14/11/2017 ref 2016/5209 (Demolition of the existing builder and timber merchant building (Class B1) and redevelopment with a part 2, part 3 storey building plus basement level comprising 17 apartments (Class C3) (2 x 1 beds, 12 x 2 beds and 3 x 3 beds) and associated landscaping, car and cycle parking)  to allow reconfiguration of internal layouts and subsequent alteratons to boundaries and cycle parking."/>
    <s v="S73"/>
    <d v="2019-03-15T00:00:00"/>
    <d v="2019-11-14T00:00:00"/>
    <m/>
    <s v="Nil"/>
    <m/>
    <s v="BF"/>
    <s v="NB"/>
    <x v="1"/>
    <x v="0"/>
    <n v="0.156"/>
    <d v="2022-09-08T00:00:00"/>
    <x v="0"/>
    <m/>
    <s v="Open Market"/>
    <s v="M"/>
    <s v=""/>
    <m/>
    <m/>
    <n v="15"/>
    <m/>
    <n v="2"/>
    <n v="0"/>
    <n v="4"/>
    <n v="10"/>
    <n v="3"/>
    <n v="0"/>
    <n v="0"/>
    <n v="0"/>
    <n v="0"/>
    <n v="4"/>
    <n v="10"/>
    <n v="3"/>
    <n v="0"/>
    <n v="0"/>
    <n v="0"/>
    <n v="0"/>
    <n v="0"/>
    <n v="0"/>
    <n v="0"/>
    <n v="0"/>
    <n v="0"/>
    <n v="0"/>
    <n v="0"/>
    <n v="0"/>
    <n v="0"/>
    <n v="0"/>
    <n v="0"/>
    <n v="0"/>
    <n v="0"/>
    <m/>
    <m/>
    <s v="Tooting"/>
    <n v="3"/>
    <m/>
    <n v="17"/>
    <m/>
    <m/>
    <m/>
    <m/>
    <m/>
    <m/>
    <m/>
    <m/>
    <m/>
    <m/>
    <m/>
    <m/>
    <m/>
    <m/>
    <m/>
    <m/>
    <m/>
    <m/>
    <n v="17"/>
    <n v="17"/>
  </r>
  <r>
    <n v="6238"/>
    <x v="1"/>
    <s v="2019/1231"/>
    <s v="235a - 237a, 235-237 Wimbledon Park road"/>
    <s v=""/>
    <n v="524777"/>
    <n v="173324"/>
    <s v="Southfields"/>
    <d v="2024-03-31T00:00:00"/>
    <m/>
    <n v="0"/>
    <n v="3"/>
    <n v="3"/>
    <n v="3"/>
    <n v="3"/>
    <m/>
    <s v="Erection of a three storey rear extension in connection with formation of 1 x 1 bedroomed flat and 2 x 2 bedroomed flats with external terraces, and associated cycle and refuse storage."/>
    <s v="PF"/>
    <d v="2019-03-18T00:00:00"/>
    <d v="2020-06-24T00:00:00"/>
    <m/>
    <s v="Nil"/>
    <m/>
    <s v="BF"/>
    <s v="NB"/>
    <x v="2"/>
    <x v="3"/>
    <n v="8.0000000000000002E-3"/>
    <d v="2024-03-31T00:00:00"/>
    <x v="1"/>
    <m/>
    <s v="Open Market"/>
    <s v="M"/>
    <s v=""/>
    <m/>
    <m/>
    <m/>
    <m/>
    <m/>
    <n v="0"/>
    <n v="1"/>
    <n v="2"/>
    <n v="0"/>
    <n v="0"/>
    <n v="0"/>
    <n v="0"/>
    <n v="0"/>
    <n v="1"/>
    <n v="2"/>
    <n v="0"/>
    <n v="0"/>
    <n v="0"/>
    <n v="0"/>
    <n v="0"/>
    <n v="0"/>
    <n v="0"/>
    <n v="0"/>
    <n v="0"/>
    <n v="0"/>
    <n v="0"/>
    <n v="0"/>
    <n v="0"/>
    <n v="0"/>
    <n v="0"/>
    <n v="0"/>
    <n v="0"/>
    <n v="0"/>
    <m/>
    <m/>
    <s v="Rest of Borough"/>
    <n v="4"/>
    <m/>
    <n v="1.5"/>
    <n v="1.5"/>
    <m/>
    <m/>
    <m/>
    <m/>
    <m/>
    <m/>
    <m/>
    <m/>
    <m/>
    <m/>
    <m/>
    <m/>
    <m/>
    <m/>
    <m/>
    <m/>
    <m/>
    <n v="3"/>
    <n v="3"/>
  </r>
  <r>
    <n v="4689"/>
    <x v="1"/>
    <s v="2019/1258"/>
    <s v="13 Northcote Road"/>
    <s v="conversion"/>
    <n v="527473"/>
    <n v="175071"/>
    <s v="Lavender"/>
    <d v="2022-04-01T00:00:00"/>
    <m/>
    <n v="1"/>
    <n v="1"/>
    <n v="0"/>
    <n v="2"/>
    <n v="1"/>
    <m/>
    <s v="Alterations including erection of mansard roof extension to main roof, rear extension at second floor level and formation of rear roof terraces in connection with conversion of existing flat into 1 x 1-bedroom and 1 x 3-bedroom flats."/>
    <s v="PF"/>
    <d v="2019-03-19T00:00:00"/>
    <d v="2019-05-14T00:00:00"/>
    <m/>
    <s v="Nil"/>
    <m/>
    <s v="BF"/>
    <s v="MIX"/>
    <x v="2"/>
    <x v="5"/>
    <n v="3.0000000000000001E-3"/>
    <d v="2022-04-01T00:00:00"/>
    <x v="0"/>
    <m/>
    <s v="Open Market"/>
    <s v="M"/>
    <s v=""/>
    <m/>
    <m/>
    <m/>
    <m/>
    <m/>
    <n v="0"/>
    <n v="1"/>
    <n v="0"/>
    <n v="-1"/>
    <n v="0"/>
    <n v="0"/>
    <n v="0"/>
    <n v="0"/>
    <n v="1"/>
    <n v="0"/>
    <n v="-1"/>
    <n v="0"/>
    <n v="0"/>
    <n v="0"/>
    <n v="0"/>
    <n v="0"/>
    <n v="0"/>
    <n v="0"/>
    <n v="0"/>
    <n v="0"/>
    <n v="0"/>
    <n v="0"/>
    <n v="0"/>
    <n v="0"/>
    <n v="0"/>
    <n v="0"/>
    <n v="0"/>
    <n v="0"/>
    <s v="Clapham Junction"/>
    <m/>
    <s v="Clapham Junction and York Road / Winstanley Regeneration Area"/>
    <n v="13"/>
    <m/>
    <n v="0"/>
    <m/>
    <m/>
    <m/>
    <m/>
    <m/>
    <m/>
    <m/>
    <m/>
    <m/>
    <m/>
    <m/>
    <m/>
    <m/>
    <m/>
    <m/>
    <m/>
    <m/>
    <m/>
    <n v="0"/>
    <n v="0"/>
  </r>
  <r>
    <n v="4689"/>
    <x v="1"/>
    <s v="2019/1258"/>
    <s v="13 Northcote Road"/>
    <s v="extn to ex"/>
    <n v="527473"/>
    <n v="175071"/>
    <s v="Lavender"/>
    <d v="2022-04-01T00:00:00"/>
    <m/>
    <n v="0"/>
    <n v="1"/>
    <n v="1"/>
    <n v="2"/>
    <n v="1"/>
    <m/>
    <s v="Alterations including erection of mansard roof extension to main roof, rear extension at second floor level and formation of rear roof terraces in connection with conversion of existing flat into 1 x 1-bedroom and 1 x 3-bedroom flats."/>
    <s v="PF"/>
    <d v="2019-03-19T00:00:00"/>
    <d v="2019-05-14T00:00:00"/>
    <m/>
    <s v="Nil"/>
    <m/>
    <s v="BF"/>
    <s v="MIX"/>
    <x v="2"/>
    <x v="7"/>
    <n v="4.0000000000000001E-3"/>
    <d v="2022-04-01T00:00:00"/>
    <x v="0"/>
    <m/>
    <s v="Open Market"/>
    <s v="M"/>
    <s v=""/>
    <m/>
    <m/>
    <m/>
    <m/>
    <m/>
    <n v="0"/>
    <n v="0"/>
    <n v="0"/>
    <n v="1"/>
    <n v="0"/>
    <n v="0"/>
    <n v="0"/>
    <n v="0"/>
    <n v="0"/>
    <n v="0"/>
    <n v="1"/>
    <n v="0"/>
    <n v="0"/>
    <n v="0"/>
    <n v="0"/>
    <n v="0"/>
    <n v="0"/>
    <n v="0"/>
    <n v="0"/>
    <n v="0"/>
    <n v="0"/>
    <n v="0"/>
    <n v="0"/>
    <n v="0"/>
    <n v="0"/>
    <n v="0"/>
    <n v="0"/>
    <n v="0"/>
    <s v="Clapham Junction"/>
    <m/>
    <s v="Clapham Junction and York Road / Winstanley Regeneration Area"/>
    <n v="13"/>
    <m/>
    <n v="1"/>
    <m/>
    <m/>
    <m/>
    <m/>
    <m/>
    <m/>
    <m/>
    <m/>
    <m/>
    <m/>
    <m/>
    <m/>
    <m/>
    <m/>
    <m/>
    <m/>
    <m/>
    <m/>
    <n v="1"/>
    <n v="1"/>
  </r>
  <r>
    <n v="6302"/>
    <x v="1"/>
    <s v="2019/1427"/>
    <s v="150a-170 &amp; 2-8 Thornsett Road, Penwith Road"/>
    <s v="Level 1"/>
    <n v="525938"/>
    <n v="173047"/>
    <s v="Wandle"/>
    <d v="2021-07-12T00:00:00"/>
    <m/>
    <n v="0"/>
    <n v="4"/>
    <n v="4"/>
    <n v="17"/>
    <n v="17"/>
    <s v="Y"/>
    <s v="Demolition of existing buildings and erection of a part three, part four-storey plus basement level building to provide 1,246 sq.m. of retail (Class A1); 316 sq.m. of office (Class B1a); 617 sq.m. of light industrial (Class B1c), 827 sq.m. of storage and distribution (Class B8) floorspace, and 17 residential units of both private and affordable tenure, with associated balconies and terraces, cycle parking provision and a new sub-station."/>
    <s v="RP"/>
    <d v="2019-03-29T00:00:00"/>
    <d v="2019-07-26T00:00:00"/>
    <m/>
    <s v="APG"/>
    <d v="2020-10-30T00:00:00"/>
    <s v="BF"/>
    <s v="NB"/>
    <x v="1"/>
    <x v="0"/>
    <n v="1.2999999999999999E-2"/>
    <d v="2021-07-12T00:00:00"/>
    <x v="0"/>
    <m/>
    <s v="Intermediate"/>
    <s v="ISO"/>
    <s v=""/>
    <m/>
    <m/>
    <n v="1"/>
    <m/>
    <m/>
    <n v="0"/>
    <n v="1"/>
    <n v="1"/>
    <n v="2"/>
    <n v="0"/>
    <n v="0"/>
    <n v="0"/>
    <n v="0"/>
    <n v="1"/>
    <n v="1"/>
    <n v="2"/>
    <n v="0"/>
    <n v="0"/>
    <n v="0"/>
    <n v="0"/>
    <n v="0"/>
    <n v="0"/>
    <n v="0"/>
    <n v="0"/>
    <n v="0"/>
    <n v="0"/>
    <n v="0"/>
    <n v="0"/>
    <n v="0"/>
    <n v="0"/>
    <n v="0"/>
    <n v="0"/>
    <n v="0"/>
    <m/>
    <m/>
    <s v="Wandle Valley"/>
    <n v="3"/>
    <m/>
    <n v="4"/>
    <m/>
    <m/>
    <m/>
    <m/>
    <m/>
    <m/>
    <m/>
    <m/>
    <m/>
    <m/>
    <m/>
    <m/>
    <m/>
    <m/>
    <m/>
    <m/>
    <m/>
    <m/>
    <n v="4"/>
    <n v="4"/>
  </r>
  <r>
    <n v="1962"/>
    <x v="1"/>
    <s v="2019/2135"/>
    <s v="65a Bramfield Road (145a Northcote Road)"/>
    <s v=""/>
    <n v="527618"/>
    <n v="174574"/>
    <s v="Northcote"/>
    <d v="2022-08-01T00:00:00"/>
    <m/>
    <n v="0"/>
    <n v="1"/>
    <n v="1"/>
    <n v="1"/>
    <n v="1"/>
    <m/>
    <s v="Demolition of single storey building and erection of two-storey 1-bedroom house."/>
    <s v="PF"/>
    <d v="2019-05-16T00:00:00"/>
    <d v="2019-09-23T00:00:00"/>
    <m/>
    <s v="Nil"/>
    <m/>
    <s v="BF"/>
    <s v="NB"/>
    <x v="2"/>
    <x v="6"/>
    <n v="8.0000000000000002E-3"/>
    <d v="2022-08-01T00:00:00"/>
    <x v="0"/>
    <m/>
    <s v="Open Market"/>
    <s v="M"/>
    <s v=""/>
    <m/>
    <m/>
    <m/>
    <m/>
    <m/>
    <n v="0"/>
    <n v="1"/>
    <n v="0"/>
    <n v="0"/>
    <n v="0"/>
    <n v="0"/>
    <n v="0"/>
    <n v="0"/>
    <n v="0"/>
    <n v="0"/>
    <n v="0"/>
    <n v="0"/>
    <n v="0"/>
    <n v="0"/>
    <n v="0"/>
    <n v="1"/>
    <n v="0"/>
    <n v="0"/>
    <n v="0"/>
    <n v="0"/>
    <n v="0"/>
    <n v="0"/>
    <n v="0"/>
    <n v="0"/>
    <n v="0"/>
    <n v="0"/>
    <n v="0"/>
    <n v="0"/>
    <m/>
    <m/>
    <s v="Rest of Borough"/>
    <n v="3"/>
    <m/>
    <n v="1"/>
    <m/>
    <m/>
    <m/>
    <m/>
    <m/>
    <m/>
    <m/>
    <m/>
    <m/>
    <m/>
    <m/>
    <m/>
    <m/>
    <m/>
    <m/>
    <m/>
    <m/>
    <m/>
    <n v="1"/>
    <n v="1"/>
  </r>
  <r>
    <n v="3521"/>
    <x v="1"/>
    <s v="2021/5678"/>
    <s v="Peabody Estate, St Johns Hill"/>
    <s v="Phase 3 M"/>
    <n v="527156"/>
    <n v="175243"/>
    <s v="Lavender"/>
    <d v="2022-11-03T00:00:00"/>
    <m/>
    <n v="0"/>
    <n v="270"/>
    <n v="270"/>
    <n v="315"/>
    <n v="307"/>
    <s v="Y"/>
    <s v="Variation of Condition 15 (in accordance with approved drawings), Condition 24 (lifetime homes standards), Condition 25 (Code for Sustainable Homes Interim (Design Stage) Certificate), Condition 28 (Energy Performance Certificate), Condition 32 (secure cycle parking spaces), Condition 41 (building heights), Condition 42 (non-residential floorspace) and Condition 43 (residential units) pursuant to planning permission dated 19/01/2019 ref 2017/5837 to allow:_x000a_Changes to internal residential layouts resulting in an amended residential unit mix (including an increase of up to 59 residential units); minor adjustments to the massing, building footprint and height of Plots 3 and 7 (Phase 3) and associated changes to the external building façade of Plots 3, 7and 8 (Phase 3); reconfiguration of commercial floorspace; alterations to play space and landscape design, servicing arrangements, cycle parking and provision of plant."/>
    <s v="S73"/>
    <d v="2021-12-17T00:00:00"/>
    <d v="2022-11-03T00:00:00"/>
    <m/>
    <s v="Nil"/>
    <m/>
    <s v="BF"/>
    <s v="MIX"/>
    <x v="1"/>
    <x v="0"/>
    <n v="1.0840000000000001"/>
    <d v="2024-03-31T00:00:00"/>
    <x v="1"/>
    <m/>
    <s v="Open Market"/>
    <s v="M"/>
    <s v="4.1.5"/>
    <m/>
    <n v="270"/>
    <m/>
    <m/>
    <m/>
    <n v="11"/>
    <n v="133"/>
    <n v="123"/>
    <n v="3"/>
    <n v="0"/>
    <n v="0"/>
    <n v="0"/>
    <n v="11"/>
    <n v="133"/>
    <n v="123"/>
    <n v="3"/>
    <n v="0"/>
    <n v="0"/>
    <n v="0"/>
    <n v="0"/>
    <n v="0"/>
    <n v="0"/>
    <n v="0"/>
    <n v="0"/>
    <n v="0"/>
    <n v="0"/>
    <n v="0"/>
    <n v="0"/>
    <n v="0"/>
    <n v="0"/>
    <n v="0"/>
    <n v="0"/>
    <n v="0"/>
    <m/>
    <m/>
    <s v="Clapham Junction and York Road / Winstanley Regeneration Area"/>
    <n v="12"/>
    <m/>
    <m/>
    <m/>
    <n v="270"/>
    <m/>
    <m/>
    <m/>
    <m/>
    <m/>
    <m/>
    <m/>
    <m/>
    <m/>
    <m/>
    <m/>
    <m/>
    <m/>
    <m/>
    <m/>
    <m/>
    <n v="270"/>
    <n v="270"/>
  </r>
  <r>
    <n v="3521"/>
    <x v="1"/>
    <s v="2021/5678"/>
    <s v="Peabody Estate, St Johns Hill"/>
    <s v="Phase 3 IR"/>
    <n v="527156"/>
    <n v="175243"/>
    <s v="Lavender"/>
    <d v="2022-11-03T00:00:00"/>
    <m/>
    <n v="0"/>
    <n v="37"/>
    <n v="37"/>
    <n v="315"/>
    <n v="307"/>
    <s v="Y"/>
    <s v="Variation of Condition 15 (in accordance with approved drawings), Condition 24 (lifetime homes standards), Condition 25 (Code for Sustainable Homes Interim (Design Stage) Certificate), Condition 28 (Energy Performance Certificate), Condition 32 (secure cycle parking spaces), Condition 41 (building heights), Condition 42 (non-residential floorspace) and Condition 43 (residential units) pursuant to planning permission dated 19/01/2019 ref 2017/5837 to allow:_x000a_Changes to internal residential layouts resulting in an amended residential unit mix (including an increase of up to 59 residential units); minor adjustments to the massing, building footprint and height of Plots 3 and 7 (Phase 3) and associated changes to the external building façade of Plots 3, 7and 8 (Phase 3); reconfiguration of commercial floorspace; alterations to play space and landscape design, servicing arrangements, cycle parking and provision of plant."/>
    <s v="S73"/>
    <d v="2021-12-17T00:00:00"/>
    <d v="2022-11-03T00:00:00"/>
    <m/>
    <s v="Nil"/>
    <m/>
    <s v="BF"/>
    <s v="MIX"/>
    <x v="1"/>
    <x v="0"/>
    <n v="0.155"/>
    <d v="2024-03-31T00:00:00"/>
    <x v="1"/>
    <m/>
    <s v="Intermediate"/>
    <s v="IR"/>
    <s v="4.1.5"/>
    <m/>
    <n v="37"/>
    <m/>
    <m/>
    <m/>
    <n v="0"/>
    <n v="18"/>
    <n v="16"/>
    <n v="3"/>
    <n v="0"/>
    <n v="0"/>
    <n v="0"/>
    <n v="0"/>
    <n v="18"/>
    <n v="16"/>
    <n v="3"/>
    <n v="0"/>
    <n v="0"/>
    <n v="0"/>
    <n v="0"/>
    <n v="0"/>
    <n v="0"/>
    <n v="0"/>
    <n v="0"/>
    <n v="0"/>
    <n v="0"/>
    <n v="0"/>
    <n v="0"/>
    <n v="0"/>
    <n v="0"/>
    <n v="0"/>
    <n v="0"/>
    <n v="0"/>
    <m/>
    <m/>
    <s v="Clapham Junction and York Road / Winstanley Regeneration Area"/>
    <n v="12"/>
    <m/>
    <m/>
    <m/>
    <n v="37"/>
    <m/>
    <m/>
    <m/>
    <m/>
    <m/>
    <m/>
    <m/>
    <m/>
    <m/>
    <m/>
    <m/>
    <m/>
    <m/>
    <m/>
    <m/>
    <m/>
    <n v="37"/>
    <n v="37"/>
  </r>
  <r>
    <n v="3943"/>
    <x v="1"/>
    <s v="2021/2892"/>
    <s v="Royal Mail Group Site, Ponton Road (Nine Elms Park)"/>
    <s v="Plot F"/>
    <n v="529575"/>
    <n v="177401"/>
    <s v="Nine Elms"/>
    <d v="2022-10-04T00:00:00"/>
    <m/>
    <n v="0"/>
    <n v="197"/>
    <n v="197"/>
    <n v="383"/>
    <n v="383"/>
    <s v="Y"/>
    <s v="Details of Private Residential Unit Mix for Plots F and G pursuant to condition 14 of planning permission dated 18/12/2020 ref 2019/2250 (Application under Section 73 of the Town and Country Planning Act 1990 for variations to Conditions 9 (Parameter Plans), 10 (GEA Floorspace Limits), 34 (BREEAM) and 52 (Wind Mitigation) of part outline and part detail planning permission 2017/6762 dated 28th March 2019 for &quot;Minor Material Amendment pursuant to Conditions 1 (time limit), 2 (time limit for reserved matters), 9 (parameter plans), 11 (Maximum Floorspaces), 15 (distribution and internal configuration of residential units for each plot), 32 (construction sequence and delivery plan) and 41 (land and groundwater contamination) of part outline and part detailed planning permission 2016/2424, dated 23rd January 2017 for &quot;Minor Material Amendment pursuant to Conditions 3 (reserved matters), 9 (parameter plans), 10 (GEA floorspace limits), 13 (residential unit limit), 18 (car parking space limit), 32 (B8 use restriction) and 41 (land and groundwater contamination) of part outline and part detailed planning permission 2011/2462, dated 30/03/12 for demolition of all existing buildings and construction of a mixed use redevelopment comprising 7 building plots with buildings up to 23 storeys high to provide residential units; commercial and community floorspace; associated basement parking and part of the 'Nine Elms Linear Park'. All matters reserved apart from the appearance and scale of Blocks B1, D1 &amp; G and two new access points from Nine Elms Lane.&quot; An addendum to the Environmental Statement has been submitted under The Town and Country Planning (Environmental Impact Assessment) Regulations 2017 (as amended).&quot;)."/>
    <s v="DT"/>
    <d v="2021-06-18T00:00:00"/>
    <d v="2021-08-02T00:00:00"/>
    <m/>
    <s v="Nil"/>
    <m/>
    <s v="BF"/>
    <s v="MIX"/>
    <x v="1"/>
    <x v="0"/>
    <n v="2.57"/>
    <d v="2022-10-04T00:00:00"/>
    <x v="0"/>
    <m/>
    <s v="Open Market"/>
    <s v="M"/>
    <s v="2.1.18"/>
    <m/>
    <m/>
    <n v="177"/>
    <m/>
    <n v="20"/>
    <n v="9"/>
    <n v="43"/>
    <n v="110"/>
    <n v="35"/>
    <n v="0"/>
    <n v="0"/>
    <n v="0"/>
    <n v="9"/>
    <n v="43"/>
    <n v="110"/>
    <n v="35"/>
    <n v="0"/>
    <n v="0"/>
    <n v="0"/>
    <n v="0"/>
    <n v="0"/>
    <n v="0"/>
    <n v="0"/>
    <n v="0"/>
    <n v="0"/>
    <n v="0"/>
    <n v="0"/>
    <n v="0"/>
    <n v="0"/>
    <n v="0"/>
    <n v="0"/>
    <n v="0"/>
    <n v="0"/>
    <m/>
    <s v="Y"/>
    <s v="Nine Elms"/>
    <n v="12"/>
    <m/>
    <m/>
    <n v="197"/>
    <m/>
    <m/>
    <m/>
    <m/>
    <m/>
    <m/>
    <m/>
    <m/>
    <m/>
    <m/>
    <m/>
    <m/>
    <m/>
    <m/>
    <m/>
    <m/>
    <m/>
    <n v="197"/>
    <n v="197"/>
  </r>
  <r>
    <n v="3943"/>
    <x v="1"/>
    <s v="2022/4664"/>
    <s v="Royal Mail Group Site, Ponton Road (Nine Elms Park)"/>
    <s v="Plot G"/>
    <n v="529575"/>
    <n v="177401"/>
    <s v="Nine Elms"/>
    <d v="2022-10-04T00:00:00"/>
    <m/>
    <n v="0"/>
    <n v="186"/>
    <n v="186"/>
    <n v="186"/>
    <n v="186"/>
    <s v="Y"/>
    <s v="Application under Section 96A of the Town and Country Planning Act for a 'non-material amendment' to Condition 1 (approved drawings/documents) for design changes to Plot G (including changes to the residential mix; creation of additional residential space previously identified for plant; revised front entrance and canopy and revised top-level plant area) and 'Belfour Place' landscaping of reserved matters approval dated 2nd June 2021 reference 2019/2325."/>
    <s v="S96A"/>
    <d v="2022-11-15T00:00:00"/>
    <d v="2023-03-01T00:00:00"/>
    <m/>
    <s v="Nil"/>
    <m/>
    <s v="BF"/>
    <s v="NB"/>
    <x v="1"/>
    <x v="0"/>
    <n v="1.9470000000000001"/>
    <d v="2022-10-04T00:00:00"/>
    <x v="0"/>
    <m/>
    <s v="Open Market"/>
    <s v="M"/>
    <s v="2.1.18"/>
    <m/>
    <m/>
    <n v="167"/>
    <m/>
    <n v="19"/>
    <n v="12"/>
    <n v="49"/>
    <n v="94"/>
    <n v="31"/>
    <n v="0"/>
    <n v="0"/>
    <n v="0"/>
    <n v="12"/>
    <n v="49"/>
    <n v="94"/>
    <n v="31"/>
    <n v="0"/>
    <n v="0"/>
    <n v="0"/>
    <n v="0"/>
    <n v="0"/>
    <n v="0"/>
    <n v="0"/>
    <n v="0"/>
    <n v="0"/>
    <n v="0"/>
    <n v="0"/>
    <n v="0"/>
    <n v="0"/>
    <n v="0"/>
    <n v="0"/>
    <n v="0"/>
    <n v="0"/>
    <m/>
    <s v="Y"/>
    <s v="Nine Elms"/>
    <n v="5"/>
    <m/>
    <n v="93"/>
    <n v="93"/>
    <m/>
    <m/>
    <m/>
    <m/>
    <m/>
    <m/>
    <m/>
    <m/>
    <m/>
    <m/>
    <m/>
    <m/>
    <m/>
    <m/>
    <m/>
    <m/>
    <m/>
    <n v="186"/>
    <n v="186"/>
  </r>
  <r>
    <n v="3943"/>
    <x v="1"/>
    <s v="2019/2325"/>
    <s v="Royal Mail Group Site, Ponton Road (Nine Elms Park)"/>
    <s v="Plot F"/>
    <n v="529575"/>
    <n v="177401"/>
    <s v="Nine Elms"/>
    <d v="2022-10-04T00:00:00"/>
    <m/>
    <n v="0"/>
    <n v="46"/>
    <n v="46"/>
    <n v="459"/>
    <n v="459"/>
    <s v="Y"/>
    <s v="Application for approval of reserved matters (Access, Appearance, Landscaping, Layout and Scale) for 'Plots F &amp; G' pursuant to Condition 3 of part outline and part detailed planning permission 2017/6762 dated 28/03/2019 for &quot;Minor Material Amendment pursuant to Conditions 1 (time limit), 2 (time limit for reserved matters), 9 (parameter plans), 11 (Maximum Floorspaces), 15 (distribution and internal configuration of residential units for each plot), 32 (construction sequence and delivery plan) and 41 (land and groundwater contamination) of part outline and part detailed planning permission 2016/2424, dated 23rd January 2017 for &quot;Minor Material Amendment pursuant to Conditions 3 (reserved matters), 9 (parameter plans), 10 (GEA floorspace limits), 13 (residential unit limit), 18 (car parking space limit), 32 (B8 use restriction) and 41 (land and groundwater contamination) of part outline and part detailed planning permission 2011/2462, dated 30/03/12 for demolition of all existing buildings and construction of a mixed use redevelopment comprising 7 building plots with buildings up to 23 storeys high to provide residential units; commercial and community floorspace; associated basement parking and part of the 'Nine Elms Linear Park'. All matters reserved apart from the appearance and scale of Blocks B1, D1 &amp; G and two new access points from Nine Elms Lane.&quot;"/>
    <s v="DT"/>
    <d v="2019-05-28T00:00:00"/>
    <d v="2021-05-22T00:00:00"/>
    <m/>
    <s v="Nil"/>
    <m/>
    <s v="BF"/>
    <s v="NB"/>
    <x v="1"/>
    <x v="0"/>
    <n v="0.6"/>
    <d v="2022-10-04T00:00:00"/>
    <x v="0"/>
    <m/>
    <s v="Social/Affordable Rent"/>
    <s v="AA"/>
    <s v="2.1.18"/>
    <m/>
    <m/>
    <n v="41"/>
    <m/>
    <n v="5"/>
    <n v="0"/>
    <n v="12"/>
    <n v="18"/>
    <n v="14"/>
    <n v="2"/>
    <n v="0"/>
    <n v="0"/>
    <n v="0"/>
    <n v="12"/>
    <n v="18"/>
    <n v="14"/>
    <n v="2"/>
    <n v="0"/>
    <n v="0"/>
    <n v="0"/>
    <n v="0"/>
    <n v="0"/>
    <n v="0"/>
    <n v="0"/>
    <n v="0"/>
    <n v="0"/>
    <n v="0"/>
    <n v="0"/>
    <n v="0"/>
    <n v="0"/>
    <n v="0"/>
    <n v="0"/>
    <n v="0"/>
    <m/>
    <s v="Y"/>
    <s v="Nine Elms"/>
    <n v="5"/>
    <m/>
    <m/>
    <n v="46"/>
    <m/>
    <m/>
    <m/>
    <m/>
    <m/>
    <m/>
    <m/>
    <m/>
    <m/>
    <m/>
    <m/>
    <m/>
    <m/>
    <m/>
    <m/>
    <m/>
    <m/>
    <n v="46"/>
    <n v="46"/>
  </r>
  <r>
    <n v="4735"/>
    <x v="1"/>
    <s v="2019/2735"/>
    <s v="2 Penwortham Road"/>
    <s v=""/>
    <n v="529233"/>
    <n v="171130"/>
    <s v="Furzedown"/>
    <d v="2020-02-11T00:00:00"/>
    <m/>
    <n v="0"/>
    <n v="1"/>
    <n v="1"/>
    <n v="1"/>
    <n v="1"/>
    <m/>
    <s v="Alterations including excavation works in connection with change of use from Office/Business (Class A2) to residential (Class C3) to provide 1 x 1 bedroom unit with roof terrace."/>
    <s v="PF"/>
    <d v="2019-07-15T00:00:00"/>
    <d v="2019-08-19T00:00:00"/>
    <m/>
    <s v="Nil"/>
    <m/>
    <s v="BF"/>
    <s v="COU"/>
    <x v="2"/>
    <x v="6"/>
    <n v="2E-3"/>
    <d v="2020-02-11T00:00:00"/>
    <x v="0"/>
    <m/>
    <s v="Open Market"/>
    <s v="M"/>
    <s v=""/>
    <m/>
    <m/>
    <m/>
    <m/>
    <m/>
    <n v="0"/>
    <n v="1"/>
    <n v="0"/>
    <n v="0"/>
    <n v="0"/>
    <n v="0"/>
    <n v="0"/>
    <n v="0"/>
    <n v="0"/>
    <n v="0"/>
    <n v="0"/>
    <n v="0"/>
    <n v="0"/>
    <n v="0"/>
    <n v="0"/>
    <n v="1"/>
    <n v="0"/>
    <n v="0"/>
    <n v="0"/>
    <n v="0"/>
    <n v="0"/>
    <n v="0"/>
    <n v="0"/>
    <n v="0"/>
    <n v="0"/>
    <n v="0"/>
    <n v="0"/>
    <n v="0"/>
    <m/>
    <m/>
    <s v="Rest of Borough"/>
    <n v="13"/>
    <m/>
    <n v="1"/>
    <m/>
    <m/>
    <m/>
    <m/>
    <m/>
    <m/>
    <m/>
    <m/>
    <m/>
    <m/>
    <m/>
    <m/>
    <m/>
    <m/>
    <m/>
    <m/>
    <m/>
    <m/>
    <n v="1"/>
    <n v="1"/>
  </r>
  <r>
    <n v="6662"/>
    <x v="1"/>
    <s v="2019/3065"/>
    <s v="Ground Floor, 231 Merton Road"/>
    <s v=""/>
    <n v="525227"/>
    <n v="173755"/>
    <s v="Southfields"/>
    <d v="2023-03-31T00:00:00"/>
    <m/>
    <n v="0"/>
    <n v="1"/>
    <n v="1"/>
    <n v="1"/>
    <n v="1"/>
    <m/>
    <s v="Alterations in connection with change of use from office (Class A2) to residential (Class C3) to provide 1 x 2-bedroom flat."/>
    <s v="PF"/>
    <d v="2019-08-01T00:00:00"/>
    <d v="2019-09-09T00:00:00"/>
    <m/>
    <s v="Nil"/>
    <m/>
    <s v="BF"/>
    <s v="COU"/>
    <x v="2"/>
    <x v="6"/>
    <n v="5.0000000000000001E-3"/>
    <d v="2023-03-31T00:00:00"/>
    <x v="0"/>
    <m/>
    <s v="Open Market"/>
    <s v="M"/>
    <s v=""/>
    <m/>
    <m/>
    <m/>
    <m/>
    <m/>
    <n v="0"/>
    <n v="0"/>
    <n v="1"/>
    <n v="0"/>
    <n v="0"/>
    <n v="0"/>
    <n v="0"/>
    <n v="0"/>
    <n v="0"/>
    <n v="1"/>
    <n v="0"/>
    <n v="0"/>
    <n v="0"/>
    <n v="0"/>
    <n v="0"/>
    <n v="0"/>
    <n v="0"/>
    <n v="0"/>
    <n v="0"/>
    <n v="0"/>
    <n v="0"/>
    <n v="0"/>
    <n v="0"/>
    <n v="0"/>
    <n v="0"/>
    <n v="0"/>
    <n v="0"/>
    <n v="0"/>
    <m/>
    <m/>
    <s v="Wandle Valley"/>
    <n v="13"/>
    <m/>
    <n v="1"/>
    <m/>
    <m/>
    <m/>
    <m/>
    <m/>
    <m/>
    <m/>
    <m/>
    <m/>
    <m/>
    <m/>
    <m/>
    <m/>
    <m/>
    <m/>
    <m/>
    <m/>
    <m/>
    <n v="1"/>
    <n v="1"/>
  </r>
  <r>
    <n v="5995"/>
    <x v="1"/>
    <s v="2019/3077"/>
    <s v="3 Roedean Crescent"/>
    <s v=""/>
    <n v="521248"/>
    <n v="174669"/>
    <s v="Roehampton"/>
    <d v="2024-03-31T00:00:00"/>
    <m/>
    <n v="1"/>
    <n v="1"/>
    <n v="0"/>
    <n v="1"/>
    <n v="0"/>
    <m/>
    <s v="Demolition of existing property and erection of two storey (plus roof and basement) 7-bedroom house with associated parking and boundary treatment."/>
    <s v="PF"/>
    <d v="2019-08-09T00:00:00"/>
    <d v="2019-09-26T00:00:00"/>
    <m/>
    <s v="Nil"/>
    <m/>
    <s v="BF"/>
    <s v="NB"/>
    <x v="2"/>
    <x v="3"/>
    <n v="0.123"/>
    <d v="2024-03-31T00:00:00"/>
    <x v="1"/>
    <m/>
    <s v="Open Market"/>
    <s v="M"/>
    <s v=""/>
    <m/>
    <m/>
    <m/>
    <m/>
    <m/>
    <n v="0"/>
    <n v="0"/>
    <n v="0"/>
    <n v="0"/>
    <n v="0"/>
    <n v="0"/>
    <n v="0"/>
    <n v="0"/>
    <n v="0"/>
    <n v="0"/>
    <n v="0"/>
    <n v="0"/>
    <n v="0"/>
    <n v="0"/>
    <n v="0"/>
    <n v="0"/>
    <n v="0"/>
    <n v="0"/>
    <n v="0"/>
    <n v="0"/>
    <n v="0"/>
    <n v="0"/>
    <n v="0"/>
    <n v="0"/>
    <n v="0"/>
    <n v="0"/>
    <n v="0"/>
    <n v="0"/>
    <m/>
    <m/>
    <s v="Rest of Borough"/>
    <n v="4"/>
    <m/>
    <n v="0"/>
    <n v="0"/>
    <m/>
    <m/>
    <m/>
    <m/>
    <m/>
    <m/>
    <m/>
    <m/>
    <m/>
    <m/>
    <m/>
    <m/>
    <m/>
    <m/>
    <m/>
    <m/>
    <m/>
    <n v="0"/>
    <n v="0"/>
  </r>
  <r>
    <n v="7233"/>
    <x v="1"/>
    <s v="2019/3388"/>
    <s v="77 Broomwood Road"/>
    <s v=""/>
    <n v="527787"/>
    <n v="174343"/>
    <s v="Northcote"/>
    <d v="2023-03-31T00:00:00"/>
    <m/>
    <n v="3"/>
    <n v="3"/>
    <n v="0"/>
    <n v="4"/>
    <n v="1"/>
    <m/>
    <s v="Alterations including erection of dormer roof extensions to side and rear roof (with french doors and safety railings); erection of part single, part three-storey front, side and rear extension; excavation to enlarge basement including formation front lightwell; all in connection with the conversion of 2 x 1 bedroom flats and 1 x 3 bedroom flat into 3 x 2 bedroom flats and 1 x 3 bedroom flat."/>
    <s v="PF"/>
    <d v="2019-08-19T00:00:00"/>
    <d v="2019-09-27T00:00:00"/>
    <m/>
    <s v="Nil"/>
    <m/>
    <s v="BF"/>
    <s v="MIX"/>
    <x v="2"/>
    <x v="7"/>
    <n v="2.3E-2"/>
    <d v="2023-03-31T00:00:00"/>
    <x v="0"/>
    <m/>
    <s v="Open Market"/>
    <s v="M"/>
    <s v=""/>
    <m/>
    <m/>
    <m/>
    <m/>
    <m/>
    <n v="0"/>
    <n v="-2"/>
    <n v="3"/>
    <n v="-1"/>
    <n v="0"/>
    <n v="0"/>
    <n v="0"/>
    <n v="0"/>
    <n v="-2"/>
    <n v="3"/>
    <n v="-1"/>
    <n v="0"/>
    <n v="0"/>
    <n v="0"/>
    <n v="0"/>
    <n v="0"/>
    <n v="0"/>
    <n v="0"/>
    <n v="0"/>
    <n v="0"/>
    <n v="0"/>
    <n v="0"/>
    <n v="0"/>
    <n v="0"/>
    <n v="0"/>
    <n v="0"/>
    <n v="0"/>
    <n v="0"/>
    <m/>
    <m/>
    <s v="Rest of Borough"/>
    <n v="13"/>
    <m/>
    <n v="0"/>
    <m/>
    <m/>
    <m/>
    <m/>
    <m/>
    <m/>
    <m/>
    <m/>
    <m/>
    <m/>
    <m/>
    <m/>
    <m/>
    <m/>
    <m/>
    <m/>
    <m/>
    <m/>
    <n v="0"/>
    <n v="0"/>
  </r>
  <r>
    <n v="7233"/>
    <x v="1"/>
    <s v="2019/3388"/>
    <s v="77 Broomwood Road"/>
    <s v=""/>
    <n v="527787"/>
    <n v="174343"/>
    <s v="Northcote"/>
    <d v="2023-03-31T00:00:00"/>
    <m/>
    <n v="0"/>
    <n v="1"/>
    <n v="1"/>
    <n v="4"/>
    <n v="1"/>
    <m/>
    <s v="Alterations including erection of dormer roof extensions to side and rear roof (with french doors and safety railings); erection of part single, part three-storey front, side and rear extension; excavation to enlarge basement including formation front lightwell; all in connection with the conversion of 2 x 1 bedroom flats and 1 x 3 bedroom flat into 3 x 2 bedroom flats and 1 x 3 bedroom flat."/>
    <s v="PF"/>
    <d v="2019-08-19T00:00:00"/>
    <d v="2019-09-27T00:00:00"/>
    <m/>
    <s v="Nil"/>
    <m/>
    <s v="BF"/>
    <s v="MIX"/>
    <x v="2"/>
    <x v="5"/>
    <n v="5.0000000000000001E-3"/>
    <d v="2023-03-31T00:00:00"/>
    <x v="0"/>
    <m/>
    <s v="Open Market"/>
    <s v="M"/>
    <s v=""/>
    <m/>
    <m/>
    <m/>
    <m/>
    <m/>
    <n v="0"/>
    <n v="0"/>
    <n v="1"/>
    <n v="0"/>
    <n v="0"/>
    <n v="0"/>
    <n v="0"/>
    <n v="0"/>
    <n v="0"/>
    <n v="1"/>
    <n v="0"/>
    <n v="0"/>
    <n v="0"/>
    <n v="0"/>
    <n v="0"/>
    <n v="0"/>
    <n v="0"/>
    <n v="0"/>
    <n v="0"/>
    <n v="0"/>
    <n v="0"/>
    <n v="0"/>
    <n v="0"/>
    <n v="0"/>
    <n v="0"/>
    <n v="0"/>
    <n v="0"/>
    <n v="0"/>
    <m/>
    <m/>
    <s v="Rest of Borough"/>
    <n v="13"/>
    <m/>
    <n v="1"/>
    <m/>
    <m/>
    <m/>
    <m/>
    <m/>
    <m/>
    <m/>
    <m/>
    <m/>
    <m/>
    <m/>
    <m/>
    <m/>
    <m/>
    <m/>
    <m/>
    <m/>
    <m/>
    <n v="1"/>
    <n v="1"/>
  </r>
  <r>
    <n v="182"/>
    <x v="1"/>
    <s v="2019/3692"/>
    <s v="376-378 Garratt Lane"/>
    <s v=""/>
    <n v="526066"/>
    <n v="172919"/>
    <s v="Wandsworth Common"/>
    <d v="2023-03-31T00:00:00"/>
    <m/>
    <n v="1"/>
    <n v="3"/>
    <n v="2"/>
    <n v="4"/>
    <n v="3"/>
    <m/>
    <s v="Alterations in connection with conversion of existing flat and  office (B1) to 4 x two-bedroom flats with associated bin and cycle storage."/>
    <s v="PF"/>
    <d v="2019-09-11T00:00:00"/>
    <d v="2019-11-18T00:00:00"/>
    <m/>
    <s v="Nil"/>
    <m/>
    <s v="BF"/>
    <s v="MIX"/>
    <x v="2"/>
    <x v="5"/>
    <n v="2.1999999999999999E-2"/>
    <d v="2023-03-31T00:00:00"/>
    <x v="0"/>
    <m/>
    <s v="Open Market"/>
    <s v="M"/>
    <s v=""/>
    <m/>
    <m/>
    <m/>
    <m/>
    <m/>
    <n v="0"/>
    <n v="0"/>
    <n v="3"/>
    <n v="0"/>
    <n v="-1"/>
    <n v="0"/>
    <n v="0"/>
    <n v="0"/>
    <n v="0"/>
    <n v="3"/>
    <n v="0"/>
    <n v="-1"/>
    <n v="0"/>
    <n v="0"/>
    <n v="0"/>
    <n v="0"/>
    <n v="0"/>
    <n v="0"/>
    <n v="0"/>
    <n v="0"/>
    <n v="0"/>
    <n v="0"/>
    <n v="0"/>
    <n v="0"/>
    <n v="0"/>
    <n v="0"/>
    <n v="0"/>
    <n v="0"/>
    <m/>
    <m/>
    <s v="Wandle Valley"/>
    <n v="13"/>
    <m/>
    <n v="2"/>
    <m/>
    <m/>
    <m/>
    <m/>
    <m/>
    <m/>
    <m/>
    <m/>
    <m/>
    <m/>
    <m/>
    <m/>
    <m/>
    <m/>
    <m/>
    <m/>
    <m/>
    <m/>
    <n v="2"/>
    <n v="2"/>
  </r>
  <r>
    <n v="182"/>
    <x v="1"/>
    <s v="2019/3692"/>
    <s v="376-378 Garratt Lane"/>
    <s v=""/>
    <n v="526066"/>
    <n v="172919"/>
    <s v="Wandsworth Common"/>
    <d v="2023-03-31T00:00:00"/>
    <m/>
    <n v="0"/>
    <n v="1"/>
    <n v="1"/>
    <n v="4"/>
    <n v="3"/>
    <m/>
    <s v="Alterations in connection with conversion of existing flat and  office (B1) to 4 x two-bedroom flats with associated bin and cycle storage."/>
    <s v="PF"/>
    <d v="2019-09-11T00:00:00"/>
    <d v="2019-11-18T00:00:00"/>
    <m/>
    <s v="Nil"/>
    <m/>
    <s v="BF"/>
    <s v="MIX"/>
    <x v="2"/>
    <x v="6"/>
    <n v="7.0000000000000001E-3"/>
    <d v="2023-03-31T00:00:00"/>
    <x v="0"/>
    <m/>
    <s v="Open Market"/>
    <s v="M"/>
    <s v=""/>
    <m/>
    <m/>
    <m/>
    <m/>
    <m/>
    <n v="0"/>
    <n v="0"/>
    <n v="1"/>
    <n v="0"/>
    <n v="0"/>
    <n v="0"/>
    <n v="0"/>
    <n v="0"/>
    <n v="0"/>
    <n v="1"/>
    <n v="0"/>
    <n v="0"/>
    <n v="0"/>
    <n v="0"/>
    <n v="0"/>
    <n v="0"/>
    <n v="0"/>
    <n v="0"/>
    <n v="0"/>
    <n v="0"/>
    <n v="0"/>
    <n v="0"/>
    <n v="0"/>
    <n v="0"/>
    <n v="0"/>
    <n v="0"/>
    <n v="0"/>
    <n v="0"/>
    <m/>
    <m/>
    <s v="Wandle Valley"/>
    <n v="13"/>
    <m/>
    <n v="1"/>
    <m/>
    <m/>
    <m/>
    <m/>
    <m/>
    <m/>
    <m/>
    <m/>
    <m/>
    <m/>
    <m/>
    <m/>
    <m/>
    <m/>
    <m/>
    <m/>
    <m/>
    <m/>
    <n v="1"/>
    <n v="1"/>
  </r>
  <r>
    <n v="3943"/>
    <x v="1"/>
    <s v="2019/2325"/>
    <s v="Royal Mail Group Site, Ponton Road (Nine Elms Park)"/>
    <s v="Plot F"/>
    <n v="529575"/>
    <n v="177401"/>
    <s v="Nine Elms"/>
    <d v="2022-10-04T00:00:00"/>
    <m/>
    <n v="0"/>
    <n v="30"/>
    <n v="30"/>
    <n v="459"/>
    <n v="459"/>
    <s v="Y"/>
    <s v="Application for approval of reserved matters (Access, Appearance, Landscaping, Layout and Scale) for 'Plots F &amp; G' pursuant to Condition 3 of part outline and part detailed planning permission 2017/6762 dated 28/03/2019 for &quot;Minor Material Amendment pursuant to Conditions 1 (time limit), 2 (time limit for reserved matters), 9 (parameter plans), 11 (Maximum Floorspaces), 15 (distribution and internal configuration of residential units for each plot), 32 (construction sequence and delivery plan) and 41 (land and groundwater contamination) of part outline and part detailed planning permission 2016/2424, dated 23rd January 2017 for &quot;Minor Material Amendment pursuant to Conditions 3 (reserved matters), 9 (parameter plans), 10 (GEA floorspace limits), 13 (residential unit limit), 18 (car parking space limit), 32 (B8 use restriction) and 41 (land and groundwater contamination) of part outline and part detailed planning permission 2011/2462, dated 30/03/12 for demolition of all existing buildings and construction of a mixed use redevelopment comprising 7 building plots with buildings up to 23 storeys high to provide residential units; commercial and community floorspace; associated basement parking and part of the 'Nine Elms Linear Park'. All matters reserved apart from the appearance and scale of Blocks B1, D1 &amp; G and two new access points from Nine Elms Lane.&quot;"/>
    <s v="DT"/>
    <d v="2019-05-28T00:00:00"/>
    <d v="2021-05-22T00:00:00"/>
    <m/>
    <s v="Nil"/>
    <m/>
    <s v="BF"/>
    <s v="NB"/>
    <x v="1"/>
    <x v="0"/>
    <n v="0.39129999999999998"/>
    <d v="2022-10-04T00:00:00"/>
    <x v="0"/>
    <m/>
    <s v="Intermediate"/>
    <s v="IU"/>
    <s v="2.1.18"/>
    <m/>
    <m/>
    <n v="27"/>
    <m/>
    <n v="3"/>
    <n v="0"/>
    <n v="13"/>
    <n v="17"/>
    <n v="0"/>
    <n v="0"/>
    <n v="0"/>
    <n v="0"/>
    <n v="0"/>
    <n v="13"/>
    <n v="17"/>
    <n v="0"/>
    <n v="0"/>
    <n v="0"/>
    <n v="0"/>
    <n v="0"/>
    <n v="0"/>
    <n v="0"/>
    <n v="0"/>
    <n v="0"/>
    <n v="0"/>
    <n v="0"/>
    <n v="0"/>
    <n v="0"/>
    <n v="0"/>
    <n v="0"/>
    <n v="0"/>
    <n v="0"/>
    <n v="0"/>
    <m/>
    <s v="Y"/>
    <s v="Nine Elms"/>
    <n v="5"/>
    <m/>
    <m/>
    <n v="30"/>
    <m/>
    <m/>
    <m/>
    <m/>
    <m/>
    <m/>
    <m/>
    <m/>
    <m/>
    <m/>
    <m/>
    <m/>
    <m/>
    <m/>
    <m/>
    <m/>
    <m/>
    <n v="30"/>
    <n v="30"/>
  </r>
  <r>
    <n v="3519"/>
    <x v="1"/>
    <s v="2019/4583"/>
    <s v="B and Q Depot, Smugglers Way"/>
    <s v="BLOCK C1"/>
    <n v="525782"/>
    <n v="175172"/>
    <s v="St Mary's"/>
    <d v="2020-01-18T00:00:00"/>
    <m/>
    <n v="0"/>
    <n v="42"/>
    <n v="42"/>
    <n v="554"/>
    <n v="554"/>
    <s v="Y"/>
    <s v="Variation of conditions 2 (in accordance with approved drawings), 3 (Environmental Impact Assessment - EIA), 4 (Flood Risk Assessment) and removal of condition 13 (No residential units shall be occupied within the inner or middle zones of the HSE consultation distance around the Wandsworth Gas Holder Station) pursuant to planning permission dated 29/03/2019 ref 2017/0580 [Demolition of existing retail buildings and phased construction of 13 residential blocks (with 3 podiums) ranging from 8 to 15 storeys to provide a mixed use scheme including 517 residential units (Class C3), 5160 sqm GIA of business (Class B1) and 2969 sqm GIA flexible business/retail/restaurant and cafe (Class B1, A1, A2, A3 and A4) with car/cycle parking, associated combined heat and power (CHP), plant and associated works, landscaping, new accesses onto Smugglers Way, and offsite highways works including a new pedestrian crossing of Swandon Way) to allow the following changes: _x000a__x000a_An increase in unit numbers from 517 to 554 (37 units additional units), increase in affordable housing units from 184 to 197, change to housing mix, reduction in car parking from 60 parking spaces to 22 blue badge spaces, 1 commercial blue badge space and 1 car club space. Introduction of D1 and D2 uses into the flexible floorspace and reduction in ground floor flexible commercial floorspace from 2969m² to 1960m² (GIA), reduction in Class B1(a) commercial floorspace at the mezzanine level from 5160m² to 1054m² (GIA) with the provision of 2,548m² (GIA) residential facilities associated with the 'Build to Rent' model. Associated changes to the level of cycle storage, amenity with outdoor swimming pool, private amenity, public open space and playspace across the site, increase in size of energy centre and other associated changes as a result of the revised development.  A revised EIA and associated mitigation, change to finished floor levels and removal of condition 13 (see planning statement on Council website). A revised Environmental Statement has been submitted under the Town and Country Planning (Environmental Impact Assessment) Regulations 2017 as amended."/>
    <s v="S73"/>
    <d v="2019-11-04T00:00:00"/>
    <d v="2021-04-29T00:00:00"/>
    <m/>
    <s v="Nil"/>
    <m/>
    <s v="BF"/>
    <s v="NB"/>
    <x v="1"/>
    <x v="0"/>
    <n v="6.7000000000000004E-2"/>
    <d v="2023-03-31T00:00:00"/>
    <x v="0"/>
    <m/>
    <s v="Open Market"/>
    <s v="M"/>
    <s v="3.7"/>
    <m/>
    <m/>
    <m/>
    <m/>
    <m/>
    <n v="0"/>
    <n v="0"/>
    <n v="40"/>
    <n v="2"/>
    <n v="0"/>
    <n v="0"/>
    <n v="0"/>
    <n v="0"/>
    <n v="0"/>
    <n v="40"/>
    <n v="2"/>
    <n v="0"/>
    <n v="0"/>
    <n v="0"/>
    <n v="0"/>
    <n v="0"/>
    <n v="0"/>
    <n v="0"/>
    <n v="0"/>
    <n v="0"/>
    <n v="0"/>
    <n v="0"/>
    <n v="0"/>
    <n v="0"/>
    <n v="0"/>
    <n v="0"/>
    <n v="0"/>
    <n v="0"/>
    <m/>
    <m/>
    <s v="Wandsworth Town, including the Wandle Delta Masterplan Area"/>
    <n v="5"/>
    <m/>
    <n v="42"/>
    <m/>
    <m/>
    <m/>
    <m/>
    <m/>
    <m/>
    <m/>
    <m/>
    <m/>
    <m/>
    <m/>
    <m/>
    <m/>
    <m/>
    <m/>
    <m/>
    <m/>
    <m/>
    <n v="42"/>
    <n v="42"/>
  </r>
  <r>
    <n v="3519"/>
    <x v="1"/>
    <s v="2019/4583"/>
    <s v="B and Q Depot, Smugglers Way"/>
    <s v="BLOCK C2"/>
    <n v="525782"/>
    <n v="175172"/>
    <s v="St Mary's"/>
    <d v="2020-01-18T00:00:00"/>
    <m/>
    <n v="0"/>
    <n v="50"/>
    <n v="50"/>
    <n v="554"/>
    <n v="554"/>
    <s v="Y"/>
    <s v="Variation of conditions 2 (in accordance with approved drawings), 3 (Environmental Impact Assessment - EIA), 4 (Flood Risk Assessment) and removal of condition 13 (No residential units shall be occupied within the inner or middle zones of the HSE consultation distance around the Wandsworth Gas Holder Station) pursuant to planning permission dated 29/03/2019 ref 2017/0580 [Demolition of existing retail buildings and phased construction of 13 residential blocks (with 3 podiums) ranging from 8 to 15 storeys to provide a mixed use scheme including 517 residential units (Class C3), 5160 sqm GIA of business (Class B1) and 2969 sqm GIA flexible business/retail/restaurant and cafe (Class B1, A1, A2, A3 and A4) with car/cycle parking, associated combined heat and power (CHP), plant and associated works, landscaping, new accesses onto Smugglers Way, and offsite highways works including a new pedestrian crossing of Swandon Way) to allow the following changes: _x000a__x000a_An increase in unit numbers from 517 to 554 (37 units additional units), increase in affordable housing units from 184 to 197, change to housing mix, reduction in car parking from 60 parking spaces to 22 blue badge spaces, 1 commercial blue badge space and 1 car club space. Introduction of D1 and D2 uses into the flexible floorspace and reduction in ground floor flexible commercial floorspace from 2969m² to 1960m² (GIA), reduction in Class B1(a) commercial floorspace at the mezzanine level from 5160m² to 1054m² (GIA) with the provision of 2,548m² (GIA) residential facilities associated with the 'Build to Rent' model. Associated changes to the level of cycle storage, amenity with outdoor swimming pool, private amenity, public open space and playspace across the site, increase in size of energy centre and other associated changes as a result of the revised development.  A revised EIA and associated mitigation, change to finished floor levels and removal of condition 13 (see planning statement on Council website). A revised Environmental Statement has been submitted under the Town and Country Planning (Environmental Impact Assessment) Regulations 2017 as amended."/>
    <s v="S73"/>
    <d v="2019-11-04T00:00:00"/>
    <d v="2021-04-29T00:00:00"/>
    <m/>
    <s v="Nil"/>
    <m/>
    <s v="BF"/>
    <s v="NB"/>
    <x v="1"/>
    <x v="0"/>
    <n v="0.08"/>
    <d v="2023-03-31T00:00:00"/>
    <x v="0"/>
    <m/>
    <s v="Open Market"/>
    <s v="M"/>
    <s v="3.7"/>
    <m/>
    <m/>
    <m/>
    <m/>
    <m/>
    <n v="0"/>
    <n v="24"/>
    <n v="24"/>
    <n v="2"/>
    <n v="0"/>
    <n v="0"/>
    <n v="0"/>
    <n v="0"/>
    <n v="24"/>
    <n v="24"/>
    <n v="2"/>
    <n v="0"/>
    <n v="0"/>
    <n v="0"/>
    <n v="0"/>
    <n v="0"/>
    <n v="0"/>
    <n v="0"/>
    <n v="0"/>
    <n v="0"/>
    <n v="0"/>
    <n v="0"/>
    <n v="0"/>
    <n v="0"/>
    <n v="0"/>
    <n v="0"/>
    <n v="0"/>
    <n v="0"/>
    <m/>
    <m/>
    <s v="Wandsworth Town, including the Wandle Delta Masterplan Area"/>
    <n v="5"/>
    <m/>
    <n v="50"/>
    <m/>
    <m/>
    <m/>
    <m/>
    <m/>
    <m/>
    <m/>
    <m/>
    <m/>
    <m/>
    <m/>
    <m/>
    <m/>
    <m/>
    <m/>
    <m/>
    <m/>
    <m/>
    <n v="50"/>
    <n v="50"/>
  </r>
  <r>
    <n v="3519"/>
    <x v="1"/>
    <s v="2019/4583"/>
    <s v="B and Q Depot, Smugglers Way"/>
    <s v="BLOCK C3"/>
    <n v="525782"/>
    <n v="175172"/>
    <s v="St Mary's"/>
    <d v="2020-01-18T00:00:00"/>
    <m/>
    <n v="0"/>
    <n v="58"/>
    <n v="58"/>
    <n v="554"/>
    <n v="554"/>
    <s v="Y"/>
    <s v="Variation of conditions 2 (in accordance with approved drawings), 3 (Environmental Impact Assessment - EIA), 4 (Flood Risk Assessment) and removal of condition 13 (No residential units shall be occupied within the inner or middle zones of the HSE consultation distance around the Wandsworth Gas Holder Station) pursuant to planning permission dated 29/03/2019 ref 2017/0580 [Demolition of existing retail buildings and phased construction of 13 residential blocks (with 3 podiums) ranging from 8 to 15 storeys to provide a mixed use scheme including 517 residential units (Class C3), 5160 sqm GIA of business (Class B1) and 2969 sqm GIA flexible business/retail/restaurant and cafe (Class B1, A1, A2, A3 and A4) with car/cycle parking, associated combined heat and power (CHP), plant and associated works, landscaping, new accesses onto Smugglers Way, and offsite highways works including a new pedestrian crossing of Swandon Way) to allow the following changes: _x000a__x000a_An increase in unit numbers from 517 to 554 (37 units additional units), increase in affordable housing units from 184 to 197, change to housing mix, reduction in car parking from 60 parking spaces to 22 blue badge spaces, 1 commercial blue badge space and 1 car club space. Introduction of D1 and D2 uses into the flexible floorspace and reduction in ground floor flexible commercial floorspace from 2969m² to 1960m² (GIA), reduction in Class B1(a) commercial floorspace at the mezzanine level from 5160m² to 1054m² (GIA) with the provision of 2,548m² (GIA) residential facilities associated with the 'Build to Rent' model. Associated changes to the level of cycle storage, amenity with outdoor swimming pool, private amenity, public open space and playspace across the site, increase in size of energy centre and other associated changes as a result of the revised development.  A revised EIA and associated mitigation, change to finished floor levels and removal of condition 13 (see planning statement on Council website). A revised Environmental Statement has been submitted under the Town and Country Planning (Environmental Impact Assessment) Regulations 2017 as amended."/>
    <s v="S73"/>
    <d v="2019-11-04T00:00:00"/>
    <d v="2021-04-29T00:00:00"/>
    <m/>
    <s v="Nil"/>
    <m/>
    <s v="BF"/>
    <s v="NB"/>
    <x v="1"/>
    <x v="0"/>
    <n v="9.2999999999999999E-2"/>
    <d v="2023-03-31T00:00:00"/>
    <x v="0"/>
    <m/>
    <s v="Open Market"/>
    <s v="M"/>
    <s v="3.7"/>
    <m/>
    <m/>
    <m/>
    <m/>
    <m/>
    <n v="0"/>
    <n v="28"/>
    <n v="28"/>
    <n v="2"/>
    <n v="0"/>
    <n v="0"/>
    <n v="0"/>
    <n v="0"/>
    <n v="28"/>
    <n v="28"/>
    <n v="2"/>
    <n v="0"/>
    <n v="0"/>
    <n v="0"/>
    <n v="0"/>
    <n v="0"/>
    <n v="0"/>
    <n v="0"/>
    <n v="0"/>
    <n v="0"/>
    <n v="0"/>
    <n v="0"/>
    <n v="0"/>
    <n v="0"/>
    <n v="0"/>
    <n v="0"/>
    <n v="0"/>
    <n v="0"/>
    <m/>
    <m/>
    <s v="Wandsworth Town, including the Wandle Delta Masterplan Area"/>
    <n v="5"/>
    <m/>
    <n v="58"/>
    <m/>
    <m/>
    <m/>
    <m/>
    <m/>
    <m/>
    <m/>
    <m/>
    <m/>
    <m/>
    <m/>
    <m/>
    <m/>
    <m/>
    <m/>
    <m/>
    <m/>
    <m/>
    <n v="58"/>
    <n v="58"/>
  </r>
  <r>
    <n v="3943"/>
    <x v="1"/>
    <s v="2019/2324"/>
    <s v="Royal Mail Group Site, Ponton Road (Nine Elms Park)"/>
    <s v="Plot E - Block E1"/>
    <n v="529575"/>
    <n v="177401"/>
    <s v="Nine Elms"/>
    <d v="2022-10-04T00:00:00"/>
    <m/>
    <n v="0"/>
    <n v="90"/>
    <n v="90"/>
    <n v="297"/>
    <n v="297"/>
    <s v="Y"/>
    <s v="Application for approval of reserved matters (Access, Appearance, Landscaping, Layout and Scale) for 'Plot E' pursuant to Condition 3 of part outline and part detailed planning permission 2017/6762 dated 28/03/2019 for &quot;Minor Material Amendment pursuant to Conditions 1 (time limit), 2 (time limit for reserved matters), 9 (parameter plans), 11 (Maximum Floorspaces), 15 (distribution and internal configuration of residential units for each plot), 32 (construction sequence and delivery plan) and 41 (land and groundwater contamination) of part outline and part detailed planning permission 2016/2424, dated 23rd January 2017 for &quot;Minor Material Amendment pursuant to Conditions 3 (reserved matters), 9 (parameter plans), 10 (GEA floorspace limits), 13 (residential unit limit), 18 (car parking space limit), 32 (B8 use restriction) and 41 (land and groundwater contamination) of part outline and part detailed planning permission 2011/2462, dated 30/03/12 for demolition of all existing buildings and construction of a mixed use redevelopment comprising 7 building plots with buildings up to 23 storeys high to provide residential units; commercial and community floorspace; associated basement parking and part of the 'Nine Elms Linear Park'. All matters reserved apart from the appearance and scale of Blocks B1, D1 &amp; G and two new access points from Nine Elms Lane.&quot;"/>
    <s v="DT"/>
    <d v="2019-05-28T00:00:00"/>
    <d v="2021-06-28T00:00:00"/>
    <m/>
    <s v="Nil"/>
    <m/>
    <s v="BF"/>
    <s v="NB"/>
    <x v="1"/>
    <x v="0"/>
    <n v="0.9777576"/>
    <d v="2022-10-04T00:00:00"/>
    <x v="0"/>
    <m/>
    <s v="Open Market"/>
    <s v="M"/>
    <s v="2.1.18"/>
    <m/>
    <m/>
    <n v="81"/>
    <m/>
    <n v="9"/>
    <n v="8"/>
    <n v="30"/>
    <n v="33"/>
    <n v="19"/>
    <n v="0"/>
    <n v="0"/>
    <n v="0"/>
    <n v="8"/>
    <n v="30"/>
    <n v="33"/>
    <n v="19"/>
    <n v="0"/>
    <n v="0"/>
    <n v="0"/>
    <n v="0"/>
    <n v="0"/>
    <n v="0"/>
    <n v="0"/>
    <n v="0"/>
    <n v="0"/>
    <n v="0"/>
    <n v="0"/>
    <n v="0"/>
    <n v="0"/>
    <n v="0"/>
    <n v="0"/>
    <n v="0"/>
    <n v="0"/>
    <m/>
    <s v="Y"/>
    <s v="Nine Elms"/>
    <n v="5"/>
    <m/>
    <n v="90"/>
    <m/>
    <m/>
    <m/>
    <m/>
    <m/>
    <m/>
    <m/>
    <m/>
    <m/>
    <m/>
    <m/>
    <m/>
    <m/>
    <m/>
    <m/>
    <m/>
    <m/>
    <m/>
    <n v="90"/>
    <n v="90"/>
  </r>
  <r>
    <n v="3943"/>
    <x v="1"/>
    <s v="2019/2324"/>
    <s v="Royal Mail Group Site, Ponton Road (Nine Elms Park)"/>
    <s v="Plot E - Block E3"/>
    <n v="529575"/>
    <n v="177401"/>
    <s v="Nine Elms"/>
    <d v="2022-10-04T00:00:00"/>
    <m/>
    <n v="0"/>
    <n v="77"/>
    <n v="77"/>
    <n v="297"/>
    <n v="297"/>
    <s v="Y"/>
    <s v="Application for approval of reserved matters (Access, Appearance, Landscaping, Layout and Scale) for 'Plot E' pursuant to Condition 3 of part outline and part detailed planning permission 2017/6762 dated 28/03/2019 for &quot;Minor Material Amendment pursuant to Conditions 1 (time limit), 2 (time limit for reserved matters), 9 (parameter plans), 11 (Maximum Floorspaces), 15 (distribution and internal configuration of residential units for each plot), 32 (construction sequence and delivery plan) and 41 (land and groundwater contamination) of part outline and part detailed planning permission 2016/2424, dated 23rd January 2017 for &quot;Minor Material Amendment pursuant to Conditions 3 (reserved matters), 9 (parameter plans), 10 (GEA floorspace limits), 13 (residential unit limit), 18 (car parking space limit), 32 (B8 use restriction) and 41 (land and groundwater contamination) of part outline and part detailed planning permission 2011/2462, dated 30/03/12 for demolition of all existing buildings and construction of a mixed use redevelopment comprising 7 building plots with buildings up to 23 storeys high to provide residential units; commercial and community floorspace; associated basement parking and part of the 'Nine Elms Linear Park'. All matters reserved apart from the appearance and scale of Blocks B1, D1 &amp; G and two new access points from Nine Elms Lane.&quot;"/>
    <s v="DT"/>
    <d v="2019-05-28T00:00:00"/>
    <d v="2021-06-28T00:00:00"/>
    <m/>
    <s v="Nil"/>
    <m/>
    <s v="BF"/>
    <s v="NB"/>
    <x v="1"/>
    <x v="0"/>
    <n v="0.83652590000000004"/>
    <d v="2022-10-04T00:00:00"/>
    <x v="0"/>
    <m/>
    <s v="Open Market"/>
    <s v="M"/>
    <s v="2.1.18"/>
    <m/>
    <m/>
    <n v="69"/>
    <m/>
    <n v="8"/>
    <n v="1"/>
    <n v="32"/>
    <n v="39"/>
    <n v="5"/>
    <n v="0"/>
    <n v="0"/>
    <n v="0"/>
    <n v="1"/>
    <n v="32"/>
    <n v="39"/>
    <n v="5"/>
    <n v="0"/>
    <n v="0"/>
    <n v="0"/>
    <n v="0"/>
    <n v="0"/>
    <n v="0"/>
    <n v="0"/>
    <n v="0"/>
    <n v="0"/>
    <n v="0"/>
    <n v="0"/>
    <n v="0"/>
    <n v="0"/>
    <n v="0"/>
    <n v="0"/>
    <n v="0"/>
    <n v="0"/>
    <m/>
    <s v="Y"/>
    <s v="Nine Elms"/>
    <n v="5"/>
    <m/>
    <n v="77"/>
    <m/>
    <m/>
    <m/>
    <m/>
    <m/>
    <m/>
    <m/>
    <m/>
    <m/>
    <m/>
    <m/>
    <m/>
    <m/>
    <m/>
    <m/>
    <m/>
    <m/>
    <m/>
    <n v="77"/>
    <n v="77"/>
  </r>
  <r>
    <n v="54"/>
    <x v="1"/>
    <s v="2019/4915"/>
    <s v="Ransomes Dock, 35-37 Parkgate Road (Ransomes Dock Business Centre)"/>
    <s v=""/>
    <n v="527320"/>
    <n v="177144"/>
    <s v="Battersea Park"/>
    <d v="2024-02-06T00:00:00"/>
    <m/>
    <n v="0"/>
    <n v="5"/>
    <n v="5"/>
    <n v="5"/>
    <n v="5"/>
    <m/>
    <s v="Demolition of the existing second floor extension to Buildings 1 &amp; 2. Alterations including erection of two-storey extension above Buildings 1 &amp; 2 at second and third floor levels; installation of replacement electricity substation; installation of new link bridge between Building 2 and Building 3; installation of new and replacement external access staircases, in connection with the provision of five new residential units (4 x 3-bedroom units and 1 x 4-bedroom unit) and use of basement for flexible B1/D1 uses, with associated new cycle parking at ground floor level."/>
    <s v="PFLA"/>
    <d v="2020-10-08T00:00:00"/>
    <d v="2021-03-01T00:00:00"/>
    <m/>
    <s v="Nil"/>
    <m/>
    <s v="BF"/>
    <s v="EXT"/>
    <x v="2"/>
    <x v="7"/>
    <n v="0.02"/>
    <d v="2024-02-06T00:00:00"/>
    <x v="1"/>
    <m/>
    <s v="Open Market"/>
    <s v="M"/>
    <s v=""/>
    <m/>
    <m/>
    <m/>
    <m/>
    <m/>
    <n v="0"/>
    <n v="0"/>
    <n v="0"/>
    <n v="4"/>
    <n v="1"/>
    <n v="0"/>
    <n v="0"/>
    <n v="0"/>
    <n v="0"/>
    <n v="0"/>
    <n v="4"/>
    <n v="1"/>
    <n v="0"/>
    <n v="0"/>
    <n v="0"/>
    <n v="0"/>
    <n v="0"/>
    <n v="0"/>
    <n v="0"/>
    <n v="0"/>
    <n v="0"/>
    <n v="0"/>
    <n v="0"/>
    <n v="0"/>
    <n v="0"/>
    <n v="0"/>
    <n v="0"/>
    <n v="0"/>
    <m/>
    <m/>
    <s v="Wandsworth riverside"/>
    <n v="14"/>
    <m/>
    <n v="2.5"/>
    <n v="2.5"/>
    <m/>
    <m/>
    <m/>
    <m/>
    <m/>
    <m/>
    <m/>
    <m/>
    <m/>
    <m/>
    <m/>
    <m/>
    <m/>
    <m/>
    <m/>
    <m/>
    <m/>
    <n v="5"/>
    <n v="5"/>
  </r>
  <r>
    <n v="7317"/>
    <x v="1"/>
    <s v="2019/5000"/>
    <s v="252-254 Upper Tooting Road"/>
    <s v=""/>
    <n v="527570"/>
    <n v="171707"/>
    <s v="Tooting Bec"/>
    <d v="2022-11-11T00:00:00"/>
    <m/>
    <n v="1"/>
    <n v="0"/>
    <n v="-1"/>
    <n v="0"/>
    <n v="-1"/>
    <m/>
    <s v="Erection a four-storey rear extension (approximately 12m in height). Change of use from a 1 x House of Multiple Occupation (HMO - 6 rooms) in to 1x HMO (18 rooms), while existing flats (1x studio, 1 x 1-bedroom flat and 2 x 2-bedroom flats) are to be retained."/>
    <s v="PF"/>
    <d v="2019-12-05T00:00:00"/>
    <d v="2020-02-18T00:00:00"/>
    <m/>
    <s v="Nil"/>
    <m/>
    <s v="BF"/>
    <s v="MIX"/>
    <x v="2"/>
    <x v="9"/>
    <n v="0.10100000000000001"/>
    <d v="2022-11-11T00:00:00"/>
    <x v="0"/>
    <m/>
    <s v="Open Market"/>
    <s v="M"/>
    <s v=""/>
    <m/>
    <m/>
    <m/>
    <m/>
    <m/>
    <n v="0"/>
    <n v="0"/>
    <n v="0"/>
    <n v="0"/>
    <n v="0"/>
    <n v="-1"/>
    <n v="0"/>
    <n v="0"/>
    <n v="0"/>
    <n v="0"/>
    <n v="0"/>
    <n v="0"/>
    <n v="-1"/>
    <n v="0"/>
    <n v="0"/>
    <n v="0"/>
    <n v="0"/>
    <n v="0"/>
    <n v="0"/>
    <n v="0"/>
    <n v="0"/>
    <n v="0"/>
    <n v="0"/>
    <n v="0"/>
    <n v="0"/>
    <n v="0"/>
    <n v="0"/>
    <n v="0"/>
    <s v="Tooting"/>
    <m/>
    <s v="Tooting"/>
    <n v="13"/>
    <m/>
    <n v="-1"/>
    <m/>
    <m/>
    <m/>
    <m/>
    <m/>
    <m/>
    <m/>
    <m/>
    <m/>
    <m/>
    <m/>
    <m/>
    <m/>
    <m/>
    <m/>
    <m/>
    <m/>
    <m/>
    <n v="-1"/>
    <n v="-1"/>
  </r>
  <r>
    <n v="7211"/>
    <x v="1"/>
    <s v="2019/5582"/>
    <s v="916 Garratt Lane"/>
    <s v=""/>
    <n v="527235"/>
    <n v="171597"/>
    <s v="Tooting Broadway"/>
    <d v="2023-02-07T00:00:00"/>
    <m/>
    <n v="0"/>
    <n v="1"/>
    <n v="1"/>
    <n v="1"/>
    <n v="1"/>
    <m/>
    <s v="Demolition of existing buildings and erection of single-storey building plus basement to form 1x2-bedroom flat"/>
    <s v="PF"/>
    <d v="2020-01-21T00:00:00"/>
    <d v="2020-02-21T00:00:00"/>
    <m/>
    <s v="Nil"/>
    <m/>
    <s v="BF"/>
    <s v="NB"/>
    <x v="2"/>
    <x v="3"/>
    <n v="8.9999999999999993E-3"/>
    <d v="2023-02-07T00:00:00"/>
    <x v="0"/>
    <m/>
    <s v="Open Market"/>
    <s v="M"/>
    <s v=""/>
    <m/>
    <m/>
    <m/>
    <m/>
    <m/>
    <n v="0"/>
    <n v="0"/>
    <n v="1"/>
    <n v="0"/>
    <n v="0"/>
    <n v="0"/>
    <n v="0"/>
    <n v="0"/>
    <n v="0"/>
    <n v="1"/>
    <n v="0"/>
    <n v="0"/>
    <n v="0"/>
    <n v="0"/>
    <n v="0"/>
    <n v="0"/>
    <n v="0"/>
    <n v="0"/>
    <n v="0"/>
    <n v="0"/>
    <n v="0"/>
    <n v="0"/>
    <n v="0"/>
    <n v="0"/>
    <n v="0"/>
    <n v="0"/>
    <n v="0"/>
    <n v="0"/>
    <m/>
    <m/>
    <s v="Tooting"/>
    <n v="3"/>
    <m/>
    <n v="1"/>
    <m/>
    <m/>
    <m/>
    <m/>
    <m/>
    <m/>
    <m/>
    <m/>
    <m/>
    <m/>
    <m/>
    <m/>
    <m/>
    <m/>
    <m/>
    <m/>
    <m/>
    <m/>
    <n v="1"/>
    <n v="1"/>
  </r>
  <r>
    <n v="3522"/>
    <x v="1"/>
    <s v="2020/0011"/>
    <s v="Homebase, Swandon Way"/>
    <s v="Block A (Market)"/>
    <n v="525912"/>
    <n v="175143"/>
    <s v="St Mary's"/>
    <d v="2020-04-01T00:00:00"/>
    <m/>
    <n v="0"/>
    <n v="128"/>
    <n v="128"/>
    <n v="480"/>
    <n v="480"/>
    <s v="Y"/>
    <s v="Variation of conditions 2 (in accordance with approved drawings), removal of condition 3 (HSE consultation distance), removal of condition 4 (restriction on use of residents facilities); condition 12 (finished floor levels); condition 21 (compliance with energy strategy); condition 22 (accessible homes); removal of condition 23 (air quality - boilers and CHP); removal of condition 25 (restriction on site clearance); condition 26 (biodiversity enhancement plan); condition 36 (wind mitigation); condition 42 (Retention of scheme architects) condition 44 (residential unit numbers); condition 45 (non-residential floorspace); condition 46 (car parking); removal of condition 47 (basement) pursuant to planning permission dated 31 July 2018 ref: 2016/7356 (Demolition of existing retail warehouse building and erection of three buildings ranging from 8 to 17 storeys with basement to provide a mixed use scheme including 385 residential units (Class C3), 563 sq.m. GIA of retail units (Class A1 and/or A2 and/or A3 uses) 165 sq.m. of leisure use (Class D1) and 1,620 sq.m. GIA of studio/offices (Class B1), with associated cycle parking spaces and 89 car parking spaces, playspace, landscaping and public realm improvements (including contribution towards the new entrance to Wandsworth Town Station) to allow the following changes: _x000a_ _x000a_Increase in unit numbers from 385 to 480, increase in affordable units from 131 to 159, change to housing mix, amended basement area and reduction from 89 car parking spaces to 15 spaces (plus 6 blue badge spaces), inclusion of A4 and D2 uses within flexible commercial floorspace, reduction in flexible floorspace from 2348sqm to 1618sqm, provision of residential facilities in connection with 'Build to Rent', design/elevational changes to all buildings including Station Building, changes to layout and associated amendments to S106. Revised associated amenity space and cycle storage. A revised Environmental Statement has been submitted under the Town and Country Planning (Environmental Impact Assessment) Regulations 2017 as amended. (RECONSULTATION - AMENDED DESCRIPTION, SEE WEBSITE FOR FULL DETAILS)"/>
    <s v="S73"/>
    <d v="2020-01-06T00:00:00"/>
    <d v="2021-10-05T00:00:00"/>
    <m/>
    <s v="Nil"/>
    <m/>
    <s v="BF"/>
    <s v="NB"/>
    <x v="1"/>
    <x v="0"/>
    <n v="0.127"/>
    <d v="2022-04-01T00:00:00"/>
    <x v="0"/>
    <m/>
    <s v="Open Market"/>
    <s v="M"/>
    <s v="3.6"/>
    <m/>
    <m/>
    <m/>
    <m/>
    <m/>
    <n v="0"/>
    <n v="64"/>
    <n v="64"/>
    <n v="0"/>
    <n v="0"/>
    <n v="0"/>
    <n v="0"/>
    <n v="0"/>
    <n v="64"/>
    <n v="64"/>
    <n v="0"/>
    <n v="0"/>
    <n v="0"/>
    <n v="0"/>
    <n v="0"/>
    <n v="0"/>
    <n v="0"/>
    <n v="0"/>
    <n v="0"/>
    <n v="0"/>
    <n v="0"/>
    <n v="0"/>
    <n v="0"/>
    <n v="0"/>
    <n v="0"/>
    <n v="0"/>
    <n v="0"/>
    <n v="0"/>
    <m/>
    <m/>
    <s v="Wandsworth Town, including the Wandle Delta Masterplan Area"/>
    <n v="5"/>
    <m/>
    <n v="128"/>
    <m/>
    <m/>
    <m/>
    <m/>
    <m/>
    <m/>
    <m/>
    <m/>
    <m/>
    <m/>
    <m/>
    <m/>
    <m/>
    <m/>
    <m/>
    <m/>
    <m/>
    <m/>
    <n v="128"/>
    <n v="128"/>
  </r>
  <r>
    <n v="3522"/>
    <x v="1"/>
    <s v="2020/0011"/>
    <s v="Homebase, Swandon Way"/>
    <s v="Block B (Market)"/>
    <n v="525912"/>
    <n v="175143"/>
    <s v="St Mary's"/>
    <d v="2020-04-01T00:00:00"/>
    <m/>
    <n v="0"/>
    <n v="94"/>
    <n v="94"/>
    <n v="480"/>
    <n v="480"/>
    <s v="Y"/>
    <s v="Variation of conditions 2 (in accordance with approved drawings), removal of condition 3 (HSE consultation distance), removal of condition 4 (restriction on use of residents facilities); condition 12 (finished floor levels); condition 21 (compliance with energy strategy); condition 22 (accessible homes); removal of condition 23 (air quality - boilers and CHP); removal of condition 25 (restriction on site clearance); condition 26 (biodiversity enhancement plan); condition 36 (wind mitigation); condition 42 (Retention of scheme architects) condition 44 (residential unit numbers); condition 45 (non-residential floorspace); condition 46 (car parking); removal of condition 47 (basement) pursuant to planning permission dated 31 July 2018 ref: 2016/7356 (Demolition of existing retail warehouse building and erection of three buildings ranging from 8 to 17 storeys with basement to provide a mixed use scheme including 385 residential units (Class C3), 563 sq.m. GIA of retail units (Class A1 and/or A2 and/or A3 uses) 165 sq.m. of leisure use (Class D1) and 1,620 sq.m. GIA of studio/offices (Class B1), with associated cycle parking spaces and 89 car parking spaces, playspace, landscaping and public realm improvements (including contribution towards the new entrance to Wandsworth Town Station) to allow the following changes: _x000a_ _x000a_Increase in unit numbers from 385 to 480, increase in affordable units from 131 to 159, change to housing mix, amended basement area and reduction from 89 car parking spaces to 15 spaces (plus 6 blue badge spaces), inclusion of A4 and D2 uses within flexible commercial floorspace, reduction in flexible floorspace from 2348sqm to 1618sqm, provision of residential facilities in connection with 'Build to Rent', design/elevational changes to all buildings including Station Building, changes to layout and associated amendments to S106. Revised associated amenity space and cycle storage. A revised Environmental Statement has been submitted under the Town and Country Planning (Environmental Impact Assessment) Regulations 2017 as amended. (RECONSULTATION - AMENDED DESCRIPTION, SEE WEBSITE FOR FULL DETAILS)"/>
    <s v="S73"/>
    <d v="2020-01-06T00:00:00"/>
    <d v="2021-10-05T00:00:00"/>
    <m/>
    <s v="Nil"/>
    <m/>
    <s v="BF"/>
    <s v="NB"/>
    <x v="1"/>
    <x v="0"/>
    <n v="9.2999999999999999E-2"/>
    <d v="2022-04-01T00:00:00"/>
    <x v="0"/>
    <m/>
    <s v="Open Market"/>
    <s v="M"/>
    <s v="3.6"/>
    <m/>
    <m/>
    <m/>
    <m/>
    <n v="10"/>
    <n v="0"/>
    <n v="67"/>
    <n v="17"/>
    <n v="10"/>
    <n v="0"/>
    <n v="0"/>
    <n v="0"/>
    <n v="0"/>
    <n v="67"/>
    <n v="17"/>
    <n v="10"/>
    <n v="0"/>
    <n v="0"/>
    <n v="0"/>
    <n v="0"/>
    <n v="0"/>
    <n v="0"/>
    <n v="0"/>
    <n v="0"/>
    <n v="0"/>
    <n v="0"/>
    <n v="0"/>
    <n v="0"/>
    <n v="0"/>
    <n v="0"/>
    <n v="0"/>
    <n v="0"/>
    <n v="0"/>
    <m/>
    <m/>
    <s v="Wandsworth Town, including the Wandle Delta Masterplan Area"/>
    <n v="5"/>
    <m/>
    <n v="94"/>
    <m/>
    <m/>
    <m/>
    <m/>
    <m/>
    <m/>
    <m/>
    <m/>
    <m/>
    <m/>
    <m/>
    <m/>
    <m/>
    <m/>
    <m/>
    <m/>
    <m/>
    <m/>
    <n v="94"/>
    <n v="94"/>
  </r>
  <r>
    <n v="3522"/>
    <x v="1"/>
    <s v="2020/0011"/>
    <s v="Homebase, Swandon Way"/>
    <s v="Block C (Market)"/>
    <n v="525912"/>
    <n v="175143"/>
    <s v="St Mary's"/>
    <d v="2020-04-01T00:00:00"/>
    <m/>
    <n v="0"/>
    <n v="99"/>
    <n v="99"/>
    <n v="480"/>
    <n v="480"/>
    <s v="Y"/>
    <s v="Variation of conditions 2 (in accordance with approved drawings), removal of condition 3 (HSE consultation distance), removal of condition 4 (restriction on use of residents facilities); condition 12 (finished floor levels); condition 21 (compliance with energy strategy); condition 22 (accessible homes); removal of condition 23 (air quality - boilers and CHP); removal of condition 25 (restriction on site clearance); condition 26 (biodiversity enhancement plan); condition 36 (wind mitigation); condition 42 (Retention of scheme architects) condition 44 (residential unit numbers); condition 45 (non-residential floorspace); condition 46 (car parking); removal of condition 47 (basement) pursuant to planning permission dated 31 July 2018 ref: 2016/7356 (Demolition of existing retail warehouse building and erection of three buildings ranging from 8 to 17 storeys with basement to provide a mixed use scheme including 385 residential units (Class C3), 563 sq.m. GIA of retail units (Class A1 and/or A2 and/or A3 uses) 165 sq.m. of leisure use (Class D1) and 1,620 sq.m. GIA of studio/offices (Class B1), with associated cycle parking spaces and 89 car parking spaces, playspace, landscaping and public realm improvements (including contribution towards the new entrance to Wandsworth Town Station) to allow the following changes: _x000a_ _x000a_Increase in unit numbers from 385 to 480, increase in affordable units from 131 to 159, change to housing mix, amended basement area and reduction from 89 car parking spaces to 15 spaces (plus 6 blue badge spaces), inclusion of A4 and D2 uses within flexible commercial floorspace, reduction in flexible floorspace from 2348sqm to 1618sqm, provision of residential facilities in connection with 'Build to Rent', design/elevational changes to all buildings including Station Building, changes to layout and associated amendments to S106. Revised associated amenity space and cycle storage. A revised Environmental Statement has been submitted under the Town and Country Planning (Environmental Impact Assessment) Regulations 2017 as amended. (RECONSULTATION - AMENDED DESCRIPTION, SEE WEBSITE FOR FULL DETAILS)"/>
    <s v="S73"/>
    <d v="2020-01-06T00:00:00"/>
    <d v="2021-10-05T00:00:00"/>
    <m/>
    <s v="Nil"/>
    <m/>
    <s v="BF"/>
    <s v="NB"/>
    <x v="1"/>
    <x v="0"/>
    <n v="9.8000000000000004E-2"/>
    <d v="2022-04-01T00:00:00"/>
    <x v="0"/>
    <m/>
    <s v="Open Market"/>
    <s v="M"/>
    <s v="3.6"/>
    <m/>
    <m/>
    <m/>
    <m/>
    <n v="10"/>
    <n v="0"/>
    <n v="62"/>
    <n v="27"/>
    <n v="10"/>
    <n v="0"/>
    <n v="0"/>
    <n v="0"/>
    <n v="0"/>
    <n v="62"/>
    <n v="27"/>
    <n v="10"/>
    <n v="0"/>
    <n v="0"/>
    <n v="0"/>
    <n v="0"/>
    <n v="0"/>
    <n v="0"/>
    <n v="0"/>
    <n v="0"/>
    <n v="0"/>
    <n v="0"/>
    <n v="0"/>
    <n v="0"/>
    <n v="0"/>
    <n v="0"/>
    <n v="0"/>
    <n v="0"/>
    <n v="0"/>
    <m/>
    <m/>
    <s v="Wandsworth Town, including the Wandle Delta Masterplan Area"/>
    <n v="5"/>
    <m/>
    <n v="99"/>
    <m/>
    <m/>
    <m/>
    <m/>
    <m/>
    <m/>
    <m/>
    <m/>
    <m/>
    <m/>
    <m/>
    <m/>
    <m/>
    <m/>
    <m/>
    <m/>
    <m/>
    <m/>
    <n v="99"/>
    <n v="99"/>
  </r>
  <r>
    <n v="3522"/>
    <x v="1"/>
    <s v="2020/0011"/>
    <s v="Homebase, Swandon Way"/>
    <s v="Block D (Intermediate)"/>
    <n v="525912"/>
    <n v="175143"/>
    <s v="St Mary's"/>
    <d v="2020-04-01T00:00:00"/>
    <m/>
    <n v="0"/>
    <n v="19"/>
    <n v="19"/>
    <n v="480"/>
    <n v="480"/>
    <s v="Y"/>
    <s v="Variation of conditions 2 (in accordance with approved drawings), removal of condition 3 (HSE consultation distance), removal of condition 4 (restriction on use of residents facilities); condition 12 (finished floor levels); condition 21 (compliance with energy strategy); condition 22 (accessible homes); removal of condition 23 (air quality - boilers and CHP); removal of condition 25 (restriction on site clearance); condition 26 (biodiversity enhancement plan); condition 36 (wind mitigation); condition 42 (Retention of scheme architects) condition 44 (residential unit numbers); condition 45 (non-residential floorspace); condition 46 (car parking); removal of condition 47 (basement) pursuant to planning permission dated 31 July 2018 ref: 2016/7356 (Demolition of existing retail warehouse building and erection of three buildings ranging from 8 to 17 storeys with basement to provide a mixed use scheme including 385 residential units (Class C3), 563 sq.m. GIA of retail units (Class A1 and/or A2 and/or A3 uses) 165 sq.m. of leisure use (Class D1) and 1,620 sq.m. GIA of studio/offices (Class B1), with associated cycle parking spaces and 89 car parking spaces, playspace, landscaping and public realm improvements (including contribution towards the new entrance to Wandsworth Town Station) to allow the following changes: _x000a_ _x000a_Increase in unit numbers from 385 to 480, increase in affordable units from 131 to 159, change to housing mix, amended basement area and reduction from 89 car parking spaces to 15 spaces (plus 6 blue badge spaces), inclusion of A4 and D2 uses within flexible commercial floorspace, reduction in flexible floorspace from 2348sqm to 1618sqm, provision of residential facilities in connection with 'Build to Rent', design/elevational changes to all buildings including Station Building, changes to layout and associated amendments to S106. Revised associated amenity space and cycle storage. A revised Environmental Statement has been submitted under the Town and Country Planning (Environmental Impact Assessment) Regulations 2017 as amended. (RECONSULTATION - AMENDED DESCRIPTION, SEE WEBSITE FOR FULL DETAILS)"/>
    <s v="S73"/>
    <d v="2020-01-06T00:00:00"/>
    <d v="2021-10-05T00:00:00"/>
    <m/>
    <s v="Nil"/>
    <m/>
    <s v="BF"/>
    <s v="NB"/>
    <x v="1"/>
    <x v="0"/>
    <n v="1.83E-2"/>
    <d v="2022-04-01T00:00:00"/>
    <x v="0"/>
    <m/>
    <s v="Intermediate"/>
    <s v="ISO"/>
    <s v="3.6"/>
    <m/>
    <m/>
    <m/>
    <m/>
    <m/>
    <n v="0"/>
    <n v="9"/>
    <n v="9"/>
    <n v="1"/>
    <n v="0"/>
    <n v="0"/>
    <n v="0"/>
    <n v="0"/>
    <n v="9"/>
    <n v="9"/>
    <n v="1"/>
    <n v="0"/>
    <n v="0"/>
    <n v="0"/>
    <n v="0"/>
    <n v="0"/>
    <n v="0"/>
    <n v="0"/>
    <n v="0"/>
    <n v="0"/>
    <n v="0"/>
    <n v="0"/>
    <n v="0"/>
    <n v="0"/>
    <n v="0"/>
    <n v="0"/>
    <n v="0"/>
    <n v="0"/>
    <m/>
    <m/>
    <s v="Wandsworth Town, including the Wandle Delta Masterplan Area"/>
    <n v="5"/>
    <m/>
    <n v="19"/>
    <m/>
    <m/>
    <m/>
    <m/>
    <m/>
    <m/>
    <m/>
    <m/>
    <m/>
    <m/>
    <m/>
    <m/>
    <m/>
    <m/>
    <m/>
    <m/>
    <m/>
    <m/>
    <n v="19"/>
    <n v="19"/>
  </r>
  <r>
    <n v="3943"/>
    <x v="1"/>
    <s v="2019/2324"/>
    <s v="Royal Mail Group Site, Ponton Road (Nine Elms Park)"/>
    <s v="Plot E - Block E2"/>
    <n v="529575"/>
    <n v="177401"/>
    <s v="Nine Elms"/>
    <d v="2022-10-04T00:00:00"/>
    <m/>
    <n v="0"/>
    <n v="73"/>
    <n v="73"/>
    <n v="297"/>
    <n v="297"/>
    <s v="Y"/>
    <s v="Application for approval of reserved matters (Access, Appearance, Landscaping, Layout and Scale) for 'Plot E' pursuant to Condition 3 of part outline and part detailed planning permission 2017/6762 dated 28/03/2019 for &quot;Minor Material Amendment pursuant to Conditions 1 (time limit), 2 (time limit for reserved matters), 9 (parameter plans), 11 (Maximum Floorspaces), 15 (distribution and internal configuration of residential units for each plot), 32 (construction sequence and delivery plan) and 41 (land and groundwater contamination) of part outline and part detailed planning permission 2016/2424, dated 23rd January 2017 for &quot;Minor Material Amendment pursuant to Conditions 3 (reserved matters), 9 (parameter plans), 10 (GEA floorspace limits), 13 (residential unit limit), 18 (car parking space limit), 32 (B8 use restriction) and 41 (land and groundwater contamination) of part outline and part detailed planning permission 2011/2462, dated 30/03/12 for demolition of all existing buildings and construction of a mixed use redevelopment comprising 7 building plots with buildings up to 23 storeys high to provide residential units; commercial and community floorspace; associated basement parking and part of the 'Nine Elms Linear Park'. All matters reserved apart from the appearance and scale of Blocks B1, D1 &amp; G and two new access points from Nine Elms Lane.&quot;"/>
    <s v="DT"/>
    <d v="2019-05-28T00:00:00"/>
    <d v="2021-06-28T00:00:00"/>
    <m/>
    <s v="Nil"/>
    <m/>
    <s v="BF"/>
    <s v="NB"/>
    <x v="1"/>
    <x v="0"/>
    <n v="0.79307000000000005"/>
    <d v="2022-10-04T00:00:00"/>
    <x v="0"/>
    <m/>
    <s v="Open Market"/>
    <s v="M"/>
    <s v="2.1.18"/>
    <m/>
    <m/>
    <n v="66"/>
    <m/>
    <n v="7"/>
    <n v="3"/>
    <n v="17"/>
    <n v="44"/>
    <n v="9"/>
    <n v="0"/>
    <n v="0"/>
    <n v="0"/>
    <n v="3"/>
    <n v="17"/>
    <n v="44"/>
    <n v="9"/>
    <n v="0"/>
    <n v="0"/>
    <n v="0"/>
    <n v="0"/>
    <n v="0"/>
    <n v="0"/>
    <n v="0"/>
    <n v="0"/>
    <n v="0"/>
    <n v="0"/>
    <n v="0"/>
    <n v="0"/>
    <n v="0"/>
    <n v="0"/>
    <n v="0"/>
    <n v="0"/>
    <n v="0"/>
    <m/>
    <s v="Y"/>
    <s v="Nine Elms"/>
    <n v="5"/>
    <m/>
    <n v="73"/>
    <m/>
    <m/>
    <m/>
    <m/>
    <m/>
    <m/>
    <m/>
    <m/>
    <m/>
    <m/>
    <m/>
    <m/>
    <m/>
    <m/>
    <m/>
    <m/>
    <m/>
    <m/>
    <n v="73"/>
    <n v="73"/>
  </r>
  <r>
    <n v="3943"/>
    <x v="1"/>
    <s v="2019/2324"/>
    <s v="Royal Mail Group Site, Ponton Road (Nine Elms Park)"/>
    <s v="Plot E - Block E4"/>
    <n v="529575"/>
    <n v="177401"/>
    <s v="Nine Elms"/>
    <d v="2022-10-04T00:00:00"/>
    <m/>
    <n v="0"/>
    <n v="57"/>
    <n v="57"/>
    <n v="297"/>
    <n v="297"/>
    <s v="Y"/>
    <s v="Application for approval of reserved matters (Access, Appearance, Landscaping, Layout and Scale) for 'Plot E' pursuant to Condition 3 of part outline and part detailed planning permission 2017/6762 dated 28/03/2019 for &quot;Minor Material Amendment pursuant to Conditions 1 (time limit), 2 (time limit for reserved matters), 9 (parameter plans), 11 (Maximum Floorspaces), 15 (distribution and internal configuration of residential units for each plot), 32 (construction sequence and delivery plan) and 41 (land and groundwater contamination) of part outline and part detailed planning permission 2016/2424, dated 23rd January 2017 for &quot;Minor Material Amendment pursuant to Conditions 3 (reserved matters), 9 (parameter plans), 10 (GEA floorspace limits), 13 (residential unit limit), 18 (car parking space limit), 32 (B8 use restriction) and 41 (land and groundwater contamination) of part outline and part detailed planning permission 2011/2462, dated 30/03/12 for demolition of all existing buildings and construction of a mixed use redevelopment comprising 7 building plots with buildings up to 23 storeys high to provide residential units; commercial and community floorspace; associated basement parking and part of the 'Nine Elms Linear Park'. All matters reserved apart from the appearance and scale of Blocks B1, D1 &amp; G and two new access points from Nine Elms Lane.&quot;"/>
    <s v="DT"/>
    <d v="2019-05-28T00:00:00"/>
    <d v="2021-06-28T00:00:00"/>
    <m/>
    <s v="Nil"/>
    <m/>
    <s v="BF"/>
    <s v="NB"/>
    <x v="1"/>
    <x v="0"/>
    <n v="0.61924650000000003"/>
    <d v="2022-10-04T00:00:00"/>
    <x v="0"/>
    <m/>
    <s v="Social/Affordable Rent"/>
    <s v="AA"/>
    <s v="2.1.18"/>
    <m/>
    <m/>
    <n v="51"/>
    <m/>
    <n v="6"/>
    <n v="0"/>
    <n v="8"/>
    <n v="31"/>
    <n v="15"/>
    <n v="3"/>
    <n v="0"/>
    <n v="0"/>
    <n v="0"/>
    <n v="8"/>
    <n v="31"/>
    <n v="15"/>
    <n v="3"/>
    <n v="0"/>
    <n v="0"/>
    <n v="0"/>
    <n v="0"/>
    <n v="0"/>
    <n v="0"/>
    <n v="0"/>
    <n v="0"/>
    <n v="0"/>
    <n v="0"/>
    <n v="0"/>
    <n v="0"/>
    <n v="0"/>
    <n v="0"/>
    <n v="0"/>
    <n v="0"/>
    <m/>
    <s v="Y"/>
    <s v="Nine Elms"/>
    <n v="5"/>
    <m/>
    <n v="57"/>
    <m/>
    <m/>
    <m/>
    <m/>
    <m/>
    <m/>
    <m/>
    <m/>
    <m/>
    <m/>
    <m/>
    <m/>
    <m/>
    <m/>
    <m/>
    <m/>
    <m/>
    <m/>
    <n v="57"/>
    <n v="57"/>
  </r>
  <r>
    <n v="7362"/>
    <x v="1"/>
    <s v="2020/0797"/>
    <s v="The Studio, 1c Moring Road"/>
    <s v=""/>
    <n v="528273"/>
    <n v="171722"/>
    <s v="Tooting Bec"/>
    <d v="2022-04-01T00:00:00"/>
    <m/>
    <n v="0"/>
    <n v="1"/>
    <n v="1"/>
    <n v="1"/>
    <n v="1"/>
    <m/>
    <s v="Alterations in connection with change of use from office (Class B1) to residential (Class C3) to provide studio flat with associated refuse storage."/>
    <s v="PF"/>
    <d v="2020-03-02T00:00:00"/>
    <d v="2020-04-27T00:00:00"/>
    <m/>
    <s v="Nil"/>
    <m/>
    <s v="BF"/>
    <s v="COU"/>
    <x v="2"/>
    <x v="6"/>
    <n v="5.0000000000000001E-3"/>
    <d v="2022-04-01T00:00:00"/>
    <x v="0"/>
    <m/>
    <s v="Open Market"/>
    <s v="M"/>
    <s v=""/>
    <m/>
    <m/>
    <m/>
    <m/>
    <m/>
    <n v="1"/>
    <n v="0"/>
    <n v="0"/>
    <n v="0"/>
    <n v="0"/>
    <n v="0"/>
    <n v="0"/>
    <n v="1"/>
    <n v="0"/>
    <n v="0"/>
    <n v="0"/>
    <n v="0"/>
    <n v="0"/>
    <n v="0"/>
    <n v="0"/>
    <n v="0"/>
    <n v="0"/>
    <n v="0"/>
    <n v="0"/>
    <n v="0"/>
    <n v="0"/>
    <n v="0"/>
    <n v="0"/>
    <n v="0"/>
    <n v="0"/>
    <n v="0"/>
    <n v="0"/>
    <n v="0"/>
    <m/>
    <m/>
    <s v="Rest of Borough"/>
    <n v="13"/>
    <m/>
    <n v="1"/>
    <m/>
    <m/>
    <m/>
    <m/>
    <m/>
    <m/>
    <m/>
    <m/>
    <m/>
    <m/>
    <m/>
    <m/>
    <m/>
    <m/>
    <m/>
    <m/>
    <m/>
    <m/>
    <n v="1"/>
    <n v="1"/>
  </r>
  <r>
    <n v="7128"/>
    <x v="1"/>
    <s v="2020/1233"/>
    <s v="336-338 Balham High Road"/>
    <s v=""/>
    <n v="528017"/>
    <n v="172376"/>
    <s v="Trinity"/>
    <d v="2023-04-01T00:00:00"/>
    <m/>
    <n v="1"/>
    <n v="4"/>
    <n v="3"/>
    <n v="4"/>
    <n v="3"/>
    <m/>
    <s v="Demolition of existing buildings and erection of 4-storey building to provide commercial unit for flexible use (Classes A1, A2, A3 and D1) on ground floor four 2-bedroom flats (Class C3) above and associated waste and cycle storage."/>
    <s v="PF"/>
    <d v="2020-04-02T00:00:00"/>
    <d v="2020-07-22T00:00:00"/>
    <m/>
    <s v="Nil"/>
    <m/>
    <s v="BF"/>
    <s v="NB"/>
    <x v="2"/>
    <x v="3"/>
    <n v="1.4999999999999999E-2"/>
    <d v="2023-04-01T00:00:00"/>
    <x v="1"/>
    <m/>
    <s v="Open Market"/>
    <s v="M"/>
    <s v=""/>
    <m/>
    <m/>
    <m/>
    <m/>
    <m/>
    <n v="0"/>
    <n v="0"/>
    <n v="4"/>
    <n v="-1"/>
    <n v="0"/>
    <n v="0"/>
    <n v="0"/>
    <n v="0"/>
    <n v="0"/>
    <n v="4"/>
    <n v="-1"/>
    <n v="0"/>
    <n v="0"/>
    <n v="0"/>
    <n v="0"/>
    <n v="0"/>
    <n v="0"/>
    <n v="0"/>
    <n v="0"/>
    <n v="0"/>
    <n v="0"/>
    <n v="0"/>
    <n v="0"/>
    <n v="0"/>
    <n v="0"/>
    <n v="0"/>
    <n v="0"/>
    <n v="0"/>
    <m/>
    <m/>
    <s v="Rest of Borough"/>
    <n v="3"/>
    <m/>
    <n v="3"/>
    <m/>
    <m/>
    <m/>
    <m/>
    <m/>
    <m/>
    <m/>
    <m/>
    <m/>
    <m/>
    <m/>
    <m/>
    <m/>
    <m/>
    <m/>
    <m/>
    <m/>
    <m/>
    <n v="3"/>
    <n v="3"/>
  </r>
  <r>
    <n v="4258"/>
    <x v="1"/>
    <s v="2020/1276"/>
    <s v="Badric Court Estate, Yelverton Road"/>
    <s v=""/>
    <n v="526831"/>
    <n v="176179"/>
    <s v="St Mary's"/>
    <d v="2023-04-01T00:00:00"/>
    <m/>
    <n v="0"/>
    <n v="6"/>
    <n v="6"/>
    <n v="6"/>
    <n v="6"/>
    <m/>
    <s v="Infill of undercroft space beneath the blocks to provide 6 self-contained flats (4 x 2-bedroom and 2 x 4-bedroom) with associated amenity space and the provision of cycle storages."/>
    <s v="PF"/>
    <d v="2020-04-01T00:00:00"/>
    <d v="2021-10-19T00:00:00"/>
    <m/>
    <s v="Nil"/>
    <m/>
    <s v="BF"/>
    <s v="NB"/>
    <x v="2"/>
    <x v="3"/>
    <n v="5.8999999999999997E-2"/>
    <d v="2023-04-01T00:00:00"/>
    <x v="1"/>
    <m/>
    <s v="Social/Affordable Rent"/>
    <s v="AS"/>
    <s v=""/>
    <n v="17320336"/>
    <m/>
    <m/>
    <m/>
    <m/>
    <n v="0"/>
    <n v="0"/>
    <n v="4"/>
    <n v="0"/>
    <n v="2"/>
    <n v="0"/>
    <n v="0"/>
    <n v="0"/>
    <n v="0"/>
    <n v="4"/>
    <n v="0"/>
    <n v="2"/>
    <n v="0"/>
    <n v="0"/>
    <n v="0"/>
    <n v="0"/>
    <n v="0"/>
    <n v="0"/>
    <n v="0"/>
    <n v="0"/>
    <n v="0"/>
    <n v="0"/>
    <n v="0"/>
    <n v="0"/>
    <n v="0"/>
    <n v="0"/>
    <n v="0"/>
    <n v="0"/>
    <m/>
    <m/>
    <s v="Wandsworth riverside"/>
    <n v="2"/>
    <m/>
    <n v="6"/>
    <m/>
    <m/>
    <m/>
    <m/>
    <m/>
    <m/>
    <m/>
    <m/>
    <m/>
    <m/>
    <m/>
    <m/>
    <m/>
    <m/>
    <m/>
    <m/>
    <m/>
    <m/>
    <n v="6"/>
    <n v="6"/>
  </r>
  <r>
    <n v="7276"/>
    <x v="1"/>
    <s v="2020/1405"/>
    <s v="46 Longley Road"/>
    <s v=""/>
    <n v="527309"/>
    <n v="170807"/>
    <s v="Tooting Broadway"/>
    <d v="2023-02-22T00:00:00"/>
    <m/>
    <n v="1"/>
    <n v="5"/>
    <n v="4"/>
    <n v="5"/>
    <n v="4"/>
    <m/>
    <s v="Alterations including erection of dormer roof extension to rear roof of existing single storey rear extension; Excavation to enlarge existing basement and formation of associated front and rear lightwells with 1.1m high railings; Installation and replacement of windows and installation of side gate in connection with conversion into  1x1 bedroom, 2 x 2-bedroom and 2 x 3-bedroom units. Provision of waste and cycle storage."/>
    <s v="PF"/>
    <d v="2020-04-20T00:00:00"/>
    <d v="2020-08-14T00:00:00"/>
    <m/>
    <s v="Nil"/>
    <m/>
    <s v="BF"/>
    <s v="NB"/>
    <x v="2"/>
    <x v="10"/>
    <n v="7.9000000000000001E-2"/>
    <d v="2023-02-22T00:00:00"/>
    <x v="0"/>
    <m/>
    <s v="Open Market"/>
    <s v="M"/>
    <s v=""/>
    <m/>
    <m/>
    <m/>
    <m/>
    <m/>
    <n v="0"/>
    <n v="1"/>
    <n v="2"/>
    <n v="2"/>
    <n v="-1"/>
    <n v="0"/>
    <n v="0"/>
    <n v="0"/>
    <n v="1"/>
    <n v="2"/>
    <n v="2"/>
    <n v="0"/>
    <n v="0"/>
    <n v="0"/>
    <n v="0"/>
    <n v="0"/>
    <n v="0"/>
    <n v="0"/>
    <n v="-1"/>
    <n v="0"/>
    <n v="0"/>
    <n v="0"/>
    <n v="0"/>
    <n v="0"/>
    <n v="0"/>
    <n v="0"/>
    <n v="0"/>
    <n v="0"/>
    <m/>
    <m/>
    <s v="Rest of Borough"/>
    <n v="3"/>
    <m/>
    <n v="4"/>
    <m/>
    <m/>
    <m/>
    <m/>
    <m/>
    <m/>
    <m/>
    <m/>
    <m/>
    <m/>
    <m/>
    <m/>
    <m/>
    <m/>
    <m/>
    <m/>
    <m/>
    <m/>
    <n v="4"/>
    <n v="4"/>
  </r>
  <r>
    <n v="4964"/>
    <x v="1"/>
    <s v="2020/1724"/>
    <s v="86 Clapham Common West Side"/>
    <s v=""/>
    <n v="528166"/>
    <n v="174896"/>
    <s v="Northcote"/>
    <d v="2023-03-31T00:00:00"/>
    <m/>
    <n v="0"/>
    <n v="1"/>
    <n v="1"/>
    <n v="1"/>
    <n v="1"/>
    <m/>
    <s v="Variation of condition 3  (in accordance with approved drawings) pursuant to planning permission dated 27/02/2012 ref 2011/5574 (Excavation of floorspace at basement level, including formation of front lightwell and insertion of new windows/doors, in connection with provision of a onebedroom flat within basement area; erection of a three storey (ground, first and second floor level) rear extension to the side of the back addition to provide additional floorspace for the existing flats.) to allow a change in the design and size of the approved three storey side extension."/>
    <s v="RP"/>
    <d v="2020-05-18T00:00:00"/>
    <d v="2020-06-23T00:00:00"/>
    <m/>
    <s v="APG"/>
    <d v="2021-09-24T00:00:00"/>
    <s v="BF"/>
    <s v="EXT"/>
    <x v="2"/>
    <x v="5"/>
    <n v="8.0000000000000002E-3"/>
    <d v="2023-03-31T00:00:00"/>
    <x v="0"/>
    <m/>
    <s v="Open Market"/>
    <s v="M"/>
    <s v=""/>
    <m/>
    <m/>
    <m/>
    <m/>
    <m/>
    <n v="0"/>
    <n v="1"/>
    <n v="0"/>
    <n v="0"/>
    <n v="0"/>
    <n v="0"/>
    <n v="0"/>
    <n v="0"/>
    <n v="1"/>
    <n v="0"/>
    <n v="0"/>
    <n v="0"/>
    <n v="0"/>
    <n v="0"/>
    <n v="0"/>
    <n v="0"/>
    <n v="0"/>
    <n v="0"/>
    <n v="0"/>
    <n v="0"/>
    <n v="0"/>
    <n v="0"/>
    <n v="0"/>
    <n v="0"/>
    <n v="0"/>
    <n v="0"/>
    <n v="0"/>
    <n v="0"/>
    <m/>
    <m/>
    <s v="Rest of Borough"/>
    <n v="13"/>
    <m/>
    <n v="1"/>
    <m/>
    <m/>
    <m/>
    <m/>
    <m/>
    <m/>
    <m/>
    <m/>
    <m/>
    <m/>
    <m/>
    <m/>
    <m/>
    <m/>
    <m/>
    <m/>
    <m/>
    <m/>
    <n v="1"/>
    <n v="1"/>
  </r>
  <r>
    <n v="7522"/>
    <x v="1"/>
    <s v="2020/2002"/>
    <s v="Land Adjacent, 77 Festing Road (Embankment - embankment Studios)"/>
    <s v=""/>
    <n v="523648"/>
    <n v="176066"/>
    <s v="Thamesfield"/>
    <d v="2023-06-22T00:00:00"/>
    <m/>
    <n v="0"/>
    <n v="1"/>
    <n v="1"/>
    <n v="1"/>
    <n v="1"/>
    <m/>
    <s v="Demolition of existing office building and erection of a 2/3-bedroom house (Class C3)."/>
    <s v="PF"/>
    <d v="2020-06-09T00:00:00"/>
    <d v="2021-03-08T00:00:00"/>
    <m/>
    <s v="Nil"/>
    <m/>
    <s v="BF"/>
    <s v="NB"/>
    <x v="2"/>
    <x v="3"/>
    <n v="1.9E-2"/>
    <d v="2023-06-22T00:00:00"/>
    <x v="1"/>
    <m/>
    <s v="Open Market"/>
    <s v="M"/>
    <s v=""/>
    <m/>
    <m/>
    <m/>
    <m/>
    <m/>
    <n v="0"/>
    <n v="0"/>
    <n v="1"/>
    <n v="0"/>
    <n v="0"/>
    <n v="0"/>
    <n v="0"/>
    <n v="0"/>
    <n v="0"/>
    <n v="0"/>
    <n v="0"/>
    <n v="0"/>
    <n v="0"/>
    <n v="0"/>
    <n v="0"/>
    <n v="0"/>
    <n v="1"/>
    <n v="0"/>
    <n v="0"/>
    <n v="0"/>
    <n v="0"/>
    <n v="0"/>
    <n v="0"/>
    <n v="0"/>
    <n v="0"/>
    <n v="0"/>
    <n v="0"/>
    <n v="0"/>
    <m/>
    <m/>
    <s v="Wandsworth riverside"/>
    <n v="3"/>
    <m/>
    <n v="1"/>
    <m/>
    <m/>
    <m/>
    <m/>
    <m/>
    <m/>
    <m/>
    <m/>
    <m/>
    <m/>
    <m/>
    <m/>
    <m/>
    <m/>
    <m/>
    <m/>
    <m/>
    <m/>
    <n v="1"/>
    <n v="1"/>
  </r>
  <r>
    <n v="7962"/>
    <x v="1"/>
    <s v="2020/2247"/>
    <s v="1 Duchess Court Live Work Unit, 2 Dinsmore Road"/>
    <s v=""/>
    <n v="528809"/>
    <n v="173792"/>
    <s v="Balham"/>
    <d v="2023-04-01T00:00:00"/>
    <m/>
    <n v="1"/>
    <n v="1"/>
    <n v="0"/>
    <n v="1"/>
    <n v="0"/>
    <m/>
    <s v="Alterations including erection of first floor extension and creation of roof terrace with 1.8m screen surround and pitched roof section to front in association with the change of use from live-work unit (C3/B1) to solely residential (C3)."/>
    <s v="PF"/>
    <d v="2020-07-09T00:00:00"/>
    <d v="2020-10-12T00:00:00"/>
    <m/>
    <s v="Nil"/>
    <m/>
    <s v="BF"/>
    <s v="COU"/>
    <x v="2"/>
    <x v="6"/>
    <n v="4.0000000000000001E-3"/>
    <d v="2023-04-01T00:00:00"/>
    <x v="1"/>
    <m/>
    <s v="Open Market"/>
    <s v="M"/>
    <s v=""/>
    <m/>
    <m/>
    <m/>
    <m/>
    <m/>
    <n v="0"/>
    <n v="-1"/>
    <n v="1"/>
    <n v="0"/>
    <n v="0"/>
    <n v="0"/>
    <n v="0"/>
    <n v="0"/>
    <n v="0"/>
    <n v="0"/>
    <n v="0"/>
    <n v="0"/>
    <n v="0"/>
    <n v="0"/>
    <n v="0"/>
    <n v="0"/>
    <n v="1"/>
    <n v="0"/>
    <n v="0"/>
    <n v="0"/>
    <n v="0"/>
    <n v="0"/>
    <n v="-1"/>
    <n v="0"/>
    <n v="0"/>
    <n v="0"/>
    <n v="0"/>
    <n v="0"/>
    <m/>
    <m/>
    <s v="Rest of Borough"/>
    <n v="13"/>
    <m/>
    <n v="0"/>
    <m/>
    <m/>
    <m/>
    <m/>
    <m/>
    <m/>
    <m/>
    <m/>
    <m/>
    <m/>
    <m/>
    <m/>
    <m/>
    <m/>
    <m/>
    <m/>
    <m/>
    <m/>
    <n v="0"/>
    <n v="0"/>
  </r>
  <r>
    <n v="7441"/>
    <x v="1"/>
    <s v="2020/2483"/>
    <s v="61-63 St Johns Road"/>
    <s v=""/>
    <n v="527417"/>
    <n v="175225"/>
    <s v="Lavender"/>
    <d v="2023-08-30T00:00:00"/>
    <m/>
    <n v="0"/>
    <n v="7"/>
    <n v="7"/>
    <n v="7"/>
    <n v="7"/>
    <m/>
    <s v="Alterations including formation of balconies at rear first and second floor levels and replacement windows in connection with the change of use of the first, second and third floors from retail (use class A1) to 1 x2 bedroom and 6x1 bedroom flats (use class C3). Bike and refuse stores at ground floor."/>
    <s v="PF"/>
    <d v="2020-07-10T00:00:00"/>
    <d v="2020-11-02T00:00:00"/>
    <m/>
    <s v="Nil"/>
    <m/>
    <s v="BF"/>
    <s v="COU"/>
    <x v="2"/>
    <x v="4"/>
    <n v="1.4E-2"/>
    <d v="2023-08-30T00:00:00"/>
    <x v="1"/>
    <m/>
    <s v="Open Market"/>
    <s v="M"/>
    <s v=""/>
    <m/>
    <m/>
    <m/>
    <m/>
    <m/>
    <n v="0"/>
    <n v="6"/>
    <n v="1"/>
    <n v="0"/>
    <n v="0"/>
    <n v="0"/>
    <n v="0"/>
    <n v="0"/>
    <n v="6"/>
    <n v="1"/>
    <n v="0"/>
    <n v="0"/>
    <n v="0"/>
    <n v="0"/>
    <n v="0"/>
    <n v="0"/>
    <n v="0"/>
    <n v="0"/>
    <n v="0"/>
    <n v="0"/>
    <n v="0"/>
    <n v="0"/>
    <n v="0"/>
    <n v="0"/>
    <n v="0"/>
    <n v="0"/>
    <n v="0"/>
    <n v="0"/>
    <s v="Clapham Junction"/>
    <m/>
    <s v="Clapham Junction and York Road / Winstanley Regeneration Area"/>
    <n v="13"/>
    <m/>
    <n v="7"/>
    <m/>
    <m/>
    <m/>
    <m/>
    <m/>
    <m/>
    <m/>
    <m/>
    <m/>
    <m/>
    <m/>
    <m/>
    <m/>
    <m/>
    <m/>
    <m/>
    <m/>
    <m/>
    <n v="7"/>
    <n v="7"/>
  </r>
  <r>
    <n v="7442"/>
    <x v="1"/>
    <s v="2020/2606"/>
    <s v="88 Grayshott Road"/>
    <s v=""/>
    <n v="528026"/>
    <n v="175977"/>
    <s v="Shaftesbury &amp; Queenstown"/>
    <d v="2022-09-01T00:00:00"/>
    <m/>
    <n v="0"/>
    <n v="1"/>
    <n v="1"/>
    <n v="1"/>
    <n v="1"/>
    <m/>
    <s v="Determination as to whether prior approval is required for change of use of office at ground floor and lower ground floor (Class B1a) to residential (Class C3) to provide 1 x 1-bedroom flat."/>
    <s v="PAG"/>
    <d v="2020-07-20T00:00:00"/>
    <d v="2020-09-10T00:00:00"/>
    <m/>
    <s v="Nil"/>
    <m/>
    <s v="BF"/>
    <s v="COU"/>
    <x v="2"/>
    <x v="6"/>
    <n v="5.0000000000000001E-3"/>
    <d v="2022-09-01T00:00:00"/>
    <x v="0"/>
    <m/>
    <s v="Open Market"/>
    <s v="M"/>
    <s v=""/>
    <m/>
    <m/>
    <m/>
    <m/>
    <m/>
    <n v="0"/>
    <n v="1"/>
    <n v="0"/>
    <n v="0"/>
    <n v="0"/>
    <n v="0"/>
    <n v="0"/>
    <n v="0"/>
    <n v="1"/>
    <n v="0"/>
    <n v="0"/>
    <n v="0"/>
    <n v="0"/>
    <n v="0"/>
    <n v="0"/>
    <n v="0"/>
    <n v="0"/>
    <n v="0"/>
    <n v="0"/>
    <n v="0"/>
    <n v="0"/>
    <n v="0"/>
    <n v="0"/>
    <n v="0"/>
    <n v="0"/>
    <n v="0"/>
    <n v="0"/>
    <n v="0"/>
    <m/>
    <m/>
    <s v="Rest of Borough"/>
    <n v="13"/>
    <m/>
    <n v="1"/>
    <m/>
    <m/>
    <m/>
    <m/>
    <m/>
    <m/>
    <m/>
    <m/>
    <m/>
    <m/>
    <m/>
    <m/>
    <m/>
    <m/>
    <m/>
    <m/>
    <m/>
    <m/>
    <n v="1"/>
    <n v="1"/>
  </r>
  <r>
    <n v="7433"/>
    <x v="1"/>
    <s v="2020/2797"/>
    <s v="59 Sudbrooke Road"/>
    <s v="HOUSE A"/>
    <n v="528136"/>
    <n v="174080"/>
    <s v="Balham"/>
    <d v="2021-03-03T00:00:00"/>
    <m/>
    <n v="1"/>
    <n v="1"/>
    <n v="0"/>
    <n v="2"/>
    <n v="1"/>
    <m/>
    <s v="Demolition of existing house and erection of two six-bedroom two-storey semi-detached single dwellinghouses (with basement and attic accommodation)."/>
    <s v="PF"/>
    <d v="2020-07-31T00:00:00"/>
    <d v="2020-11-30T00:00:00"/>
    <m/>
    <s v="Nil"/>
    <m/>
    <s v="BF"/>
    <s v="NB"/>
    <x v="2"/>
    <x v="3"/>
    <n v="3.2000000000000001E-2"/>
    <d v="2021-03-03T00:00:00"/>
    <x v="0"/>
    <m/>
    <s v="Open Market"/>
    <s v="M"/>
    <s v=""/>
    <m/>
    <m/>
    <m/>
    <m/>
    <m/>
    <n v="0"/>
    <n v="0"/>
    <n v="0"/>
    <n v="0"/>
    <n v="-1"/>
    <n v="1"/>
    <n v="0"/>
    <n v="0"/>
    <n v="0"/>
    <n v="0"/>
    <n v="0"/>
    <n v="0"/>
    <n v="0"/>
    <n v="0"/>
    <n v="0"/>
    <n v="0"/>
    <n v="0"/>
    <n v="0"/>
    <n v="-1"/>
    <n v="1"/>
    <n v="0"/>
    <n v="0"/>
    <n v="0"/>
    <n v="0"/>
    <n v="0"/>
    <n v="0"/>
    <n v="0"/>
    <n v="0"/>
    <m/>
    <m/>
    <s v="Rest of Borough"/>
    <n v="3"/>
    <m/>
    <n v="0"/>
    <m/>
    <m/>
    <m/>
    <m/>
    <m/>
    <m/>
    <m/>
    <m/>
    <m/>
    <m/>
    <m/>
    <m/>
    <m/>
    <m/>
    <m/>
    <m/>
    <m/>
    <m/>
    <n v="0"/>
    <n v="0"/>
  </r>
  <r>
    <n v="7433"/>
    <x v="1"/>
    <s v="2020/2797"/>
    <s v="59 Sudbrooke Road"/>
    <s v="HOUSE B"/>
    <n v="528136"/>
    <n v="174080"/>
    <s v="Balham"/>
    <d v="2021-03-03T00:00:00"/>
    <m/>
    <n v="0"/>
    <n v="1"/>
    <n v="1"/>
    <n v="2"/>
    <n v="1"/>
    <m/>
    <s v="Demolition of existing house and erection of two six-bedroom two-storey semi-detached single dwellinghouses (with basement and attic accommodation)."/>
    <s v="PF"/>
    <d v="2020-07-31T00:00:00"/>
    <d v="2020-11-30T00:00:00"/>
    <m/>
    <s v="Nil"/>
    <m/>
    <s v="BF"/>
    <s v="NB"/>
    <x v="2"/>
    <x v="3"/>
    <n v="3.1E-2"/>
    <d v="2021-03-03T00:00:00"/>
    <x v="0"/>
    <m/>
    <s v="Open Market"/>
    <s v="M"/>
    <s v=""/>
    <m/>
    <m/>
    <m/>
    <m/>
    <m/>
    <n v="0"/>
    <n v="0"/>
    <n v="0"/>
    <n v="0"/>
    <n v="0"/>
    <n v="1"/>
    <n v="0"/>
    <n v="0"/>
    <n v="0"/>
    <n v="0"/>
    <n v="0"/>
    <n v="0"/>
    <n v="0"/>
    <n v="0"/>
    <n v="0"/>
    <n v="0"/>
    <n v="0"/>
    <n v="0"/>
    <n v="0"/>
    <n v="1"/>
    <n v="0"/>
    <n v="0"/>
    <n v="0"/>
    <n v="0"/>
    <n v="0"/>
    <n v="0"/>
    <n v="0"/>
    <n v="0"/>
    <m/>
    <m/>
    <s v="Rest of Borough"/>
    <n v="3"/>
    <m/>
    <n v="1"/>
    <m/>
    <m/>
    <m/>
    <m/>
    <m/>
    <m/>
    <m/>
    <m/>
    <m/>
    <m/>
    <m/>
    <m/>
    <m/>
    <m/>
    <m/>
    <m/>
    <m/>
    <m/>
    <n v="1"/>
    <n v="1"/>
  </r>
  <r>
    <n v="7432"/>
    <x v="1"/>
    <s v="2020/2849"/>
    <s v="24 Granard Avenue"/>
    <s v=""/>
    <n v="522788"/>
    <n v="174649"/>
    <s v="West Putney"/>
    <d v="2021-03-31T00:00:00"/>
    <m/>
    <n v="1"/>
    <n v="1"/>
    <n v="0"/>
    <n v="1"/>
    <n v="0"/>
    <m/>
    <s v="Demolition of existing building and erection of a two-storey (plus roof levels) 5-bedroom house."/>
    <s v="PF"/>
    <d v="2020-08-04T00:00:00"/>
    <d v="2020-10-19T00:00:00"/>
    <m/>
    <s v="Nil"/>
    <m/>
    <s v="BF"/>
    <s v="NB"/>
    <x v="2"/>
    <x v="3"/>
    <n v="5.0999999999999997E-2"/>
    <d v="2021-03-31T00:00:00"/>
    <x v="0"/>
    <m/>
    <s v="Open Market"/>
    <s v="M"/>
    <s v=""/>
    <m/>
    <m/>
    <m/>
    <m/>
    <m/>
    <n v="0"/>
    <n v="0"/>
    <n v="0"/>
    <n v="0"/>
    <n v="-1"/>
    <n v="1"/>
    <n v="0"/>
    <n v="0"/>
    <n v="0"/>
    <n v="0"/>
    <n v="0"/>
    <n v="0"/>
    <n v="0"/>
    <n v="0"/>
    <n v="0"/>
    <n v="0"/>
    <n v="0"/>
    <n v="0"/>
    <n v="-1"/>
    <n v="1"/>
    <n v="0"/>
    <n v="0"/>
    <n v="0"/>
    <n v="0"/>
    <n v="0"/>
    <n v="0"/>
    <n v="0"/>
    <n v="0"/>
    <m/>
    <m/>
    <s v="Rest of Borough"/>
    <n v="3"/>
    <m/>
    <n v="0"/>
    <m/>
    <m/>
    <m/>
    <m/>
    <m/>
    <m/>
    <m/>
    <m/>
    <m/>
    <m/>
    <m/>
    <m/>
    <m/>
    <m/>
    <m/>
    <m/>
    <m/>
    <m/>
    <n v="0"/>
    <n v="0"/>
  </r>
  <r>
    <n v="7435"/>
    <x v="1"/>
    <s v="2020/2870"/>
    <s v="119 Boundaries Road"/>
    <s v=""/>
    <n v="527953"/>
    <n v="172977"/>
    <s v="Trinity"/>
    <d v="2023-04-01T00:00:00"/>
    <m/>
    <n v="1"/>
    <n v="3"/>
    <n v="2"/>
    <n v="3"/>
    <n v="2"/>
    <m/>
    <s v="Alterations including demolition of existing garage; Erection of a dormer roof extension to main rear roof; Alterations to dormer roof extension to back addition; Erection of a part single, part-two storey rear and side extension; In connection with conversion to 2 x 2-bed and 1 x 3-bed flats, with associated cycle and refuse storage."/>
    <s v="PF"/>
    <d v="2020-08-04T00:00:00"/>
    <d v="2020-10-08T00:00:00"/>
    <m/>
    <s v="Nil"/>
    <m/>
    <s v="BF"/>
    <s v="MIX"/>
    <x v="2"/>
    <x v="10"/>
    <n v="2.7E-2"/>
    <d v="2023-04-01T00:00:00"/>
    <x v="1"/>
    <m/>
    <s v="Open Market"/>
    <s v="M"/>
    <s v=""/>
    <m/>
    <m/>
    <m/>
    <m/>
    <m/>
    <n v="0"/>
    <n v="0"/>
    <n v="2"/>
    <n v="1"/>
    <n v="0"/>
    <n v="-1"/>
    <n v="0"/>
    <n v="0"/>
    <n v="0"/>
    <n v="2"/>
    <n v="1"/>
    <n v="0"/>
    <n v="0"/>
    <n v="0"/>
    <n v="0"/>
    <n v="0"/>
    <n v="0"/>
    <n v="0"/>
    <n v="0"/>
    <n v="-1"/>
    <n v="0"/>
    <n v="0"/>
    <n v="0"/>
    <n v="0"/>
    <n v="0"/>
    <n v="0"/>
    <n v="0"/>
    <n v="0"/>
    <m/>
    <m/>
    <s v="Rest of Borough"/>
    <n v="13"/>
    <m/>
    <n v="2"/>
    <m/>
    <m/>
    <m/>
    <m/>
    <m/>
    <m/>
    <m/>
    <m/>
    <m/>
    <m/>
    <m/>
    <m/>
    <m/>
    <m/>
    <m/>
    <m/>
    <m/>
    <m/>
    <n v="2"/>
    <n v="2"/>
  </r>
  <r>
    <n v="7456"/>
    <x v="1"/>
    <s v="2020/2995"/>
    <s v="402-404 Merton Road"/>
    <s v="402"/>
    <n v="525327"/>
    <n v="173104"/>
    <s v="Southfields"/>
    <d v="2021-02-01T00:00:00"/>
    <m/>
    <n v="1"/>
    <n v="1"/>
    <n v="0"/>
    <n v="2"/>
    <n v="0"/>
    <m/>
    <s v="Demolition of existing buildings and erection of 2 x three-storey 5/6 x bedroom dwellings, with associated off street parking to the front and new boundary walls and gates."/>
    <s v="PF"/>
    <d v="2020-08-12T00:00:00"/>
    <d v="2020-10-13T00:00:00"/>
    <m/>
    <s v="Nil"/>
    <m/>
    <s v="BF"/>
    <s v="NB"/>
    <x v="2"/>
    <x v="3"/>
    <n v="4.5999999999999999E-2"/>
    <d v="2021-02-01T00:00:00"/>
    <x v="0"/>
    <m/>
    <s v="Open Market"/>
    <s v="M"/>
    <s v=""/>
    <m/>
    <m/>
    <m/>
    <m/>
    <m/>
    <n v="0"/>
    <n v="0"/>
    <n v="0"/>
    <n v="0"/>
    <n v="-1"/>
    <n v="1"/>
    <n v="0"/>
    <n v="0"/>
    <n v="0"/>
    <n v="0"/>
    <n v="0"/>
    <n v="0"/>
    <n v="0"/>
    <n v="0"/>
    <n v="0"/>
    <n v="0"/>
    <n v="0"/>
    <n v="0"/>
    <n v="-1"/>
    <n v="1"/>
    <n v="0"/>
    <n v="0"/>
    <n v="0"/>
    <n v="0"/>
    <n v="0"/>
    <n v="0"/>
    <n v="0"/>
    <n v="0"/>
    <m/>
    <m/>
    <s v="Wandle Valley"/>
    <n v="3"/>
    <m/>
    <n v="0"/>
    <m/>
    <m/>
    <m/>
    <m/>
    <m/>
    <m/>
    <m/>
    <m/>
    <m/>
    <m/>
    <m/>
    <m/>
    <m/>
    <m/>
    <m/>
    <m/>
    <m/>
    <m/>
    <n v="0"/>
    <n v="0"/>
  </r>
  <r>
    <n v="7456"/>
    <x v="1"/>
    <s v="2020/2995"/>
    <s v="402-404 Merton Road"/>
    <s v="404"/>
    <n v="525327"/>
    <n v="173104"/>
    <s v="Southfields"/>
    <d v="2021-02-01T00:00:00"/>
    <m/>
    <n v="1"/>
    <n v="1"/>
    <n v="0"/>
    <n v="2"/>
    <n v="0"/>
    <m/>
    <s v="Demolition of existing buildings and erection of 2 x three-storey 5/6 x bedroom dwellings, with associated off street parking to the front and new boundary walls and gates."/>
    <s v="PF"/>
    <d v="2020-08-12T00:00:00"/>
    <d v="2020-10-13T00:00:00"/>
    <m/>
    <s v="Nil"/>
    <m/>
    <s v="BF"/>
    <s v="NB"/>
    <x v="2"/>
    <x v="3"/>
    <n v="4.5999999999999999E-2"/>
    <d v="2021-02-01T00:00:00"/>
    <x v="0"/>
    <m/>
    <s v="Open Market"/>
    <s v="M"/>
    <s v=""/>
    <m/>
    <m/>
    <m/>
    <m/>
    <m/>
    <n v="0"/>
    <n v="0"/>
    <n v="0"/>
    <n v="0"/>
    <n v="-1"/>
    <n v="1"/>
    <n v="0"/>
    <n v="0"/>
    <n v="0"/>
    <n v="0"/>
    <n v="0"/>
    <n v="0"/>
    <n v="0"/>
    <n v="0"/>
    <n v="0"/>
    <n v="0"/>
    <n v="0"/>
    <n v="0"/>
    <n v="-1"/>
    <n v="1"/>
    <n v="0"/>
    <n v="0"/>
    <n v="0"/>
    <n v="0"/>
    <n v="0"/>
    <n v="0"/>
    <n v="0"/>
    <n v="0"/>
    <m/>
    <m/>
    <s v="Wandle Valley"/>
    <n v="3"/>
    <m/>
    <n v="0"/>
    <m/>
    <m/>
    <m/>
    <m/>
    <m/>
    <m/>
    <m/>
    <m/>
    <m/>
    <m/>
    <m/>
    <m/>
    <m/>
    <m/>
    <m/>
    <m/>
    <m/>
    <m/>
    <n v="0"/>
    <n v="0"/>
  </r>
  <r>
    <n v="7211"/>
    <x v="1"/>
    <s v="2020/3018"/>
    <s v="916 Garratt Lane"/>
    <s v=""/>
    <n v="527235"/>
    <n v="171597"/>
    <s v="Tooting Broadway"/>
    <d v="2023-02-07T00:00:00"/>
    <m/>
    <n v="1"/>
    <n v="4"/>
    <n v="3"/>
    <n v="4"/>
    <n v="3"/>
    <m/>
    <s v="Demolition of building and erection of a two-storey building with basement to form 1 x 3 bedroom ground floor flat, 1 x 2 bedroom first floor flat, 2 x 1 bedroom second and third floor flats."/>
    <s v="PF"/>
    <d v="2020-10-22T00:00:00"/>
    <d v="2020-10-30T00:00:00"/>
    <m/>
    <s v="Nil"/>
    <m/>
    <s v="BF"/>
    <s v="NB"/>
    <x v="2"/>
    <x v="3"/>
    <n v="0.02"/>
    <d v="2023-02-07T00:00:00"/>
    <x v="0"/>
    <m/>
    <s v="Open Market"/>
    <s v="M"/>
    <s v=""/>
    <m/>
    <m/>
    <m/>
    <m/>
    <m/>
    <n v="2"/>
    <n v="0"/>
    <n v="1"/>
    <n v="0"/>
    <n v="0"/>
    <n v="0"/>
    <n v="0"/>
    <n v="2"/>
    <n v="0"/>
    <n v="1"/>
    <n v="1"/>
    <n v="0"/>
    <n v="0"/>
    <n v="0"/>
    <n v="0"/>
    <n v="0"/>
    <n v="0"/>
    <n v="-1"/>
    <n v="0"/>
    <n v="0"/>
    <n v="0"/>
    <n v="0"/>
    <n v="0"/>
    <n v="0"/>
    <n v="0"/>
    <n v="0"/>
    <n v="0"/>
    <n v="0"/>
    <m/>
    <m/>
    <s v="Tooting"/>
    <n v="3"/>
    <m/>
    <n v="3"/>
    <m/>
    <m/>
    <m/>
    <m/>
    <m/>
    <m/>
    <m/>
    <m/>
    <m/>
    <m/>
    <m/>
    <m/>
    <m/>
    <m/>
    <m/>
    <m/>
    <m/>
    <m/>
    <n v="3"/>
    <n v="3"/>
  </r>
  <r>
    <n v="7466"/>
    <x v="1"/>
    <s v="2020/3110"/>
    <s v="A &amp; B, 38 Comyn Road"/>
    <s v=""/>
    <n v="527275"/>
    <n v="175225"/>
    <s v="Lavender"/>
    <d v="2023-06-01T00:00:00"/>
    <m/>
    <n v="1"/>
    <n v="1"/>
    <n v="0"/>
    <n v="2"/>
    <n v="1"/>
    <m/>
    <s v="Alterations including erection of mansard roof extension to main rear roof (with French doors and safety railings) and extension above part of three-storey back addition; formation of roof terrace at third floor level with 1.7m high screen to side. Erection of single-storey side/rear extension. Conversion of upper level flat into 1 x 1bedoom and 1 x 3 bedroom flats."/>
    <s v="PF"/>
    <d v="2020-08-21T00:00:00"/>
    <d v="2020-11-27T00:00:00"/>
    <m/>
    <s v="Nil"/>
    <m/>
    <s v="BF"/>
    <s v="MIX"/>
    <x v="2"/>
    <x v="7"/>
    <n v="6.0000000000000001E-3"/>
    <d v="2023-06-01T00:00:00"/>
    <x v="1"/>
    <m/>
    <s v="Open Market"/>
    <s v="M"/>
    <s v=""/>
    <m/>
    <m/>
    <m/>
    <m/>
    <m/>
    <n v="0"/>
    <n v="1"/>
    <n v="0"/>
    <n v="0"/>
    <n v="-1"/>
    <n v="0"/>
    <n v="0"/>
    <n v="0"/>
    <n v="1"/>
    <n v="0"/>
    <n v="0"/>
    <n v="-1"/>
    <n v="0"/>
    <n v="0"/>
    <n v="0"/>
    <n v="0"/>
    <n v="0"/>
    <n v="0"/>
    <n v="0"/>
    <n v="0"/>
    <n v="0"/>
    <n v="0"/>
    <n v="0"/>
    <n v="0"/>
    <n v="0"/>
    <n v="0"/>
    <n v="0"/>
    <n v="0"/>
    <m/>
    <m/>
    <s v="Clapham Junction and York Road / Winstanley Regeneration Area"/>
    <n v="13"/>
    <m/>
    <n v="0"/>
    <m/>
    <m/>
    <m/>
    <m/>
    <m/>
    <m/>
    <m/>
    <m/>
    <m/>
    <m/>
    <m/>
    <m/>
    <m/>
    <m/>
    <m/>
    <m/>
    <m/>
    <m/>
    <n v="0"/>
    <n v="0"/>
  </r>
  <r>
    <n v="7466"/>
    <x v="1"/>
    <s v="2020/3110"/>
    <s v="A &amp; B, 38 Comyn Road"/>
    <s v=""/>
    <n v="527275"/>
    <n v="175225"/>
    <s v="Lavender"/>
    <d v="2023-06-01T00:00:00"/>
    <m/>
    <n v="0"/>
    <n v="1"/>
    <n v="1"/>
    <n v="2"/>
    <n v="1"/>
    <m/>
    <s v="Alterations including erection of mansard roof extension to main rear roof (with French doors and safety railings) and extension above part of three-storey back addition; formation of roof terrace at third floor level with 1.7m high screen to side. Erection of single-storey side/rear extension. Conversion of upper level flat into 1 x 1bedoom and 1 x 3 bedroom flats."/>
    <s v="PF"/>
    <d v="2020-08-21T00:00:00"/>
    <d v="2020-11-27T00:00:00"/>
    <m/>
    <s v="Nil"/>
    <m/>
    <s v="BF"/>
    <s v="MIX"/>
    <x v="2"/>
    <x v="5"/>
    <n v="8.9999999999999993E-3"/>
    <d v="2023-06-01T00:00:00"/>
    <x v="1"/>
    <m/>
    <s v="Open Market"/>
    <s v="M"/>
    <s v=""/>
    <m/>
    <m/>
    <m/>
    <m/>
    <m/>
    <n v="0"/>
    <n v="0"/>
    <n v="0"/>
    <n v="1"/>
    <n v="0"/>
    <n v="0"/>
    <n v="0"/>
    <n v="0"/>
    <n v="0"/>
    <n v="0"/>
    <n v="1"/>
    <n v="0"/>
    <n v="0"/>
    <n v="0"/>
    <n v="0"/>
    <n v="0"/>
    <n v="0"/>
    <n v="0"/>
    <n v="0"/>
    <n v="0"/>
    <n v="0"/>
    <n v="0"/>
    <n v="0"/>
    <n v="0"/>
    <n v="0"/>
    <n v="0"/>
    <n v="0"/>
    <n v="0"/>
    <m/>
    <m/>
    <s v="Clapham Junction and York Road / Winstanley Regeneration Area"/>
    <n v="13"/>
    <m/>
    <n v="1"/>
    <m/>
    <m/>
    <m/>
    <m/>
    <m/>
    <m/>
    <m/>
    <m/>
    <m/>
    <m/>
    <m/>
    <m/>
    <m/>
    <m/>
    <m/>
    <m/>
    <m/>
    <m/>
    <n v="1"/>
    <n v="1"/>
  </r>
  <r>
    <n v="2060"/>
    <x v="1"/>
    <s v="2020/3209"/>
    <s v="181-185 Wandsworth High Street"/>
    <s v=""/>
    <n v="525346"/>
    <n v="174649"/>
    <s v="Wandsworth Town"/>
    <d v="2023-11-30T00:00:00"/>
    <m/>
    <n v="0"/>
    <n v="3"/>
    <n v="3"/>
    <n v="6"/>
    <n v="3"/>
    <m/>
    <s v="Erection of roof extensions to provide an additional storey to front and rear sections of the building with a pitched roof to the front; reconfiguration of 3 existing flats; works in association with the provision of 3 x 1 bedroomed flats."/>
    <s v="PF"/>
    <d v="2020-08-28T00:00:00"/>
    <d v="2020-10-23T00:00:00"/>
    <m/>
    <s v="Nil"/>
    <m/>
    <s v="BF"/>
    <s v="MIX"/>
    <x v="2"/>
    <x v="7"/>
    <n v="6.0000000000000001E-3"/>
    <d v="2023-11-30T00:00:00"/>
    <x v="1"/>
    <m/>
    <s v="Open Market"/>
    <s v="M"/>
    <s v=""/>
    <m/>
    <m/>
    <m/>
    <m/>
    <m/>
    <n v="0"/>
    <n v="3"/>
    <n v="0"/>
    <n v="0"/>
    <n v="0"/>
    <n v="0"/>
    <n v="0"/>
    <n v="0"/>
    <n v="3"/>
    <n v="0"/>
    <n v="0"/>
    <n v="0"/>
    <n v="0"/>
    <n v="0"/>
    <n v="0"/>
    <n v="0"/>
    <n v="0"/>
    <n v="0"/>
    <n v="0"/>
    <n v="0"/>
    <n v="0"/>
    <n v="0"/>
    <n v="0"/>
    <n v="0"/>
    <n v="0"/>
    <n v="0"/>
    <n v="0"/>
    <n v="0"/>
    <s v="Wandsworth"/>
    <m/>
    <s v="Wandsworth Town, including the Wandle Delta Masterplan Area"/>
    <n v="14"/>
    <m/>
    <n v="1.5"/>
    <n v="1.5"/>
    <m/>
    <m/>
    <m/>
    <m/>
    <m/>
    <m/>
    <m/>
    <m/>
    <m/>
    <m/>
    <m/>
    <m/>
    <m/>
    <m/>
    <m/>
    <m/>
    <m/>
    <n v="3"/>
    <n v="3"/>
  </r>
  <r>
    <n v="2060"/>
    <x v="1"/>
    <s v="2020/3209"/>
    <s v="181-185 Wandsworth High Street"/>
    <s v=""/>
    <n v="525346"/>
    <n v="174649"/>
    <s v="Wandsworth Town"/>
    <d v="2023-11-30T00:00:00"/>
    <m/>
    <n v="3"/>
    <n v="3"/>
    <n v="0"/>
    <n v="6"/>
    <n v="3"/>
    <m/>
    <s v="Erection of roof extensions to provide an additional storey to front and rear sections of the building with a pitched roof to the front; reconfiguration of 3 existing flats; works in association with the provision of 3 x 1 bedroomed flats."/>
    <s v="PF"/>
    <d v="2020-08-28T00:00:00"/>
    <d v="2020-10-23T00:00:00"/>
    <m/>
    <s v="Nil"/>
    <m/>
    <s v="BF"/>
    <s v="MIX"/>
    <x v="2"/>
    <x v="5"/>
    <n v="6.0000000000000001E-3"/>
    <d v="2023-11-30T00:00:00"/>
    <x v="1"/>
    <m/>
    <s v="Open Market"/>
    <s v="M"/>
    <s v=""/>
    <m/>
    <m/>
    <m/>
    <m/>
    <m/>
    <n v="1"/>
    <n v="2"/>
    <n v="-1"/>
    <n v="-2"/>
    <n v="0"/>
    <n v="0"/>
    <n v="0"/>
    <n v="1"/>
    <n v="2"/>
    <n v="-1"/>
    <n v="-2"/>
    <n v="0"/>
    <n v="0"/>
    <n v="0"/>
    <n v="0"/>
    <n v="0"/>
    <n v="0"/>
    <n v="0"/>
    <n v="0"/>
    <n v="0"/>
    <n v="0"/>
    <n v="0"/>
    <n v="0"/>
    <n v="0"/>
    <n v="0"/>
    <n v="0"/>
    <n v="0"/>
    <n v="0"/>
    <s v="Wandsworth"/>
    <m/>
    <s v="Wandsworth Town, including the Wandle Delta Masterplan Area"/>
    <n v="14"/>
    <m/>
    <n v="0"/>
    <n v="0"/>
    <m/>
    <m/>
    <m/>
    <m/>
    <m/>
    <m/>
    <m/>
    <m/>
    <m/>
    <m/>
    <m/>
    <m/>
    <m/>
    <m/>
    <m/>
    <m/>
    <m/>
    <n v="0"/>
    <n v="0"/>
  </r>
  <r>
    <n v="2767"/>
    <x v="1"/>
    <s v="2020/3575"/>
    <s v="Springfield, 332 Upper Richmond Road"/>
    <s v=""/>
    <n v="523548"/>
    <n v="175265"/>
    <s v="West Putney"/>
    <d v="2024-01-19T00:00:00"/>
    <m/>
    <n v="0"/>
    <n v="1"/>
    <n v="1"/>
    <n v="1"/>
    <n v="1"/>
    <m/>
    <s v="Erection of a single-storey (plus basement) 3-bedroom detached dwellinghouse on land to the side of the existing dwelling at 332 Upper Richmond Road."/>
    <s v="PF"/>
    <d v="2020-09-25T00:00:00"/>
    <d v="2021-02-01T00:00:00"/>
    <m/>
    <s v="Nil"/>
    <m/>
    <s v="BF"/>
    <s v="NB"/>
    <x v="2"/>
    <x v="3"/>
    <n v="1.2E-2"/>
    <d v="2024-01-19T00:00:00"/>
    <x v="1"/>
    <m/>
    <s v="Open Market"/>
    <s v="M"/>
    <s v=""/>
    <m/>
    <m/>
    <m/>
    <m/>
    <m/>
    <n v="0"/>
    <n v="0"/>
    <n v="0"/>
    <n v="1"/>
    <n v="0"/>
    <n v="0"/>
    <n v="0"/>
    <n v="0"/>
    <n v="0"/>
    <n v="0"/>
    <n v="0"/>
    <n v="0"/>
    <n v="0"/>
    <n v="0"/>
    <n v="0"/>
    <n v="0"/>
    <n v="0"/>
    <n v="1"/>
    <n v="0"/>
    <n v="0"/>
    <n v="0"/>
    <n v="0"/>
    <n v="0"/>
    <n v="0"/>
    <n v="0"/>
    <n v="0"/>
    <n v="0"/>
    <n v="0"/>
    <m/>
    <m/>
    <s v="Rest of Borough"/>
    <n v="4"/>
    <m/>
    <n v="0.5"/>
    <n v="0.5"/>
    <m/>
    <m/>
    <m/>
    <m/>
    <m/>
    <m/>
    <m/>
    <m/>
    <m/>
    <m/>
    <m/>
    <m/>
    <m/>
    <m/>
    <m/>
    <m/>
    <m/>
    <n v="1"/>
    <n v="1"/>
  </r>
  <r>
    <n v="3902"/>
    <x v="1"/>
    <s v="2020/3777"/>
    <s v="St Peter with St Paul Church, Vicarage and, 23-31 Plough Road (Parkside St. Peters)"/>
    <s v=""/>
    <n v="526710"/>
    <n v="175659"/>
    <s v="Falconbrook"/>
    <d v="2014-03-31T00:00:00"/>
    <m/>
    <n v="0"/>
    <n v="8"/>
    <n v="8"/>
    <n v="8"/>
    <n v="8"/>
    <m/>
    <s v="Prior Approval for the addition of a two-storey extension to the existing eight-storey residential building to provide 8 residential units, as well as the relocation and addition of plant and ancillary roof terrace"/>
    <s v="PAG"/>
    <d v="2020-10-20T00:00:00"/>
    <d v="2021-01-12T00:00:00"/>
    <m/>
    <s v="Nil"/>
    <m/>
    <s v="BF"/>
    <s v="EXT"/>
    <x v="2"/>
    <x v="3"/>
    <n v="2.7E-2"/>
    <d v="2014-03-31T00:00:00"/>
    <x v="0"/>
    <m/>
    <s v="Open Market"/>
    <s v="M"/>
    <s v="4.1.6"/>
    <m/>
    <m/>
    <m/>
    <m/>
    <m/>
    <n v="0"/>
    <n v="0"/>
    <n v="8"/>
    <n v="0"/>
    <n v="0"/>
    <n v="0"/>
    <n v="0"/>
    <n v="0"/>
    <n v="0"/>
    <n v="8"/>
    <n v="0"/>
    <n v="0"/>
    <n v="0"/>
    <n v="0"/>
    <n v="0"/>
    <n v="0"/>
    <n v="0"/>
    <n v="0"/>
    <n v="0"/>
    <n v="0"/>
    <n v="0"/>
    <n v="0"/>
    <n v="0"/>
    <n v="0"/>
    <n v="0"/>
    <n v="0"/>
    <n v="0"/>
    <n v="0"/>
    <m/>
    <m/>
    <s v="Clapham Junction and York Road / Winstanley Regeneration Area"/>
    <n v="13"/>
    <m/>
    <n v="8"/>
    <m/>
    <m/>
    <m/>
    <m/>
    <m/>
    <m/>
    <m/>
    <m/>
    <m/>
    <m/>
    <m/>
    <m/>
    <m/>
    <m/>
    <m/>
    <m/>
    <m/>
    <m/>
    <n v="8"/>
    <n v="8"/>
  </r>
  <r>
    <n v="7482"/>
    <x v="1"/>
    <s v="2020/4014"/>
    <s v="87a Thurleigh Road"/>
    <s v=""/>
    <n v="528070"/>
    <n v="174219"/>
    <s v="Northcote"/>
    <d v="2024-03-31T00:00:00"/>
    <m/>
    <n v="0"/>
    <n v="1"/>
    <n v="1"/>
    <n v="1"/>
    <n v="1"/>
    <m/>
    <s v="Alterations to existing outbuilding in connection with its conversion to a 1 x bedroom self contained residential unit; new roof with rooflights lights, new timber fencing and gate to Wroughton Road with associated refuse and cycle storage."/>
    <s v="PF"/>
    <d v="2020-10-23T00:00:00"/>
    <d v="2020-12-18T00:00:00"/>
    <m/>
    <s v="Nil"/>
    <m/>
    <s v="BF"/>
    <s v="CON"/>
    <x v="2"/>
    <x v="8"/>
    <n v="4.0000000000000001E-3"/>
    <d v="2024-03-31T00:00:00"/>
    <x v="1"/>
    <m/>
    <s v="Open Market"/>
    <s v="M"/>
    <s v=""/>
    <m/>
    <m/>
    <m/>
    <m/>
    <m/>
    <n v="0"/>
    <n v="1"/>
    <n v="0"/>
    <n v="0"/>
    <n v="0"/>
    <n v="0"/>
    <n v="0"/>
    <n v="0"/>
    <n v="0"/>
    <n v="0"/>
    <n v="0"/>
    <n v="0"/>
    <n v="0"/>
    <n v="0"/>
    <n v="0"/>
    <n v="1"/>
    <n v="0"/>
    <n v="0"/>
    <n v="0"/>
    <n v="0"/>
    <n v="0"/>
    <n v="0"/>
    <n v="0"/>
    <n v="0"/>
    <n v="0"/>
    <n v="0"/>
    <n v="0"/>
    <n v="0"/>
    <m/>
    <m/>
    <s v="Rest of Borough"/>
    <n v="14"/>
    <m/>
    <n v="0.5"/>
    <n v="0.5"/>
    <m/>
    <m/>
    <m/>
    <m/>
    <m/>
    <m/>
    <m/>
    <m/>
    <m/>
    <m/>
    <m/>
    <m/>
    <m/>
    <m/>
    <m/>
    <m/>
    <m/>
    <n v="1"/>
    <n v="1"/>
  </r>
  <r>
    <n v="5958"/>
    <x v="1"/>
    <s v="2020/4021"/>
    <s v="250 Upper Tooting Road"/>
    <s v=""/>
    <n v="527576"/>
    <n v="171713"/>
    <s v="Tooting Bec"/>
    <d v="2024-03-31T00:00:00"/>
    <m/>
    <n v="2"/>
    <n v="1"/>
    <n v="-1"/>
    <n v="4"/>
    <n v="2"/>
    <m/>
    <s v="Reconfiguration of first and second floors to form 4 units (1 x 2-bedroom and 3 x 1-bedroom) with the erection of ground, first and second floor rear and side extensions and installation of AC units."/>
    <s v="PF"/>
    <d v="2020-10-23T00:00:00"/>
    <d v="2020-12-18T00:00:00"/>
    <m/>
    <s v="Nil"/>
    <m/>
    <s v="BF"/>
    <s v="MIX"/>
    <x v="2"/>
    <x v="1"/>
    <n v="2E-3"/>
    <d v="2024-03-31T00:00:00"/>
    <x v="1"/>
    <m/>
    <s v="Open Market"/>
    <s v="M"/>
    <s v=""/>
    <m/>
    <m/>
    <m/>
    <m/>
    <m/>
    <n v="0"/>
    <n v="0"/>
    <n v="-1"/>
    <n v="0"/>
    <n v="0"/>
    <n v="0"/>
    <n v="0"/>
    <n v="0"/>
    <n v="0"/>
    <n v="-1"/>
    <n v="0"/>
    <n v="0"/>
    <n v="0"/>
    <n v="0"/>
    <n v="0"/>
    <n v="0"/>
    <n v="0"/>
    <n v="0"/>
    <n v="0"/>
    <n v="0"/>
    <n v="0"/>
    <n v="0"/>
    <n v="0"/>
    <n v="0"/>
    <n v="0"/>
    <n v="0"/>
    <n v="0"/>
    <n v="0"/>
    <s v="Tooting"/>
    <m/>
    <s v="Tooting"/>
    <n v="14"/>
    <m/>
    <n v="-0.5"/>
    <n v="-0.5"/>
    <m/>
    <m/>
    <m/>
    <m/>
    <m/>
    <m/>
    <m/>
    <m/>
    <m/>
    <m/>
    <m/>
    <m/>
    <m/>
    <m/>
    <m/>
    <m/>
    <m/>
    <n v="-1"/>
    <n v="-1"/>
  </r>
  <r>
    <n v="5958"/>
    <x v="1"/>
    <s v="2020/4021"/>
    <s v="250 Upper Tooting Road"/>
    <s v=""/>
    <n v="527576"/>
    <n v="171713"/>
    <s v="Tooting Bec"/>
    <d v="2024-03-31T00:00:00"/>
    <m/>
    <n v="0"/>
    <n v="3"/>
    <n v="3"/>
    <n v="4"/>
    <n v="2"/>
    <m/>
    <s v="Reconfiguration of first and second floors to form 4 units (1 x 2-bedroom and 3 x 1-bedroom) with the erection of ground, first and second floor rear and side extensions and installation of AC units."/>
    <s v="PF"/>
    <d v="2020-10-23T00:00:00"/>
    <d v="2020-12-18T00:00:00"/>
    <m/>
    <s v="Nil"/>
    <m/>
    <s v="BF"/>
    <s v="MIX"/>
    <x v="2"/>
    <x v="7"/>
    <n v="5.0000000000000001E-3"/>
    <d v="2024-03-31T00:00:00"/>
    <x v="1"/>
    <m/>
    <s v="Open Market"/>
    <s v="M"/>
    <s v=""/>
    <m/>
    <m/>
    <m/>
    <m/>
    <m/>
    <n v="0"/>
    <n v="3"/>
    <n v="0"/>
    <n v="0"/>
    <n v="0"/>
    <n v="0"/>
    <n v="0"/>
    <n v="0"/>
    <n v="3"/>
    <n v="0"/>
    <n v="0"/>
    <n v="0"/>
    <n v="0"/>
    <n v="0"/>
    <n v="0"/>
    <n v="0"/>
    <n v="0"/>
    <n v="0"/>
    <n v="0"/>
    <n v="0"/>
    <n v="0"/>
    <n v="0"/>
    <n v="0"/>
    <n v="0"/>
    <n v="0"/>
    <n v="0"/>
    <n v="0"/>
    <n v="0"/>
    <s v="Tooting"/>
    <m/>
    <s v="Tooting"/>
    <n v="14"/>
    <m/>
    <n v="1.5"/>
    <n v="1.5"/>
    <m/>
    <m/>
    <m/>
    <m/>
    <m/>
    <m/>
    <m/>
    <m/>
    <m/>
    <m/>
    <m/>
    <m/>
    <m/>
    <m/>
    <m/>
    <m/>
    <m/>
    <n v="3"/>
    <n v="3"/>
  </r>
  <r>
    <n v="2304"/>
    <x v="1"/>
    <s v="2020/4088"/>
    <s v="Chelsea Bridge Wharf (southern site), Queenstown Road (Phase 5, Residential Blocks F &amp; G (Lanson House &amp; Burnelli House))"/>
    <s v=""/>
    <n v="528666"/>
    <n v="177450"/>
    <s v="Battersea Park"/>
    <d v="2024-03-31T00:00:00"/>
    <m/>
    <n v="0"/>
    <n v="6"/>
    <n v="6"/>
    <n v="6"/>
    <n v="6"/>
    <m/>
    <s v="Change of use of the ground floor of the Lanson building from commercial floorspace to form 6 residential units (Class C3), comprising 2 x 1 beds, 3 x 2 bed and 1 x 3 bed units, along with associated internal and external alterations."/>
    <s v="PF"/>
    <d v="2020-10-28T00:00:00"/>
    <d v="2021-04-30T00:00:00"/>
    <m/>
    <s v="Nil"/>
    <m/>
    <s v="BF"/>
    <s v="CON"/>
    <x v="2"/>
    <x v="6"/>
    <n v="8.0000000000000002E-3"/>
    <d v="2024-03-31T00:00:00"/>
    <x v="1"/>
    <m/>
    <s v="Open Market"/>
    <s v="M"/>
    <s v=""/>
    <m/>
    <m/>
    <m/>
    <m/>
    <m/>
    <n v="0"/>
    <n v="2"/>
    <n v="3"/>
    <n v="1"/>
    <n v="0"/>
    <n v="0"/>
    <n v="0"/>
    <n v="0"/>
    <n v="2"/>
    <n v="3"/>
    <n v="1"/>
    <n v="0"/>
    <n v="0"/>
    <n v="0"/>
    <n v="0"/>
    <n v="0"/>
    <n v="0"/>
    <n v="0"/>
    <n v="0"/>
    <n v="0"/>
    <n v="0"/>
    <n v="0"/>
    <n v="0"/>
    <n v="0"/>
    <n v="0"/>
    <n v="0"/>
    <n v="0"/>
    <n v="0"/>
    <m/>
    <s v="Y"/>
    <s v="Nine Elms"/>
    <n v="14"/>
    <m/>
    <n v="3"/>
    <n v="3"/>
    <m/>
    <m/>
    <m/>
    <m/>
    <m/>
    <m/>
    <m/>
    <m/>
    <m/>
    <m/>
    <m/>
    <m/>
    <m/>
    <m/>
    <m/>
    <m/>
    <m/>
    <n v="6"/>
    <n v="6"/>
  </r>
  <r>
    <n v="5245"/>
    <x v="1"/>
    <s v="2021/3661"/>
    <s v="28 Thessaly Road"/>
    <s v=""/>
    <n v="529554"/>
    <n v="176699"/>
    <s v="Shaftesbury &amp; Queenstown"/>
    <d v="2023-12-31T00:00:00"/>
    <m/>
    <n v="0"/>
    <n v="17"/>
    <n v="17"/>
    <n v="17"/>
    <n v="17"/>
    <s v="Y"/>
    <s v="The development of the site comprising the erection of a five storey building comprising 17 flats (3 x studios, 11 x 2-bedroom and 3 x 3-bedroom) with ancillary cycle and plant areas accommodated in a basement, and associated refuse storage and landscaping."/>
    <s v="PFLA"/>
    <d v="2021-09-03T00:00:00"/>
    <d v="2023-01-04T00:00:00"/>
    <m/>
    <s v="Nil"/>
    <m/>
    <s v="BF"/>
    <s v="NB"/>
    <x v="1"/>
    <x v="0"/>
    <n v="3.1E-2"/>
    <d v="2023-12-31T00:00:00"/>
    <x v="1"/>
    <m/>
    <s v="Open Market"/>
    <s v="M"/>
    <s v=""/>
    <m/>
    <m/>
    <n v="15"/>
    <m/>
    <n v="2"/>
    <n v="3"/>
    <n v="0"/>
    <n v="11"/>
    <n v="3"/>
    <n v="0"/>
    <n v="0"/>
    <n v="0"/>
    <n v="3"/>
    <n v="0"/>
    <n v="11"/>
    <n v="3"/>
    <n v="0"/>
    <n v="0"/>
    <n v="0"/>
    <n v="0"/>
    <n v="0"/>
    <n v="0"/>
    <n v="0"/>
    <n v="0"/>
    <n v="0"/>
    <n v="0"/>
    <n v="0"/>
    <n v="0"/>
    <n v="0"/>
    <n v="0"/>
    <n v="0"/>
    <n v="0"/>
    <n v="0"/>
    <m/>
    <s v="Y"/>
    <s v="Nine Elms"/>
    <n v="2"/>
    <m/>
    <m/>
    <n v="17"/>
    <m/>
    <m/>
    <m/>
    <m/>
    <m/>
    <m/>
    <m/>
    <m/>
    <m/>
    <m/>
    <m/>
    <m/>
    <m/>
    <m/>
    <m/>
    <m/>
    <m/>
    <n v="17"/>
    <n v="17"/>
  </r>
  <r>
    <n v="7212"/>
    <x v="1"/>
    <s v="2020/5042"/>
    <s v="19 Roedean Crescent"/>
    <s v=""/>
    <n v="521190"/>
    <n v="174507"/>
    <s v="Roehampton"/>
    <d v="2022-06-06T00:00:00"/>
    <m/>
    <n v="1"/>
    <n v="1"/>
    <n v="0"/>
    <n v="1"/>
    <n v="0"/>
    <m/>
    <s v="Demolition of existing building and single storey outbuilding in rear garden and erection of a two-storey (plus basement and roof levels) 6-bedroom detached house with rear first floor terrace."/>
    <s v="PF"/>
    <d v="2020-12-24T00:00:00"/>
    <d v="2021-02-18T00:00:00"/>
    <m/>
    <s v="Nil"/>
    <m/>
    <s v="BF"/>
    <s v="NB"/>
    <x v="2"/>
    <x v="3"/>
    <n v="0.126"/>
    <d v="2022-06-06T00:00:00"/>
    <x v="0"/>
    <m/>
    <s v="Open Market"/>
    <s v="M"/>
    <s v=""/>
    <m/>
    <m/>
    <m/>
    <m/>
    <m/>
    <n v="0"/>
    <n v="0"/>
    <n v="0"/>
    <n v="0"/>
    <n v="0"/>
    <n v="0"/>
    <n v="0"/>
    <n v="0"/>
    <n v="0"/>
    <n v="0"/>
    <n v="0"/>
    <n v="0"/>
    <n v="0"/>
    <n v="0"/>
    <n v="0"/>
    <n v="0"/>
    <n v="0"/>
    <n v="0"/>
    <n v="0"/>
    <n v="0"/>
    <n v="0"/>
    <n v="0"/>
    <n v="0"/>
    <n v="0"/>
    <n v="0"/>
    <n v="0"/>
    <n v="0"/>
    <n v="0"/>
    <m/>
    <m/>
    <s v="Rest of Borough"/>
    <n v="3"/>
    <m/>
    <n v="0"/>
    <m/>
    <m/>
    <m/>
    <m/>
    <m/>
    <m/>
    <m/>
    <m/>
    <m/>
    <m/>
    <m/>
    <m/>
    <m/>
    <m/>
    <m/>
    <m/>
    <m/>
    <m/>
    <n v="0"/>
    <n v="0"/>
  </r>
  <r>
    <n v="2039"/>
    <x v="1"/>
    <s v="2020/5062"/>
    <s v="The Boat &amp; Dragon PH, 180 Lower Richmond Road (1-6 Sadlers Gate Mews, Commondale SW15 1HD 1-3 Sadlers House)"/>
    <s v=""/>
    <n v="523242"/>
    <n v="175897"/>
    <s v="Thamesfield"/>
    <d v="2023-12-01T00:00:00"/>
    <m/>
    <n v="0"/>
    <n v="2"/>
    <n v="2"/>
    <n v="2"/>
    <n v="2"/>
    <m/>
    <s v="Alterations including formation of a front lightwell and additional fenestration to front and side elevations in connection with change of use of ground and lower ground floors from Class E (commercial business and service) to 2 x 2 -bedroom flats (Class C3). [Note: This is a reconsultation as some originally sent letters may not have been received]."/>
    <s v="PF"/>
    <d v="2020-12-24T00:00:00"/>
    <d v="2021-03-15T00:00:00"/>
    <m/>
    <s v="Nil"/>
    <m/>
    <s v="BF"/>
    <s v="COU"/>
    <x v="2"/>
    <x v="4"/>
    <n v="2.1700000000000001E-2"/>
    <d v="2023-12-01T00:00:00"/>
    <x v="1"/>
    <m/>
    <s v="Open Market"/>
    <s v="M"/>
    <s v=""/>
    <m/>
    <m/>
    <m/>
    <m/>
    <m/>
    <n v="0"/>
    <n v="0"/>
    <n v="2"/>
    <n v="0"/>
    <n v="0"/>
    <n v="0"/>
    <n v="0"/>
    <n v="0"/>
    <n v="0"/>
    <n v="2"/>
    <n v="0"/>
    <n v="0"/>
    <n v="0"/>
    <n v="0"/>
    <n v="0"/>
    <n v="0"/>
    <n v="0"/>
    <n v="0"/>
    <n v="0"/>
    <n v="0"/>
    <n v="0"/>
    <n v="0"/>
    <n v="0"/>
    <n v="0"/>
    <n v="0"/>
    <n v="0"/>
    <n v="0"/>
    <n v="0"/>
    <m/>
    <m/>
    <s v="Rest of Borough"/>
    <n v="14"/>
    <m/>
    <n v="1"/>
    <n v="1"/>
    <m/>
    <m/>
    <m/>
    <m/>
    <m/>
    <m/>
    <m/>
    <m/>
    <m/>
    <m/>
    <m/>
    <m/>
    <m/>
    <m/>
    <m/>
    <m/>
    <m/>
    <n v="2"/>
    <n v="2"/>
  </r>
  <r>
    <n v="2411"/>
    <x v="1"/>
    <s v="2021/0138"/>
    <s v="South Lambeth Goods Depot, Cringle St./Battersea Park Rd., Kirtling Street (Battersea Power Station)"/>
    <s v="Phase 3 (rest of RS-4 + O1)"/>
    <n v="528934"/>
    <n v="177496"/>
    <s v="Nine Elms"/>
    <d v="2016-05-16T00:00:00"/>
    <m/>
    <n v="0"/>
    <n v="836"/>
    <n v="836"/>
    <n v="2027"/>
    <n v="2027"/>
    <s v="Y"/>
    <s v="Application under Section 96a of the Town and Country Planning Act 1990 (as amended) for non-material amendments to planning permission 2014/2837 dated 05/12/2015 (&quot;Application for Amendments to the planning permission dated the 29/04/14 (ref: 2013/6639) for the restoration, extension, alterations and conversion of the Power Station building to provide retail, residential flats, business, cultural, hotel and conference facilities, event space and incidental accommodation; the demolition of other buildings and development of the land surrounding the Power Station and adjacent/nearby sites to provide retail, restaurants bars and cafes, offices, hotel, residential, community and cultural space, assembly and leisure space, student housing, serviced apartments, an energy centre and basement plant; parking for cars, coaches, motorcycles and bicycles; new access and internal road system and servicing; 'off-site' highway works; works to the jetty and riverwall to facilitate river transport and fuel delivery; provision of open space and landscaping.&quot;) The submitted details relate to the residential layouts of building O1 within phase 3A of the Battersea Power Station development."/>
    <s v="S96A"/>
    <d v="2021-01-14T00:00:00"/>
    <d v="2021-03-09T00:00:00"/>
    <m/>
    <s v="Nil"/>
    <m/>
    <s v="BF"/>
    <s v="NB"/>
    <x v="1"/>
    <x v="0"/>
    <n v="1.4490000000000001"/>
    <d v="2016-05-16T00:00:00"/>
    <x v="0"/>
    <m/>
    <s v="Open Market"/>
    <s v="M"/>
    <s v="2.1.1"/>
    <m/>
    <n v="836"/>
    <m/>
    <n v="84"/>
    <m/>
    <n v="148"/>
    <n v="149"/>
    <n v="406"/>
    <n v="87"/>
    <n v="11"/>
    <n v="35"/>
    <n v="0"/>
    <n v="148"/>
    <n v="149"/>
    <n v="406"/>
    <n v="87"/>
    <n v="11"/>
    <n v="35"/>
    <n v="0"/>
    <n v="0"/>
    <n v="0"/>
    <n v="0"/>
    <n v="0"/>
    <n v="0"/>
    <n v="0"/>
    <n v="0"/>
    <n v="0"/>
    <n v="0"/>
    <n v="0"/>
    <n v="0"/>
    <n v="0"/>
    <n v="0"/>
    <n v="0"/>
    <m/>
    <s v="Y"/>
    <s v="Nine Elms"/>
    <n v="6"/>
    <m/>
    <m/>
    <n v="209"/>
    <n v="209"/>
    <n v="209"/>
    <n v="209"/>
    <m/>
    <m/>
    <m/>
    <m/>
    <m/>
    <m/>
    <m/>
    <m/>
    <m/>
    <m/>
    <m/>
    <m/>
    <m/>
    <m/>
    <n v="836"/>
    <n v="836"/>
  </r>
  <r>
    <n v="7100"/>
    <x v="1"/>
    <s v="2021/0208"/>
    <s v="190-194 St Anns Hill"/>
    <s v=""/>
    <n v="525939"/>
    <n v="174515"/>
    <s v="Wandsworth Town"/>
    <d v="2020-12-10T00:00:00"/>
    <m/>
    <n v="0"/>
    <n v="20"/>
    <n v="20"/>
    <n v="22"/>
    <n v="22"/>
    <s v="Y"/>
    <s v="Erection of a four storey building at 190 - 192 (including the retention of the existing front facade and the rebuilding of the rear facade / boundary wall); the erection of a three-storey rear extension rear plus mansard to No 194; the erection of dormer roof to the front of No. 192; the provision of font and rear terraces at first and second floor levels. Works in association with the provision of 13 x 1-bedroom, 7 x 2-bedroom, 2 x 3-bedroom flats, with associated refuse and bicycle store"/>
    <s v="PFLA"/>
    <d v="2021-01-18T00:00:00"/>
    <d v="2021-10-26T00:00:00"/>
    <m/>
    <s v="Nil"/>
    <m/>
    <s v="BF"/>
    <s v="MIX"/>
    <x v="1"/>
    <x v="0"/>
    <n v="5.8999999999999997E-2"/>
    <d v="2020-12-10T00:00:00"/>
    <x v="0"/>
    <m/>
    <s v="Open Market"/>
    <s v="M"/>
    <s v=""/>
    <m/>
    <m/>
    <m/>
    <m/>
    <m/>
    <n v="0"/>
    <n v="12"/>
    <n v="6"/>
    <n v="2"/>
    <n v="0"/>
    <n v="0"/>
    <n v="0"/>
    <n v="0"/>
    <n v="12"/>
    <n v="6"/>
    <n v="2"/>
    <n v="0"/>
    <n v="0"/>
    <n v="0"/>
    <n v="0"/>
    <n v="0"/>
    <n v="0"/>
    <n v="0"/>
    <n v="0"/>
    <n v="0"/>
    <n v="0"/>
    <n v="0"/>
    <n v="0"/>
    <n v="0"/>
    <n v="0"/>
    <n v="0"/>
    <n v="0"/>
    <n v="0"/>
    <m/>
    <m/>
    <s v="Wandsworth Town, including the Wandle Delta Masterplan Area"/>
    <n v="13"/>
    <m/>
    <n v="20"/>
    <m/>
    <m/>
    <m/>
    <m/>
    <m/>
    <m/>
    <m/>
    <m/>
    <m/>
    <m/>
    <m/>
    <m/>
    <m/>
    <m/>
    <m/>
    <m/>
    <m/>
    <m/>
    <n v="20"/>
    <n v="20"/>
  </r>
  <r>
    <n v="7100"/>
    <x v="1"/>
    <s v="2021/0208"/>
    <s v="190-194 St Anns Hill"/>
    <s v=""/>
    <n v="525939"/>
    <n v="174515"/>
    <s v="Wandsworth Town"/>
    <d v="2020-12-10T00:00:00"/>
    <m/>
    <n v="0"/>
    <n v="2"/>
    <n v="2"/>
    <n v="22"/>
    <n v="22"/>
    <s v="Y"/>
    <s v="Erection of a four storey building at 190 - 192 (including the retention of the existing front facade and the rebuilding of the rear facade / boundary wall); the erection of a three-storey rear extension rear plus mansard to No 194; the erection of dormer roof to the front of No. 192; the provision of font and rear terraces at first and second floor levels. Works in association with the provision of 13 x 1-bedroom, 7 x 2-bedroom, 2 x 3-bedroom flats, with associated refuse and bicycle store"/>
    <s v="PFLA"/>
    <d v="2021-01-18T00:00:00"/>
    <d v="2021-10-26T00:00:00"/>
    <m/>
    <s v="Nil"/>
    <m/>
    <s v="BF"/>
    <s v="MIX"/>
    <x v="1"/>
    <x v="0"/>
    <n v="5.8999999999999999E-3"/>
    <d v="2020-12-10T00:00:00"/>
    <x v="0"/>
    <m/>
    <s v="Intermediate"/>
    <s v="ISL"/>
    <s v=""/>
    <m/>
    <m/>
    <m/>
    <m/>
    <m/>
    <n v="0"/>
    <n v="1"/>
    <n v="1"/>
    <n v="0"/>
    <n v="0"/>
    <n v="0"/>
    <n v="0"/>
    <n v="0"/>
    <n v="1"/>
    <n v="1"/>
    <n v="0"/>
    <n v="0"/>
    <n v="0"/>
    <n v="0"/>
    <n v="0"/>
    <n v="0"/>
    <n v="0"/>
    <n v="0"/>
    <n v="0"/>
    <n v="0"/>
    <n v="0"/>
    <n v="0"/>
    <n v="0"/>
    <n v="0"/>
    <n v="0"/>
    <n v="0"/>
    <n v="0"/>
    <n v="0"/>
    <m/>
    <m/>
    <s v="Wandsworth Town, including the Wandle Delta Masterplan Area"/>
    <n v="13"/>
    <m/>
    <n v="2"/>
    <m/>
    <m/>
    <m/>
    <m/>
    <m/>
    <m/>
    <m/>
    <m/>
    <m/>
    <m/>
    <m/>
    <m/>
    <m/>
    <m/>
    <m/>
    <m/>
    <m/>
    <m/>
    <n v="2"/>
    <n v="2"/>
  </r>
  <r>
    <n v="2502"/>
    <x v="1"/>
    <s v="2021/0447"/>
    <s v="Springfield Hospital site, 61 Glenburnie Road"/>
    <s v="Phase 6B [Boiler House]"/>
    <n v="527221"/>
    <n v="172443"/>
    <s v="Wandsworth Common"/>
    <d v="2022-04-01T00:00:00"/>
    <m/>
    <n v="0"/>
    <n v="4"/>
    <n v="4"/>
    <n v="109"/>
    <n v="109"/>
    <s v="Y"/>
    <s v="Reserved matters relating to landscaping, scale and appearance in respect of the part demolition, conversion, restoration and repair of part of the Main Building (Grade II listed) to provide 109 residential units with landscaping and associated works (forming Phase 6B of the Springfield Masterplan development), pursuant to condition 1 of outline planning permission ref. 2010/3703 dated 20/06/2012 (for the erection of 25,000 sq.m. of replacement mental health facilities (Class C2/C2a); 839 residential dwellings; 9,200 sq.m. elderly persons' care home; 240 sq.m. of retail floorspace (Class A1); a school (Class D1); 3,500 sq.m. of mixed non-residential floorspace (Class A1, A2, A3, A4, B1, D1 or D2); landscaped public park; a combined cooling, heat and power energy centre, associated landscaping, parking, roads, access, infrastructure and other associated works), as varied under application ref. 2014/6585, dated 04/06/15, application ref. 2016/4760 dated 24/04/2018 and application ref. 2019/2495 dated 28/02/2020, and including statement of design code compliance, landscaping and foul water drainage pursuant to conditions 7, 10 and 30."/>
    <s v="DT"/>
    <d v="2021-02-01T00:00:00"/>
    <d v="2021-05-25T00:00:00"/>
    <m/>
    <s v="Nil"/>
    <m/>
    <s v="BF"/>
    <s v="CON"/>
    <x v="0"/>
    <x v="0"/>
    <n v="3.696E-2"/>
    <d v="2022-04-01T00:00:00"/>
    <x v="0"/>
    <m/>
    <s v="Open Market"/>
    <s v="M"/>
    <s v="9.1"/>
    <m/>
    <m/>
    <m/>
    <m/>
    <m/>
    <n v="0"/>
    <n v="0"/>
    <n v="4"/>
    <n v="0"/>
    <n v="0"/>
    <n v="0"/>
    <n v="0"/>
    <n v="0"/>
    <n v="0"/>
    <n v="4"/>
    <n v="0"/>
    <n v="0"/>
    <n v="0"/>
    <n v="0"/>
    <n v="0"/>
    <n v="0"/>
    <n v="0"/>
    <n v="0"/>
    <n v="0"/>
    <n v="0"/>
    <n v="0"/>
    <n v="0"/>
    <n v="0"/>
    <n v="0"/>
    <n v="0"/>
    <n v="0"/>
    <n v="0"/>
    <n v="0"/>
    <m/>
    <m/>
    <s v="Rest of Borough"/>
    <n v="5"/>
    <m/>
    <n v="4"/>
    <m/>
    <m/>
    <m/>
    <m/>
    <m/>
    <m/>
    <m/>
    <m/>
    <m/>
    <m/>
    <m/>
    <m/>
    <m/>
    <m/>
    <m/>
    <m/>
    <m/>
    <m/>
    <n v="4"/>
    <n v="4"/>
  </r>
  <r>
    <n v="2502"/>
    <x v="1"/>
    <s v="2021/0447"/>
    <s v="Springfield Hospital site, 61 Glenburnie Road"/>
    <s v="Phase 6B [Dormitory Wing]"/>
    <n v="527221"/>
    <n v="172443"/>
    <s v="Wandsworth Common"/>
    <d v="2022-04-01T00:00:00"/>
    <m/>
    <n v="0"/>
    <n v="11"/>
    <n v="11"/>
    <n v="109"/>
    <n v="109"/>
    <s v="Y"/>
    <s v="Reserved matters relating to landscaping, scale and appearance in respect of the part demolition, conversion, restoration and repair of part of the Main Building (Grade II listed) to provide 109 residential units with landscaping and associated works (forming Phase 6B of the Springfield Masterplan development), pursuant to condition 1 of outline planning permission ref. 2010/3703 dated 20/06/2012 (for the erection of 25,000 sq.m. of replacement mental health facilities (Class C2/C2a); 839 residential dwellings; 9,200 sq.m. elderly persons' care home; 240 sq.m. of retail floorspace (Class A1); a school (Class D1); 3,500 sq.m. of mixed non-residential floorspace (Class A1, A2, A3, A4, B1, D1 or D2); landscaped public park; a combined cooling, heat and power energy centre, associated landscaping, parking, roads, access, infrastructure and other associated works), as varied under application ref. 2014/6585, dated 04/06/15, application ref. 2016/4760 dated 24/04/2018 and application ref. 2019/2495 dated 28/02/2020, and including statement of design code compliance, landscaping and foul water drainage pursuant to conditions 7, 10 and 30."/>
    <s v="DT"/>
    <d v="2021-02-01T00:00:00"/>
    <d v="2021-05-25T00:00:00"/>
    <m/>
    <s v="Nil"/>
    <m/>
    <s v="BF"/>
    <s v="CON"/>
    <x v="0"/>
    <x v="0"/>
    <n v="0.10163999999999999"/>
    <d v="2022-04-01T00:00:00"/>
    <x v="0"/>
    <m/>
    <s v="Open Market"/>
    <s v="M"/>
    <s v="9.1"/>
    <m/>
    <m/>
    <m/>
    <m/>
    <m/>
    <n v="1"/>
    <n v="1"/>
    <n v="6"/>
    <n v="3"/>
    <n v="0"/>
    <n v="0"/>
    <n v="0"/>
    <n v="1"/>
    <n v="1"/>
    <n v="6"/>
    <n v="3"/>
    <n v="0"/>
    <n v="0"/>
    <n v="0"/>
    <n v="0"/>
    <n v="0"/>
    <n v="0"/>
    <n v="0"/>
    <n v="0"/>
    <n v="0"/>
    <n v="0"/>
    <n v="0"/>
    <n v="0"/>
    <n v="0"/>
    <n v="0"/>
    <n v="0"/>
    <n v="0"/>
    <n v="0"/>
    <m/>
    <m/>
    <s v="Rest of Borough"/>
    <n v="5"/>
    <m/>
    <n v="11"/>
    <m/>
    <m/>
    <m/>
    <m/>
    <m/>
    <m/>
    <m/>
    <m/>
    <m/>
    <m/>
    <m/>
    <m/>
    <m/>
    <m/>
    <m/>
    <m/>
    <m/>
    <m/>
    <n v="11"/>
    <n v="11"/>
  </r>
  <r>
    <n v="2502"/>
    <x v="1"/>
    <s v="2021/0447"/>
    <s v="Springfield Hospital site, 61 Glenburnie Road"/>
    <s v="Phase 6B [Engineering Block]"/>
    <n v="527221"/>
    <n v="172443"/>
    <s v="Wandsworth Common"/>
    <d v="2022-04-01T00:00:00"/>
    <m/>
    <n v="0"/>
    <n v="11"/>
    <n v="11"/>
    <n v="109"/>
    <n v="109"/>
    <s v="Y"/>
    <s v="Reserved matters relating to landscaping, scale and appearance in respect of the part demolition, conversion, restoration and repair of part of the Main Building (Grade II listed) to provide 109 residential units with landscaping and associated works (forming Phase 6B of the Springfield Masterplan development), pursuant to condition 1 of outline planning permission ref. 2010/3703 dated 20/06/2012 (for the erection of 25,000 sq.m. of replacement mental health facilities (Class C2/C2a); 839 residential dwellings; 9,200 sq.m. elderly persons' care home; 240 sq.m. of retail floorspace (Class A1); a school (Class D1); 3,500 sq.m. of mixed non-residential floorspace (Class A1, A2, A3, A4, B1, D1 or D2); landscaped public park; a combined cooling, heat and power energy centre, associated landscaping, parking, roads, access, infrastructure and other associated works), as varied under application ref. 2014/6585, dated 04/06/15, application ref. 2016/4760 dated 24/04/2018 and application ref. 2019/2495 dated 28/02/2020, and including statement of design code compliance, landscaping and foul water drainage pursuant to conditions 7, 10 and 30."/>
    <s v="DT"/>
    <d v="2021-02-01T00:00:00"/>
    <d v="2021-05-25T00:00:00"/>
    <m/>
    <s v="Nil"/>
    <m/>
    <s v="BF"/>
    <s v="CON"/>
    <x v="0"/>
    <x v="0"/>
    <n v="0.10163999999999999"/>
    <d v="2022-04-01T00:00:00"/>
    <x v="0"/>
    <m/>
    <s v="Open Market"/>
    <s v="M"/>
    <s v="9.1"/>
    <m/>
    <m/>
    <m/>
    <m/>
    <m/>
    <n v="0"/>
    <n v="8"/>
    <n v="3"/>
    <n v="0"/>
    <n v="0"/>
    <n v="0"/>
    <n v="0"/>
    <n v="0"/>
    <n v="8"/>
    <n v="3"/>
    <n v="0"/>
    <n v="0"/>
    <n v="0"/>
    <n v="0"/>
    <n v="0"/>
    <n v="0"/>
    <n v="0"/>
    <n v="0"/>
    <n v="0"/>
    <n v="0"/>
    <n v="0"/>
    <n v="0"/>
    <n v="0"/>
    <n v="0"/>
    <n v="0"/>
    <n v="0"/>
    <n v="0"/>
    <n v="0"/>
    <m/>
    <m/>
    <s v="Rest of Borough"/>
    <n v="5"/>
    <m/>
    <n v="11"/>
    <m/>
    <m/>
    <m/>
    <m/>
    <m/>
    <m/>
    <m/>
    <m/>
    <m/>
    <m/>
    <m/>
    <m/>
    <m/>
    <m/>
    <m/>
    <m/>
    <m/>
    <m/>
    <n v="11"/>
    <n v="11"/>
  </r>
  <r>
    <n v="2502"/>
    <x v="1"/>
    <s v="2021/0447"/>
    <s v="Springfield Hospital site, 61 Glenburnie Road"/>
    <s v="Phase 6B [Kitchen Block]"/>
    <n v="527221"/>
    <n v="172443"/>
    <s v="Wandsworth Common"/>
    <d v="2022-04-01T00:00:00"/>
    <m/>
    <n v="0"/>
    <n v="20"/>
    <n v="20"/>
    <n v="109"/>
    <n v="109"/>
    <s v="Y"/>
    <s v="Reserved matters relating to landscaping, scale and appearance in respect of the part demolition, conversion, restoration and repair of part of the Main Building (Grade II listed) to provide 109 residential units with landscaping and associated works (forming Phase 6B of the Springfield Masterplan development), pursuant to condition 1 of outline planning permission ref. 2010/3703 dated 20/06/2012 (for the erection of 25,000 sq.m. of replacement mental health facilities (Class C2/C2a); 839 residential dwellings; 9,200 sq.m. elderly persons' care home; 240 sq.m. of retail floorspace (Class A1); a school (Class D1); 3,500 sq.m. of mixed non-residential floorspace (Class A1, A2, A3, A4, B1, D1 or D2); landscaped public park; a combined cooling, heat and power energy centre, associated landscaping, parking, roads, access, infrastructure and other associated works), as varied under application ref. 2014/6585, dated 04/06/15, application ref. 2016/4760 dated 24/04/2018 and application ref. 2019/2495 dated 28/02/2020, and including statement of design code compliance, landscaping and foul water drainage pursuant to conditions 7, 10 and 30."/>
    <s v="DT"/>
    <d v="2021-02-01T00:00:00"/>
    <d v="2021-05-25T00:00:00"/>
    <m/>
    <s v="Nil"/>
    <m/>
    <s v="BF"/>
    <s v="CON"/>
    <x v="0"/>
    <x v="0"/>
    <n v="0.18479999999999999"/>
    <d v="2022-04-01T00:00:00"/>
    <x v="0"/>
    <m/>
    <s v="Open Market"/>
    <s v="M"/>
    <s v="9.1"/>
    <m/>
    <m/>
    <m/>
    <m/>
    <m/>
    <n v="0"/>
    <n v="10"/>
    <n v="10"/>
    <n v="0"/>
    <n v="0"/>
    <n v="0"/>
    <n v="0"/>
    <n v="0"/>
    <n v="10"/>
    <n v="10"/>
    <n v="0"/>
    <n v="0"/>
    <n v="0"/>
    <n v="0"/>
    <n v="0"/>
    <n v="0"/>
    <n v="0"/>
    <n v="0"/>
    <n v="0"/>
    <n v="0"/>
    <n v="0"/>
    <n v="0"/>
    <n v="0"/>
    <n v="0"/>
    <n v="0"/>
    <n v="0"/>
    <n v="0"/>
    <n v="0"/>
    <m/>
    <m/>
    <s v="Rest of Borough"/>
    <n v="5"/>
    <m/>
    <n v="20"/>
    <m/>
    <m/>
    <m/>
    <m/>
    <m/>
    <m/>
    <m/>
    <m/>
    <m/>
    <m/>
    <m/>
    <m/>
    <m/>
    <m/>
    <m/>
    <m/>
    <m/>
    <m/>
    <n v="20"/>
    <n v="20"/>
  </r>
  <r>
    <n v="2502"/>
    <x v="1"/>
    <s v="2021/0447"/>
    <s v="Springfield Hospital site, 61 Glenburnie Road"/>
    <s v="Phase 6B [Matrons House]"/>
    <n v="527221"/>
    <n v="172443"/>
    <s v="Wandsworth Common"/>
    <d v="2022-04-01T00:00:00"/>
    <m/>
    <n v="0"/>
    <n v="2"/>
    <n v="2"/>
    <n v="109"/>
    <n v="109"/>
    <s v="Y"/>
    <s v="Reserved matters relating to landscaping, scale and appearance in respect of the part demolition, conversion, restoration and repair of part of the Main Building (Grade II listed) to provide 109 residential units with landscaping and associated works (forming Phase 6B of the Springfield Masterplan development), pursuant to condition 1 of outline planning permission ref. 2010/3703 dated 20/06/2012 (for the erection of 25,000 sq.m. of replacement mental health facilities (Class C2/C2a); 839 residential dwellings; 9,200 sq.m. elderly persons' care home; 240 sq.m. of retail floorspace (Class A1); a school (Class D1); 3,500 sq.m. of mixed non-residential floorspace (Class A1, A2, A3, A4, B1, D1 or D2); landscaped public park; a combined cooling, heat and power energy centre, associated landscaping, parking, roads, access, infrastructure and other associated works), as varied under application ref. 2014/6585, dated 04/06/15, application ref. 2016/4760 dated 24/04/2018 and application ref. 2019/2495 dated 28/02/2020, and including statement of design code compliance, landscaping and foul water drainage pursuant to conditions 7, 10 and 30."/>
    <s v="DT"/>
    <d v="2021-02-01T00:00:00"/>
    <d v="2021-05-25T00:00:00"/>
    <m/>
    <s v="Nil"/>
    <m/>
    <s v="BF"/>
    <s v="CON"/>
    <x v="0"/>
    <x v="0"/>
    <n v="1.848E-2"/>
    <d v="2022-04-01T00:00:00"/>
    <x v="0"/>
    <m/>
    <s v="Open Market"/>
    <s v="M"/>
    <s v="9.1"/>
    <m/>
    <m/>
    <m/>
    <m/>
    <m/>
    <n v="0"/>
    <n v="1"/>
    <n v="0"/>
    <n v="1"/>
    <n v="0"/>
    <n v="0"/>
    <n v="0"/>
    <n v="0"/>
    <n v="1"/>
    <n v="0"/>
    <n v="1"/>
    <n v="0"/>
    <n v="0"/>
    <n v="0"/>
    <n v="0"/>
    <n v="0"/>
    <n v="0"/>
    <n v="0"/>
    <n v="0"/>
    <n v="0"/>
    <n v="0"/>
    <n v="0"/>
    <n v="0"/>
    <n v="0"/>
    <n v="0"/>
    <n v="0"/>
    <n v="0"/>
    <n v="0"/>
    <m/>
    <m/>
    <s v="Rest of Borough"/>
    <n v="5"/>
    <m/>
    <n v="2"/>
    <m/>
    <m/>
    <m/>
    <m/>
    <m/>
    <m/>
    <m/>
    <m/>
    <m/>
    <m/>
    <m/>
    <m/>
    <m/>
    <m/>
    <m/>
    <m/>
    <m/>
    <m/>
    <n v="2"/>
    <n v="2"/>
  </r>
  <r>
    <n v="2502"/>
    <x v="1"/>
    <s v="2021/0447"/>
    <s v="Springfield Hospital site, 61 Glenburnie Road"/>
    <s v="Phase 6B [Nurses Club Room]"/>
    <n v="527221"/>
    <n v="172443"/>
    <s v="Wandsworth Common"/>
    <d v="2022-04-01T00:00:00"/>
    <m/>
    <n v="0"/>
    <n v="1"/>
    <n v="1"/>
    <n v="109"/>
    <n v="109"/>
    <s v="Y"/>
    <s v="Reserved matters relating to landscaping, scale and appearance in respect of the part demolition, conversion, restoration and repair of part of the Main Building (Grade II listed) to provide 109 residential units with landscaping and associated works (forming Phase 6B of the Springfield Masterplan development), pursuant to condition 1 of outline planning permission ref. 2010/3703 dated 20/06/2012 (for the erection of 25,000 sq.m. of replacement mental health facilities (Class C2/C2a); 839 residential dwellings; 9,200 sq.m. elderly persons' care home; 240 sq.m. of retail floorspace (Class A1); a school (Class D1); 3,500 sq.m. of mixed non-residential floorspace (Class A1, A2, A3, A4, B1, D1 or D2); landscaped public park; a combined cooling, heat and power energy centre, associated landscaping, parking, roads, access, infrastructure and other associated works), as varied under application ref. 2014/6585, dated 04/06/15, application ref. 2016/4760 dated 24/04/2018 and application ref. 2019/2495 dated 28/02/2020, and including statement of design code compliance, landscaping and foul water drainage pursuant to conditions 7, 10 and 30."/>
    <s v="DT"/>
    <d v="2021-02-01T00:00:00"/>
    <d v="2021-05-25T00:00:00"/>
    <m/>
    <s v="Nil"/>
    <m/>
    <s v="BF"/>
    <s v="CON"/>
    <x v="0"/>
    <x v="0"/>
    <n v="9.2399999999999999E-3"/>
    <d v="2022-04-01T00:00:00"/>
    <x v="0"/>
    <m/>
    <s v="Open Market"/>
    <s v="M"/>
    <s v="9.1"/>
    <m/>
    <m/>
    <m/>
    <m/>
    <m/>
    <n v="0"/>
    <n v="0"/>
    <n v="1"/>
    <n v="0"/>
    <n v="0"/>
    <n v="0"/>
    <n v="0"/>
    <n v="0"/>
    <n v="0"/>
    <n v="1"/>
    <n v="0"/>
    <n v="0"/>
    <n v="0"/>
    <n v="0"/>
    <n v="0"/>
    <n v="0"/>
    <n v="0"/>
    <n v="0"/>
    <n v="0"/>
    <n v="0"/>
    <n v="0"/>
    <n v="0"/>
    <n v="0"/>
    <n v="0"/>
    <n v="0"/>
    <n v="0"/>
    <n v="0"/>
    <n v="0"/>
    <m/>
    <m/>
    <s v="Rest of Borough"/>
    <n v="5"/>
    <m/>
    <n v="1"/>
    <m/>
    <m/>
    <m/>
    <m/>
    <m/>
    <m/>
    <m/>
    <m/>
    <m/>
    <m/>
    <m/>
    <m/>
    <m/>
    <m/>
    <m/>
    <m/>
    <m/>
    <m/>
    <n v="1"/>
    <n v="1"/>
  </r>
  <r>
    <n v="2502"/>
    <x v="1"/>
    <s v="2021/0447"/>
    <s v="Springfield Hospital site, 61 Glenburnie Road"/>
    <s v="Phase 6B [Orchid Wing]"/>
    <n v="527221"/>
    <n v="172443"/>
    <s v="Wandsworth Common"/>
    <d v="2022-04-01T00:00:00"/>
    <m/>
    <n v="0"/>
    <n v="60"/>
    <n v="60"/>
    <n v="109"/>
    <n v="109"/>
    <s v="Y"/>
    <s v="Reserved matters relating to landscaping, scale and appearance in respect of the part demolition, conversion, restoration and repair of part of the Main Building (Grade II listed) to provide 109 residential units with landscaping and associated works (forming Phase 6B of the Springfield Masterplan development), pursuant to condition 1 of outline planning permission ref. 2010/3703 dated 20/06/2012 (for the erection of 25,000 sq.m. of replacement mental health facilities (Class C2/C2a); 839 residential dwellings; 9,200 sq.m. elderly persons' care home; 240 sq.m. of retail floorspace (Class A1); a school (Class D1); 3,500 sq.m. of mixed non-residential floorspace (Class A1, A2, A3, A4, B1, D1 or D2); landscaped public park; a combined cooling, heat and power energy centre, associated landscaping, parking, roads, access, infrastructure and other associated works), as varied under application ref. 2014/6585, dated 04/06/15, application ref. 2016/4760 dated 24/04/2018 and application ref. 2019/2495 dated 28/02/2020, and including statement of design code compliance, landscaping and foul water drainage pursuant to conditions 7, 10 and 30."/>
    <s v="DT"/>
    <d v="2021-02-01T00:00:00"/>
    <d v="2021-05-25T00:00:00"/>
    <m/>
    <s v="Nil"/>
    <m/>
    <s v="BF"/>
    <s v="CON"/>
    <x v="0"/>
    <x v="0"/>
    <n v="0.5544"/>
    <d v="2022-04-01T00:00:00"/>
    <x v="0"/>
    <m/>
    <s v="Open Market"/>
    <s v="M"/>
    <s v="9.1"/>
    <m/>
    <m/>
    <m/>
    <m/>
    <m/>
    <n v="0"/>
    <n v="29"/>
    <n v="27"/>
    <n v="4"/>
    <n v="0"/>
    <n v="0"/>
    <n v="0"/>
    <n v="0"/>
    <n v="29"/>
    <n v="27"/>
    <n v="4"/>
    <n v="0"/>
    <n v="0"/>
    <n v="0"/>
    <n v="0"/>
    <n v="0"/>
    <n v="0"/>
    <n v="0"/>
    <n v="0"/>
    <n v="0"/>
    <n v="0"/>
    <n v="0"/>
    <n v="0"/>
    <n v="0"/>
    <n v="0"/>
    <n v="0"/>
    <n v="0"/>
    <n v="0"/>
    <m/>
    <m/>
    <s v="Rest of Borough"/>
    <n v="5"/>
    <m/>
    <n v="60"/>
    <m/>
    <m/>
    <m/>
    <m/>
    <m/>
    <m/>
    <m/>
    <m/>
    <m/>
    <m/>
    <m/>
    <m/>
    <m/>
    <m/>
    <m/>
    <m/>
    <m/>
    <m/>
    <n v="60"/>
    <n v="60"/>
  </r>
  <r>
    <n v="6628"/>
    <x v="1"/>
    <s v="2023/0835"/>
    <s v="66 Alton Road"/>
    <s v="Flats (Conv)"/>
    <n v="522237"/>
    <n v="173213"/>
    <s v="Roehampton"/>
    <d v="2024-03-31T00:00:00"/>
    <m/>
    <n v="3"/>
    <n v="6"/>
    <n v="3"/>
    <n v="8"/>
    <n v="5"/>
    <m/>
    <s v="Variation of condition 2 (in accordance with approved drawings) pursuant to planning permission dated 23/11/2022 ref 2022/2881 (Refurbishment and reconfiguration of existing building with extensions to the sides and rear (with associated lightwells) to provide 6 no. flats (2 x 1 bed, 1 x 2 bed, 3 x 3 bed) and the provision of a 2 no. two storey cottages (2 x 2 bed) to the rear of the site with associated landscaping) to allow omission of approved rear extensions, staircase and reduction of floor area of 6 proposed apartments."/>
    <s v="S73"/>
    <d v="2023-03-02T00:00:00"/>
    <d v="2023-05-24T00:00:00"/>
    <s v="Y"/>
    <s v="Nil"/>
    <m/>
    <s v="BF"/>
    <s v="MIX"/>
    <x v="2"/>
    <x v="5"/>
    <n v="1.4999999999999999E-2"/>
    <d v="2024-03-31T00:00:00"/>
    <x v="1"/>
    <m/>
    <s v="Open Market"/>
    <s v="M"/>
    <s v=""/>
    <m/>
    <m/>
    <m/>
    <m/>
    <m/>
    <n v="0"/>
    <n v="2"/>
    <n v="2"/>
    <n v="-1"/>
    <n v="0"/>
    <n v="0"/>
    <n v="0"/>
    <n v="0"/>
    <n v="2"/>
    <n v="2"/>
    <n v="-1"/>
    <n v="0"/>
    <n v="0"/>
    <n v="0"/>
    <n v="0"/>
    <n v="0"/>
    <n v="0"/>
    <n v="0"/>
    <n v="0"/>
    <n v="0"/>
    <n v="0"/>
    <n v="0"/>
    <n v="0"/>
    <n v="0"/>
    <n v="0"/>
    <n v="0"/>
    <n v="0"/>
    <n v="0"/>
    <m/>
    <m/>
    <s v="Rest of Borough"/>
    <n v="12"/>
    <m/>
    <m/>
    <m/>
    <n v="3"/>
    <m/>
    <m/>
    <m/>
    <m/>
    <m/>
    <m/>
    <m/>
    <m/>
    <m/>
    <m/>
    <m/>
    <m/>
    <m/>
    <m/>
    <m/>
    <m/>
    <n v="3"/>
    <n v="3"/>
  </r>
  <r>
    <n v="6628"/>
    <x v="1"/>
    <s v="2023/0835"/>
    <s v="66 Alton Road"/>
    <s v="Cottages (NB)"/>
    <n v="522237"/>
    <n v="173213"/>
    <s v="Roehampton"/>
    <d v="2024-03-31T00:00:00"/>
    <m/>
    <n v="0"/>
    <n v="2"/>
    <n v="2"/>
    <n v="8"/>
    <n v="5"/>
    <m/>
    <s v="Variation of condition 2 (in accordance with approved drawings) pursuant to planning permission dated 23/11/2022 ref 2022/2881 (Refurbishment and reconfiguration of existing building with extensions to the sides and rear (with associated lightwells) to provide 6 no. flats (2 x 1 bed, 1 x 2 bed, 3 x 3 bed) and the provision of a 2 no. two storey cottages (2 x 2 bed) to the rear of the site with associated landscaping) to allow omission of approved rear extensions, staircase and reduction of floor area of 6 proposed apartments."/>
    <s v="S73"/>
    <d v="2023-03-02T00:00:00"/>
    <d v="2023-05-24T00:00:00"/>
    <s v="Y"/>
    <s v="Nil"/>
    <m/>
    <s v="BF"/>
    <s v="MIX"/>
    <x v="2"/>
    <x v="3"/>
    <n v="0.01"/>
    <d v="2024-03-31T00:00:00"/>
    <x v="1"/>
    <m/>
    <s v="Open Market"/>
    <s v="M"/>
    <s v=""/>
    <m/>
    <m/>
    <m/>
    <m/>
    <m/>
    <n v="0"/>
    <n v="0"/>
    <n v="2"/>
    <n v="0"/>
    <n v="0"/>
    <n v="0"/>
    <n v="0"/>
    <n v="0"/>
    <n v="0"/>
    <n v="0"/>
    <n v="0"/>
    <n v="0"/>
    <n v="0"/>
    <n v="0"/>
    <n v="0"/>
    <n v="0"/>
    <n v="2"/>
    <n v="0"/>
    <n v="0"/>
    <n v="0"/>
    <n v="0"/>
    <n v="0"/>
    <n v="0"/>
    <n v="0"/>
    <n v="0"/>
    <n v="0"/>
    <n v="0"/>
    <n v="0"/>
    <m/>
    <m/>
    <s v="Rest of Borough"/>
    <n v="12"/>
    <m/>
    <m/>
    <m/>
    <n v="2"/>
    <m/>
    <m/>
    <m/>
    <m/>
    <m/>
    <m/>
    <m/>
    <m/>
    <m/>
    <m/>
    <m/>
    <m/>
    <m/>
    <m/>
    <m/>
    <m/>
    <n v="2"/>
    <n v="2"/>
  </r>
  <r>
    <n v="6657"/>
    <x v="1"/>
    <s v="2023/1546"/>
    <s v="Brocklebank Health Centre, 249 Garratt Lane (and others), 229-247 Garratt Lane (Garratt Lane and Atheldene Regeneration Site)"/>
    <s v="Phase 2 (Block D)"/>
    <n v="525999"/>
    <n v="173647"/>
    <s v="Wandle"/>
    <d v="2023-04-01T00:00:00"/>
    <m/>
    <n v="0"/>
    <n v="20"/>
    <n v="20"/>
    <n v="83"/>
    <n v="83"/>
    <s v="Y"/>
    <s v="Amendments under Section 96a of the Town and Country Planning Act 1990 to planning permission dated 31/07/2020 ref. 2017/4141 (for Demolition of existing buildings and erection of a mixed use development providing a total of 193 residential units (of both private and affordable tenure) including houses and apartments, with associated amenity space including gardens, balconies and terraces; a new health centre (Class D1 use) (1,873sq.m), a pharmacy (Class A1 use) (94sq.m), two commercial units (flexible Class A1/A2/A3 or B1 use) (189sq.m), within buildings ranging between two and five-storeys high, together with the provision of hard and soft landscaping, enhanced pedestrian routes, and associated car parking and cycle parking, with the development proposed to be constructed in two phases) to amend the tenure of the 83 residential units in Phase 2 from 14 affordable shared ownership units and 69 private sale units to 83 social rent units, together with minor internal alterations and revised placement of a stack of 4 windows on the Oakshaw Road frontage."/>
    <s v="S96A"/>
    <d v="2023-04-24T00:00:00"/>
    <d v="2023-06-27T00:00:00"/>
    <s v="Y"/>
    <s v="Nil"/>
    <m/>
    <s v="BF"/>
    <s v="NB"/>
    <x v="1"/>
    <x v="0"/>
    <n v="1.7999999999999999E-2"/>
    <d v="2023-04-01T00:00:00"/>
    <x v="1"/>
    <m/>
    <s v="Social/Affordable Rent"/>
    <s v="AS"/>
    <s v=""/>
    <m/>
    <m/>
    <n v="18"/>
    <m/>
    <n v="2"/>
    <n v="0"/>
    <n v="6"/>
    <n v="14"/>
    <n v="0"/>
    <n v="0"/>
    <n v="0"/>
    <n v="0"/>
    <n v="0"/>
    <n v="6"/>
    <n v="14"/>
    <n v="0"/>
    <n v="0"/>
    <n v="0"/>
    <n v="0"/>
    <n v="0"/>
    <n v="0"/>
    <n v="0"/>
    <n v="0"/>
    <n v="0"/>
    <n v="0"/>
    <n v="0"/>
    <n v="0"/>
    <n v="0"/>
    <n v="0"/>
    <n v="0"/>
    <n v="0"/>
    <n v="0"/>
    <n v="0"/>
    <m/>
    <m/>
    <s v="Rest of Borough"/>
    <n v="5"/>
    <m/>
    <m/>
    <m/>
    <m/>
    <m/>
    <n v="20"/>
    <m/>
    <m/>
    <m/>
    <m/>
    <m/>
    <m/>
    <m/>
    <m/>
    <m/>
    <m/>
    <m/>
    <m/>
    <m/>
    <m/>
    <n v="20"/>
    <n v="20"/>
  </r>
  <r>
    <n v="6657"/>
    <x v="1"/>
    <s v="2023/1546"/>
    <s v="Brocklebank Health Centre, 249 Garratt Lane (and others), 229-247 Garratt Lane (Garratt Lane and Atheldene Regeneration Site)"/>
    <s v="Phase 2 (Block B)"/>
    <n v="525999"/>
    <n v="173647"/>
    <s v="Wandle"/>
    <d v="2023-04-01T00:00:00"/>
    <m/>
    <n v="0"/>
    <n v="19"/>
    <n v="19"/>
    <n v="83"/>
    <n v="83"/>
    <s v="Y"/>
    <s v="Amendments under Section 96a of the Town and Country Planning Act 1990 to planning permission dated 31/07/2020 ref. 2017/4141 (for Demolition of existing buildings and erection of a mixed use development providing a total of 193 residential units (of both private and affordable tenure) including houses and apartments, with associated amenity space including gardens, balconies and terraces; a new health centre (Class D1 use) (1,873sq.m), a pharmacy (Class A1 use) (94sq.m), two commercial units (flexible Class A1/A2/A3 or B1 use) (189sq.m), within buildings ranging between two and five-storeys high, together with the provision of hard and soft landscaping, enhanced pedestrian routes, and associated car parking and cycle parking, with the development proposed to be constructed in two phases) to amend the tenure of the 83 residential units in Phase 2 from 14 affordable shared ownership units and 69 private sale units to 83 social rent units, together with minor internal alterations and revised placement of a stack of 4 windows on the Oakshaw Road frontage."/>
    <s v="S96A"/>
    <d v="2023-04-24T00:00:00"/>
    <d v="2023-06-27T00:00:00"/>
    <s v="Y"/>
    <s v="Nil"/>
    <m/>
    <s v="BF"/>
    <s v="NB"/>
    <x v="1"/>
    <x v="0"/>
    <n v="1.4999999999999999E-2"/>
    <d v="2023-04-01T00:00:00"/>
    <x v="1"/>
    <m/>
    <s v="Social/Affordable Rent"/>
    <s v="AS"/>
    <s v=""/>
    <m/>
    <m/>
    <n v="17"/>
    <m/>
    <n v="2"/>
    <n v="0"/>
    <n v="2"/>
    <n v="13"/>
    <n v="4"/>
    <n v="0"/>
    <n v="0"/>
    <n v="0"/>
    <n v="0"/>
    <n v="2"/>
    <n v="13"/>
    <n v="4"/>
    <n v="0"/>
    <n v="0"/>
    <n v="0"/>
    <n v="0"/>
    <n v="0"/>
    <n v="0"/>
    <n v="0"/>
    <n v="0"/>
    <n v="0"/>
    <n v="0"/>
    <n v="0"/>
    <n v="0"/>
    <n v="0"/>
    <n v="0"/>
    <n v="0"/>
    <n v="0"/>
    <n v="0"/>
    <m/>
    <m/>
    <s v="Rest of Borough"/>
    <n v="5"/>
    <m/>
    <m/>
    <m/>
    <m/>
    <m/>
    <n v="19"/>
    <m/>
    <m/>
    <m/>
    <m/>
    <m/>
    <m/>
    <m/>
    <m/>
    <m/>
    <m/>
    <m/>
    <m/>
    <m/>
    <m/>
    <n v="19"/>
    <n v="19"/>
  </r>
  <r>
    <n v="6657"/>
    <x v="1"/>
    <s v="2023/1546"/>
    <s v="Brocklebank Health Centre, 249 Garratt Lane (and others), 229-247 Garratt Lane (Garratt Lane and Atheldene Regeneration Site)"/>
    <s v="Phase 2 (Block E)"/>
    <n v="525999"/>
    <n v="173647"/>
    <s v="Wandle"/>
    <d v="2023-04-01T00:00:00"/>
    <m/>
    <n v="0"/>
    <n v="19"/>
    <n v="19"/>
    <n v="83"/>
    <n v="83"/>
    <s v="Y"/>
    <s v="Amendments under Section 96a of the Town and Country Planning Act 1990 to planning permission dated 31/07/2020 ref. 2017/4141 (for Demolition of existing buildings and erection of a mixed use development providing a total of 193 residential units (of both private and affordable tenure) including houses and apartments, with associated amenity space including gardens, balconies and terraces; a new health centre (Class D1 use) (1,873sq.m), a pharmacy (Class A1 use) (94sq.m), two commercial units (flexible Class A1/A2/A3 or B1 use) (189sq.m), within buildings ranging between two and five-storeys high, together with the provision of hard and soft landscaping, enhanced pedestrian routes, and associated car parking and cycle parking, with the development proposed to be constructed in two phases) to amend the tenure of the 83 residential units in Phase 2 from 14 affordable shared ownership units and 69 private sale units to 83 social rent units, together with minor internal alterations and revised placement of a stack of 4 windows on the Oakshaw Road frontage."/>
    <s v="S96A"/>
    <d v="2023-04-24T00:00:00"/>
    <d v="2023-06-27T00:00:00"/>
    <s v="Y"/>
    <s v="Nil"/>
    <m/>
    <s v="BF"/>
    <s v="NB"/>
    <x v="1"/>
    <x v="0"/>
    <n v="1.7000000000000001E-2"/>
    <d v="2023-04-01T00:00:00"/>
    <x v="1"/>
    <m/>
    <s v="Social/Affordable Rent"/>
    <s v="AS"/>
    <s v=""/>
    <m/>
    <m/>
    <n v="18"/>
    <m/>
    <n v="1"/>
    <n v="0"/>
    <n v="7"/>
    <n v="12"/>
    <n v="0"/>
    <n v="0"/>
    <n v="0"/>
    <n v="0"/>
    <n v="0"/>
    <n v="7"/>
    <n v="12"/>
    <n v="0"/>
    <n v="0"/>
    <n v="0"/>
    <n v="0"/>
    <n v="0"/>
    <n v="0"/>
    <n v="0"/>
    <n v="0"/>
    <n v="0"/>
    <n v="0"/>
    <n v="0"/>
    <n v="0"/>
    <n v="0"/>
    <n v="0"/>
    <n v="0"/>
    <n v="0"/>
    <n v="0"/>
    <n v="0"/>
    <m/>
    <m/>
    <s v="Rest of Borough"/>
    <n v="5"/>
    <m/>
    <m/>
    <m/>
    <m/>
    <m/>
    <n v="19"/>
    <m/>
    <m/>
    <m/>
    <m/>
    <m/>
    <m/>
    <m/>
    <m/>
    <m/>
    <m/>
    <m/>
    <m/>
    <m/>
    <m/>
    <n v="19"/>
    <n v="19"/>
  </r>
  <r>
    <n v="6657"/>
    <x v="1"/>
    <s v="2023/1546"/>
    <s v="Brocklebank Health Centre, 249 Garratt Lane (and others), 229-247 Garratt Lane (Garratt Lane and Atheldene Regeneration Site)"/>
    <s v="Phase 2 (Block C)"/>
    <n v="525999"/>
    <n v="173647"/>
    <s v="Wandle"/>
    <d v="2023-04-01T00:00:00"/>
    <m/>
    <n v="0"/>
    <n v="17"/>
    <n v="17"/>
    <n v="83"/>
    <n v="83"/>
    <s v="Y"/>
    <s v="Amendments under Section 96a of the Town and Country Planning Act 1990 to planning permission dated 31/07/2020 ref. 2017/4141 (for Demolition of existing buildings and erection of a mixed use development providing a total of 193 residential units (of both private and affordable tenure) including houses and apartments, with associated amenity space including gardens, balconies and terraces; a new health centre (Class D1 use) (1,873sq.m), a pharmacy (Class A1 use) (94sq.m), two commercial units (flexible Class A1/A2/A3 or B1 use) (189sq.m), within buildings ranging between two and five-storeys high, together with the provision of hard and soft landscaping, enhanced pedestrian routes, and associated car parking and cycle parking, with the development proposed to be constructed in two phases) to amend the tenure of the 83 residential units in Phase 2 from 14 affordable shared ownership units and 69 private sale units to 83 social rent units, together with minor internal alterations and revised placement of a stack of 4 windows on the Oakshaw Road frontage."/>
    <s v="S96A"/>
    <d v="2023-04-24T00:00:00"/>
    <d v="2023-06-27T00:00:00"/>
    <s v="Y"/>
    <s v="Nil"/>
    <m/>
    <s v="BF"/>
    <s v="NB"/>
    <x v="1"/>
    <x v="0"/>
    <n v="1.7000000000000001E-2"/>
    <d v="2023-04-01T00:00:00"/>
    <x v="1"/>
    <m/>
    <s v="Social/Affordable Rent"/>
    <s v="AS"/>
    <s v=""/>
    <m/>
    <m/>
    <n v="15"/>
    <m/>
    <n v="2"/>
    <n v="0"/>
    <n v="1"/>
    <n v="12"/>
    <n v="4"/>
    <n v="0"/>
    <n v="0"/>
    <n v="0"/>
    <n v="0"/>
    <n v="1"/>
    <n v="12"/>
    <n v="4"/>
    <n v="0"/>
    <n v="0"/>
    <n v="0"/>
    <n v="0"/>
    <n v="0"/>
    <n v="0"/>
    <n v="0"/>
    <n v="0"/>
    <n v="0"/>
    <n v="0"/>
    <n v="0"/>
    <n v="0"/>
    <n v="0"/>
    <n v="0"/>
    <n v="0"/>
    <n v="0"/>
    <n v="0"/>
    <m/>
    <m/>
    <s v="Rest of Borough"/>
    <n v="5"/>
    <m/>
    <m/>
    <m/>
    <m/>
    <m/>
    <n v="17"/>
    <m/>
    <m/>
    <m/>
    <m/>
    <m/>
    <m/>
    <m/>
    <m/>
    <m/>
    <m/>
    <m/>
    <m/>
    <m/>
    <m/>
    <n v="17"/>
    <n v="17"/>
  </r>
  <r>
    <n v="6657"/>
    <x v="1"/>
    <s v="2023/1546"/>
    <s v="Brocklebank Health Centre, 249 Garratt Lane (and others), 229-247 Garratt Lane (Garratt Lane and Atheldene Regeneration Site)"/>
    <s v="Phase 2 (Block A)"/>
    <n v="525999"/>
    <n v="173647"/>
    <s v="Wandle"/>
    <d v="2023-04-01T00:00:00"/>
    <m/>
    <n v="0"/>
    <n v="8"/>
    <n v="8"/>
    <n v="83"/>
    <n v="83"/>
    <s v="Y"/>
    <s v="Amendments under Section 96a of the Town and Country Planning Act 1990 to planning permission dated 31/07/2020 ref. 2017/4141 (for Demolition of existing buildings and erection of a mixed use development providing a total of 193 residential units (of both private and affordable tenure) including houses and apartments, with associated amenity space including gardens, balconies and terraces; a new health centre (Class D1 use) (1,873sq.m), a pharmacy (Class A1 use) (94sq.m), two commercial units (flexible Class A1/A2/A3 or B1 use) (189sq.m), within buildings ranging between two and five-storeys high, together with the provision of hard and soft landscaping, enhanced pedestrian routes, and associated car parking and cycle parking, with the development proposed to be constructed in two phases) to amend the tenure of the 83 residential units in Phase 2 from 14 affordable shared ownership units and 69 private sale units to 83 social rent units, together with minor internal alterations and revised placement of a stack of 4 windows on the Oakshaw Road frontage."/>
    <s v="S96A"/>
    <d v="2023-04-24T00:00:00"/>
    <d v="2023-06-27T00:00:00"/>
    <s v="Y"/>
    <s v="Nil"/>
    <m/>
    <s v="BF"/>
    <s v="NB"/>
    <x v="1"/>
    <x v="0"/>
    <n v="7.0000000000000001E-3"/>
    <d v="2023-04-01T00:00:00"/>
    <x v="1"/>
    <m/>
    <s v="Social/Affordable Rent"/>
    <s v="AS"/>
    <s v=""/>
    <m/>
    <m/>
    <n v="6"/>
    <m/>
    <n v="2"/>
    <n v="0"/>
    <n v="0"/>
    <n v="4"/>
    <n v="4"/>
    <n v="0"/>
    <n v="0"/>
    <n v="0"/>
    <n v="0"/>
    <n v="0"/>
    <n v="4"/>
    <n v="4"/>
    <n v="0"/>
    <n v="0"/>
    <n v="0"/>
    <n v="0"/>
    <n v="0"/>
    <n v="0"/>
    <n v="0"/>
    <n v="0"/>
    <n v="0"/>
    <n v="0"/>
    <n v="0"/>
    <n v="0"/>
    <n v="0"/>
    <n v="0"/>
    <n v="0"/>
    <n v="0"/>
    <n v="0"/>
    <m/>
    <m/>
    <s v="Rest of Borough"/>
    <n v="5"/>
    <m/>
    <m/>
    <m/>
    <m/>
    <m/>
    <n v="8"/>
    <m/>
    <m/>
    <m/>
    <m/>
    <m/>
    <m/>
    <m/>
    <m/>
    <m/>
    <m/>
    <m/>
    <m/>
    <m/>
    <m/>
    <n v="8"/>
    <n v="8"/>
  </r>
  <r>
    <n v="6657"/>
    <x v="1"/>
    <s v="2021/1291"/>
    <s v="Brocklebank Health Centre, 249 Garratt Lane (and others), 229-247 Garratt Lane (Garratt Lane and Atheldene Regeneration Site)"/>
    <s v="Phase 1 (Houses)"/>
    <n v="525999"/>
    <n v="173647"/>
    <s v="Wandle"/>
    <d v="2022-01-20T00:00:00"/>
    <m/>
    <n v="0"/>
    <n v="14"/>
    <n v="14"/>
    <n v="193"/>
    <n v="182"/>
    <s v="Y"/>
    <s v="Submission of details of amendments pursuant to Section 106 agreement attached to planning permission dated 31/07/2020 ref 2017/4141 (Demolition of existing buildings and erection of a mixed use development providing a total of 193 residential units (of both private and affordable tenure) including houses and apartments, with associated amenity space including gardens, balconies and terraces; a new health centre (Class D1 use) (1,873sq.m), a pharmacy (Class A1 use) (94sq.m), two commercial units (flexible Class A1/A2/A3 or B1 use) (189sq.m), within buildings ranging between two and five-storeys high, together with the provision of hard and soft landscaping, enhanced pedestrian routes, and associated car parking and cycle parking, with the development proposed to be constructed in two phases.) to allow an increase in affordable housing provision."/>
    <s v="S106"/>
    <d v="2021-03-05T00:00:00"/>
    <d v="2021-07-19T00:00:00"/>
    <m/>
    <s v="Nil"/>
    <m/>
    <s v="BF"/>
    <s v="NB"/>
    <x v="1"/>
    <x v="0"/>
    <n v="1.4E-2"/>
    <d v="2022-01-20T00:00:00"/>
    <x v="0"/>
    <m/>
    <s v="Open Market"/>
    <s v="M"/>
    <s v=""/>
    <m/>
    <m/>
    <n v="16"/>
    <m/>
    <m/>
    <n v="0"/>
    <n v="0"/>
    <n v="0"/>
    <n v="0"/>
    <n v="14"/>
    <n v="0"/>
    <n v="0"/>
    <n v="0"/>
    <n v="0"/>
    <n v="0"/>
    <n v="0"/>
    <n v="0"/>
    <n v="0"/>
    <n v="0"/>
    <n v="0"/>
    <n v="0"/>
    <n v="0"/>
    <n v="0"/>
    <n v="14"/>
    <n v="0"/>
    <n v="0"/>
    <n v="0"/>
    <n v="0"/>
    <n v="0"/>
    <n v="0"/>
    <n v="0"/>
    <n v="0"/>
    <n v="0"/>
    <m/>
    <m/>
    <s v="Rest of Borough"/>
    <n v="5"/>
    <m/>
    <n v="7"/>
    <n v="7"/>
    <m/>
    <m/>
    <m/>
    <m/>
    <m/>
    <m/>
    <m/>
    <m/>
    <m/>
    <m/>
    <m/>
    <m/>
    <m/>
    <m/>
    <m/>
    <m/>
    <m/>
    <n v="14"/>
    <n v="14"/>
  </r>
  <r>
    <n v="6657"/>
    <x v="1"/>
    <s v="2021/1291"/>
    <s v="Brocklebank Health Centre, 249 Garratt Lane (and others), 229-247 Garratt Lane (Garratt Lane and Atheldene Regeneration Site)"/>
    <s v="Phase 1 (Houses)"/>
    <n v="525999"/>
    <n v="173647"/>
    <s v="Wandle"/>
    <d v="2022-01-20T00:00:00"/>
    <m/>
    <n v="0"/>
    <n v="9"/>
    <n v="9"/>
    <n v="193"/>
    <n v="182"/>
    <s v="Y"/>
    <s v="Submission of details of amendments pursuant to Section 106 agreement attached to planning permission dated 31/07/2020 ref 2017/4141 (Demolition of existing buildings and erection of a mixed use development providing a total of 193 residential units (of both private and affordable tenure) including houses and apartments, with associated amenity space including gardens, balconies and terraces; a new health centre (Class D1 use) (1,873sq.m), a pharmacy (Class A1 use) (94sq.m), two commercial units (flexible Class A1/A2/A3 or B1 use) (189sq.m), within buildings ranging between two and five-storeys high, together with the provision of hard and soft landscaping, enhanced pedestrian routes, and associated car parking and cycle parking, with the development proposed to be constructed in two phases.) to allow an increase in affordable housing provision."/>
    <s v="S106"/>
    <d v="2021-03-05T00:00:00"/>
    <d v="2021-07-19T00:00:00"/>
    <m/>
    <s v="Nil"/>
    <m/>
    <s v="BF"/>
    <s v="NB"/>
    <x v="1"/>
    <x v="0"/>
    <n v="6.0000000000000001E-3"/>
    <d v="2022-01-20T00:00:00"/>
    <x v="0"/>
    <m/>
    <s v="Social/Affordable Rent"/>
    <s v="AL"/>
    <s v=""/>
    <m/>
    <m/>
    <n v="7"/>
    <m/>
    <m/>
    <n v="0"/>
    <n v="0"/>
    <n v="0"/>
    <n v="1"/>
    <n v="8"/>
    <n v="0"/>
    <n v="0"/>
    <n v="0"/>
    <n v="0"/>
    <n v="0"/>
    <n v="0"/>
    <n v="0"/>
    <n v="0"/>
    <n v="0"/>
    <n v="0"/>
    <n v="0"/>
    <n v="0"/>
    <n v="1"/>
    <n v="8"/>
    <n v="0"/>
    <n v="0"/>
    <n v="0"/>
    <n v="0"/>
    <n v="0"/>
    <n v="0"/>
    <n v="0"/>
    <n v="0"/>
    <n v="0"/>
    <m/>
    <m/>
    <s v="Rest of Borough"/>
    <n v="5"/>
    <m/>
    <n v="4.5"/>
    <n v="4.5"/>
    <m/>
    <m/>
    <m/>
    <m/>
    <m/>
    <m/>
    <m/>
    <m/>
    <m/>
    <m/>
    <m/>
    <m/>
    <m/>
    <m/>
    <m/>
    <m/>
    <m/>
    <n v="9"/>
    <n v="9"/>
  </r>
  <r>
    <n v="6657"/>
    <x v="1"/>
    <s v="2021/1291"/>
    <s v="Brocklebank Health Centre, 249 Garratt Lane (and others), 229-247 Garratt Lane (Garratt Lane and Atheldene Regeneration Site)"/>
    <s v="Phase 1 (Block C)"/>
    <n v="525999"/>
    <n v="173647"/>
    <s v="Wandle"/>
    <d v="2022-01-20T00:00:00"/>
    <m/>
    <n v="0"/>
    <n v="25"/>
    <n v="25"/>
    <n v="193"/>
    <n v="182"/>
    <s v="Y"/>
    <s v="Submission of details of amendments pursuant to Section 106 agreement attached to planning permission dated 31/07/2020 ref 2017/4141 (Demolition of existing buildings and erection of a mixed use development providing a total of 193 residential units (of both private and affordable tenure) including houses and apartments, with associated amenity space including gardens, balconies and terraces; a new health centre (Class D1 use) (1,873sq.m), a pharmacy (Class A1 use) (94sq.m), two commercial units (flexible Class A1/A2/A3 or B1 use) (189sq.m), within buildings ranging between two and five-storeys high, together with the provision of hard and soft landscaping, enhanced pedestrian routes, and associated car parking and cycle parking, with the development proposed to be constructed in two phases.) to allow an increase in affordable housing provision."/>
    <s v="S106"/>
    <d v="2021-03-05T00:00:00"/>
    <d v="2021-07-19T00:00:00"/>
    <m/>
    <s v="Nil"/>
    <m/>
    <s v="BF"/>
    <s v="NB"/>
    <x v="1"/>
    <x v="0"/>
    <n v="2.1999999999999999E-2"/>
    <d v="2022-01-20T00:00:00"/>
    <x v="0"/>
    <m/>
    <s v="Intermediate"/>
    <s v="ISL"/>
    <s v=""/>
    <m/>
    <m/>
    <n v="21"/>
    <m/>
    <n v="4"/>
    <n v="0"/>
    <n v="11"/>
    <n v="10"/>
    <n v="4"/>
    <n v="0"/>
    <n v="0"/>
    <n v="0"/>
    <n v="0"/>
    <n v="11"/>
    <n v="10"/>
    <n v="4"/>
    <n v="0"/>
    <n v="0"/>
    <n v="0"/>
    <n v="0"/>
    <n v="0"/>
    <n v="0"/>
    <n v="0"/>
    <n v="0"/>
    <n v="0"/>
    <n v="0"/>
    <n v="0"/>
    <n v="0"/>
    <n v="0"/>
    <n v="0"/>
    <n v="0"/>
    <n v="0"/>
    <n v="0"/>
    <m/>
    <m/>
    <s v="Rest of Borough"/>
    <n v="5"/>
    <m/>
    <n v="25"/>
    <m/>
    <m/>
    <m/>
    <m/>
    <m/>
    <m/>
    <m/>
    <m/>
    <m/>
    <m/>
    <m/>
    <m/>
    <m/>
    <m/>
    <m/>
    <m/>
    <m/>
    <m/>
    <n v="25"/>
    <n v="25"/>
  </r>
  <r>
    <n v="6657"/>
    <x v="1"/>
    <s v="2021/1291"/>
    <s v="Brocklebank Health Centre, 249 Garratt Lane (and others), 229-247 Garratt Lane (Garratt Lane and Atheldene Regeneration Site)"/>
    <s v="Phase 1 (Block B)"/>
    <n v="525999"/>
    <n v="173647"/>
    <s v="Wandle"/>
    <d v="2022-01-20T00:00:00"/>
    <m/>
    <n v="0"/>
    <n v="22"/>
    <n v="22"/>
    <n v="193"/>
    <n v="182"/>
    <s v="Y"/>
    <s v="Submission of details of amendments pursuant to Section 106 agreement attached to planning permission dated 31/07/2020 ref 2017/4141 (Demolition of existing buildings and erection of a mixed use development providing a total of 193 residential units (of both private and affordable tenure) including houses and apartments, with associated amenity space including gardens, balconies and terraces; a new health centre (Class D1 use) (1,873sq.m), a pharmacy (Class A1 use) (94sq.m), two commercial units (flexible Class A1/A2/A3 or B1 use) (189sq.m), within buildings ranging between two and five-storeys high, together with the provision of hard and soft landscaping, enhanced pedestrian routes, and associated car parking and cycle parking, with the development proposed to be constructed in two phases.) to allow an increase in affordable housing provision."/>
    <s v="S106"/>
    <d v="2021-03-05T00:00:00"/>
    <d v="2021-07-19T00:00:00"/>
    <m/>
    <s v="Nil"/>
    <m/>
    <s v="BF"/>
    <s v="NB"/>
    <x v="1"/>
    <x v="0"/>
    <n v="0.02"/>
    <d v="2022-01-20T00:00:00"/>
    <x v="0"/>
    <m/>
    <s v="Open Market"/>
    <s v="M"/>
    <s v=""/>
    <m/>
    <m/>
    <n v="20"/>
    <m/>
    <n v="2"/>
    <n v="0"/>
    <n v="2"/>
    <n v="19"/>
    <n v="1"/>
    <n v="0"/>
    <n v="0"/>
    <n v="0"/>
    <n v="0"/>
    <n v="2"/>
    <n v="19"/>
    <n v="1"/>
    <n v="0"/>
    <n v="0"/>
    <n v="0"/>
    <n v="0"/>
    <n v="0"/>
    <n v="0"/>
    <n v="0"/>
    <n v="0"/>
    <n v="0"/>
    <n v="0"/>
    <n v="0"/>
    <n v="0"/>
    <n v="0"/>
    <n v="0"/>
    <n v="0"/>
    <n v="0"/>
    <n v="0"/>
    <m/>
    <m/>
    <s v="Rest of Borough"/>
    <n v="5"/>
    <m/>
    <n v="22"/>
    <m/>
    <m/>
    <m/>
    <m/>
    <m/>
    <m/>
    <m/>
    <m/>
    <m/>
    <m/>
    <m/>
    <m/>
    <m/>
    <m/>
    <m/>
    <m/>
    <m/>
    <m/>
    <n v="22"/>
    <n v="22"/>
  </r>
  <r>
    <n v="6657"/>
    <x v="1"/>
    <s v="2021/1291"/>
    <s v="Brocklebank Health Centre, 249 Garratt Lane (and others), 229-247 Garratt Lane (Garratt Lane and Atheldene Regeneration Site)"/>
    <s v="Phase 1 (Block A)"/>
    <n v="525999"/>
    <n v="173647"/>
    <s v="Wandle"/>
    <d v="2022-01-20T00:00:00"/>
    <m/>
    <n v="0"/>
    <n v="21"/>
    <n v="21"/>
    <n v="193"/>
    <n v="182"/>
    <s v="Y"/>
    <s v="Submission of details of amendments pursuant to Section 106 agreement attached to planning permission dated 31/07/2020 ref 2017/4141 (Demolition of existing buildings and erection of a mixed use development providing a total of 193 residential units (of both private and affordable tenure) including houses and apartments, with associated amenity space including gardens, balconies and terraces; a new health centre (Class D1 use) (1,873sq.m), a pharmacy (Class A1 use) (94sq.m), two commercial units (flexible Class A1/A2/A3 or B1 use) (189sq.m), within buildings ranging between two and five-storeys high, together with the provision of hard and soft landscaping, enhanced pedestrian routes, and associated car parking and cycle parking, with the development proposed to be constructed in two phases.) to allow an increase in affordable housing provision."/>
    <s v="S106"/>
    <d v="2021-03-05T00:00:00"/>
    <d v="2021-07-19T00:00:00"/>
    <m/>
    <s v="Nil"/>
    <m/>
    <s v="BF"/>
    <s v="NB"/>
    <x v="1"/>
    <x v="0"/>
    <n v="1.9E-2"/>
    <d v="2022-01-20T00:00:00"/>
    <x v="0"/>
    <m/>
    <s v="Intermediate"/>
    <s v="ISL"/>
    <s v=""/>
    <m/>
    <m/>
    <n v="18"/>
    <m/>
    <n v="3"/>
    <n v="0"/>
    <n v="5"/>
    <n v="16"/>
    <n v="0"/>
    <n v="0"/>
    <n v="0"/>
    <n v="0"/>
    <n v="0"/>
    <n v="5"/>
    <n v="16"/>
    <n v="0"/>
    <n v="0"/>
    <n v="0"/>
    <n v="0"/>
    <n v="0"/>
    <n v="0"/>
    <n v="0"/>
    <n v="0"/>
    <n v="0"/>
    <n v="0"/>
    <n v="0"/>
    <n v="0"/>
    <n v="0"/>
    <n v="0"/>
    <n v="0"/>
    <n v="0"/>
    <n v="0"/>
    <n v="0"/>
    <m/>
    <m/>
    <s v="Rest of Borough"/>
    <n v="5"/>
    <m/>
    <n v="21"/>
    <m/>
    <m/>
    <m/>
    <m/>
    <m/>
    <m/>
    <m/>
    <m/>
    <m/>
    <m/>
    <m/>
    <m/>
    <m/>
    <m/>
    <m/>
    <m/>
    <m/>
    <m/>
    <n v="21"/>
    <n v="21"/>
  </r>
  <r>
    <n v="6016"/>
    <x v="1"/>
    <s v="2021/1667"/>
    <s v="203 Replingham Road"/>
    <s v=""/>
    <n v="525206"/>
    <n v="173428"/>
    <s v="Southfields"/>
    <d v="2024-03-31T00:00:00"/>
    <m/>
    <n v="0"/>
    <n v="2"/>
    <n v="2"/>
    <n v="2"/>
    <n v="2"/>
    <m/>
    <s v="Determination as to whether prior approval is required for change of use from retail (Class A1) to 2 x 1-bedroom flats (Class C3) on the ground floor with associated external alterations to front and rear elevations."/>
    <s v="PAG"/>
    <d v="2021-03-31T00:00:00"/>
    <d v="2021-05-24T00:00:00"/>
    <m/>
    <s v="Nil"/>
    <m/>
    <s v="BF"/>
    <s v="COU"/>
    <x v="2"/>
    <x v="4"/>
    <n v="5.0000000000000001E-3"/>
    <d v="2024-03-31T00:00:00"/>
    <x v="1"/>
    <m/>
    <s v="Open Market"/>
    <s v="M"/>
    <s v=""/>
    <m/>
    <m/>
    <m/>
    <m/>
    <m/>
    <n v="0"/>
    <n v="2"/>
    <n v="0"/>
    <n v="0"/>
    <n v="0"/>
    <n v="0"/>
    <n v="0"/>
    <n v="0"/>
    <n v="2"/>
    <n v="0"/>
    <n v="0"/>
    <n v="0"/>
    <n v="0"/>
    <n v="0"/>
    <n v="0"/>
    <n v="0"/>
    <n v="0"/>
    <n v="0"/>
    <n v="0"/>
    <n v="0"/>
    <n v="0"/>
    <n v="0"/>
    <n v="0"/>
    <n v="0"/>
    <n v="0"/>
    <n v="0"/>
    <n v="0"/>
    <n v="0"/>
    <m/>
    <m/>
    <s v="Rest of Borough"/>
    <n v="14"/>
    <m/>
    <n v="1"/>
    <n v="1"/>
    <m/>
    <m/>
    <m/>
    <m/>
    <m/>
    <m/>
    <m/>
    <m/>
    <m/>
    <m/>
    <m/>
    <m/>
    <m/>
    <m/>
    <m/>
    <m/>
    <m/>
    <n v="2"/>
    <n v="2"/>
  </r>
  <r>
    <n v="7629"/>
    <x v="1"/>
    <s v="2021/1677"/>
    <s v="120 Battersea Bridge Road"/>
    <s v="Intermediate"/>
    <n v="527264"/>
    <n v="176919"/>
    <s v="Battersea Park"/>
    <d v="2022-07-01T00:00:00"/>
    <m/>
    <n v="0"/>
    <n v="9"/>
    <n v="9"/>
    <n v="24"/>
    <n v="24"/>
    <s v="Y"/>
    <s v="Demolition of existing building and removal of structures/raised levels and erection of a part 4, 7 and 8 storey building, providing Class F1 Community Hall /Class F2 Church Hall on the ground and mezzanine floors, Class E Offices at mezzanine level and 24 residential units at mezzanine and upper levels, together with communal terrace on 7th floor, cycle parking at ground and first floors and visitor cycle spaces on Hyde Lane, roof plant, new bin store for Randall Close development and associated works."/>
    <s v="PFLA"/>
    <d v="2021-04-13T00:00:00"/>
    <d v="2022-05-20T00:00:00"/>
    <m/>
    <s v="Nil"/>
    <m/>
    <s v="BF"/>
    <s v="NB"/>
    <x v="1"/>
    <x v="0"/>
    <n v="8.3000000000000004E-2"/>
    <d v="2022-07-01T00:00:00"/>
    <x v="0"/>
    <m/>
    <s v="Intermediate"/>
    <s v="ISL"/>
    <s v=""/>
    <m/>
    <m/>
    <m/>
    <m/>
    <n v="2"/>
    <n v="0"/>
    <n v="4"/>
    <n v="5"/>
    <n v="0"/>
    <n v="0"/>
    <n v="0"/>
    <n v="0"/>
    <n v="0"/>
    <n v="4"/>
    <n v="5"/>
    <n v="0"/>
    <n v="0"/>
    <n v="0"/>
    <n v="0"/>
    <n v="0"/>
    <n v="0"/>
    <n v="0"/>
    <n v="0"/>
    <n v="0"/>
    <n v="0"/>
    <n v="0"/>
    <n v="0"/>
    <n v="0"/>
    <n v="0"/>
    <n v="0"/>
    <n v="0"/>
    <n v="0"/>
    <n v="0"/>
    <m/>
    <m/>
    <s v="Rest of Borough"/>
    <n v="6"/>
    <m/>
    <m/>
    <n v="2.25"/>
    <n v="2.25"/>
    <n v="2.25"/>
    <n v="2.25"/>
    <m/>
    <m/>
    <m/>
    <m/>
    <m/>
    <m/>
    <m/>
    <m/>
    <m/>
    <m/>
    <m/>
    <m/>
    <m/>
    <m/>
    <n v="9"/>
    <n v="9"/>
  </r>
  <r>
    <n v="7629"/>
    <x v="1"/>
    <s v="2021/1677"/>
    <s v="120 Battersea Bridge Road"/>
    <s v="Market"/>
    <n v="527264"/>
    <n v="176919"/>
    <s v="Battersea Park"/>
    <d v="2022-07-01T00:00:00"/>
    <m/>
    <n v="0"/>
    <n v="15"/>
    <n v="15"/>
    <n v="24"/>
    <n v="24"/>
    <s v="Y"/>
    <s v="Demolition of existing building and removal of structures/raised levels and erection of a part 4, 7 and 8 storey building, providing Class F1 Community Hall /Class F2 Church Hall on the ground and mezzanine floors, Class E Offices at mezzanine level and 24 residential units at mezzanine and upper levels, together with communal terrace on 7th floor, cycle parking at ground and first floors and visitor cycle spaces on Hyde Lane, roof plant, new bin store for Randall Close development and associated works."/>
    <s v="PFLA"/>
    <d v="2021-04-13T00:00:00"/>
    <d v="2022-05-20T00:00:00"/>
    <m/>
    <s v="Nil"/>
    <m/>
    <s v="BF"/>
    <s v="NB"/>
    <x v="1"/>
    <x v="0"/>
    <n v="0.13800000000000001"/>
    <d v="2022-07-01T00:00:00"/>
    <x v="0"/>
    <m/>
    <s v="Open Market"/>
    <s v="M"/>
    <s v=""/>
    <m/>
    <m/>
    <m/>
    <m/>
    <m/>
    <n v="2"/>
    <n v="2"/>
    <n v="9"/>
    <n v="2"/>
    <n v="0"/>
    <n v="0"/>
    <n v="0"/>
    <n v="2"/>
    <n v="2"/>
    <n v="9"/>
    <n v="2"/>
    <n v="0"/>
    <n v="0"/>
    <n v="0"/>
    <n v="0"/>
    <n v="0"/>
    <n v="0"/>
    <n v="0"/>
    <n v="0"/>
    <n v="0"/>
    <n v="0"/>
    <n v="0"/>
    <n v="0"/>
    <n v="0"/>
    <n v="0"/>
    <n v="0"/>
    <n v="0"/>
    <n v="0"/>
    <m/>
    <m/>
    <s v="Rest of Borough"/>
    <n v="6"/>
    <m/>
    <m/>
    <n v="3.75"/>
    <n v="3.75"/>
    <n v="3.75"/>
    <n v="3.75"/>
    <m/>
    <m/>
    <m/>
    <m/>
    <m/>
    <m/>
    <m/>
    <m/>
    <m/>
    <m/>
    <m/>
    <m/>
    <m/>
    <m/>
    <n v="15"/>
    <n v="15"/>
  </r>
  <r>
    <n v="6657"/>
    <x v="1"/>
    <s v="2021/1291"/>
    <s v="Brocklebank Health Centre, 249 Garratt Lane (and others), 229-247 Garratt Lane (Garratt Lane and Atheldene Regeneration Site)"/>
    <s v="Phase 1 (Block D)"/>
    <n v="525999"/>
    <n v="173647"/>
    <s v="Wandle"/>
    <d v="2022-01-20T00:00:00"/>
    <m/>
    <n v="0"/>
    <n v="6"/>
    <n v="6"/>
    <n v="193"/>
    <n v="182"/>
    <s v="Y"/>
    <s v="Submission of details of amendments pursuant to Section 106 agreement attached to planning permission dated 31/07/2020 ref 2017/4141 (Demolition of existing buildings and erection of a mixed use development providing a total of 193 residential units (of both private and affordable tenure) including houses and apartments, with associated amenity space including gardens, balconies and terraces; a new health centre (Class D1 use) (1,873sq.m), a pharmacy (Class A1 use) (94sq.m), two commercial units (flexible Class A1/A2/A3 or B1 use) (189sq.m), within buildings ranging between two and five-storeys high, together with the provision of hard and soft landscaping, enhanced pedestrian routes, and associated car parking and cycle parking, with the development proposed to be constructed in two phases.) to allow an increase in affordable housing provision."/>
    <s v="S106"/>
    <d v="2021-03-05T00:00:00"/>
    <d v="2021-07-19T00:00:00"/>
    <m/>
    <s v="Nil"/>
    <m/>
    <s v="BF"/>
    <s v="NB"/>
    <x v="1"/>
    <x v="0"/>
    <n v="5.0000000000000001E-3"/>
    <d v="2023-04-01T00:00:00"/>
    <x v="1"/>
    <m/>
    <s v="Intermediate"/>
    <s v="ISL"/>
    <s v=""/>
    <m/>
    <m/>
    <m/>
    <m/>
    <n v="2"/>
    <n v="0"/>
    <n v="0"/>
    <n v="6"/>
    <n v="0"/>
    <n v="0"/>
    <n v="0"/>
    <n v="0"/>
    <n v="0"/>
    <n v="0"/>
    <n v="6"/>
    <n v="0"/>
    <n v="0"/>
    <n v="0"/>
    <n v="0"/>
    <n v="0"/>
    <n v="0"/>
    <n v="0"/>
    <n v="0"/>
    <n v="0"/>
    <n v="0"/>
    <n v="0"/>
    <n v="0"/>
    <n v="0"/>
    <n v="0"/>
    <n v="0"/>
    <n v="0"/>
    <n v="0"/>
    <n v="0"/>
    <m/>
    <m/>
    <s v="Rest of Borough"/>
    <n v="5"/>
    <m/>
    <n v="6"/>
    <m/>
    <m/>
    <m/>
    <m/>
    <m/>
    <m/>
    <m/>
    <m/>
    <m/>
    <m/>
    <m/>
    <m/>
    <m/>
    <m/>
    <m/>
    <m/>
    <m/>
    <m/>
    <n v="6"/>
    <n v="6"/>
  </r>
  <r>
    <n v="7709"/>
    <x v="1"/>
    <s v="2021/2155"/>
    <s v="10 Grandison Road"/>
    <s v=""/>
    <n v="527842"/>
    <n v="174955"/>
    <s v="Northcote"/>
    <d v="2023-04-01T00:00:00"/>
    <m/>
    <n v="1"/>
    <n v="1"/>
    <n v="0"/>
    <n v="1"/>
    <n v="0"/>
    <m/>
    <s v="Demolition of existing dwellinghouse except for front facade and erection of three-storey (plus basement) dwellinghouse and replacement front wall and railings."/>
    <s v="PF"/>
    <d v="2021-05-28T00:00:00"/>
    <d v="2021-08-09T00:00:00"/>
    <m/>
    <s v="Nil"/>
    <m/>
    <s v="BF"/>
    <s v="MIX"/>
    <x v="2"/>
    <x v="3"/>
    <n v="6.3749999999999996E-3"/>
    <d v="2023-04-01T00:00:00"/>
    <x v="1"/>
    <m/>
    <s v="Open Market"/>
    <s v="M"/>
    <s v=""/>
    <m/>
    <m/>
    <m/>
    <m/>
    <m/>
    <n v="0"/>
    <n v="0"/>
    <n v="0"/>
    <n v="0"/>
    <n v="-1"/>
    <n v="1"/>
    <n v="0"/>
    <n v="0"/>
    <n v="0"/>
    <n v="0"/>
    <n v="0"/>
    <n v="0"/>
    <n v="0"/>
    <n v="0"/>
    <n v="0"/>
    <n v="0"/>
    <n v="0"/>
    <n v="0"/>
    <n v="-1"/>
    <n v="1"/>
    <n v="0"/>
    <n v="0"/>
    <n v="0"/>
    <n v="0"/>
    <n v="0"/>
    <n v="0"/>
    <n v="0"/>
    <n v="0"/>
    <m/>
    <m/>
    <s v="Rest of Borough"/>
    <n v="13"/>
    <m/>
    <n v="0"/>
    <m/>
    <m/>
    <m/>
    <m/>
    <m/>
    <m/>
    <m/>
    <m/>
    <m/>
    <m/>
    <m/>
    <m/>
    <m/>
    <m/>
    <m/>
    <m/>
    <m/>
    <m/>
    <n v="0"/>
    <n v="0"/>
  </r>
  <r>
    <n v="5410"/>
    <x v="1"/>
    <s v="2021/2262"/>
    <s v="129-139 Beaumont Road"/>
    <s v=""/>
    <n v="524095"/>
    <n v="173645"/>
    <s v="West Hill"/>
    <d v="2023-09-06T00:00:00"/>
    <m/>
    <n v="0"/>
    <n v="3"/>
    <n v="3"/>
    <n v="3"/>
    <n v="3"/>
    <m/>
    <s v="Erection of an additional floor to the roof of the existing building, to accommodate 3no. flats (1x1Bed, 1x2Bed &amp; 1x3Bed)."/>
    <s v="PFLA"/>
    <d v="2021-06-29T00:00:00"/>
    <d v="2022-04-21T00:00:00"/>
    <m/>
    <s v="Nil"/>
    <m/>
    <s v="BF"/>
    <s v="EXT"/>
    <x v="2"/>
    <x v="7"/>
    <n v="2.8400000000000002E-2"/>
    <d v="2023-09-06T00:00:00"/>
    <x v="1"/>
    <m/>
    <s v="Open Market"/>
    <s v="M"/>
    <s v=""/>
    <m/>
    <m/>
    <m/>
    <m/>
    <m/>
    <n v="0"/>
    <n v="1"/>
    <n v="1"/>
    <n v="1"/>
    <n v="0"/>
    <n v="0"/>
    <n v="0"/>
    <n v="0"/>
    <n v="1"/>
    <n v="1"/>
    <n v="1"/>
    <n v="0"/>
    <n v="0"/>
    <n v="0"/>
    <n v="0"/>
    <n v="0"/>
    <n v="0"/>
    <n v="0"/>
    <n v="0"/>
    <n v="0"/>
    <n v="0"/>
    <n v="0"/>
    <n v="0"/>
    <n v="0"/>
    <n v="0"/>
    <n v="0"/>
    <n v="0"/>
    <n v="0"/>
    <m/>
    <m/>
    <s v="Rest of Borough"/>
    <n v="13"/>
    <m/>
    <n v="3"/>
    <m/>
    <m/>
    <m/>
    <m/>
    <m/>
    <m/>
    <m/>
    <m/>
    <m/>
    <m/>
    <m/>
    <m/>
    <m/>
    <m/>
    <m/>
    <m/>
    <m/>
    <m/>
    <n v="3"/>
    <n v="3"/>
  </r>
  <r>
    <n v="7674"/>
    <x v="1"/>
    <s v="2021/2811"/>
    <s v="Land and Garages North of 1-21, Gay Street"/>
    <s v=""/>
    <n v="523951"/>
    <n v="175632"/>
    <s v="Thamesfield"/>
    <d v="2024-02-28T00:00:00"/>
    <m/>
    <n v="0"/>
    <n v="4"/>
    <n v="4"/>
    <n v="4"/>
    <n v="4"/>
    <m/>
    <s v="Demolition of garages and erection of a two storey building accommodating 2 x 1-bed and 2 x 2-bed flats, with associated refuse and cycle storage."/>
    <s v="PF"/>
    <d v="2021-06-24T00:00:00"/>
    <d v="2021-12-20T00:00:00"/>
    <m/>
    <s v="Nil"/>
    <m/>
    <s v="BF"/>
    <s v="NB"/>
    <x v="2"/>
    <x v="3"/>
    <n v="1.2E-2"/>
    <d v="2024-02-28T00:00:00"/>
    <x v="1"/>
    <m/>
    <s v="Open Market"/>
    <s v="M"/>
    <s v=""/>
    <m/>
    <m/>
    <m/>
    <m/>
    <m/>
    <n v="0"/>
    <n v="2"/>
    <n v="2"/>
    <n v="0"/>
    <n v="0"/>
    <n v="0"/>
    <n v="0"/>
    <n v="0"/>
    <n v="2"/>
    <n v="2"/>
    <n v="0"/>
    <n v="0"/>
    <n v="0"/>
    <n v="0"/>
    <n v="0"/>
    <n v="0"/>
    <n v="0"/>
    <n v="0"/>
    <n v="0"/>
    <n v="0"/>
    <n v="0"/>
    <n v="0"/>
    <n v="0"/>
    <n v="0"/>
    <n v="0"/>
    <n v="0"/>
    <n v="0"/>
    <n v="0"/>
    <m/>
    <m/>
    <s v="Rest of Borough"/>
    <n v="4"/>
    <m/>
    <n v="2"/>
    <n v="2"/>
    <m/>
    <m/>
    <m/>
    <m/>
    <m/>
    <m/>
    <m/>
    <m/>
    <m/>
    <m/>
    <m/>
    <m/>
    <m/>
    <m/>
    <m/>
    <m/>
    <m/>
    <n v="4"/>
    <n v="4"/>
  </r>
  <r>
    <n v="7622"/>
    <x v="1"/>
    <s v="2021/2885"/>
    <s v="Apartments 78 &amp; 79, 1 Riverlight Quay (Riverlight)"/>
    <s v=""/>
    <n v="529505"/>
    <n v="177593"/>
    <s v="Nine Elms"/>
    <d v="2024-03-31T00:00:00"/>
    <m/>
    <n v="2"/>
    <n v="1"/>
    <n v="-1"/>
    <n v="1"/>
    <n v="-1"/>
    <m/>
    <s v="The amalgamation of two adjacent two-bed units to create one four-bed unit and extension of the unit to incorporate 4 sqm of the communal hallway."/>
    <s v="PF"/>
    <d v="2021-06-18T00:00:00"/>
    <d v="2021-08-31T00:00:00"/>
    <m/>
    <s v="Nil"/>
    <m/>
    <s v="BF"/>
    <s v="CON"/>
    <x v="2"/>
    <x v="1"/>
    <n v="1.9099999999999999E-2"/>
    <d v="2024-03-31T00:00:00"/>
    <x v="1"/>
    <m/>
    <s v="Open Market"/>
    <s v="M"/>
    <s v="2.1.9"/>
    <m/>
    <m/>
    <m/>
    <m/>
    <m/>
    <n v="0"/>
    <n v="0"/>
    <n v="-2"/>
    <n v="0"/>
    <n v="1"/>
    <n v="0"/>
    <n v="0"/>
    <n v="0"/>
    <n v="0"/>
    <n v="-2"/>
    <n v="0"/>
    <n v="1"/>
    <n v="0"/>
    <n v="0"/>
    <n v="0"/>
    <n v="0"/>
    <n v="0"/>
    <n v="0"/>
    <n v="0"/>
    <n v="0"/>
    <n v="0"/>
    <n v="0"/>
    <n v="0"/>
    <n v="0"/>
    <n v="0"/>
    <n v="0"/>
    <n v="0"/>
    <n v="0"/>
    <m/>
    <s v="Y"/>
    <s v="Nine Elms"/>
    <n v="14"/>
    <m/>
    <n v="-0.5"/>
    <n v="-0.5"/>
    <m/>
    <m/>
    <m/>
    <m/>
    <m/>
    <m/>
    <m/>
    <m/>
    <m/>
    <m/>
    <m/>
    <m/>
    <m/>
    <m/>
    <m/>
    <m/>
    <m/>
    <n v="-1"/>
    <n v="-1"/>
  </r>
  <r>
    <n v="6657"/>
    <x v="1"/>
    <s v="2021/1291"/>
    <s v="Brocklebank Health Centre, 249 Garratt Lane (and others), 229-247 Garratt Lane (Garratt Lane and Atheldene Regeneration Site)"/>
    <s v="Phase 1 (Block B)"/>
    <n v="525999"/>
    <n v="173647"/>
    <s v="Wandle"/>
    <d v="2022-01-20T00:00:00"/>
    <m/>
    <n v="0"/>
    <n v="5"/>
    <n v="5"/>
    <n v="193"/>
    <n v="182"/>
    <s v="Y"/>
    <s v="Submission of details of amendments pursuant to Section 106 agreement attached to planning permission dated 31/07/2020 ref 2017/4141 (Demolition of existing buildings and erection of a mixed use development providing a total of 193 residential units (of both private and affordable tenure) including houses and apartments, with associated amenity space including gardens, balconies and terraces; a new health centre (Class D1 use) (1,873sq.m), a pharmacy (Class A1 use) (94sq.m), two commercial units (flexible Class A1/A2/A3 or B1 use) (189sq.m), within buildings ranging between two and five-storeys high, together with the provision of hard and soft landscaping, enhanced pedestrian routes, and associated car parking and cycle parking, with the development proposed to be constructed in two phases.) to allow an increase in affordable housing provision."/>
    <s v="S106"/>
    <d v="2021-03-05T00:00:00"/>
    <d v="2021-07-19T00:00:00"/>
    <m/>
    <s v="Nil"/>
    <m/>
    <s v="BF"/>
    <s v="NB"/>
    <x v="1"/>
    <x v="0"/>
    <n v="4.0000000000000001E-3"/>
    <d v="2022-01-20T00:00:00"/>
    <x v="0"/>
    <m/>
    <s v="Intermediate"/>
    <s v="ISL"/>
    <s v=""/>
    <m/>
    <m/>
    <n v="5"/>
    <m/>
    <m/>
    <n v="0"/>
    <n v="2"/>
    <n v="3"/>
    <n v="0"/>
    <n v="0"/>
    <n v="0"/>
    <n v="0"/>
    <n v="0"/>
    <n v="2"/>
    <n v="3"/>
    <n v="0"/>
    <n v="0"/>
    <n v="0"/>
    <n v="0"/>
    <n v="0"/>
    <n v="0"/>
    <n v="0"/>
    <n v="0"/>
    <n v="0"/>
    <n v="0"/>
    <n v="0"/>
    <n v="0"/>
    <n v="0"/>
    <n v="0"/>
    <n v="0"/>
    <n v="0"/>
    <n v="0"/>
    <n v="0"/>
    <m/>
    <m/>
    <s v="Rest of Borough"/>
    <n v="5"/>
    <m/>
    <n v="5"/>
    <m/>
    <m/>
    <m/>
    <m/>
    <m/>
    <m/>
    <m/>
    <m/>
    <m/>
    <m/>
    <m/>
    <m/>
    <m/>
    <m/>
    <m/>
    <m/>
    <m/>
    <m/>
    <n v="5"/>
    <n v="5"/>
  </r>
  <r>
    <n v="6767"/>
    <x v="1"/>
    <s v="2021/2952"/>
    <s v="24 Bellevue Road"/>
    <s v=""/>
    <n v="527493"/>
    <n v="173327"/>
    <s v="Trinity"/>
    <d v="2021-04-01T00:00:00"/>
    <m/>
    <n v="1"/>
    <n v="4"/>
    <n v="3"/>
    <n v="4"/>
    <n v="3"/>
    <m/>
    <s v="Excavation to create a basement including formation of front and rear lightwells, erection of dormer roof extensions to front and rear roof. Erection of part single/ part two-storey rear extension and single storey outbuilding  in connection with conversion of property to 2 x 3-bedroom, 1 x 2-bedroom and 1 x 1-bedroom flats with associated cycle and refuse storage."/>
    <s v="PF"/>
    <d v="2021-06-21T00:00:00"/>
    <d v="2022-07-01T00:00:00"/>
    <m/>
    <s v="Nil"/>
    <m/>
    <s v="BF"/>
    <s v="MIX"/>
    <x v="2"/>
    <x v="7"/>
    <n v="7.0000000000000001E-3"/>
    <d v="2021-04-01T00:00:00"/>
    <x v="0"/>
    <m/>
    <s v="Open Market"/>
    <s v="M"/>
    <s v=""/>
    <m/>
    <m/>
    <m/>
    <m/>
    <m/>
    <n v="0"/>
    <n v="1"/>
    <n v="1"/>
    <n v="2"/>
    <n v="-1"/>
    <n v="0"/>
    <n v="0"/>
    <n v="0"/>
    <n v="1"/>
    <n v="1"/>
    <n v="2"/>
    <n v="0"/>
    <n v="0"/>
    <n v="0"/>
    <n v="0"/>
    <n v="0"/>
    <n v="0"/>
    <n v="0"/>
    <n v="-1"/>
    <n v="0"/>
    <n v="0"/>
    <n v="0"/>
    <n v="0"/>
    <n v="0"/>
    <n v="0"/>
    <n v="0"/>
    <n v="0"/>
    <n v="0"/>
    <m/>
    <m/>
    <s v="Rest of Borough"/>
    <n v="13"/>
    <m/>
    <n v="3"/>
    <m/>
    <m/>
    <m/>
    <m/>
    <m/>
    <m/>
    <m/>
    <m/>
    <m/>
    <m/>
    <m/>
    <m/>
    <m/>
    <m/>
    <m/>
    <m/>
    <m/>
    <m/>
    <n v="3"/>
    <n v="3"/>
  </r>
  <r>
    <n v="7679"/>
    <x v="1"/>
    <s v="2021/3012"/>
    <s v="82-84 Mitcham Lane"/>
    <s v=""/>
    <n v="529371"/>
    <n v="171218"/>
    <s v="Furzedown"/>
    <d v="2022-11-04T00:00:00"/>
    <m/>
    <n v="0"/>
    <n v="9"/>
    <n v="9"/>
    <n v="9"/>
    <n v="9"/>
    <m/>
    <s v="Determination as to whether prior approval is required for demolition of existing workshop and erection of part 2/part 4-storey building to provide 8 x 1-bedroom and 1 x 2-bedroom flats."/>
    <s v="PAG"/>
    <d v="2021-06-29T00:00:00"/>
    <d v="2021-09-08T00:00:00"/>
    <m/>
    <s v="Nil"/>
    <m/>
    <s v="BF"/>
    <s v="NB"/>
    <x v="2"/>
    <x v="3"/>
    <n v="1.6E-2"/>
    <d v="2022-11-04T00:00:00"/>
    <x v="0"/>
    <m/>
    <s v="Open Market"/>
    <s v="M"/>
    <s v=""/>
    <m/>
    <m/>
    <m/>
    <m/>
    <m/>
    <n v="0"/>
    <n v="8"/>
    <n v="1"/>
    <n v="0"/>
    <n v="0"/>
    <n v="0"/>
    <n v="0"/>
    <n v="0"/>
    <n v="8"/>
    <n v="1"/>
    <n v="0"/>
    <n v="0"/>
    <n v="0"/>
    <n v="0"/>
    <n v="0"/>
    <n v="0"/>
    <n v="0"/>
    <n v="0"/>
    <n v="0"/>
    <n v="0"/>
    <n v="0"/>
    <n v="0"/>
    <n v="0"/>
    <n v="0"/>
    <n v="0"/>
    <n v="0"/>
    <n v="0"/>
    <n v="0"/>
    <m/>
    <m/>
    <s v="Rest of Borough"/>
    <n v="3"/>
    <m/>
    <n v="9"/>
    <m/>
    <m/>
    <m/>
    <m/>
    <m/>
    <m/>
    <m/>
    <m/>
    <m/>
    <m/>
    <m/>
    <m/>
    <m/>
    <m/>
    <m/>
    <m/>
    <m/>
    <m/>
    <n v="9"/>
    <n v="9"/>
  </r>
  <r>
    <n v="7740"/>
    <x v="1"/>
    <s v="2021/3121"/>
    <s v="7 Fairlight Road"/>
    <s v=""/>
    <n v="526967"/>
    <n v="171687"/>
    <s v="Tooting Broadway"/>
    <d v="2022-03-31T00:00:00"/>
    <m/>
    <n v="1"/>
    <n v="2"/>
    <n v="1"/>
    <n v="2"/>
    <n v="1"/>
    <m/>
    <s v="Alterations including erection of mansard roof extension to main rear roof including raising ridge by 300mm, erection of roof extension and formation of roof terrace with 1.7m glazed safety surround above two storey rear addition in connection with creation of 1 x 1-bedroom flat."/>
    <s v="PF"/>
    <d v="2021-07-08T00:00:00"/>
    <d v="2021-09-02T00:00:00"/>
    <m/>
    <s v="Nil"/>
    <m/>
    <s v="BF"/>
    <s v="EXT"/>
    <x v="2"/>
    <x v="7"/>
    <n v="5.0000000000000001E-3"/>
    <d v="2022-03-31T00:00:00"/>
    <x v="0"/>
    <m/>
    <s v="Open Market"/>
    <s v="M"/>
    <s v=""/>
    <m/>
    <m/>
    <m/>
    <m/>
    <m/>
    <n v="0"/>
    <n v="1"/>
    <n v="0"/>
    <n v="0"/>
    <n v="0"/>
    <n v="0"/>
    <n v="0"/>
    <n v="0"/>
    <n v="1"/>
    <n v="0"/>
    <n v="0"/>
    <n v="0"/>
    <n v="0"/>
    <n v="0"/>
    <n v="0"/>
    <n v="0"/>
    <n v="0"/>
    <n v="0"/>
    <n v="0"/>
    <n v="0"/>
    <n v="0"/>
    <n v="0"/>
    <n v="0"/>
    <n v="0"/>
    <n v="0"/>
    <n v="0"/>
    <n v="0"/>
    <n v="0"/>
    <m/>
    <m/>
    <s v="Rest of Borough"/>
    <n v="13"/>
    <m/>
    <n v="1"/>
    <m/>
    <m/>
    <m/>
    <m/>
    <m/>
    <m/>
    <m/>
    <m/>
    <m/>
    <m/>
    <m/>
    <m/>
    <m/>
    <m/>
    <m/>
    <m/>
    <m/>
    <m/>
    <n v="1"/>
    <n v="1"/>
  </r>
  <r>
    <n v="7662"/>
    <x v="1"/>
    <s v="2021/3198"/>
    <s v="34-36 Thurleigh Road"/>
    <s v=""/>
    <n v="527933"/>
    <n v="174081"/>
    <s v="Balham"/>
    <d v="2023-04-01T00:00:00"/>
    <m/>
    <n v="2"/>
    <n v="2"/>
    <n v="0"/>
    <n v="2"/>
    <n v="0"/>
    <m/>
    <s v="Demolition of one semi-detached and one detached dwellings and erection of three -storey (plus basement) 4-bedroom semi-detached dwellings."/>
    <s v="PF"/>
    <d v="2021-07-06T00:00:00"/>
    <d v="2021-12-22T00:00:00"/>
    <m/>
    <s v="Nil"/>
    <m/>
    <s v="BF"/>
    <s v="NB"/>
    <x v="2"/>
    <x v="3"/>
    <n v="1.7874999999999999E-2"/>
    <d v="2023-11-30T00:00:00"/>
    <x v="1"/>
    <m/>
    <s v="Open Market"/>
    <s v="M"/>
    <s v=""/>
    <m/>
    <m/>
    <m/>
    <m/>
    <m/>
    <n v="0"/>
    <n v="0"/>
    <n v="0"/>
    <n v="-2"/>
    <n v="2"/>
    <n v="0"/>
    <n v="0"/>
    <n v="0"/>
    <n v="0"/>
    <n v="0"/>
    <n v="0"/>
    <n v="0"/>
    <n v="0"/>
    <n v="0"/>
    <n v="0"/>
    <n v="0"/>
    <n v="0"/>
    <n v="-2"/>
    <n v="2"/>
    <n v="0"/>
    <n v="0"/>
    <n v="0"/>
    <n v="0"/>
    <n v="0"/>
    <n v="0"/>
    <n v="0"/>
    <n v="0"/>
    <n v="0"/>
    <m/>
    <m/>
    <s v="Rest of Borough"/>
    <n v="4"/>
    <m/>
    <n v="0"/>
    <n v="0"/>
    <m/>
    <m/>
    <m/>
    <m/>
    <m/>
    <m/>
    <m/>
    <m/>
    <m/>
    <m/>
    <m/>
    <m/>
    <m/>
    <m/>
    <m/>
    <m/>
    <m/>
    <n v="0"/>
    <n v="0"/>
  </r>
  <r>
    <n v="5353"/>
    <x v="1"/>
    <s v="2021/3214"/>
    <s v="218 Tooting High Street"/>
    <s v=""/>
    <n v="527084"/>
    <n v="170956"/>
    <s v="Tooting Broadway"/>
    <d v="2024-01-02T00:00:00"/>
    <m/>
    <n v="1"/>
    <n v="1"/>
    <n v="0"/>
    <n v="1"/>
    <n v="0"/>
    <m/>
    <s v="Erection of two storey rear building with link to main front building and first floor terraces, provision of cycle and bin storage. Change of use of rear ground floor of front building from residential (C3) to commercial (A1) in connection with provision of 1 x 3 bedroom unit."/>
    <s v="PF"/>
    <d v="2021-08-04T00:00:00"/>
    <d v="2021-11-03T00:00:00"/>
    <m/>
    <s v="Nil"/>
    <m/>
    <s v="BF"/>
    <s v="MIX"/>
    <x v="2"/>
    <x v="4"/>
    <n v="1.17E-2"/>
    <d v="2024-01-02T00:00:00"/>
    <x v="1"/>
    <m/>
    <s v="Open Market"/>
    <s v="M"/>
    <s v=""/>
    <m/>
    <m/>
    <m/>
    <m/>
    <m/>
    <n v="0"/>
    <n v="0"/>
    <n v="-1"/>
    <n v="1"/>
    <n v="0"/>
    <n v="0"/>
    <n v="0"/>
    <n v="0"/>
    <n v="0"/>
    <n v="-1"/>
    <n v="0"/>
    <n v="0"/>
    <n v="0"/>
    <n v="0"/>
    <n v="0"/>
    <n v="0"/>
    <n v="0"/>
    <n v="1"/>
    <n v="0"/>
    <n v="0"/>
    <n v="0"/>
    <n v="0"/>
    <n v="0"/>
    <n v="0"/>
    <n v="0"/>
    <n v="0"/>
    <n v="0"/>
    <n v="0"/>
    <m/>
    <m/>
    <s v="Rest of Borough"/>
    <n v="14"/>
    <m/>
    <n v="0"/>
    <n v="0"/>
    <m/>
    <m/>
    <m/>
    <m/>
    <m/>
    <m/>
    <m/>
    <m/>
    <m/>
    <m/>
    <m/>
    <m/>
    <m/>
    <m/>
    <m/>
    <m/>
    <m/>
    <n v="0"/>
    <n v="0"/>
  </r>
  <r>
    <n v="6657"/>
    <x v="1"/>
    <s v="2021/1291"/>
    <s v="Brocklebank Health Centre, 249 Garratt Lane (and others), 229-247 Garratt Lane (Garratt Lane and Atheldene Regeneration Site)"/>
    <s v="Phase 1 (Block D)"/>
    <n v="525999"/>
    <n v="173647"/>
    <s v="Wandle"/>
    <d v="2022-01-20T00:00:00"/>
    <m/>
    <n v="0"/>
    <n v="2"/>
    <n v="2"/>
    <n v="193"/>
    <n v="182"/>
    <s v="Y"/>
    <s v="Submission of details of amendments pursuant to Section 106 agreement attached to planning permission dated 31/07/2020 ref 2017/4141 (Demolition of existing buildings and erection of a mixed use development providing a total of 193 residential units (of both private and affordable tenure) including houses and apartments, with associated amenity space including gardens, balconies and terraces; a new health centre (Class D1 use) (1,873sq.m), a pharmacy (Class A1 use) (94sq.m), two commercial units (flexible Class A1/A2/A3 or B1 use) (189sq.m), within buildings ranging between two and five-storeys high, together with the provision of hard and soft landscaping, enhanced pedestrian routes, and associated car parking and cycle parking, with the development proposed to be constructed in two phases.) to allow an increase in affordable housing provision."/>
    <s v="S106"/>
    <d v="2021-03-05T00:00:00"/>
    <d v="2021-07-19T00:00:00"/>
    <m/>
    <s v="Nil"/>
    <m/>
    <s v="BF"/>
    <s v="NB"/>
    <x v="1"/>
    <x v="0"/>
    <n v="2E-3"/>
    <d v="2023-04-01T00:00:00"/>
    <x v="1"/>
    <m/>
    <s v="Social/Affordable Rent"/>
    <s v="AL"/>
    <s v=""/>
    <m/>
    <m/>
    <m/>
    <m/>
    <n v="2"/>
    <n v="0"/>
    <n v="0"/>
    <n v="2"/>
    <n v="0"/>
    <n v="0"/>
    <n v="0"/>
    <n v="0"/>
    <n v="0"/>
    <n v="0"/>
    <n v="2"/>
    <n v="0"/>
    <n v="0"/>
    <n v="0"/>
    <n v="0"/>
    <n v="0"/>
    <n v="0"/>
    <n v="0"/>
    <n v="0"/>
    <n v="0"/>
    <n v="0"/>
    <n v="0"/>
    <n v="0"/>
    <n v="0"/>
    <n v="0"/>
    <n v="0"/>
    <n v="0"/>
    <n v="0"/>
    <n v="0"/>
    <m/>
    <m/>
    <s v="Rest of Borough"/>
    <n v="5"/>
    <m/>
    <n v="2"/>
    <m/>
    <m/>
    <m/>
    <m/>
    <m/>
    <m/>
    <m/>
    <m/>
    <m/>
    <m/>
    <m/>
    <m/>
    <m/>
    <m/>
    <m/>
    <m/>
    <m/>
    <m/>
    <n v="2"/>
    <n v="2"/>
  </r>
  <r>
    <n v="2708"/>
    <x v="1"/>
    <s v="2021/3346"/>
    <s v="Garages rear of 194, Bedford Hill"/>
    <s v=""/>
    <n v="528946"/>
    <n v="172480"/>
    <s v="South Balham"/>
    <d v="2020-09-01T00:00:00"/>
    <m/>
    <n v="0"/>
    <n v="1"/>
    <n v="1"/>
    <n v="1"/>
    <n v="1"/>
    <m/>
    <s v="Demolition of existing garages and erection of single storey (plus twostorey basement) 2-bedroom house including alterations to boundary_x000a_walls"/>
    <s v="PF"/>
    <d v="2021-07-21T00:00:00"/>
    <d v="2021-11-12T00:00:00"/>
    <m/>
    <s v="Nil"/>
    <m/>
    <s v="BF"/>
    <s v="NB"/>
    <x v="2"/>
    <x v="3"/>
    <n v="4.73333E-3"/>
    <d v="2020-09-01T00:00:00"/>
    <x v="0"/>
    <m/>
    <s v="Open Market"/>
    <s v="M"/>
    <s v=""/>
    <m/>
    <m/>
    <m/>
    <m/>
    <m/>
    <n v="0"/>
    <n v="0"/>
    <n v="1"/>
    <n v="0"/>
    <n v="0"/>
    <n v="0"/>
    <n v="0"/>
    <n v="0"/>
    <n v="0"/>
    <n v="0"/>
    <n v="0"/>
    <n v="0"/>
    <n v="0"/>
    <n v="0"/>
    <n v="0"/>
    <n v="0"/>
    <n v="1"/>
    <n v="0"/>
    <n v="0"/>
    <n v="0"/>
    <n v="0"/>
    <n v="0"/>
    <n v="0"/>
    <n v="0"/>
    <n v="0"/>
    <n v="0"/>
    <n v="0"/>
    <n v="0"/>
    <m/>
    <m/>
    <s v="Rest of Borough"/>
    <n v="3"/>
    <m/>
    <n v="1"/>
    <m/>
    <m/>
    <m/>
    <m/>
    <m/>
    <m/>
    <m/>
    <m/>
    <m/>
    <m/>
    <m/>
    <m/>
    <m/>
    <m/>
    <m/>
    <m/>
    <m/>
    <m/>
    <n v="1"/>
    <n v="1"/>
  </r>
  <r>
    <n v="7737"/>
    <x v="1"/>
    <s v="2021/3419"/>
    <s v="23 Henning Street"/>
    <s v=""/>
    <n v="527150"/>
    <n v="176534"/>
    <s v="St Mary's"/>
    <d v="2023-03-31T00:00:00"/>
    <m/>
    <n v="1"/>
    <n v="1"/>
    <n v="0"/>
    <n v="1"/>
    <n v="0"/>
    <m/>
    <s v="Alterations including demolition of existing house, retention of existing front facade and erection of two storey (plus roof and basement)  3-bedroom house."/>
    <s v="PF"/>
    <d v="2021-07-27T00:00:00"/>
    <d v="2022-03-01T00:00:00"/>
    <m/>
    <s v="Nil"/>
    <m/>
    <s v="BF"/>
    <s v="NB"/>
    <x v="2"/>
    <x v="3"/>
    <n v="8.9999999999999993E-3"/>
    <d v="2023-03-31T00:00:00"/>
    <x v="0"/>
    <m/>
    <s v="Open Market"/>
    <s v="M"/>
    <s v=""/>
    <m/>
    <m/>
    <m/>
    <m/>
    <m/>
    <n v="0"/>
    <n v="0"/>
    <n v="0"/>
    <n v="0"/>
    <n v="0"/>
    <n v="0"/>
    <n v="0"/>
    <n v="0"/>
    <n v="0"/>
    <n v="0"/>
    <n v="0"/>
    <n v="0"/>
    <n v="0"/>
    <n v="0"/>
    <n v="0"/>
    <n v="0"/>
    <n v="0"/>
    <n v="0"/>
    <n v="0"/>
    <n v="0"/>
    <n v="0"/>
    <n v="0"/>
    <n v="0"/>
    <n v="0"/>
    <n v="0"/>
    <n v="0"/>
    <n v="0"/>
    <n v="0"/>
    <m/>
    <m/>
    <s v="Rest of Borough"/>
    <n v="3"/>
    <m/>
    <n v="0"/>
    <m/>
    <m/>
    <m/>
    <m/>
    <m/>
    <m/>
    <m/>
    <m/>
    <m/>
    <m/>
    <m/>
    <m/>
    <m/>
    <m/>
    <m/>
    <m/>
    <m/>
    <m/>
    <n v="0"/>
    <n v="0"/>
  </r>
  <r>
    <n v="7715"/>
    <x v="1"/>
    <s v="2021/3550"/>
    <s v="Silverdale House, 98-100 Wandsworth High Street"/>
    <s v=""/>
    <n v="525439"/>
    <n v="174719"/>
    <s v="Wandsworth Town"/>
    <d v="2022-09-05T00:00:00"/>
    <m/>
    <n v="0"/>
    <n v="9"/>
    <n v="9"/>
    <n v="9"/>
    <n v="9"/>
    <m/>
    <s v="Erection of six storey building in connection with creation of 2 x 3-bedroom, 1 x 2-bedroom and 6 x 1-bedroom flats with associated refuse and cycle storage."/>
    <s v="PF"/>
    <d v="2021-07-28T00:00:00"/>
    <d v="2022-04-27T00:00:00"/>
    <m/>
    <s v="Nil"/>
    <m/>
    <s v="BF"/>
    <s v="NB"/>
    <x v="2"/>
    <x v="3"/>
    <n v="1.2999999999999999E-2"/>
    <d v="2022-09-05T00:00:00"/>
    <x v="0"/>
    <m/>
    <s v="Open Market"/>
    <s v="M"/>
    <s v=""/>
    <m/>
    <m/>
    <m/>
    <m/>
    <m/>
    <n v="0"/>
    <n v="6"/>
    <n v="1"/>
    <n v="2"/>
    <n v="0"/>
    <n v="0"/>
    <n v="0"/>
    <n v="0"/>
    <n v="6"/>
    <n v="1"/>
    <n v="2"/>
    <n v="0"/>
    <n v="0"/>
    <n v="0"/>
    <n v="0"/>
    <n v="0"/>
    <n v="0"/>
    <n v="0"/>
    <n v="0"/>
    <n v="0"/>
    <n v="0"/>
    <n v="0"/>
    <n v="0"/>
    <n v="0"/>
    <n v="0"/>
    <n v="0"/>
    <n v="0"/>
    <n v="0"/>
    <s v="Wandsworth"/>
    <m/>
    <s v="Wandsworth Town, including the Wandle Delta Masterplan Area"/>
    <n v="3"/>
    <m/>
    <n v="9"/>
    <m/>
    <m/>
    <m/>
    <m/>
    <m/>
    <m/>
    <m/>
    <m/>
    <m/>
    <m/>
    <m/>
    <m/>
    <m/>
    <m/>
    <m/>
    <m/>
    <m/>
    <m/>
    <n v="9"/>
    <n v="9"/>
  </r>
  <r>
    <n v="6657"/>
    <x v="1"/>
    <s v="2021/1291"/>
    <s v="Brocklebank Health Centre, 249 Garratt Lane (and others), 229-247 Garratt Lane (Garratt Lane and Atheldene Regeneration Site)"/>
    <s v="Phase 1 (Houses)"/>
    <n v="525999"/>
    <n v="173647"/>
    <s v="Wandle"/>
    <d v="2022-01-20T00:00:00"/>
    <m/>
    <n v="0"/>
    <n v="2"/>
    <n v="2"/>
    <n v="193"/>
    <n v="182"/>
    <s v="Y"/>
    <s v="Submission of details of amendments pursuant to Section 106 agreement attached to planning permission dated 31/07/2020 ref 2017/4141 (Demolition of existing buildings and erection of a mixed use development providing a total of 193 residential units (of both private and affordable tenure) including houses and apartments, with associated amenity space including gardens, balconies and terraces; a new health centre (Class D1 use) (1,873sq.m), a pharmacy (Class A1 use) (94sq.m), two commercial units (flexible Class A1/A2/A3 or B1 use) (189sq.m), within buildings ranging between two and five-storeys high, together with the provision of hard and soft landscaping, enhanced pedestrian routes, and associated car parking and cycle parking, with the development proposed to be constructed in two phases.) to allow an increase in affordable housing provision."/>
    <s v="S106"/>
    <d v="2021-03-05T00:00:00"/>
    <d v="2021-07-19T00:00:00"/>
    <m/>
    <s v="Nil"/>
    <m/>
    <s v="BF"/>
    <s v="NB"/>
    <x v="1"/>
    <x v="0"/>
    <n v="2E-3"/>
    <d v="2022-01-20T00:00:00"/>
    <x v="0"/>
    <m/>
    <s v="Intermediate"/>
    <s v="ISL"/>
    <s v=""/>
    <m/>
    <m/>
    <n v="2"/>
    <m/>
    <m/>
    <n v="0"/>
    <n v="0"/>
    <n v="0"/>
    <n v="2"/>
    <n v="0"/>
    <n v="0"/>
    <n v="0"/>
    <n v="0"/>
    <n v="0"/>
    <n v="0"/>
    <n v="0"/>
    <n v="0"/>
    <n v="0"/>
    <n v="0"/>
    <n v="0"/>
    <n v="0"/>
    <n v="0"/>
    <n v="2"/>
    <n v="0"/>
    <n v="0"/>
    <n v="0"/>
    <n v="0"/>
    <n v="0"/>
    <n v="0"/>
    <n v="0"/>
    <n v="0"/>
    <n v="0"/>
    <n v="0"/>
    <m/>
    <m/>
    <s v="Rest of Borough"/>
    <n v="5"/>
    <m/>
    <n v="2"/>
    <m/>
    <m/>
    <m/>
    <m/>
    <m/>
    <m/>
    <m/>
    <m/>
    <m/>
    <m/>
    <m/>
    <m/>
    <m/>
    <m/>
    <m/>
    <m/>
    <m/>
    <m/>
    <n v="2"/>
    <n v="2"/>
  </r>
  <r>
    <n v="6657"/>
    <x v="1"/>
    <s v="2021/1291"/>
    <s v="Brocklebank Health Centre, 249 Garratt Lane (and others), 229-247 Garratt Lane (Garratt Lane and Atheldene Regeneration Site)"/>
    <s v="Phase 1 (Block C)"/>
    <n v="525999"/>
    <n v="173647"/>
    <s v="Wandle"/>
    <d v="2022-01-20T00:00:00"/>
    <m/>
    <n v="11"/>
    <n v="2"/>
    <n v="-9"/>
    <n v="193"/>
    <n v="182"/>
    <s v="Y"/>
    <s v="Submission of details of amendments pursuant to Section 106 agreement attached to planning permission dated 31/07/2020 ref 2017/4141 (Demolition of existing buildings and erection of a mixed use development providing a total of 193 residential units (of both private and affordable tenure) including houses and apartments, with associated amenity space including gardens, balconies and terraces; a new health centre (Class D1 use) (1,873sq.m), a pharmacy (Class A1 use) (94sq.m), two commercial units (flexible Class A1/A2/A3 or B1 use) (189sq.m), within buildings ranging between two and five-storeys high, together with the provision of hard and soft landscaping, enhanced pedestrian routes, and associated car parking and cycle parking, with the development proposed to be constructed in two phases.) to allow an increase in affordable housing provision."/>
    <s v="S106"/>
    <d v="2021-03-05T00:00:00"/>
    <d v="2021-07-19T00:00:00"/>
    <m/>
    <s v="Nil"/>
    <m/>
    <s v="BF"/>
    <s v="NB"/>
    <x v="1"/>
    <x v="0"/>
    <n v="2E-3"/>
    <d v="2022-01-20T00:00:00"/>
    <x v="0"/>
    <m/>
    <s v="Intermediate"/>
    <s v="IR"/>
    <s v=""/>
    <m/>
    <m/>
    <n v="1"/>
    <m/>
    <n v="1"/>
    <n v="0"/>
    <n v="0"/>
    <n v="-5"/>
    <n v="-4"/>
    <n v="0"/>
    <n v="0"/>
    <n v="0"/>
    <n v="0"/>
    <n v="0"/>
    <n v="-5"/>
    <n v="2"/>
    <n v="0"/>
    <n v="0"/>
    <n v="0"/>
    <n v="0"/>
    <n v="0"/>
    <n v="0"/>
    <n v="-6"/>
    <n v="0"/>
    <n v="0"/>
    <n v="0"/>
    <n v="0"/>
    <n v="0"/>
    <n v="0"/>
    <n v="0"/>
    <n v="0"/>
    <n v="0"/>
    <n v="0"/>
    <m/>
    <m/>
    <s v="Rest of Borough"/>
    <n v="5"/>
    <m/>
    <n v="-9"/>
    <m/>
    <m/>
    <m/>
    <m/>
    <m/>
    <m/>
    <m/>
    <m/>
    <m/>
    <m/>
    <m/>
    <m/>
    <m/>
    <m/>
    <m/>
    <m/>
    <m/>
    <m/>
    <n v="-9"/>
    <n v="-9"/>
  </r>
  <r>
    <n v="7335"/>
    <x v="1"/>
    <s v="2021/3897"/>
    <s v="463 Garratt Lane"/>
    <s v=""/>
    <n v="525930"/>
    <n v="173172"/>
    <s v="Wandle"/>
    <d v="2023-03-31T00:00:00"/>
    <m/>
    <n v="1"/>
    <n v="3"/>
    <n v="2"/>
    <n v="3"/>
    <n v="2"/>
    <m/>
    <s v="Alterations including replacement ground floor front elevation and erection of single-storey rear/side extension in connection with change of use of ground floor from retail (Class E) to residential (Class C3) and provision of 3 x1 bedroom flats with refuse and cycle storage at rear."/>
    <s v="PF"/>
    <d v="2021-08-18T00:00:00"/>
    <d v="2021-10-18T00:00:00"/>
    <m/>
    <s v="Nil"/>
    <m/>
    <s v="BF"/>
    <s v="EXT"/>
    <x v="2"/>
    <x v="7"/>
    <n v="4.0000000000000001E-3"/>
    <d v="2023-03-31T00:00:00"/>
    <x v="0"/>
    <m/>
    <s v="Open Market"/>
    <s v="M"/>
    <s v=""/>
    <m/>
    <m/>
    <m/>
    <m/>
    <m/>
    <n v="0"/>
    <n v="3"/>
    <n v="0"/>
    <n v="0"/>
    <n v="0"/>
    <n v="-1"/>
    <n v="0"/>
    <n v="0"/>
    <n v="3"/>
    <n v="0"/>
    <n v="0"/>
    <n v="0"/>
    <n v="-1"/>
    <n v="0"/>
    <n v="0"/>
    <n v="0"/>
    <n v="0"/>
    <n v="0"/>
    <n v="0"/>
    <n v="0"/>
    <n v="0"/>
    <n v="0"/>
    <n v="0"/>
    <n v="0"/>
    <n v="0"/>
    <n v="0"/>
    <n v="0"/>
    <n v="0"/>
    <m/>
    <m/>
    <s v="Wandle Valley"/>
    <n v="13"/>
    <m/>
    <n v="2"/>
    <m/>
    <m/>
    <m/>
    <m/>
    <m/>
    <m/>
    <m/>
    <m/>
    <m/>
    <m/>
    <m/>
    <m/>
    <m/>
    <m/>
    <m/>
    <m/>
    <m/>
    <m/>
    <n v="2"/>
    <n v="2"/>
  </r>
  <r>
    <n v="2846"/>
    <x v="1"/>
    <s v="2021/4253"/>
    <s v="41 Felsham Road"/>
    <s v=""/>
    <n v="523883"/>
    <n v="175563"/>
    <s v="Thamesfield"/>
    <d v="2023-12-27T00:00:00"/>
    <m/>
    <n v="1"/>
    <n v="1"/>
    <n v="0"/>
    <n v="1"/>
    <n v="0"/>
    <m/>
    <s v="Alterations including erection of mansard roof extension to main rear roof (with French doors and safety railings); erection of a three storey (plus basement) rear extension and excavation to enlarge existing basement including formation of a rear lightwell with glazed surround; installation of replacement ground floor front elevation; installation of 2 x air source heat pumps and solar panels to rear roof; in connection with change of use to 1 x 6-bed dwellinghouse (Class C3)"/>
    <s v="PF"/>
    <d v="2021-09-22T00:00:00"/>
    <d v="2022-01-25T00:00:00"/>
    <m/>
    <s v="Nil"/>
    <m/>
    <s v="BF"/>
    <s v="CON"/>
    <x v="2"/>
    <x v="11"/>
    <n v="3.3600000000000001E-3"/>
    <d v="2023-12-27T00:00:00"/>
    <x v="1"/>
    <m/>
    <s v="Open Market"/>
    <s v="MR"/>
    <s v=""/>
    <m/>
    <m/>
    <m/>
    <m/>
    <m/>
    <n v="0"/>
    <n v="0"/>
    <n v="-1"/>
    <n v="0"/>
    <n v="0"/>
    <n v="1"/>
    <n v="0"/>
    <n v="0"/>
    <n v="0"/>
    <n v="-1"/>
    <n v="0"/>
    <n v="0"/>
    <n v="0"/>
    <n v="0"/>
    <n v="0"/>
    <n v="0"/>
    <n v="0"/>
    <n v="0"/>
    <n v="0"/>
    <n v="1"/>
    <n v="0"/>
    <n v="0"/>
    <n v="0"/>
    <n v="0"/>
    <n v="0"/>
    <n v="0"/>
    <n v="0"/>
    <n v="0"/>
    <m/>
    <m/>
    <s v="Rest of Borough"/>
    <n v="14"/>
    <m/>
    <n v="0"/>
    <n v="0"/>
    <m/>
    <m/>
    <m/>
    <m/>
    <m/>
    <m/>
    <m/>
    <m/>
    <m/>
    <m/>
    <m/>
    <m/>
    <m/>
    <m/>
    <m/>
    <m/>
    <m/>
    <n v="0"/>
    <n v="0"/>
  </r>
  <r>
    <n v="7669"/>
    <x v="1"/>
    <s v="2021/4552"/>
    <s v="269 Putney Bridge Road"/>
    <s v=""/>
    <n v="524351"/>
    <n v="175325"/>
    <s v="Thamesfield"/>
    <d v="2023-06-21T00:00:00"/>
    <m/>
    <n v="2"/>
    <n v="3"/>
    <n v="1"/>
    <n v="3"/>
    <n v="1"/>
    <m/>
    <s v="Alterations including erection of front and rear mansard roof extension to provide an additional floor of accommodation, second floor level rear extension, and formation of rear balconies at first and second floor levels with 1.7m high privacy screens, together with the creation of 1 x 1-bedroom flat."/>
    <s v="PF"/>
    <d v="2021-10-13T00:00:00"/>
    <d v="2022-01-12T00:00:00"/>
    <m/>
    <s v="Nil"/>
    <m/>
    <s v="BF"/>
    <s v="EXT"/>
    <x v="2"/>
    <x v="7"/>
    <n v="3.9332999999999998E-3"/>
    <d v="2023-06-21T00:00:00"/>
    <x v="1"/>
    <m/>
    <s v="Open Market"/>
    <s v="M"/>
    <s v=""/>
    <m/>
    <m/>
    <m/>
    <m/>
    <m/>
    <n v="0"/>
    <n v="1"/>
    <n v="0"/>
    <n v="0"/>
    <n v="0"/>
    <n v="0"/>
    <n v="0"/>
    <n v="0"/>
    <n v="1"/>
    <n v="0"/>
    <n v="0"/>
    <n v="0"/>
    <n v="0"/>
    <n v="0"/>
    <n v="0"/>
    <n v="0"/>
    <n v="0"/>
    <n v="0"/>
    <n v="0"/>
    <n v="0"/>
    <n v="0"/>
    <n v="0"/>
    <n v="0"/>
    <n v="0"/>
    <n v="0"/>
    <n v="0"/>
    <n v="0"/>
    <n v="0"/>
    <m/>
    <m/>
    <s v="Rest of Borough"/>
    <n v="13"/>
    <m/>
    <n v="1"/>
    <m/>
    <m/>
    <m/>
    <m/>
    <m/>
    <m/>
    <m/>
    <m/>
    <m/>
    <m/>
    <m/>
    <m/>
    <m/>
    <m/>
    <m/>
    <m/>
    <m/>
    <m/>
    <n v="1"/>
    <n v="1"/>
  </r>
  <r>
    <n v="7593"/>
    <x v="1"/>
    <s v="2021/4567"/>
    <s v="285-287 Putney Bridge Road"/>
    <s v=""/>
    <n v="524313"/>
    <n v="175351"/>
    <s v="Thamesfield"/>
    <d v="2022-03-31T00:00:00"/>
    <m/>
    <n v="0"/>
    <n v="1"/>
    <n v="1"/>
    <n v="3"/>
    <n v="3"/>
    <m/>
    <s v="Change of use of the ground floor and basement levels from retail/restaurant (Class E)  into residential (Class C3) to provide 2 x 2-bedroom and 1 x 3-bedroom flats and formation of lightwells to rear and side. (Amendments to previous permission ref 2021/0535 dated 31/03/21 to amend the layouts of the flats)."/>
    <s v="PF"/>
    <d v="2021-10-05T00:00:00"/>
    <d v="2021-12-23T00:00:00"/>
    <m/>
    <s v="Nil"/>
    <m/>
    <s v="BF"/>
    <s v="MIX"/>
    <x v="2"/>
    <x v="4"/>
    <n v="0.01"/>
    <d v="2022-03-31T00:00:00"/>
    <x v="0"/>
    <m/>
    <s v="Open Market"/>
    <s v="M"/>
    <s v=""/>
    <m/>
    <m/>
    <m/>
    <m/>
    <m/>
    <n v="0"/>
    <n v="0"/>
    <n v="0"/>
    <n v="1"/>
    <n v="0"/>
    <n v="0"/>
    <n v="0"/>
    <n v="0"/>
    <n v="0"/>
    <n v="0"/>
    <n v="1"/>
    <n v="0"/>
    <n v="0"/>
    <n v="0"/>
    <n v="0"/>
    <n v="0"/>
    <n v="0"/>
    <n v="0"/>
    <n v="0"/>
    <n v="0"/>
    <n v="0"/>
    <n v="0"/>
    <n v="0"/>
    <n v="0"/>
    <n v="0"/>
    <n v="0"/>
    <n v="0"/>
    <n v="0"/>
    <m/>
    <m/>
    <s v="Rest of Borough"/>
    <n v="13"/>
    <m/>
    <n v="1"/>
    <m/>
    <m/>
    <m/>
    <m/>
    <m/>
    <m/>
    <m/>
    <m/>
    <m/>
    <m/>
    <m/>
    <m/>
    <m/>
    <m/>
    <m/>
    <m/>
    <m/>
    <m/>
    <n v="1"/>
    <n v="1"/>
  </r>
  <r>
    <n v="7347"/>
    <x v="1"/>
    <s v="2021/4626"/>
    <s v="157 Fallsbrook Road"/>
    <s v="affordable"/>
    <n v="529142"/>
    <n v="170477"/>
    <s v="Furzedown"/>
    <d v="2022-03-31T00:00:00"/>
    <m/>
    <n v="0"/>
    <n v="6"/>
    <n v="6"/>
    <n v="29"/>
    <n v="29"/>
    <s v="Y"/>
    <s v="Non-material amendment to planning permission dated 28/01/2020 ref 2020/0473 (Demolition of existing building and construction of a part-three part-four storey building comprising 29 residential units with associated amenity, refuse and cycle provision and landscaping) to allow alterations including changes to the internal general arrangement including changes to stair and lift core, cycle store and unit sizes, and addition of plant room. External changes to fenestration, PV array, lift and stair core overrun and communal terrace."/>
    <s v="S96A"/>
    <d v="2021-10-07T00:00:00"/>
    <d v="2021-11-09T00:00:00"/>
    <m/>
    <s v="Nil"/>
    <m/>
    <s v="BF"/>
    <s v="NB"/>
    <x v="1"/>
    <x v="0"/>
    <n v="4.4172000000000003E-2"/>
    <d v="2022-04-01T00:00:00"/>
    <x v="0"/>
    <m/>
    <s v="Intermediate"/>
    <s v="ISO"/>
    <s v=""/>
    <m/>
    <m/>
    <m/>
    <m/>
    <m/>
    <n v="1"/>
    <n v="1"/>
    <n v="3"/>
    <n v="1"/>
    <n v="0"/>
    <n v="0"/>
    <n v="0"/>
    <n v="1"/>
    <n v="1"/>
    <n v="3"/>
    <n v="1"/>
    <n v="0"/>
    <n v="0"/>
    <n v="0"/>
    <n v="0"/>
    <n v="0"/>
    <n v="0"/>
    <n v="0"/>
    <n v="0"/>
    <n v="0"/>
    <n v="0"/>
    <n v="0"/>
    <n v="0"/>
    <n v="0"/>
    <n v="0"/>
    <n v="0"/>
    <n v="0"/>
    <n v="0"/>
    <m/>
    <m/>
    <s v="Rest of Borough"/>
    <n v="6"/>
    <m/>
    <m/>
    <n v="1.5"/>
    <n v="1.5"/>
    <n v="1.5"/>
    <n v="1.5"/>
    <m/>
    <m/>
    <m/>
    <m/>
    <m/>
    <m/>
    <m/>
    <m/>
    <m/>
    <m/>
    <m/>
    <m/>
    <m/>
    <m/>
    <n v="6"/>
    <n v="6"/>
  </r>
  <r>
    <n v="7347"/>
    <x v="1"/>
    <s v="2021/4626"/>
    <s v="157 Fallsbrook Road"/>
    <s v="private"/>
    <n v="529142"/>
    <n v="170477"/>
    <s v="Furzedown"/>
    <d v="2022-03-31T00:00:00"/>
    <m/>
    <n v="0"/>
    <n v="23"/>
    <n v="23"/>
    <n v="29"/>
    <n v="29"/>
    <s v="Y"/>
    <s v="Non-material amendment to planning permission dated 28/01/2020 ref 2020/0473 (Demolition of existing building and construction of a part-three part-four storey building comprising 29 residential units with associated amenity, refuse and cycle provision and landscaping) to allow alterations including changes to the internal general arrangement including changes to stair and lift core, cycle store and unit sizes, and addition of plant room. External changes to fenestration, PV array, lift and stair core overrun and communal terrace."/>
    <s v="S96A"/>
    <d v="2021-10-07T00:00:00"/>
    <d v="2021-11-09T00:00:00"/>
    <m/>
    <s v="Nil"/>
    <m/>
    <s v="BF"/>
    <s v="NB"/>
    <x v="1"/>
    <x v="0"/>
    <n v="0.169326"/>
    <d v="2022-04-01T00:00:00"/>
    <x v="0"/>
    <m/>
    <s v="Open Market"/>
    <s v="M"/>
    <s v=""/>
    <m/>
    <m/>
    <m/>
    <m/>
    <m/>
    <n v="0"/>
    <n v="5"/>
    <n v="17"/>
    <n v="1"/>
    <n v="0"/>
    <n v="0"/>
    <n v="0"/>
    <n v="0"/>
    <n v="5"/>
    <n v="17"/>
    <n v="1"/>
    <n v="0"/>
    <n v="0"/>
    <n v="0"/>
    <n v="0"/>
    <n v="0"/>
    <n v="0"/>
    <n v="0"/>
    <n v="0"/>
    <n v="0"/>
    <n v="0"/>
    <n v="0"/>
    <n v="0"/>
    <n v="0"/>
    <n v="0"/>
    <n v="0"/>
    <n v="0"/>
    <n v="0"/>
    <m/>
    <m/>
    <s v="Rest of Borough"/>
    <n v="6"/>
    <m/>
    <m/>
    <n v="5.75"/>
    <n v="5.75"/>
    <n v="5.75"/>
    <n v="5.75"/>
    <m/>
    <m/>
    <m/>
    <m/>
    <m/>
    <m/>
    <m/>
    <m/>
    <m/>
    <m/>
    <m/>
    <m/>
    <m/>
    <m/>
    <n v="23"/>
    <n v="23"/>
  </r>
  <r>
    <n v="7686"/>
    <x v="1"/>
    <s v="2021/4704"/>
    <s v="Car Park Space East of 59, Arnal Crescent"/>
    <s v=""/>
    <n v="524336"/>
    <n v="173815"/>
    <s v="West Hill"/>
    <d v="2024-01-16T00:00:00"/>
    <m/>
    <n v="0"/>
    <n v="4"/>
    <n v="4"/>
    <n v="4"/>
    <n v="4"/>
    <m/>
    <s v="Redevelopment and erection of 2 x two-storey buildings to provide 2 x 2-bedroom and 2 x 1-bedroom flats with associated refuse and cycle storage."/>
    <s v="PF"/>
    <d v="2021-10-28T00:00:00"/>
    <d v="2022-01-25T00:00:00"/>
    <m/>
    <s v="Nil"/>
    <m/>
    <s v="BF"/>
    <s v="NB"/>
    <x v="2"/>
    <x v="3"/>
    <n v="1.2E-2"/>
    <d v="2024-01-16T00:00:00"/>
    <x v="1"/>
    <m/>
    <s v="Open Market"/>
    <s v="M"/>
    <s v=""/>
    <m/>
    <m/>
    <n v="2"/>
    <m/>
    <m/>
    <n v="0"/>
    <n v="2"/>
    <n v="2"/>
    <n v="0"/>
    <n v="0"/>
    <n v="0"/>
    <n v="0"/>
    <n v="0"/>
    <n v="2"/>
    <n v="2"/>
    <n v="0"/>
    <n v="0"/>
    <n v="0"/>
    <n v="0"/>
    <n v="0"/>
    <n v="0"/>
    <n v="0"/>
    <n v="0"/>
    <n v="0"/>
    <n v="0"/>
    <n v="0"/>
    <n v="0"/>
    <n v="0"/>
    <n v="0"/>
    <n v="0"/>
    <n v="0"/>
    <n v="0"/>
    <n v="0"/>
    <m/>
    <m/>
    <s v="Rest of Borough"/>
    <n v="4"/>
    <m/>
    <n v="2"/>
    <n v="2"/>
    <m/>
    <m/>
    <m/>
    <m/>
    <m/>
    <m/>
    <m/>
    <m/>
    <m/>
    <m/>
    <m/>
    <m/>
    <m/>
    <m/>
    <m/>
    <m/>
    <m/>
    <n v="4"/>
    <n v="4"/>
  </r>
  <r>
    <n v="7626"/>
    <x v="1"/>
    <s v="2021/4938"/>
    <s v="11 Spencer Park"/>
    <s v=""/>
    <n v="526794"/>
    <n v="174584"/>
    <s v="Wandsworth Town"/>
    <d v="2022-05-26T00:00:00"/>
    <m/>
    <n v="2"/>
    <n v="1"/>
    <n v="-1"/>
    <n v="1"/>
    <n v="-1"/>
    <m/>
    <s v="Change of use of property from a basement flat and maisonette to a single dwelling house (Use Class C3)."/>
    <s v="PF"/>
    <d v="2021-11-12T00:00:00"/>
    <d v="2022-01-07T00:00:00"/>
    <m/>
    <s v="Nil"/>
    <m/>
    <s v="BF"/>
    <s v="CON"/>
    <x v="2"/>
    <x v="11"/>
    <n v="2E-3"/>
    <d v="2022-05-26T00:00:00"/>
    <x v="0"/>
    <m/>
    <s v="Open Market"/>
    <s v="M"/>
    <s v=""/>
    <m/>
    <m/>
    <m/>
    <m/>
    <m/>
    <n v="0"/>
    <n v="-1"/>
    <n v="0"/>
    <n v="0"/>
    <n v="0"/>
    <n v="0"/>
    <n v="0"/>
    <n v="0"/>
    <n v="-1"/>
    <n v="0"/>
    <n v="0"/>
    <n v="0"/>
    <n v="-1"/>
    <n v="0"/>
    <n v="0"/>
    <n v="0"/>
    <n v="0"/>
    <n v="0"/>
    <n v="0"/>
    <n v="1"/>
    <n v="0"/>
    <n v="0"/>
    <n v="0"/>
    <n v="0"/>
    <n v="0"/>
    <n v="0"/>
    <n v="0"/>
    <n v="0"/>
    <m/>
    <m/>
    <s v="Rest of Borough"/>
    <n v="13"/>
    <m/>
    <n v="-1"/>
    <m/>
    <m/>
    <m/>
    <m/>
    <m/>
    <m/>
    <m/>
    <m/>
    <m/>
    <m/>
    <m/>
    <m/>
    <m/>
    <m/>
    <m/>
    <m/>
    <m/>
    <m/>
    <n v="-1"/>
    <n v="-1"/>
  </r>
  <r>
    <n v="7691"/>
    <x v="1"/>
    <s v="2021/4974"/>
    <s v="15 Fairlight Road"/>
    <s v=""/>
    <n v="526952"/>
    <n v="171670"/>
    <s v="Tooting Broadway"/>
    <d v="2023-08-14T00:00:00"/>
    <m/>
    <n v="0"/>
    <n v="1"/>
    <n v="1"/>
    <n v="1"/>
    <n v="1"/>
    <m/>
    <s v="Alterations including erection of mansard roof extension to main rear roof including raising ridge by 300mm, erection of roof extension and formation of roof terrace with 1.7m glazed safety surround above two-storey rear addition in connection with creation of 1 x 1-bedroom flat. Alterations to rear elevation of first floor flat with new juliet balcony."/>
    <s v="PF"/>
    <d v="2021-10-29T00:00:00"/>
    <d v="2021-12-22T00:00:00"/>
    <m/>
    <s v="Nil"/>
    <m/>
    <s v="BF"/>
    <s v="EXT"/>
    <x v="2"/>
    <x v="7"/>
    <n v="3.7000000000000002E-3"/>
    <d v="2023-08-14T00:00:00"/>
    <x v="1"/>
    <m/>
    <s v="Open Market"/>
    <s v="M"/>
    <s v=""/>
    <m/>
    <m/>
    <m/>
    <m/>
    <m/>
    <n v="0"/>
    <n v="1"/>
    <n v="0"/>
    <n v="0"/>
    <n v="0"/>
    <n v="0"/>
    <n v="0"/>
    <n v="0"/>
    <n v="1"/>
    <n v="0"/>
    <n v="0"/>
    <n v="0"/>
    <n v="0"/>
    <n v="0"/>
    <n v="0"/>
    <n v="0"/>
    <n v="0"/>
    <n v="0"/>
    <n v="0"/>
    <n v="0"/>
    <n v="0"/>
    <n v="0"/>
    <n v="0"/>
    <n v="0"/>
    <n v="0"/>
    <n v="0"/>
    <n v="0"/>
    <n v="0"/>
    <m/>
    <m/>
    <s v="Rest of Borough"/>
    <n v="13"/>
    <m/>
    <n v="1"/>
    <m/>
    <m/>
    <m/>
    <m/>
    <m/>
    <m/>
    <m/>
    <m/>
    <m/>
    <m/>
    <m/>
    <m/>
    <m/>
    <m/>
    <m/>
    <m/>
    <m/>
    <m/>
    <n v="1"/>
    <n v="1"/>
  </r>
  <r>
    <n v="7733"/>
    <x v="1"/>
    <s v="2021/5139"/>
    <s v="43-45 Northcote Road"/>
    <s v=""/>
    <n v="527503"/>
    <n v="174993"/>
    <s v="Lavender"/>
    <d v="2022-04-01T00:00:00"/>
    <m/>
    <n v="2"/>
    <n v="5"/>
    <n v="3"/>
    <n v="5"/>
    <n v="3"/>
    <m/>
    <s v="Demolition of existing three storey building and erection of five storey building  to provide 5 residential units (1 x 1-bed, 3 x 2-bed and 1 x 3-bed units) and use of ground floor as Class E floorspace with associated access, cycle and refuse storage, private amenity space and plant enclosure to rear."/>
    <s v="PF"/>
    <d v="2021-11-09T00:00:00"/>
    <d v="2022-03-28T00:00:00"/>
    <m/>
    <s v="Nil"/>
    <m/>
    <s v="BF"/>
    <s v="NB"/>
    <x v="2"/>
    <x v="3"/>
    <n v="1.1730000000000001E-2"/>
    <d v="2022-04-01T00:00:00"/>
    <x v="0"/>
    <m/>
    <s v="Open Market"/>
    <s v="M"/>
    <s v=""/>
    <m/>
    <m/>
    <m/>
    <m/>
    <m/>
    <n v="0"/>
    <n v="1"/>
    <n v="3"/>
    <n v="-1"/>
    <n v="0"/>
    <n v="0"/>
    <n v="0"/>
    <n v="0"/>
    <n v="1"/>
    <n v="3"/>
    <n v="-1"/>
    <n v="0"/>
    <n v="0"/>
    <n v="0"/>
    <n v="0"/>
    <n v="0"/>
    <n v="0"/>
    <n v="0"/>
    <n v="0"/>
    <n v="0"/>
    <n v="0"/>
    <n v="0"/>
    <n v="0"/>
    <n v="0"/>
    <n v="0"/>
    <n v="0"/>
    <n v="0"/>
    <n v="0"/>
    <s v="Clapham Junction"/>
    <m/>
    <s v="Clapham Junction and York Road / Winstanley Regeneration Area"/>
    <n v="3"/>
    <m/>
    <n v="3"/>
    <m/>
    <m/>
    <m/>
    <m/>
    <m/>
    <m/>
    <m/>
    <m/>
    <m/>
    <m/>
    <m/>
    <m/>
    <m/>
    <m/>
    <m/>
    <m/>
    <m/>
    <m/>
    <n v="3"/>
    <n v="3"/>
  </r>
  <r>
    <n v="3571"/>
    <x v="1"/>
    <s v="2021/5565"/>
    <s v="12 Coverton Road"/>
    <s v=""/>
    <n v="527317"/>
    <n v="171389"/>
    <s v="Tooting Broadway"/>
    <d v="2022-12-21T00:00:00"/>
    <m/>
    <n v="2"/>
    <n v="4"/>
    <n v="2"/>
    <n v="4"/>
    <n v="2"/>
    <m/>
    <s v="Alterations including erection of a mansard roof extension to main rear roof (with French doors and safety railings) including raising ridge by 200mm and extension above the two storey back addition; Erection of single storey rear/side extension; Formation of second floor rear roof terrace with 1.7m glazed surround; In connection with creation of 1 x 3-bedroom, 1 x 2-bedroom and 1 x 1-bedroom and 1 x studio flats, with associated refuse storage to front garden and associate cycle storage."/>
    <s v="PF"/>
    <d v="2021-12-09T00:00:00"/>
    <d v="2022-02-08T00:00:00"/>
    <m/>
    <s v="Nil"/>
    <m/>
    <s v="BF"/>
    <s v="EXT"/>
    <x v="2"/>
    <x v="7"/>
    <n v="0.01"/>
    <d v="2022-12-21T00:00:00"/>
    <x v="0"/>
    <m/>
    <s v="Open Market"/>
    <s v="M"/>
    <s v=""/>
    <m/>
    <m/>
    <m/>
    <m/>
    <m/>
    <n v="1"/>
    <n v="1"/>
    <n v="0"/>
    <n v="0"/>
    <n v="0"/>
    <n v="0"/>
    <n v="0"/>
    <n v="1"/>
    <n v="1"/>
    <n v="0"/>
    <n v="0"/>
    <n v="0"/>
    <n v="0"/>
    <n v="0"/>
    <n v="0"/>
    <n v="0"/>
    <n v="0"/>
    <n v="0"/>
    <n v="0"/>
    <n v="0"/>
    <n v="0"/>
    <n v="0"/>
    <n v="0"/>
    <n v="0"/>
    <n v="0"/>
    <n v="0"/>
    <n v="0"/>
    <n v="0"/>
    <m/>
    <m/>
    <s v="Tooting"/>
    <n v="13"/>
    <m/>
    <n v="2"/>
    <m/>
    <m/>
    <m/>
    <m/>
    <m/>
    <m/>
    <m/>
    <m/>
    <m/>
    <m/>
    <m/>
    <m/>
    <m/>
    <m/>
    <m/>
    <m/>
    <m/>
    <m/>
    <n v="2"/>
    <n v="2"/>
  </r>
  <r>
    <n v="6819"/>
    <x v="1"/>
    <s v="2018/0272"/>
    <s v="Pocklington Court, 74 Alton Road"/>
    <s v="Building B"/>
    <n v="522285"/>
    <n v="173138"/>
    <s v="Roehampton"/>
    <d v="2020-01-18T00:00:00"/>
    <m/>
    <n v="0"/>
    <n v="28"/>
    <n v="28"/>
    <n v="95"/>
    <n v="31"/>
    <s v="Y"/>
    <s v="Demolition of existing buildings and erection of part 2, 5 and 6 storey buildings comprising 41 No. Class C3 Extra Care units and 54 No. Class C3 intermediate affordable units; landscaping and new public realm; energy centre; new basement/lower ground car park accessed off Alton Road (from existing access point); and a new vehicular access off Alton Road into site."/>
    <s v="PFLA"/>
    <d v="2018-02-19T00:00:00"/>
    <d v="2019-03-15T00:00:00"/>
    <m/>
    <s v="Nil"/>
    <m/>
    <s v="BF"/>
    <s v="NB"/>
    <x v="1"/>
    <x v="0"/>
    <n v="0.17499999999999999"/>
    <d v="2020-01-18T00:00:00"/>
    <x v="0"/>
    <m/>
    <s v="Intermediate"/>
    <s v="IU"/>
    <s v=""/>
    <m/>
    <m/>
    <n v="28"/>
    <m/>
    <m/>
    <n v="0"/>
    <n v="15"/>
    <n v="10"/>
    <n v="3"/>
    <n v="0"/>
    <n v="0"/>
    <n v="0"/>
    <n v="0"/>
    <n v="15"/>
    <n v="10"/>
    <n v="3"/>
    <n v="0"/>
    <n v="0"/>
    <n v="0"/>
    <n v="0"/>
    <n v="0"/>
    <n v="0"/>
    <n v="0"/>
    <n v="0"/>
    <n v="0"/>
    <n v="0"/>
    <n v="0"/>
    <n v="0"/>
    <n v="0"/>
    <n v="0"/>
    <n v="0"/>
    <n v="0"/>
    <n v="0"/>
    <m/>
    <m/>
    <s v="Rest of Borough"/>
    <n v="5"/>
    <m/>
    <n v="28"/>
    <m/>
    <m/>
    <m/>
    <m/>
    <m/>
    <m/>
    <m/>
    <m/>
    <m/>
    <m/>
    <m/>
    <m/>
    <m/>
    <m/>
    <m/>
    <m/>
    <m/>
    <m/>
    <n v="28"/>
    <n v="28"/>
  </r>
  <r>
    <n v="6819"/>
    <x v="1"/>
    <s v="2018/0272"/>
    <s v="Pocklington Court, 74 Alton Road"/>
    <s v="Building C"/>
    <n v="522285"/>
    <n v="173138"/>
    <s v="Roehampton"/>
    <d v="2020-01-18T00:00:00"/>
    <m/>
    <n v="0"/>
    <n v="26"/>
    <n v="26"/>
    <n v="95"/>
    <n v="31"/>
    <s v="Y"/>
    <s v="Demolition of existing buildings and erection of part 2, 5 and 6 storey buildings comprising 41 No. Class C3 Extra Care units and 54 No. Class C3 intermediate affordable units; landscaping and new public realm; energy centre; new basement/lower ground car park accessed off Alton Road (from existing access point); and a new vehicular access off Alton Road into site."/>
    <s v="PFLA"/>
    <d v="2018-02-19T00:00:00"/>
    <d v="2019-03-15T00:00:00"/>
    <m/>
    <s v="Nil"/>
    <m/>
    <s v="BF"/>
    <s v="NB"/>
    <x v="1"/>
    <x v="0"/>
    <n v="0.16800000000000001"/>
    <d v="2020-01-18T00:00:00"/>
    <x v="0"/>
    <m/>
    <s v="Intermediate"/>
    <s v="IU"/>
    <s v=""/>
    <m/>
    <m/>
    <n v="24"/>
    <m/>
    <n v="2"/>
    <n v="0"/>
    <n v="9"/>
    <n v="14"/>
    <n v="3"/>
    <n v="0"/>
    <n v="0"/>
    <n v="0"/>
    <n v="0"/>
    <n v="9"/>
    <n v="14"/>
    <n v="3"/>
    <n v="0"/>
    <n v="0"/>
    <n v="0"/>
    <n v="0"/>
    <n v="0"/>
    <n v="0"/>
    <n v="0"/>
    <n v="0"/>
    <n v="0"/>
    <n v="0"/>
    <n v="0"/>
    <n v="0"/>
    <n v="0"/>
    <n v="0"/>
    <n v="0"/>
    <n v="0"/>
    <n v="0"/>
    <m/>
    <m/>
    <s v="Rest of Borough"/>
    <n v="5"/>
    <m/>
    <n v="26"/>
    <m/>
    <m/>
    <m/>
    <m/>
    <m/>
    <m/>
    <m/>
    <m/>
    <m/>
    <m/>
    <m/>
    <m/>
    <m/>
    <m/>
    <m/>
    <m/>
    <m/>
    <m/>
    <n v="26"/>
    <n v="26"/>
  </r>
  <r>
    <n v="7757"/>
    <x v="1"/>
    <s v="2021/5787"/>
    <s v="46 Roedean Crescent"/>
    <s v=""/>
    <n v="521171"/>
    <n v="174284"/>
    <s v="Roehampton"/>
    <d v="2023-06-06T00:00:00"/>
    <m/>
    <n v="1"/>
    <n v="1"/>
    <n v="0"/>
    <n v="1"/>
    <n v="0"/>
    <m/>
    <s v="Demolition of existing house, erection of a two-storey (plus basement) 6-bedroom detached house with a car lift to the front driveway adjacent to the house."/>
    <s v="PF"/>
    <d v="2021-12-22T00:00:00"/>
    <d v="2022-03-07T00:00:00"/>
    <m/>
    <s v="Nil"/>
    <m/>
    <s v="BF"/>
    <s v="NB"/>
    <x v="2"/>
    <x v="3"/>
    <n v="3.6999999999999998E-2"/>
    <d v="2023-06-06T00:00:00"/>
    <x v="1"/>
    <m/>
    <s v="Open Market"/>
    <s v="M"/>
    <s v=""/>
    <m/>
    <m/>
    <m/>
    <m/>
    <m/>
    <n v="0"/>
    <n v="0"/>
    <n v="0"/>
    <n v="0"/>
    <n v="0"/>
    <n v="0"/>
    <n v="0"/>
    <n v="0"/>
    <n v="0"/>
    <n v="0"/>
    <n v="0"/>
    <n v="0"/>
    <n v="0"/>
    <n v="0"/>
    <n v="0"/>
    <n v="0"/>
    <n v="0"/>
    <n v="0"/>
    <n v="0"/>
    <n v="0"/>
    <n v="0"/>
    <n v="0"/>
    <n v="0"/>
    <n v="0"/>
    <n v="0"/>
    <n v="0"/>
    <n v="0"/>
    <n v="0"/>
    <m/>
    <m/>
    <s v="Rest of Borough"/>
    <n v="3"/>
    <m/>
    <n v="0"/>
    <m/>
    <m/>
    <m/>
    <m/>
    <m/>
    <m/>
    <m/>
    <m/>
    <m/>
    <m/>
    <m/>
    <m/>
    <m/>
    <m/>
    <m/>
    <m/>
    <m/>
    <m/>
    <n v="0"/>
    <n v="0"/>
  </r>
  <r>
    <n v="7807"/>
    <x v="1"/>
    <s v="2022/0157"/>
    <s v="Cyril Mansions, 8 &amp; 8a Prince of Wales Drive"/>
    <s v=""/>
    <n v="527872"/>
    <n v="176682"/>
    <s v="Battersea Park"/>
    <d v="2022-10-13T00:00:00"/>
    <m/>
    <n v="2"/>
    <n v="1"/>
    <n v="-1"/>
    <n v="1"/>
    <n v="-1"/>
    <m/>
    <s v="Alterations to convert 1-bedrom flat and studio flat into a 2-bedroom flat."/>
    <s v="PF"/>
    <d v="2022-06-16T00:00:00"/>
    <d v="2022-08-11T00:00:00"/>
    <m/>
    <s v="Nil"/>
    <m/>
    <s v="BF"/>
    <s v="CON"/>
    <x v="2"/>
    <x v="1"/>
    <n v="0.01"/>
    <d v="2022-10-13T00:00:00"/>
    <x v="0"/>
    <m/>
    <s v="Open Market"/>
    <s v="M"/>
    <s v=""/>
    <m/>
    <m/>
    <m/>
    <m/>
    <m/>
    <n v="-1"/>
    <n v="-1"/>
    <n v="1"/>
    <n v="0"/>
    <n v="0"/>
    <n v="0"/>
    <n v="0"/>
    <n v="-1"/>
    <n v="-1"/>
    <n v="1"/>
    <n v="0"/>
    <n v="0"/>
    <n v="0"/>
    <n v="0"/>
    <n v="0"/>
    <n v="0"/>
    <n v="0"/>
    <n v="0"/>
    <n v="0"/>
    <n v="0"/>
    <n v="0"/>
    <n v="0"/>
    <n v="0"/>
    <n v="0"/>
    <n v="0"/>
    <n v="0"/>
    <n v="0"/>
    <n v="0"/>
    <m/>
    <m/>
    <s v="Wandsworth riverside"/>
    <n v="13"/>
    <m/>
    <n v="-1"/>
    <m/>
    <m/>
    <m/>
    <m/>
    <m/>
    <m/>
    <m/>
    <m/>
    <m/>
    <m/>
    <m/>
    <m/>
    <m/>
    <m/>
    <m/>
    <m/>
    <m/>
    <m/>
    <n v="-1"/>
    <n v="-1"/>
  </r>
  <r>
    <n v="6819"/>
    <x v="1"/>
    <s v="2018/0272"/>
    <s v="Pocklington Court, 74 Alton Road"/>
    <s v="Building A"/>
    <n v="522285"/>
    <n v="173138"/>
    <s v="Roehampton"/>
    <d v="2020-01-18T00:00:00"/>
    <m/>
    <n v="64"/>
    <n v="41"/>
    <n v="-23"/>
    <n v="95"/>
    <n v="31"/>
    <s v="Y"/>
    <s v="Demolition of existing buildings and erection of part 2, 5 and 6 storey buildings comprising 41 No. Class C3 Extra Care units and 54 No. Class C3 intermediate affordable units; landscaping and new public realm; energy centre; new basement/lower ground car park accessed off Alton Road (from existing access point); and a new vehicular access off Alton Road into site."/>
    <s v="PFLA"/>
    <d v="2018-02-19T00:00:00"/>
    <d v="2019-03-15T00:00:00"/>
    <m/>
    <s v="Nil"/>
    <m/>
    <s v="BF"/>
    <s v="NB"/>
    <x v="1"/>
    <x v="0"/>
    <n v="0.17799999999999999"/>
    <d v="2020-01-18T00:00:00"/>
    <x v="0"/>
    <m/>
    <s v="Social/Affordable Rent"/>
    <s v="AS"/>
    <s v=""/>
    <m/>
    <m/>
    <n v="33"/>
    <m/>
    <n v="8"/>
    <n v="-53"/>
    <n v="30"/>
    <n v="0"/>
    <n v="0"/>
    <n v="0"/>
    <n v="0"/>
    <n v="0"/>
    <n v="-53"/>
    <n v="30"/>
    <n v="0"/>
    <n v="0"/>
    <n v="0"/>
    <n v="0"/>
    <n v="0"/>
    <n v="0"/>
    <n v="0"/>
    <n v="0"/>
    <n v="0"/>
    <n v="0"/>
    <n v="0"/>
    <n v="0"/>
    <n v="0"/>
    <n v="0"/>
    <n v="0"/>
    <n v="0"/>
    <n v="0"/>
    <n v="0"/>
    <n v="0"/>
    <m/>
    <m/>
    <s v="Rest of Borough"/>
    <n v="5"/>
    <m/>
    <n v="-23"/>
    <m/>
    <m/>
    <m/>
    <m/>
    <m/>
    <m/>
    <m/>
    <m/>
    <m/>
    <m/>
    <m/>
    <m/>
    <m/>
    <m/>
    <m/>
    <m/>
    <m/>
    <m/>
    <n v="-23"/>
    <n v="-23"/>
  </r>
  <r>
    <n v="6841"/>
    <x v="1"/>
    <s v="2020/5124"/>
    <s v="Garages south of 156-232, 156-232 Whitlock Drive"/>
    <s v=""/>
    <n v="524290"/>
    <n v="173418"/>
    <s v="West Hill"/>
    <d v="2022-08-30T00:00:00"/>
    <m/>
    <n v="0"/>
    <n v="9"/>
    <n v="9"/>
    <n v="9"/>
    <n v="9"/>
    <m/>
    <s v="Demolition of existing garages and erection of three-storey (plus basement) residential building comprising 1 x 1-bed, 6 x 2-bed and 2 x 3-bed flats with associated landscaping, underground parking, refuse and cycle storage."/>
    <s v="PF"/>
    <d v="2020-12-24T00:00:00"/>
    <d v="2021-04-22T00:00:00"/>
    <m/>
    <s v="Nil"/>
    <m/>
    <s v="BF"/>
    <s v="NB"/>
    <x v="2"/>
    <x v="3"/>
    <n v="0.125"/>
    <d v="2022-08-30T00:00:00"/>
    <x v="0"/>
    <m/>
    <s v="Social/Affordable Rent"/>
    <s v="AS"/>
    <s v=""/>
    <m/>
    <m/>
    <m/>
    <m/>
    <m/>
    <n v="0"/>
    <n v="1"/>
    <n v="6"/>
    <n v="2"/>
    <n v="0"/>
    <n v="0"/>
    <n v="0"/>
    <n v="0"/>
    <n v="1"/>
    <n v="6"/>
    <n v="2"/>
    <n v="0"/>
    <n v="0"/>
    <n v="0"/>
    <n v="0"/>
    <n v="0"/>
    <n v="0"/>
    <n v="0"/>
    <n v="0"/>
    <n v="0"/>
    <n v="0"/>
    <n v="0"/>
    <n v="0"/>
    <n v="0"/>
    <n v="0"/>
    <n v="0"/>
    <n v="0"/>
    <n v="0"/>
    <m/>
    <m/>
    <s v="Rest of Borough"/>
    <n v="2"/>
    <m/>
    <n v="9"/>
    <m/>
    <m/>
    <m/>
    <m/>
    <m/>
    <m/>
    <m/>
    <m/>
    <m/>
    <m/>
    <m/>
    <m/>
    <m/>
    <m/>
    <m/>
    <m/>
    <m/>
    <m/>
    <n v="9"/>
    <n v="9"/>
  </r>
  <r>
    <n v="6852"/>
    <x v="1"/>
    <s v="2022/4370"/>
    <s v="Kersfield Estate, Lytton Grove"/>
    <s v="Block F"/>
    <n v="524063"/>
    <n v="174446"/>
    <s v="East Putney"/>
    <d v="2021-05-26T00:00:00"/>
    <m/>
    <n v="0"/>
    <n v="7"/>
    <n v="7"/>
    <n v="41"/>
    <n v="41"/>
    <s v="Y"/>
    <s v="Variation of condition 2  (in accordance with approved drawings) pursuant to planning permission 28/02/2020 ref 2018/5553 (Demolition of existing electricity substation and erection of 7 blocks and new electricity substation across the estate ranging from 2 to 4 storeys to provide 41 new residential units (14 x 1 bed, 25 x 2 bed, 2 x 3 bed) removal of a number of existing trees along Lytton Grove frontage with provision of replacement trees, landscaping and play space) to allow change to the tenure to provide all 41 dwelling as affordable rent; increase the height of the external courtyard wall on Block D up to 2.99m  and install security rollers barrier on courtyard walls of Blocks B, C and D."/>
    <s v="S73"/>
    <d v="2022-10-27T00:00:00"/>
    <d v="2023-05-31T00:00:00"/>
    <s v="Y"/>
    <s v="Nil"/>
    <m/>
    <s v="BF"/>
    <s v="NB"/>
    <x v="1"/>
    <x v="0"/>
    <n v="9.9000000000000005E-2"/>
    <d v="2021-05-26T00:00:00"/>
    <x v="0"/>
    <m/>
    <s v="Social/Affordable Rent"/>
    <s v="AL"/>
    <s v=""/>
    <n v="17320313"/>
    <m/>
    <m/>
    <m/>
    <n v="1"/>
    <n v="0"/>
    <n v="3"/>
    <n v="3"/>
    <n v="1"/>
    <n v="0"/>
    <n v="0"/>
    <n v="0"/>
    <n v="0"/>
    <n v="3"/>
    <n v="3"/>
    <n v="1"/>
    <n v="0"/>
    <n v="0"/>
    <n v="0"/>
    <n v="0"/>
    <n v="0"/>
    <n v="0"/>
    <n v="0"/>
    <n v="0"/>
    <n v="0"/>
    <n v="0"/>
    <n v="0"/>
    <n v="0"/>
    <n v="0"/>
    <n v="0"/>
    <n v="0"/>
    <n v="0"/>
    <n v="0"/>
    <m/>
    <m/>
    <s v="Rest of Borough"/>
    <n v="5"/>
    <m/>
    <n v="7"/>
    <m/>
    <m/>
    <m/>
    <m/>
    <m/>
    <m/>
    <m/>
    <m/>
    <m/>
    <m/>
    <m/>
    <m/>
    <m/>
    <m/>
    <m/>
    <m/>
    <m/>
    <m/>
    <n v="7"/>
    <n v="7"/>
  </r>
  <r>
    <n v="6852"/>
    <x v="1"/>
    <s v="2022/4370"/>
    <s v="Kersfield Estate, Lytton Grove"/>
    <s v="Block G"/>
    <n v="524063"/>
    <n v="174446"/>
    <s v="East Putney"/>
    <d v="2021-05-26T00:00:00"/>
    <m/>
    <n v="0"/>
    <n v="7"/>
    <n v="7"/>
    <n v="41"/>
    <n v="41"/>
    <s v="Y"/>
    <s v="Variation of condition 2  (in accordance with approved drawings) pursuant to planning permission 28/02/2020 ref 2018/5553 (Demolition of existing electricity substation and erection of 7 blocks and new electricity substation across the estate ranging from 2 to 4 storeys to provide 41 new residential units (14 x 1 bed, 25 x 2 bed, 2 x 3 bed) removal of a number of existing trees along Lytton Grove frontage with provision of replacement trees, landscaping and play space) to allow change to the tenure to provide all 41 dwelling as affordable rent; increase the height of the external courtyard wall on Block D up to 2.99m  and install security rollers barrier on courtyard walls of Blocks B, C and D."/>
    <s v="S73"/>
    <d v="2022-10-27T00:00:00"/>
    <d v="2023-05-31T00:00:00"/>
    <s v="Y"/>
    <s v="Nil"/>
    <m/>
    <s v="BF"/>
    <s v="NB"/>
    <x v="1"/>
    <x v="0"/>
    <n v="9.9000000000000005E-2"/>
    <d v="2021-05-26T00:00:00"/>
    <x v="0"/>
    <m/>
    <s v="Social/Affordable Rent"/>
    <s v="AL"/>
    <s v=""/>
    <n v="17320313"/>
    <m/>
    <m/>
    <m/>
    <n v="1"/>
    <n v="0"/>
    <n v="3"/>
    <n v="3"/>
    <n v="1"/>
    <n v="0"/>
    <n v="0"/>
    <n v="0"/>
    <n v="0"/>
    <n v="3"/>
    <n v="3"/>
    <n v="1"/>
    <n v="0"/>
    <n v="0"/>
    <n v="0"/>
    <n v="0"/>
    <n v="0"/>
    <n v="0"/>
    <n v="0"/>
    <n v="0"/>
    <n v="0"/>
    <n v="0"/>
    <n v="0"/>
    <n v="0"/>
    <n v="0"/>
    <n v="0"/>
    <n v="0"/>
    <n v="0"/>
    <n v="0"/>
    <m/>
    <m/>
    <s v="Rest of Borough"/>
    <n v="5"/>
    <m/>
    <n v="7"/>
    <m/>
    <m/>
    <m/>
    <m/>
    <m/>
    <m/>
    <m/>
    <m/>
    <m/>
    <m/>
    <m/>
    <m/>
    <m/>
    <m/>
    <m/>
    <m/>
    <m/>
    <m/>
    <n v="7"/>
    <n v="7"/>
  </r>
  <r>
    <n v="6852"/>
    <x v="1"/>
    <s v="2022/4370"/>
    <s v="Kersfield Estate, Lytton Grove"/>
    <s v="Block B"/>
    <n v="524063"/>
    <n v="174446"/>
    <s v="East Putney"/>
    <d v="2021-05-26T00:00:00"/>
    <m/>
    <n v="0"/>
    <n v="6"/>
    <n v="6"/>
    <n v="41"/>
    <n v="41"/>
    <s v="Y"/>
    <s v="Variation of condition 2  (in accordance with approved drawings) pursuant to planning permission 28/02/2020 ref 2018/5553 (Demolition of existing electricity substation and erection of 7 blocks and new electricity substation across the estate ranging from 2 to 4 storeys to provide 41 new residential units (14 x 1 bed, 25 x 2 bed, 2 x 3 bed) removal of a number of existing trees along Lytton Grove frontage with provision of replacement trees, landscaping and play space) to allow change to the tenure to provide all 41 dwelling as affordable rent; increase the height of the external courtyard wall on Block D up to 2.99m  and install security rollers barrier on courtyard walls of Blocks B, C and D."/>
    <s v="S73"/>
    <d v="2022-10-27T00:00:00"/>
    <d v="2023-05-31T00:00:00"/>
    <s v="Y"/>
    <s v="Nil"/>
    <m/>
    <s v="BF"/>
    <s v="NB"/>
    <x v="1"/>
    <x v="0"/>
    <n v="8.5000000000000006E-2"/>
    <d v="2021-05-26T00:00:00"/>
    <x v="0"/>
    <m/>
    <s v="Social/Affordable Rent"/>
    <s v="AL"/>
    <s v=""/>
    <n v="17320313"/>
    <m/>
    <m/>
    <m/>
    <m/>
    <n v="0"/>
    <n v="2"/>
    <n v="4"/>
    <n v="0"/>
    <n v="0"/>
    <n v="0"/>
    <n v="0"/>
    <n v="0"/>
    <n v="2"/>
    <n v="4"/>
    <n v="0"/>
    <n v="0"/>
    <n v="0"/>
    <n v="0"/>
    <n v="0"/>
    <n v="0"/>
    <n v="0"/>
    <n v="0"/>
    <n v="0"/>
    <n v="0"/>
    <n v="0"/>
    <n v="0"/>
    <n v="0"/>
    <n v="0"/>
    <n v="0"/>
    <n v="0"/>
    <n v="0"/>
    <n v="0"/>
    <m/>
    <m/>
    <s v="Rest of Borough"/>
    <n v="5"/>
    <m/>
    <n v="6"/>
    <m/>
    <m/>
    <m/>
    <m/>
    <m/>
    <m/>
    <m/>
    <m/>
    <m/>
    <m/>
    <m/>
    <m/>
    <m/>
    <m/>
    <m/>
    <m/>
    <m/>
    <m/>
    <n v="6"/>
    <n v="6"/>
  </r>
  <r>
    <n v="6852"/>
    <x v="1"/>
    <s v="2022/4370"/>
    <s v="Kersfield Estate, Lytton Grove"/>
    <s v="Block C"/>
    <n v="524063"/>
    <n v="174446"/>
    <s v="East Putney"/>
    <d v="2021-05-26T00:00:00"/>
    <m/>
    <n v="0"/>
    <n v="6"/>
    <n v="6"/>
    <n v="41"/>
    <n v="41"/>
    <s v="Y"/>
    <s v="Variation of condition 2  (in accordance with approved drawings) pursuant to planning permission 28/02/2020 ref 2018/5553 (Demolition of existing electricity substation and erection of 7 blocks and new electricity substation across the estate ranging from 2 to 4 storeys to provide 41 new residential units (14 x 1 bed, 25 x 2 bed, 2 x 3 bed) removal of a number of existing trees along Lytton Grove frontage with provision of replacement trees, landscaping and play space) to allow change to the tenure to provide all 41 dwelling as affordable rent; increase the height of the external courtyard wall on Block D up to 2.99m  and install security rollers barrier on courtyard walls of Blocks B, C and D."/>
    <s v="S73"/>
    <d v="2022-10-27T00:00:00"/>
    <d v="2023-05-31T00:00:00"/>
    <s v="Y"/>
    <s v="Nil"/>
    <m/>
    <s v="BF"/>
    <s v="NB"/>
    <x v="1"/>
    <x v="0"/>
    <n v="8.5000000000000006E-2"/>
    <d v="2021-05-26T00:00:00"/>
    <x v="0"/>
    <m/>
    <s v="Social/Affordable Rent"/>
    <s v="AL"/>
    <s v=""/>
    <n v="17320313"/>
    <m/>
    <m/>
    <m/>
    <m/>
    <n v="0"/>
    <n v="2"/>
    <n v="4"/>
    <n v="0"/>
    <n v="0"/>
    <n v="0"/>
    <n v="0"/>
    <n v="0"/>
    <n v="2"/>
    <n v="4"/>
    <n v="0"/>
    <n v="0"/>
    <n v="0"/>
    <n v="0"/>
    <n v="0"/>
    <n v="0"/>
    <n v="0"/>
    <n v="0"/>
    <n v="0"/>
    <n v="0"/>
    <n v="0"/>
    <n v="0"/>
    <n v="0"/>
    <n v="0"/>
    <n v="0"/>
    <n v="0"/>
    <n v="0"/>
    <n v="0"/>
    <m/>
    <m/>
    <s v="Rest of Borough"/>
    <n v="5"/>
    <m/>
    <n v="6"/>
    <m/>
    <m/>
    <m/>
    <m/>
    <m/>
    <m/>
    <m/>
    <m/>
    <m/>
    <m/>
    <m/>
    <m/>
    <m/>
    <m/>
    <m/>
    <m/>
    <m/>
    <m/>
    <n v="6"/>
    <n v="6"/>
  </r>
  <r>
    <n v="7679"/>
    <x v="1"/>
    <s v="2022/0538"/>
    <s v="82-84 Mitcham Lane"/>
    <s v=""/>
    <n v="529371"/>
    <n v="171218"/>
    <s v="Furzedown"/>
    <d v="2022-11-04T00:00:00"/>
    <m/>
    <n v="0"/>
    <n v="8"/>
    <n v="8"/>
    <n v="8"/>
    <n v="8"/>
    <m/>
    <s v="Erection of four-storey side and rear extensions, conversion of rear part of ground floor to residential with retention of front part as commercial (Class E) use in connection with conversion of building into 8 residential units 1 x 3 bedroom, 6 x 2 bedroom and 1 x 1-bedroom units with associated bin and bike storage and landscaping."/>
    <s v="PF"/>
    <d v="2022-03-07T00:00:00"/>
    <d v="2022-06-30T00:00:00"/>
    <m/>
    <s v="Nil"/>
    <m/>
    <s v="BF"/>
    <s v="MIX"/>
    <x v="2"/>
    <x v="4"/>
    <n v="1.7649999999999999E-2"/>
    <d v="2022-11-04T00:00:00"/>
    <x v="0"/>
    <m/>
    <s v="Open Market"/>
    <s v="M"/>
    <s v=""/>
    <m/>
    <m/>
    <m/>
    <m/>
    <m/>
    <n v="0"/>
    <n v="1"/>
    <n v="6"/>
    <n v="1"/>
    <n v="0"/>
    <n v="0"/>
    <n v="0"/>
    <n v="0"/>
    <n v="1"/>
    <n v="6"/>
    <n v="1"/>
    <n v="0"/>
    <n v="0"/>
    <n v="0"/>
    <n v="0"/>
    <n v="0"/>
    <n v="0"/>
    <n v="0"/>
    <n v="0"/>
    <n v="0"/>
    <n v="0"/>
    <n v="0"/>
    <n v="0"/>
    <n v="0"/>
    <n v="0"/>
    <n v="0"/>
    <n v="0"/>
    <n v="0"/>
    <m/>
    <m/>
    <s v="Rest of Borough"/>
    <n v="13"/>
    <m/>
    <n v="8"/>
    <m/>
    <m/>
    <m/>
    <m/>
    <m/>
    <m/>
    <m/>
    <m/>
    <m/>
    <m/>
    <m/>
    <m/>
    <m/>
    <m/>
    <m/>
    <m/>
    <m/>
    <m/>
    <n v="8"/>
    <n v="8"/>
  </r>
  <r>
    <n v="7808"/>
    <x v="1"/>
    <s v="2022/0721"/>
    <s v="132 Earlsfield Road"/>
    <s v=""/>
    <n v="526318"/>
    <n v="173718"/>
    <s v="Wandle"/>
    <d v="2022-10-13T00:00:00"/>
    <m/>
    <n v="2"/>
    <n v="1"/>
    <n v="-1"/>
    <n v="1"/>
    <n v="-1"/>
    <m/>
    <s v="Alterations including erection of single-storey side/rear extension in connection with deconversion of two flats into a single dwelling house."/>
    <s v="PF"/>
    <d v="2022-02-15T00:00:00"/>
    <d v="2022-04-22T00:00:00"/>
    <m/>
    <s v="Nil"/>
    <m/>
    <s v="BF"/>
    <s v="CON"/>
    <x v="2"/>
    <x v="11"/>
    <n v="8.0000000000000002E-3"/>
    <d v="2022-10-13T00:00:00"/>
    <x v="0"/>
    <m/>
    <s v="Open Market"/>
    <s v="M"/>
    <s v=""/>
    <m/>
    <m/>
    <m/>
    <m/>
    <m/>
    <n v="0"/>
    <n v="-1"/>
    <n v="0"/>
    <n v="-1"/>
    <n v="0"/>
    <n v="1"/>
    <n v="0"/>
    <n v="0"/>
    <n v="-1"/>
    <n v="0"/>
    <n v="-1"/>
    <n v="0"/>
    <n v="0"/>
    <n v="0"/>
    <n v="0"/>
    <n v="0"/>
    <n v="0"/>
    <n v="0"/>
    <n v="0"/>
    <n v="1"/>
    <n v="0"/>
    <n v="0"/>
    <n v="0"/>
    <n v="0"/>
    <n v="0"/>
    <n v="0"/>
    <n v="0"/>
    <n v="0"/>
    <m/>
    <m/>
    <s v="Rest of Borough"/>
    <n v="13"/>
    <m/>
    <n v="-1"/>
    <m/>
    <m/>
    <m/>
    <m/>
    <m/>
    <m/>
    <m/>
    <m/>
    <m/>
    <m/>
    <m/>
    <m/>
    <m/>
    <m/>
    <m/>
    <m/>
    <m/>
    <m/>
    <n v="-1"/>
    <n v="-1"/>
  </r>
  <r>
    <n v="6852"/>
    <x v="1"/>
    <s v="2022/4370"/>
    <s v="Kersfield Estate, Lytton Grove"/>
    <s v="Block D"/>
    <n v="524063"/>
    <n v="174446"/>
    <s v="East Putney"/>
    <d v="2021-05-26T00:00:00"/>
    <m/>
    <n v="0"/>
    <n v="6"/>
    <n v="6"/>
    <n v="41"/>
    <n v="41"/>
    <s v="Y"/>
    <s v="Variation of condition 2  (in accordance with approved drawings) pursuant to planning permission 28/02/2020 ref 2018/5553 (Demolition of existing electricity substation and erection of 7 blocks and new electricity substation across the estate ranging from 2 to 4 storeys to provide 41 new residential units (14 x 1 bed, 25 x 2 bed, 2 x 3 bed) removal of a number of existing trees along Lytton Grove frontage with provision of replacement trees, landscaping and play space) to allow change to the tenure to provide all 41 dwelling as affordable rent; increase the height of the external courtyard wall on Block D up to 2.99m  and install security rollers barrier on courtyard walls of Blocks B, C and D."/>
    <s v="S73"/>
    <d v="2022-10-27T00:00:00"/>
    <d v="2023-05-31T00:00:00"/>
    <s v="Y"/>
    <s v="Nil"/>
    <m/>
    <s v="BF"/>
    <s v="NB"/>
    <x v="1"/>
    <x v="0"/>
    <n v="8.5000000000000006E-2"/>
    <d v="2021-05-26T00:00:00"/>
    <x v="0"/>
    <m/>
    <s v="Social/Affordable Rent"/>
    <s v="AL"/>
    <s v=""/>
    <n v="17320313"/>
    <m/>
    <m/>
    <m/>
    <m/>
    <n v="0"/>
    <n v="2"/>
    <n v="4"/>
    <n v="0"/>
    <n v="0"/>
    <n v="0"/>
    <n v="0"/>
    <n v="0"/>
    <n v="2"/>
    <n v="4"/>
    <n v="0"/>
    <n v="0"/>
    <n v="0"/>
    <n v="0"/>
    <n v="0"/>
    <n v="0"/>
    <n v="0"/>
    <n v="0"/>
    <n v="0"/>
    <n v="0"/>
    <n v="0"/>
    <n v="0"/>
    <n v="0"/>
    <n v="0"/>
    <n v="0"/>
    <n v="0"/>
    <n v="0"/>
    <n v="0"/>
    <m/>
    <m/>
    <s v="Rest of Borough"/>
    <n v="5"/>
    <m/>
    <n v="6"/>
    <m/>
    <m/>
    <m/>
    <m/>
    <m/>
    <m/>
    <m/>
    <m/>
    <m/>
    <m/>
    <m/>
    <m/>
    <m/>
    <m/>
    <m/>
    <m/>
    <m/>
    <m/>
    <n v="6"/>
    <n v="6"/>
  </r>
  <r>
    <n v="2654"/>
    <x v="1"/>
    <s v="2022/0788"/>
    <s v="15 Balham High Road"/>
    <s v=""/>
    <n v="528760"/>
    <n v="173705"/>
    <s v="Balham"/>
    <d v="2023-04-01T00:00:00"/>
    <m/>
    <n v="1"/>
    <n v="3"/>
    <n v="2"/>
    <n v="3"/>
    <n v="2"/>
    <m/>
    <s v="Alterations including erection of two-storey side extension at first floor, second floor rear extension, rear roof extension, rear terraces at first and second floor and associated bin and bike storage in connection with conversion from C3 Dwelling into 2 x 2-bedroom flats and 1 x studio flat."/>
    <s v="PF"/>
    <d v="2022-04-28T00:00:00"/>
    <d v="2022-07-28T00:00:00"/>
    <m/>
    <s v="Nil"/>
    <m/>
    <s v="BF"/>
    <s v="CON"/>
    <x v="2"/>
    <x v="10"/>
    <n v="7.0000000000000001E-3"/>
    <d v="2023-04-01T00:00:00"/>
    <x v="1"/>
    <m/>
    <s v="Open Market"/>
    <s v="MR"/>
    <s v=""/>
    <m/>
    <m/>
    <m/>
    <m/>
    <m/>
    <n v="1"/>
    <n v="0"/>
    <n v="2"/>
    <n v="0"/>
    <n v="-1"/>
    <n v="0"/>
    <n v="0"/>
    <n v="1"/>
    <n v="0"/>
    <n v="2"/>
    <n v="0"/>
    <n v="0"/>
    <n v="0"/>
    <n v="0"/>
    <n v="0"/>
    <n v="0"/>
    <n v="0"/>
    <n v="0"/>
    <n v="-1"/>
    <n v="0"/>
    <n v="0"/>
    <n v="0"/>
    <n v="0"/>
    <n v="0"/>
    <n v="0"/>
    <n v="0"/>
    <n v="0"/>
    <n v="0"/>
    <m/>
    <m/>
    <s v="Balham"/>
    <n v="13"/>
    <m/>
    <n v="2"/>
    <m/>
    <m/>
    <m/>
    <m/>
    <m/>
    <m/>
    <m/>
    <m/>
    <m/>
    <m/>
    <m/>
    <m/>
    <m/>
    <m/>
    <m/>
    <m/>
    <m/>
    <m/>
    <n v="2"/>
    <n v="2"/>
  </r>
  <r>
    <n v="3695"/>
    <x v="1"/>
    <s v="2022/0863"/>
    <s v="157-159 Wandsworth High Street"/>
    <s v=""/>
    <n v="525409"/>
    <n v="174671"/>
    <s v="Wandsworth Town"/>
    <d v="2022-09-15T00:00:00"/>
    <m/>
    <n v="0"/>
    <n v="1"/>
    <n v="1"/>
    <n v="1"/>
    <n v="1"/>
    <m/>
    <s v="Determination as to whether prior approval is required for change of use of office (Class E) at part of first floor level to a studio flat (Class C3)."/>
    <s v="PANR"/>
    <d v="2022-03-01T00:00:00"/>
    <d v="2022-04-25T00:00:00"/>
    <m/>
    <s v="Nil"/>
    <m/>
    <s v="BF"/>
    <s v="COU"/>
    <x v="2"/>
    <x v="6"/>
    <n v="2E-3"/>
    <d v="2022-09-15T00:00:00"/>
    <x v="0"/>
    <m/>
    <s v="Open Market"/>
    <s v="M"/>
    <s v=""/>
    <m/>
    <m/>
    <m/>
    <m/>
    <m/>
    <n v="1"/>
    <n v="0"/>
    <n v="0"/>
    <n v="0"/>
    <n v="0"/>
    <n v="0"/>
    <n v="0"/>
    <n v="1"/>
    <n v="0"/>
    <n v="0"/>
    <n v="0"/>
    <n v="0"/>
    <n v="0"/>
    <n v="0"/>
    <n v="0"/>
    <n v="0"/>
    <n v="0"/>
    <n v="0"/>
    <n v="0"/>
    <n v="0"/>
    <n v="0"/>
    <n v="0"/>
    <n v="0"/>
    <n v="0"/>
    <n v="0"/>
    <n v="0"/>
    <n v="0"/>
    <n v="0"/>
    <s v="Wandsworth"/>
    <m/>
    <s v="Wandsworth Town, including the Wandle Delta Masterplan Area"/>
    <n v="13"/>
    <m/>
    <n v="1"/>
    <m/>
    <m/>
    <m/>
    <m/>
    <m/>
    <m/>
    <m/>
    <m/>
    <m/>
    <m/>
    <m/>
    <m/>
    <m/>
    <m/>
    <m/>
    <m/>
    <m/>
    <m/>
    <n v="1"/>
    <n v="1"/>
  </r>
  <r>
    <n v="3695"/>
    <x v="1"/>
    <s v="2022/0867"/>
    <s v="157-159 Wandsworth High Street"/>
    <s v=""/>
    <n v="525409"/>
    <n v="174671"/>
    <s v="Wandsworth Town"/>
    <d v="2022-09-15T00:00:00"/>
    <m/>
    <n v="0"/>
    <n v="1"/>
    <n v="1"/>
    <n v="1"/>
    <n v="1"/>
    <m/>
    <s v="Determination as to whether prior approval is required for change of use of part of first floor from Class E to 1 x 1-bedroom flat (Class C3)."/>
    <s v="PANR"/>
    <d v="2022-03-01T00:00:00"/>
    <d v="2022-04-25T00:00:00"/>
    <m/>
    <s v="Nil"/>
    <m/>
    <s v="BF"/>
    <s v="COU"/>
    <x v="2"/>
    <x v="6"/>
    <n v="3.0000000000000001E-3"/>
    <d v="2022-09-15T00:00:00"/>
    <x v="0"/>
    <m/>
    <s v="Open Market"/>
    <s v="M"/>
    <s v=""/>
    <m/>
    <m/>
    <m/>
    <m/>
    <m/>
    <n v="0"/>
    <n v="1"/>
    <n v="0"/>
    <n v="0"/>
    <n v="0"/>
    <n v="0"/>
    <n v="0"/>
    <n v="0"/>
    <n v="1"/>
    <n v="0"/>
    <n v="0"/>
    <n v="0"/>
    <n v="0"/>
    <n v="0"/>
    <n v="0"/>
    <n v="0"/>
    <n v="0"/>
    <n v="0"/>
    <n v="0"/>
    <n v="0"/>
    <n v="0"/>
    <n v="0"/>
    <n v="0"/>
    <n v="0"/>
    <n v="0"/>
    <n v="0"/>
    <n v="0"/>
    <n v="0"/>
    <s v="Wandsworth"/>
    <m/>
    <s v="Wandsworth Town, including the Wandle Delta Masterplan Area"/>
    <n v="13"/>
    <m/>
    <n v="1"/>
    <m/>
    <m/>
    <m/>
    <m/>
    <m/>
    <m/>
    <m/>
    <m/>
    <m/>
    <m/>
    <m/>
    <m/>
    <m/>
    <m/>
    <m/>
    <m/>
    <m/>
    <m/>
    <n v="1"/>
    <n v="1"/>
  </r>
  <r>
    <n v="5398"/>
    <x v="1"/>
    <s v="2022/1057"/>
    <s v="Land rear of, 143 St Johns Hill"/>
    <s v=""/>
    <n v="526797"/>
    <n v="175059"/>
    <s v="Wandsworth Town"/>
    <d v="2023-02-01T00:00:00"/>
    <m/>
    <n v="0"/>
    <n v="2"/>
    <n v="2"/>
    <n v="2"/>
    <n v="2"/>
    <m/>
    <s v="Erection of two-storey building to provide one  x 2-bedroom and one x 1-bedroom flats with associated refuse and cycle storage."/>
    <s v="PF"/>
    <d v="2022-03-23T00:00:00"/>
    <d v="2022-05-27T00:00:00"/>
    <m/>
    <s v="Nil"/>
    <m/>
    <s v="BF"/>
    <s v="NB"/>
    <x v="2"/>
    <x v="3"/>
    <n v="6.0000000000000001E-3"/>
    <d v="2023-02-01T00:00:00"/>
    <x v="0"/>
    <m/>
    <s v="Open Market"/>
    <s v="M"/>
    <s v=""/>
    <m/>
    <m/>
    <m/>
    <m/>
    <m/>
    <n v="0"/>
    <n v="1"/>
    <n v="1"/>
    <n v="0"/>
    <n v="0"/>
    <n v="0"/>
    <n v="0"/>
    <n v="0"/>
    <n v="1"/>
    <n v="1"/>
    <n v="0"/>
    <n v="0"/>
    <n v="0"/>
    <n v="0"/>
    <n v="0"/>
    <n v="0"/>
    <n v="0"/>
    <n v="0"/>
    <n v="0"/>
    <n v="0"/>
    <n v="0"/>
    <n v="0"/>
    <n v="0"/>
    <n v="0"/>
    <n v="0"/>
    <n v="0"/>
    <n v="0"/>
    <n v="0"/>
    <m/>
    <m/>
    <s v="Rest of Borough"/>
    <n v="3"/>
    <m/>
    <n v="2"/>
    <m/>
    <m/>
    <m/>
    <m/>
    <m/>
    <m/>
    <m/>
    <m/>
    <m/>
    <m/>
    <m/>
    <m/>
    <m/>
    <m/>
    <m/>
    <m/>
    <m/>
    <m/>
    <n v="2"/>
    <n v="2"/>
  </r>
  <r>
    <n v="7817"/>
    <x v="1"/>
    <s v="2022/1132"/>
    <s v="Formerly Flats A&amp;B, 131 St James Drive"/>
    <s v=""/>
    <n v="527600"/>
    <n v="173459"/>
    <s v="Trinity"/>
    <d v="2024-03-31T00:00:00"/>
    <m/>
    <n v="2"/>
    <n v="1"/>
    <n v="-1"/>
    <n v="1"/>
    <n v="-1"/>
    <m/>
    <s v="Conversion of property into single-family dwellinghouse and alterations including erection of mansard roof extension to provide an additional floor of accommodation; erection of three-storey rear extension; extension above back addition and frormation of roof terrace."/>
    <s v="PF"/>
    <d v="2022-05-20T00:00:00"/>
    <d v="2022-08-31T00:00:00"/>
    <m/>
    <s v="Nil"/>
    <m/>
    <s v="BF"/>
    <s v="CON"/>
    <x v="2"/>
    <x v="11"/>
    <n v="6.1425000000000004E-3"/>
    <d v="2024-03-31T00:00:00"/>
    <x v="1"/>
    <m/>
    <s v="Open Market"/>
    <s v="M"/>
    <s v=""/>
    <m/>
    <m/>
    <m/>
    <m/>
    <m/>
    <n v="0"/>
    <n v="-1"/>
    <n v="0"/>
    <n v="-1"/>
    <n v="0"/>
    <n v="1"/>
    <n v="0"/>
    <n v="0"/>
    <n v="-1"/>
    <n v="0"/>
    <n v="-1"/>
    <n v="0"/>
    <n v="0"/>
    <n v="0"/>
    <n v="0"/>
    <n v="0"/>
    <n v="0"/>
    <n v="0"/>
    <n v="0"/>
    <n v="1"/>
    <n v="0"/>
    <n v="0"/>
    <n v="0"/>
    <n v="0"/>
    <n v="0"/>
    <n v="0"/>
    <n v="0"/>
    <n v="0"/>
    <m/>
    <m/>
    <s v="Rest of Borough"/>
    <n v="14"/>
    <m/>
    <n v="-0.5"/>
    <n v="-0.5"/>
    <m/>
    <m/>
    <m/>
    <m/>
    <m/>
    <m/>
    <m/>
    <m/>
    <m/>
    <m/>
    <m/>
    <m/>
    <m/>
    <m/>
    <m/>
    <m/>
    <m/>
    <n v="-1"/>
    <n v="-1"/>
  </r>
  <r>
    <n v="7755"/>
    <x v="1"/>
    <s v="2022/1173"/>
    <s v="28 Muncaster Road"/>
    <s v=""/>
    <n v="527982"/>
    <n v="174908"/>
    <s v="Northcote"/>
    <d v="2022-12-31T00:00:00"/>
    <m/>
    <n v="1"/>
    <n v="1"/>
    <n v="0"/>
    <n v="1"/>
    <n v="0"/>
    <m/>
    <s v="Alterations including demolition of building with exception of front facade. Erection of two-storey dwelling plus enlarged basement (plus front lightwell) and accommodation at roof level, with dormer extension (including French doors and safety railings plu solar panels to roof). Erection of part single/part three storey rear extension"/>
    <s v="PF"/>
    <d v="2022-03-18T00:00:00"/>
    <d v="2022-05-13T00:00:00"/>
    <m/>
    <s v="Nil"/>
    <m/>
    <s v="BF"/>
    <s v="NB"/>
    <x v="2"/>
    <x v="3"/>
    <n v="8.0000000000000002E-3"/>
    <d v="2022-12-31T00:00:00"/>
    <x v="0"/>
    <m/>
    <s v="Open Market"/>
    <s v="M"/>
    <s v=""/>
    <m/>
    <m/>
    <m/>
    <m/>
    <m/>
    <n v="0"/>
    <n v="0"/>
    <n v="-1"/>
    <n v="0"/>
    <n v="1"/>
    <n v="0"/>
    <n v="0"/>
    <n v="0"/>
    <n v="0"/>
    <n v="0"/>
    <n v="0"/>
    <n v="0"/>
    <n v="0"/>
    <n v="0"/>
    <n v="0"/>
    <n v="0"/>
    <n v="-1"/>
    <n v="0"/>
    <n v="1"/>
    <n v="0"/>
    <n v="0"/>
    <n v="0"/>
    <n v="0"/>
    <n v="0"/>
    <n v="0"/>
    <n v="0"/>
    <n v="0"/>
    <n v="0"/>
    <m/>
    <m/>
    <s v="Rest of Borough"/>
    <n v="3"/>
    <m/>
    <n v="0"/>
    <m/>
    <m/>
    <m/>
    <m/>
    <m/>
    <m/>
    <m/>
    <m/>
    <m/>
    <m/>
    <m/>
    <m/>
    <m/>
    <m/>
    <m/>
    <m/>
    <m/>
    <m/>
    <n v="0"/>
    <n v="0"/>
  </r>
  <r>
    <n v="6852"/>
    <x v="1"/>
    <s v="2022/4370"/>
    <s v="Kersfield Estate, Lytton Grove"/>
    <s v="Block E"/>
    <n v="524063"/>
    <n v="174446"/>
    <s v="East Putney"/>
    <d v="2021-05-26T00:00:00"/>
    <m/>
    <n v="0"/>
    <n v="5"/>
    <n v="5"/>
    <n v="41"/>
    <n v="41"/>
    <s v="Y"/>
    <s v="Variation of condition 2  (in accordance with approved drawings) pursuant to planning permission 28/02/2020 ref 2018/5553 (Demolition of existing electricity substation and erection of 7 blocks and new electricity substation across the estate ranging from 2 to 4 storeys to provide 41 new residential units (14 x 1 bed, 25 x 2 bed, 2 x 3 bed) removal of a number of existing trees along Lytton Grove frontage with provision of replacement trees, landscaping and play space) to allow change to the tenure to provide all 41 dwelling as affordable rent; increase the height of the external courtyard wall on Block D up to 2.99m  and install security rollers barrier on courtyard walls of Blocks B, C and D."/>
    <s v="S73"/>
    <d v="2022-10-27T00:00:00"/>
    <d v="2023-05-31T00:00:00"/>
    <s v="Y"/>
    <s v="Nil"/>
    <m/>
    <s v="BF"/>
    <s v="NB"/>
    <x v="1"/>
    <x v="0"/>
    <n v="7.0000000000000007E-2"/>
    <d v="2021-05-26T00:00:00"/>
    <x v="0"/>
    <m/>
    <s v="Social/Affordable Rent"/>
    <s v="AL"/>
    <s v=""/>
    <n v="17320313"/>
    <m/>
    <m/>
    <m/>
    <m/>
    <n v="0"/>
    <n v="1"/>
    <n v="4"/>
    <n v="0"/>
    <n v="0"/>
    <n v="0"/>
    <n v="0"/>
    <n v="0"/>
    <n v="1"/>
    <n v="4"/>
    <n v="0"/>
    <n v="0"/>
    <n v="0"/>
    <n v="0"/>
    <n v="0"/>
    <n v="0"/>
    <n v="0"/>
    <n v="0"/>
    <n v="0"/>
    <n v="0"/>
    <n v="0"/>
    <n v="0"/>
    <n v="0"/>
    <n v="0"/>
    <n v="0"/>
    <n v="0"/>
    <n v="0"/>
    <n v="0"/>
    <m/>
    <m/>
    <s v="Rest of Borough"/>
    <n v="5"/>
    <m/>
    <n v="5"/>
    <m/>
    <m/>
    <m/>
    <m/>
    <m/>
    <m/>
    <m/>
    <m/>
    <m/>
    <m/>
    <m/>
    <m/>
    <m/>
    <m/>
    <m/>
    <m/>
    <m/>
    <m/>
    <n v="5"/>
    <n v="5"/>
  </r>
  <r>
    <n v="6852"/>
    <x v="1"/>
    <s v="2022/4370"/>
    <s v="Kersfield Estate, Lytton Grove"/>
    <s v="Block A"/>
    <n v="524063"/>
    <n v="174446"/>
    <s v="East Putney"/>
    <d v="2021-05-26T00:00:00"/>
    <m/>
    <n v="0"/>
    <n v="4"/>
    <n v="4"/>
    <n v="41"/>
    <n v="41"/>
    <s v="Y"/>
    <s v="Variation of condition 2  (in accordance with approved drawings) pursuant to planning permission 28/02/2020 ref 2018/5553 (Demolition of existing electricity substation and erection of 7 blocks and new electricity substation across the estate ranging from 2 to 4 storeys to provide 41 new residential units (14 x 1 bed, 25 x 2 bed, 2 x 3 bed) removal of a number of existing trees along Lytton Grove frontage with provision of replacement trees, landscaping and play space) to allow change to the tenure to provide all 41 dwelling as affordable rent; increase the height of the external courtyard wall on Block D up to 2.99m  and install security rollers barrier on courtyard walls of Blocks B, C and D."/>
    <s v="S73"/>
    <d v="2022-10-27T00:00:00"/>
    <d v="2023-05-31T00:00:00"/>
    <s v="Y"/>
    <s v="Nil"/>
    <m/>
    <s v="BF"/>
    <s v="NB"/>
    <x v="1"/>
    <x v="0"/>
    <n v="5.6000000000000001E-2"/>
    <d v="2021-05-26T00:00:00"/>
    <x v="0"/>
    <m/>
    <s v="Social/Affordable Rent"/>
    <s v="AL"/>
    <s v=""/>
    <n v="17320313"/>
    <m/>
    <m/>
    <m/>
    <m/>
    <n v="0"/>
    <n v="1"/>
    <n v="3"/>
    <n v="0"/>
    <n v="0"/>
    <n v="0"/>
    <n v="0"/>
    <n v="0"/>
    <n v="1"/>
    <n v="3"/>
    <n v="0"/>
    <n v="0"/>
    <n v="0"/>
    <n v="0"/>
    <n v="0"/>
    <n v="0"/>
    <n v="0"/>
    <n v="0"/>
    <n v="0"/>
    <n v="0"/>
    <n v="0"/>
    <n v="0"/>
    <n v="0"/>
    <n v="0"/>
    <n v="0"/>
    <n v="0"/>
    <n v="0"/>
    <n v="0"/>
    <m/>
    <m/>
    <s v="Rest of Borough"/>
    <n v="5"/>
    <m/>
    <n v="4"/>
    <m/>
    <m/>
    <m/>
    <m/>
    <m/>
    <m/>
    <m/>
    <m/>
    <m/>
    <m/>
    <m/>
    <m/>
    <m/>
    <m/>
    <m/>
    <m/>
    <m/>
    <m/>
    <n v="4"/>
    <n v="4"/>
  </r>
  <r>
    <n v="7382"/>
    <x v="1"/>
    <s v="2022/1789"/>
    <s v="133 Lavender Hill"/>
    <s v=""/>
    <n v="528107"/>
    <n v="175629"/>
    <s v="Lavender"/>
    <d v="2023-06-01T00:00:00"/>
    <m/>
    <n v="1"/>
    <n v="5"/>
    <n v="4"/>
    <n v="5"/>
    <n v="4"/>
    <m/>
    <s v="Erection of part single, part three-storey rear extension (top floor within roof) with first floor roof terrace, side dormer and external access stairs; replacement of shopfront with wall, windows and two entrance doors; Alterations and extensions in connection with change of use from restaurant (Class E) to 5 x 1-bedroom flats (Class C3)."/>
    <s v="PF"/>
    <d v="2022-10-12T00:00:00"/>
    <d v="2022-12-16T00:00:00"/>
    <m/>
    <s v="Nil"/>
    <m/>
    <s v="BF"/>
    <s v="MIX"/>
    <x v="2"/>
    <x v="8"/>
    <n v="0.01"/>
    <d v="2023-06-01T00:00:00"/>
    <x v="1"/>
    <m/>
    <s v="Open Market"/>
    <s v="M"/>
    <s v=""/>
    <m/>
    <m/>
    <m/>
    <m/>
    <m/>
    <n v="0"/>
    <n v="5"/>
    <n v="-1"/>
    <n v="0"/>
    <n v="0"/>
    <n v="0"/>
    <n v="0"/>
    <n v="0"/>
    <n v="5"/>
    <n v="-1"/>
    <n v="0"/>
    <n v="0"/>
    <n v="0"/>
    <n v="0"/>
    <n v="0"/>
    <n v="0"/>
    <n v="0"/>
    <n v="0"/>
    <n v="0"/>
    <n v="0"/>
    <n v="0"/>
    <n v="0"/>
    <n v="0"/>
    <n v="0"/>
    <n v="0"/>
    <n v="0"/>
    <n v="0"/>
    <n v="0"/>
    <m/>
    <m/>
    <s v="Rest of Borough"/>
    <n v="13"/>
    <m/>
    <n v="4"/>
    <m/>
    <m/>
    <m/>
    <m/>
    <m/>
    <m/>
    <m/>
    <m/>
    <m/>
    <m/>
    <m/>
    <m/>
    <m/>
    <m/>
    <m/>
    <m/>
    <m/>
    <m/>
    <n v="4"/>
    <n v="4"/>
  </r>
  <r>
    <n v="7858"/>
    <x v="1"/>
    <s v="2022/2246"/>
    <s v="148 Church Lane"/>
    <s v=""/>
    <n v="528443"/>
    <n v="171438"/>
    <s v="Tooting Bec"/>
    <d v="2023-04-24T00:00:00"/>
    <m/>
    <n v="1"/>
    <n v="3"/>
    <n v="2"/>
    <n v="3"/>
    <n v="2"/>
    <m/>
    <s v="Alterations including erection of side and rear roof extensions with ridge raise, extension above two-storey back addition and erection of single storey side/rear extension, in connection with conversion of property into 1 x 3- bedroom  and 2 x 2-bedroom flats with associated boundary treatment, landscaping, refuse and cycle storage within front garden."/>
    <s v="PF"/>
    <d v="2022-05-30T00:00:00"/>
    <d v="2022-07-25T00:00:00"/>
    <m/>
    <s v="Nil"/>
    <m/>
    <s v="BF"/>
    <s v="MIX"/>
    <x v="2"/>
    <x v="10"/>
    <n v="8.0333330000000001E-3"/>
    <d v="2023-04-24T00:00:00"/>
    <x v="1"/>
    <m/>
    <s v="Open Market"/>
    <s v="M"/>
    <s v=""/>
    <m/>
    <m/>
    <m/>
    <m/>
    <m/>
    <n v="0"/>
    <n v="0"/>
    <n v="2"/>
    <n v="0"/>
    <n v="0"/>
    <n v="0"/>
    <n v="0"/>
    <n v="0"/>
    <n v="0"/>
    <n v="2"/>
    <n v="1"/>
    <n v="0"/>
    <n v="0"/>
    <n v="0"/>
    <n v="0"/>
    <n v="0"/>
    <n v="0"/>
    <n v="-1"/>
    <n v="0"/>
    <n v="0"/>
    <n v="0"/>
    <n v="0"/>
    <n v="0"/>
    <n v="0"/>
    <n v="0"/>
    <n v="0"/>
    <n v="0"/>
    <n v="0"/>
    <m/>
    <m/>
    <s v="Rest of Borough"/>
    <n v="13"/>
    <m/>
    <n v="2"/>
    <m/>
    <m/>
    <m/>
    <m/>
    <m/>
    <m/>
    <m/>
    <m/>
    <m/>
    <m/>
    <m/>
    <m/>
    <m/>
    <m/>
    <m/>
    <m/>
    <m/>
    <m/>
    <n v="2"/>
    <n v="2"/>
  </r>
  <r>
    <n v="7859"/>
    <x v="1"/>
    <s v="2022/2352"/>
    <s v="13 Gwendolen Avenue"/>
    <s v=""/>
    <n v="523549"/>
    <n v="175035"/>
    <s v="West Putney"/>
    <d v="2023-08-01T00:00:00"/>
    <m/>
    <n v="2"/>
    <n v="1"/>
    <n v="-1"/>
    <n v="1"/>
    <n v="-1"/>
    <m/>
    <s v="Alterations including demolition and replacement of single and two-storey rear additions; excavation to enlarge basement and install front and rear lightwells and construction of a swimming pool;  erection of extension to main roof with rear and side dormers; erection of front boundary wall with railings and gates, external repairs and refurbishment works in connection with use as a single dwelling house."/>
    <s v="PF"/>
    <d v="2022-06-28T00:00:00"/>
    <d v="2022-12-06T00:00:00"/>
    <m/>
    <s v="Nil"/>
    <m/>
    <s v="BF"/>
    <s v="CON"/>
    <x v="2"/>
    <x v="11"/>
    <n v="2.5100000000000001E-2"/>
    <d v="2023-08-01T00:00:00"/>
    <x v="1"/>
    <m/>
    <s v="Open Market"/>
    <s v="M"/>
    <s v=""/>
    <m/>
    <m/>
    <m/>
    <m/>
    <m/>
    <n v="0"/>
    <n v="-1"/>
    <n v="0"/>
    <n v="0"/>
    <n v="0"/>
    <n v="0"/>
    <n v="0"/>
    <n v="0"/>
    <n v="-1"/>
    <n v="0"/>
    <n v="0"/>
    <n v="0"/>
    <n v="-1"/>
    <n v="0"/>
    <n v="0"/>
    <n v="0"/>
    <n v="0"/>
    <n v="0"/>
    <n v="0"/>
    <n v="1"/>
    <n v="0"/>
    <n v="0"/>
    <n v="0"/>
    <n v="0"/>
    <n v="0"/>
    <n v="0"/>
    <n v="0"/>
    <n v="0"/>
    <m/>
    <m/>
    <s v="Rest of Borough"/>
    <n v="13"/>
    <m/>
    <n v="-1"/>
    <m/>
    <m/>
    <m/>
    <m/>
    <m/>
    <m/>
    <m/>
    <m/>
    <m/>
    <m/>
    <m/>
    <m/>
    <m/>
    <m/>
    <m/>
    <m/>
    <m/>
    <m/>
    <n v="-1"/>
    <n v="-1"/>
  </r>
  <r>
    <n v="6990"/>
    <x v="1"/>
    <s v="2022/2515"/>
    <s v="19a St Anns Park Road"/>
    <s v=""/>
    <n v="526243"/>
    <n v="174114"/>
    <s v="Wandle"/>
    <d v="2024-03-31T00:00:00"/>
    <m/>
    <n v="1"/>
    <n v="1"/>
    <n v="0"/>
    <n v="1"/>
    <n v="0"/>
    <m/>
    <s v="Demolition of existing building and erection of a two-storey (plus basement) 3-bedroom detached house including associated landscaping, cycle and refuse storage."/>
    <s v="PF"/>
    <d v="2022-06-15T00:00:00"/>
    <d v="2022-09-15T00:00:00"/>
    <m/>
    <s v="Nil"/>
    <m/>
    <s v="BF"/>
    <s v="NB"/>
    <x v="2"/>
    <x v="3"/>
    <n v="4.7499999999999999E-3"/>
    <d v="2024-03-31T00:00:00"/>
    <x v="1"/>
    <m/>
    <s v="Open Market"/>
    <s v="M"/>
    <s v=""/>
    <m/>
    <m/>
    <m/>
    <m/>
    <m/>
    <n v="0"/>
    <n v="-1"/>
    <n v="0"/>
    <n v="1"/>
    <n v="0"/>
    <n v="0"/>
    <n v="0"/>
    <n v="0"/>
    <n v="0"/>
    <n v="0"/>
    <n v="0"/>
    <n v="0"/>
    <n v="0"/>
    <n v="0"/>
    <n v="0"/>
    <n v="-1"/>
    <n v="0"/>
    <n v="1"/>
    <n v="0"/>
    <n v="0"/>
    <n v="0"/>
    <n v="0"/>
    <n v="0"/>
    <n v="0"/>
    <n v="0"/>
    <n v="0"/>
    <n v="0"/>
    <n v="0"/>
    <m/>
    <m/>
    <s v="Rest of Borough"/>
    <n v="4"/>
    <m/>
    <n v="0"/>
    <n v="0"/>
    <m/>
    <m/>
    <m/>
    <m/>
    <m/>
    <m/>
    <m/>
    <m/>
    <m/>
    <m/>
    <m/>
    <m/>
    <m/>
    <m/>
    <m/>
    <m/>
    <m/>
    <n v="0"/>
    <n v="0"/>
  </r>
  <r>
    <n v="7863"/>
    <x v="1"/>
    <s v="2022/2530"/>
    <s v="178 Mitcham Road"/>
    <s v=""/>
    <n v="527882"/>
    <n v="170985"/>
    <s v="Tooting Broadway"/>
    <d v="2023-11-01T00:00:00"/>
    <m/>
    <n v="2"/>
    <n v="3"/>
    <n v="1"/>
    <n v="4"/>
    <n v="2"/>
    <m/>
    <s v="Alterations including erection of roof extensions to the main rear roof and above the back addition and erection of part single, part three-storey side and rear extension with first floor terrace in connection with partial change of use from restaurant (Class E) to residential (Class C3) to provide 2 x 1-bedroom and 2 x 2-bedroom flats with the retention of commercial space (Class E) at front ground floor, and associated refuse and cycle storage."/>
    <s v="PF"/>
    <d v="2022-06-16T00:00:00"/>
    <d v="2022-10-13T00:00:00"/>
    <m/>
    <s v="Nil"/>
    <m/>
    <s v="BF"/>
    <s v="MIX"/>
    <x v="2"/>
    <x v="5"/>
    <n v="9.8300000000000002E-3"/>
    <d v="2023-11-01T00:00:00"/>
    <x v="1"/>
    <m/>
    <s v="Open Market"/>
    <s v="MR"/>
    <s v=""/>
    <m/>
    <m/>
    <m/>
    <m/>
    <m/>
    <n v="-1"/>
    <n v="1"/>
    <n v="2"/>
    <n v="0"/>
    <n v="-1"/>
    <n v="0"/>
    <n v="0"/>
    <n v="-1"/>
    <n v="1"/>
    <n v="2"/>
    <n v="0"/>
    <n v="-1"/>
    <n v="0"/>
    <n v="0"/>
    <n v="0"/>
    <n v="0"/>
    <n v="0"/>
    <n v="0"/>
    <n v="0"/>
    <n v="0"/>
    <n v="0"/>
    <n v="0"/>
    <n v="0"/>
    <n v="0"/>
    <n v="0"/>
    <n v="0"/>
    <n v="0"/>
    <n v="0"/>
    <m/>
    <m/>
    <s v="Tooting"/>
    <n v="14"/>
    <m/>
    <n v="0.5"/>
    <n v="0.5"/>
    <m/>
    <m/>
    <m/>
    <m/>
    <m/>
    <m/>
    <m/>
    <m/>
    <m/>
    <m/>
    <m/>
    <m/>
    <m/>
    <m/>
    <m/>
    <m/>
    <m/>
    <n v="1"/>
    <n v="1"/>
  </r>
  <r>
    <n v="7863"/>
    <x v="1"/>
    <s v="2022/2530"/>
    <s v="178 Mitcham Road"/>
    <s v="Studio"/>
    <n v="527882"/>
    <n v="170985"/>
    <s v="Tooting Broadway"/>
    <d v="2023-11-01T00:00:00"/>
    <m/>
    <n v="0"/>
    <n v="1"/>
    <n v="1"/>
    <n v="4"/>
    <n v="2"/>
    <m/>
    <s v="Alterations including erection of roof extensions to the main rear roof and above the back addition and erection of part single, part three-storey side and rear extension with first floor terrace in connection with partial change of use from restaurant (Class E) to residential (Class C3) to provide 2 x 1-bedroom and 2 x 2-bedroom flats with the retention of commercial space (Class E) at front ground floor, and associated refuse and cycle storage."/>
    <s v="PF"/>
    <d v="2022-06-16T00:00:00"/>
    <d v="2022-10-13T00:00:00"/>
    <m/>
    <s v="Nil"/>
    <m/>
    <s v="BF"/>
    <s v="MIX"/>
    <x v="2"/>
    <x v="7"/>
    <n v="3.7399999999999998E-3"/>
    <d v="2023-11-01T00:00:00"/>
    <x v="1"/>
    <m/>
    <s v="Open Market"/>
    <s v="MR"/>
    <s v=""/>
    <m/>
    <m/>
    <m/>
    <m/>
    <m/>
    <n v="1"/>
    <n v="0"/>
    <n v="0"/>
    <n v="0"/>
    <n v="0"/>
    <n v="0"/>
    <n v="0"/>
    <n v="1"/>
    <n v="0"/>
    <n v="0"/>
    <n v="0"/>
    <n v="0"/>
    <n v="0"/>
    <n v="0"/>
    <n v="0"/>
    <n v="0"/>
    <n v="0"/>
    <n v="0"/>
    <n v="0"/>
    <n v="0"/>
    <n v="0"/>
    <n v="0"/>
    <n v="0"/>
    <n v="0"/>
    <n v="0"/>
    <n v="0"/>
    <n v="0"/>
    <n v="0"/>
    <m/>
    <m/>
    <s v="Tooting"/>
    <n v="14"/>
    <m/>
    <n v="0.5"/>
    <n v="0.5"/>
    <m/>
    <m/>
    <m/>
    <m/>
    <m/>
    <m/>
    <m/>
    <m/>
    <m/>
    <m/>
    <m/>
    <m/>
    <m/>
    <m/>
    <m/>
    <m/>
    <m/>
    <n v="1"/>
    <n v="1"/>
  </r>
  <r>
    <n v="7585"/>
    <x v="1"/>
    <s v="2022/2622"/>
    <s v="55 Trinity Road"/>
    <s v=""/>
    <n v="527885"/>
    <n v="172457"/>
    <s v="Tooting Bec"/>
    <d v="2023-06-01T00:00:00"/>
    <m/>
    <n v="0"/>
    <n v="1"/>
    <n v="1"/>
    <n v="1"/>
    <n v="1"/>
    <m/>
    <s v="Determination as to whether prior approval is required for change of use from retail (Class E) to mixed use as a  1 x studio (Class C3) and shop (Class E) with associated external and internal alterations."/>
    <s v="PAG"/>
    <d v="2022-06-24T00:00:00"/>
    <d v="2022-08-15T00:00:00"/>
    <m/>
    <s v="Nil"/>
    <m/>
    <s v="BF"/>
    <s v="COU"/>
    <x v="2"/>
    <x v="4"/>
    <n v="4.0000000000000001E-3"/>
    <d v="2023-06-01T00:00:00"/>
    <x v="1"/>
    <m/>
    <s v="Open Market"/>
    <s v="M"/>
    <s v=""/>
    <m/>
    <m/>
    <m/>
    <m/>
    <m/>
    <n v="1"/>
    <n v="0"/>
    <n v="0"/>
    <n v="0"/>
    <n v="0"/>
    <n v="0"/>
    <n v="0"/>
    <n v="1"/>
    <n v="0"/>
    <n v="0"/>
    <n v="0"/>
    <n v="0"/>
    <n v="0"/>
    <n v="0"/>
    <n v="0"/>
    <n v="0"/>
    <n v="0"/>
    <n v="0"/>
    <n v="0"/>
    <n v="0"/>
    <n v="0"/>
    <n v="0"/>
    <n v="0"/>
    <n v="0"/>
    <n v="0"/>
    <n v="0"/>
    <n v="0"/>
    <n v="0"/>
    <m/>
    <m/>
    <s v="Rest of Borough"/>
    <n v="13"/>
    <m/>
    <n v="1"/>
    <m/>
    <m/>
    <m/>
    <m/>
    <m/>
    <m/>
    <m/>
    <m/>
    <m/>
    <m/>
    <m/>
    <m/>
    <m/>
    <m/>
    <m/>
    <m/>
    <m/>
    <m/>
    <n v="1"/>
    <n v="1"/>
  </r>
  <r>
    <n v="7866"/>
    <x v="1"/>
    <s v="2022/2665"/>
    <s v="109 Northcote Road"/>
    <s v=""/>
    <n v="527553"/>
    <n v="174743"/>
    <s v="Northcote"/>
    <d v="2023-03-31T00:00:00"/>
    <m/>
    <n v="1"/>
    <n v="2"/>
    <n v="1"/>
    <n v="2"/>
    <n v="1"/>
    <m/>
    <s v="Alterations including roof extension and changes to the roof pitch. Erection of mansard/dormer roof extension to main rear roof. Installation of 1.7m high obscure glazing to first floor terrace on all sides and formation of new roof terrace above existing back addition with 1.7m obscure glazing along sides. Erection of part single/part two storey rear and side extensions.  Replacement of existing windows and alterations to rear and side fenestrations, in connection with conversion from single dwelling into 1 x 2-bedroom and 1 x 3-bedroom flats with associated refuse and cycle storage."/>
    <s v="PF"/>
    <d v="2022-08-09T00:00:00"/>
    <d v="2022-11-08T00:00:00"/>
    <m/>
    <s v="Nil"/>
    <m/>
    <s v="BF"/>
    <s v="CON"/>
    <x v="2"/>
    <x v="10"/>
    <n v="7.1599999999999997E-3"/>
    <d v="2023-03-31T00:00:00"/>
    <x v="0"/>
    <m/>
    <s v="Open Market"/>
    <s v="MR"/>
    <s v=""/>
    <m/>
    <m/>
    <m/>
    <m/>
    <m/>
    <n v="0"/>
    <n v="0"/>
    <n v="1"/>
    <n v="1"/>
    <n v="-1"/>
    <n v="0"/>
    <n v="0"/>
    <n v="0"/>
    <n v="0"/>
    <n v="1"/>
    <n v="1"/>
    <n v="0"/>
    <n v="0"/>
    <n v="0"/>
    <n v="0"/>
    <n v="0"/>
    <n v="0"/>
    <n v="0"/>
    <n v="-1"/>
    <n v="0"/>
    <n v="0"/>
    <n v="0"/>
    <n v="0"/>
    <n v="0"/>
    <n v="0"/>
    <n v="0"/>
    <n v="0"/>
    <n v="0"/>
    <m/>
    <m/>
    <s v="Clapham Junction and York Road / Winstanley Regeneration Area"/>
    <n v="13"/>
    <m/>
    <n v="1"/>
    <m/>
    <m/>
    <m/>
    <m/>
    <m/>
    <m/>
    <m/>
    <m/>
    <m/>
    <m/>
    <m/>
    <m/>
    <m/>
    <m/>
    <m/>
    <m/>
    <m/>
    <m/>
    <n v="1"/>
    <n v="1"/>
  </r>
  <r>
    <n v="7864"/>
    <x v="1"/>
    <s v="2022/3059"/>
    <s v="Cemetery Lodge, 240 Lower Richmond Road"/>
    <s v=""/>
    <n v="522892"/>
    <n v="175932"/>
    <s v="Thamesfield"/>
    <d v="2023-09-25T00:00:00"/>
    <m/>
    <n v="1"/>
    <n v="1"/>
    <n v="0"/>
    <n v="1"/>
    <n v="0"/>
    <m/>
    <s v="Change of use of the ground floor from residential (Class C3) to cafe (Class E) with residential on first floor. Alterations to include the erection of a ground floor extension and removal of boundary walls."/>
    <s v="PF"/>
    <d v="2022-07-21T00:00:00"/>
    <d v="2022-09-23T00:00:00"/>
    <m/>
    <s v="Nil"/>
    <m/>
    <s v="BF"/>
    <s v="CON"/>
    <x v="2"/>
    <x v="9"/>
    <n v="3.5000000000000001E-3"/>
    <d v="2023-09-25T00:00:00"/>
    <x v="1"/>
    <m/>
    <s v="Open Market"/>
    <s v="M"/>
    <s v=""/>
    <m/>
    <m/>
    <m/>
    <m/>
    <m/>
    <n v="0"/>
    <n v="1"/>
    <n v="-1"/>
    <n v="0"/>
    <n v="0"/>
    <n v="0"/>
    <n v="0"/>
    <n v="0"/>
    <n v="1"/>
    <n v="0"/>
    <n v="0"/>
    <n v="0"/>
    <n v="0"/>
    <n v="0"/>
    <n v="0"/>
    <n v="0"/>
    <n v="-1"/>
    <n v="0"/>
    <n v="0"/>
    <n v="0"/>
    <n v="0"/>
    <n v="0"/>
    <n v="0"/>
    <n v="0"/>
    <n v="0"/>
    <n v="0"/>
    <n v="0"/>
    <n v="0"/>
    <m/>
    <m/>
    <s v="Rest of Borough"/>
    <n v="13"/>
    <m/>
    <n v="0"/>
    <m/>
    <m/>
    <m/>
    <m/>
    <m/>
    <m/>
    <m/>
    <m/>
    <m/>
    <m/>
    <m/>
    <m/>
    <m/>
    <m/>
    <m/>
    <m/>
    <m/>
    <m/>
    <n v="0"/>
    <n v="0"/>
  </r>
  <r>
    <n v="7750"/>
    <x v="1"/>
    <s v="2022/3403"/>
    <s v="Land South of 5, Tennyson Street"/>
    <s v=""/>
    <n v="528671"/>
    <n v="176005"/>
    <s v="Shaftesbury &amp; Queenstown"/>
    <d v="2024-03-31T00:00:00"/>
    <m/>
    <n v="0"/>
    <n v="1"/>
    <n v="1"/>
    <n v="1"/>
    <n v="1"/>
    <m/>
    <s v="Erection of a three-storey dwelling house."/>
    <s v="PF"/>
    <d v="2022-08-15T00:00:00"/>
    <d v="2022-10-24T00:00:00"/>
    <m/>
    <s v="Nil"/>
    <m/>
    <s v="BF"/>
    <s v="NB"/>
    <x v="2"/>
    <x v="3"/>
    <n v="5.45E-3"/>
    <d v="2024-03-31T00:00:00"/>
    <x v="1"/>
    <m/>
    <s v="Open Market"/>
    <s v="M"/>
    <s v=""/>
    <m/>
    <m/>
    <m/>
    <m/>
    <m/>
    <n v="0"/>
    <n v="0"/>
    <n v="0"/>
    <n v="1"/>
    <n v="0"/>
    <n v="0"/>
    <n v="0"/>
    <n v="0"/>
    <n v="0"/>
    <n v="0"/>
    <n v="0"/>
    <n v="0"/>
    <n v="0"/>
    <n v="0"/>
    <n v="0"/>
    <n v="0"/>
    <n v="0"/>
    <n v="1"/>
    <n v="0"/>
    <n v="0"/>
    <n v="0"/>
    <n v="0"/>
    <n v="0"/>
    <n v="0"/>
    <n v="0"/>
    <n v="0"/>
    <n v="0"/>
    <n v="0"/>
    <m/>
    <m/>
    <s v="Rest of Borough"/>
    <n v="4"/>
    <m/>
    <n v="0.5"/>
    <n v="0.5"/>
    <m/>
    <m/>
    <m/>
    <m/>
    <m/>
    <m/>
    <m/>
    <m/>
    <m/>
    <m/>
    <m/>
    <m/>
    <m/>
    <m/>
    <m/>
    <m/>
    <m/>
    <n v="1"/>
    <n v="1"/>
  </r>
  <r>
    <n v="7884"/>
    <x v="1"/>
    <s v="2022/3458"/>
    <s v="134 Boundaries Road"/>
    <s v=""/>
    <n v="527886"/>
    <n v="172990"/>
    <s v="Trinity"/>
    <d v="2024-03-31T00:00:00"/>
    <m/>
    <n v="0"/>
    <n v="1"/>
    <n v="1"/>
    <n v="1"/>
    <n v="1"/>
    <m/>
    <s v="Erection of a mansard extension to main rear roof and extension above part of two-storey rear addition with roof terrace and 1.7m high obscured glazed balustrade to form for a 1-bedroom flat. Installation of associated cycle provision and refuse storage. Internal alterations to first floor flat with new bifold doors on rear elevation"/>
    <s v="PF"/>
    <d v="2022-08-17T00:00:00"/>
    <d v="2022-10-25T00:00:00"/>
    <m/>
    <s v="Nil"/>
    <m/>
    <s v="BF"/>
    <s v="EXT"/>
    <x v="2"/>
    <x v="7"/>
    <n v="3.8999999999999998E-3"/>
    <d v="2024-03-31T00:00:00"/>
    <x v="1"/>
    <m/>
    <s v="Open Market"/>
    <s v="M"/>
    <s v=""/>
    <m/>
    <m/>
    <m/>
    <m/>
    <m/>
    <n v="0"/>
    <n v="1"/>
    <n v="0"/>
    <n v="0"/>
    <n v="0"/>
    <n v="0"/>
    <n v="0"/>
    <n v="0"/>
    <n v="1"/>
    <n v="0"/>
    <n v="0"/>
    <n v="0"/>
    <n v="0"/>
    <n v="0"/>
    <n v="0"/>
    <n v="0"/>
    <n v="0"/>
    <n v="0"/>
    <n v="0"/>
    <n v="0"/>
    <n v="0"/>
    <n v="0"/>
    <n v="0"/>
    <n v="0"/>
    <n v="0"/>
    <n v="0"/>
    <n v="0"/>
    <n v="0"/>
    <m/>
    <m/>
    <s v="Rest of Borough"/>
    <n v="14"/>
    <m/>
    <n v="0.5"/>
    <n v="0.5"/>
    <m/>
    <m/>
    <m/>
    <m/>
    <m/>
    <m/>
    <m/>
    <m/>
    <m/>
    <m/>
    <m/>
    <m/>
    <m/>
    <m/>
    <m/>
    <m/>
    <m/>
    <n v="1"/>
    <n v="1"/>
  </r>
  <r>
    <n v="6711"/>
    <x v="1"/>
    <s v="2022/3530"/>
    <s v="Basement and Ground floor, 77 Lower Richmond Road"/>
    <s v=""/>
    <n v="523785"/>
    <n v="175744"/>
    <s v="Thamesfield"/>
    <d v="2023-04-01T00:00:00"/>
    <m/>
    <n v="0"/>
    <n v="1"/>
    <n v="1"/>
    <n v="1"/>
    <n v="1"/>
    <m/>
    <s v="Alterations including excavation to enlarge basement, formation of front lightwell, erection of single-storey rear extension, re-siting of rear external staircase in connection with change of use of ground floor and basement from retail (Class E) to residential (class C3) and office (Class E) to provide 1 x 1-bedroom flat with associated bin and cycle storage at rear."/>
    <s v="PF"/>
    <d v="2022-09-26T00:00:00"/>
    <d v="2022-11-18T00:00:00"/>
    <m/>
    <s v="Nil"/>
    <m/>
    <s v="BF"/>
    <s v="COU"/>
    <x v="2"/>
    <x v="4"/>
    <n v="5.0000000000000001E-3"/>
    <d v="2023-04-01T00:00:00"/>
    <x v="1"/>
    <m/>
    <s v="Open Market"/>
    <s v="M"/>
    <s v=""/>
    <m/>
    <m/>
    <m/>
    <m/>
    <m/>
    <n v="0"/>
    <n v="1"/>
    <n v="0"/>
    <n v="0"/>
    <n v="0"/>
    <n v="0"/>
    <n v="0"/>
    <n v="0"/>
    <n v="1"/>
    <n v="0"/>
    <n v="0"/>
    <n v="0"/>
    <n v="0"/>
    <n v="0"/>
    <n v="0"/>
    <n v="0"/>
    <n v="0"/>
    <n v="0"/>
    <n v="0"/>
    <n v="0"/>
    <n v="0"/>
    <n v="0"/>
    <n v="0"/>
    <n v="0"/>
    <n v="0"/>
    <n v="0"/>
    <n v="0"/>
    <n v="0"/>
    <m/>
    <m/>
    <s v="Rest of Borough"/>
    <n v="13"/>
    <m/>
    <n v="1"/>
    <m/>
    <m/>
    <m/>
    <m/>
    <m/>
    <m/>
    <m/>
    <m/>
    <m/>
    <m/>
    <m/>
    <m/>
    <m/>
    <m/>
    <m/>
    <m/>
    <m/>
    <m/>
    <n v="1"/>
    <n v="1"/>
  </r>
  <r>
    <n v="7837"/>
    <x v="1"/>
    <s v="2022/3536"/>
    <s v="637 Garratt Lane"/>
    <s v=""/>
    <n v="526142"/>
    <n v="172548"/>
    <s v="Wandsworth Common"/>
    <d v="2023-07-10T00:00:00"/>
    <m/>
    <n v="1"/>
    <n v="3"/>
    <n v="2"/>
    <n v="3"/>
    <n v="2"/>
    <m/>
    <s v="Alterations including erection of a roof extension to the main rear roof; Erection of a first floor rear extension; Erection of a part-single, part-two storey rear extension; Installation of a new shopfront, new residential entrance and bin store to front elevation; In connection with conversion to  3 x 2-bed flats, with associated cycle and refuse storage."/>
    <s v="PF"/>
    <d v="2022-09-30T00:00:00"/>
    <d v="2023-04-04T00:00:00"/>
    <s v="Y"/>
    <s v="Nil"/>
    <m/>
    <s v="BF"/>
    <s v="COU"/>
    <x v="2"/>
    <x v="7"/>
    <n v="1.2449999999999999E-2"/>
    <d v="2023-07-10T00:00:00"/>
    <x v="1"/>
    <m/>
    <s v="Open Market"/>
    <s v="MR"/>
    <s v=""/>
    <m/>
    <m/>
    <m/>
    <m/>
    <m/>
    <n v="0"/>
    <n v="0"/>
    <n v="3"/>
    <n v="0"/>
    <n v="-1"/>
    <n v="0"/>
    <n v="0"/>
    <n v="0"/>
    <n v="0"/>
    <n v="3"/>
    <n v="0"/>
    <n v="-1"/>
    <n v="0"/>
    <n v="0"/>
    <n v="0"/>
    <n v="0"/>
    <n v="0"/>
    <n v="0"/>
    <n v="0"/>
    <n v="0"/>
    <n v="0"/>
    <n v="0"/>
    <n v="0"/>
    <n v="0"/>
    <n v="0"/>
    <n v="0"/>
    <n v="0"/>
    <n v="0"/>
    <m/>
    <m/>
    <s v="Wandle Valley"/>
    <n v="13"/>
    <m/>
    <n v="2"/>
    <m/>
    <m/>
    <m/>
    <m/>
    <m/>
    <m/>
    <m/>
    <m/>
    <m/>
    <m/>
    <m/>
    <m/>
    <m/>
    <m/>
    <m/>
    <m/>
    <m/>
    <m/>
    <n v="2"/>
    <n v="2"/>
  </r>
  <r>
    <n v="7845"/>
    <x v="1"/>
    <s v="2022/3574"/>
    <s v="80 Lavender Sweep"/>
    <s v=""/>
    <n v="527616"/>
    <n v="175185"/>
    <s v="Lavender"/>
    <d v="2023-04-01T00:00:00"/>
    <m/>
    <n v="1"/>
    <n v="3"/>
    <n v="2"/>
    <n v="3"/>
    <n v="2"/>
    <m/>
    <s v="Alterations including erection of mansard roof extension to main rear roof (with french doors and safety railings) including raising ridge; formation of roof terrace with 1.7m glazed safety surround; erection of single storey rear and side extension and excavation to enlarge basement and formation of rear lightwell in connection with conversion to 1 x 3-bedroom, 1 x 2-bedroom and 1 x 1-bedroom flats."/>
    <s v="PF"/>
    <d v="2022-08-25T00:00:00"/>
    <d v="2022-10-26T00:00:00"/>
    <m/>
    <s v="Nil"/>
    <m/>
    <s v="BF"/>
    <s v="EXT"/>
    <x v="2"/>
    <x v="10"/>
    <n v="5.4250000000000001E-3"/>
    <d v="2023-04-01T00:00:00"/>
    <x v="1"/>
    <m/>
    <s v="Open Market"/>
    <s v="M"/>
    <s v=""/>
    <m/>
    <m/>
    <m/>
    <m/>
    <m/>
    <n v="0"/>
    <n v="1"/>
    <n v="1"/>
    <n v="1"/>
    <n v="0"/>
    <n v="-1"/>
    <n v="0"/>
    <n v="0"/>
    <n v="1"/>
    <n v="1"/>
    <n v="1"/>
    <n v="0"/>
    <n v="0"/>
    <n v="0"/>
    <n v="0"/>
    <n v="0"/>
    <n v="0"/>
    <n v="0"/>
    <n v="0"/>
    <n v="-1"/>
    <n v="0"/>
    <n v="0"/>
    <n v="0"/>
    <n v="0"/>
    <n v="0"/>
    <n v="0"/>
    <n v="0"/>
    <n v="0"/>
    <m/>
    <m/>
    <s v="Clapham Junction and York Road / Winstanley Regeneration Area"/>
    <n v="13"/>
    <m/>
    <n v="2"/>
    <m/>
    <m/>
    <m/>
    <m/>
    <m/>
    <m/>
    <m/>
    <m/>
    <m/>
    <m/>
    <m/>
    <m/>
    <m/>
    <m/>
    <m/>
    <m/>
    <m/>
    <m/>
    <n v="2"/>
    <n v="2"/>
  </r>
  <r>
    <n v="6853"/>
    <x v="1"/>
    <s v="2022/5287"/>
    <s v="The Patmore Centre, Patmore Street"/>
    <s v="Block B"/>
    <n v="529335"/>
    <n v="176880"/>
    <s v="Shaftesbury &amp; Queenstown"/>
    <d v="2022-11-08T00:00:00"/>
    <m/>
    <n v="0"/>
    <n v="20"/>
    <n v="20"/>
    <n v="57"/>
    <n v="57"/>
    <s v="Y"/>
    <s v="Application under Section 96a of the Town and Country Planning Act 1990 for amendments to the housing tenure mix of planning permission 2020/0636 dated 2 September 2021 (&quot;Demolition of existing building and multi-use games area and redevelopment of the site to include erection of two five-storey buildings to provide 57 affordable residential units and a community room (Use Class D1) with associated bicycle parking, residential car parking, refuse storage, plant and outdoor private amenity space. Provision of a new shared street and enhancements to existing public open space (including new and improved children's play space and replacement multi-use games area) and associated landscaping and SuDS.&quot;) It is proposed to change the tenure of 18 shared ownership units to social rented (London Affordable Rent), providing a total of 57 social rent units within the development."/>
    <s v="S96A"/>
    <d v="2023-01-26T00:00:00"/>
    <d v="2023-05-17T00:00:00"/>
    <s v="Y"/>
    <s v="Nil"/>
    <m/>
    <s v="BF"/>
    <s v="NB"/>
    <x v="1"/>
    <x v="0"/>
    <n v="0.23300000000000001"/>
    <d v="2022-11-08T00:00:00"/>
    <x v="0"/>
    <m/>
    <s v="Social/Affordable Rent"/>
    <s v="AL"/>
    <s v=""/>
    <m/>
    <m/>
    <n v="14"/>
    <m/>
    <n v="6"/>
    <n v="0"/>
    <n v="6"/>
    <n v="8"/>
    <n v="4"/>
    <n v="2"/>
    <n v="0"/>
    <n v="0"/>
    <n v="0"/>
    <n v="6"/>
    <n v="8"/>
    <n v="4"/>
    <n v="2"/>
    <n v="0"/>
    <n v="0"/>
    <n v="0"/>
    <n v="0"/>
    <n v="0"/>
    <n v="0"/>
    <n v="0"/>
    <n v="0"/>
    <n v="0"/>
    <n v="0"/>
    <n v="0"/>
    <n v="0"/>
    <n v="0"/>
    <n v="0"/>
    <n v="0"/>
    <n v="0"/>
    <m/>
    <s v="Y"/>
    <s v="Nine Elms"/>
    <n v="5"/>
    <m/>
    <n v="20"/>
    <m/>
    <m/>
    <m/>
    <m/>
    <m/>
    <m/>
    <m/>
    <m/>
    <m/>
    <m/>
    <m/>
    <m/>
    <m/>
    <m/>
    <m/>
    <m/>
    <m/>
    <m/>
    <n v="20"/>
    <n v="20"/>
  </r>
  <r>
    <n v="7870"/>
    <x v="1"/>
    <s v="2022/3913"/>
    <s v="59 Byrne Road"/>
    <s v=""/>
    <n v="528923"/>
    <n v="173012"/>
    <s v="South Balham"/>
    <d v="2023-04-03T00:00:00"/>
    <m/>
    <n v="1"/>
    <n v="3"/>
    <n v="2"/>
    <n v="3"/>
    <n v="2"/>
    <m/>
    <s v="Erection of hip to gable side roof extension and mansard roof extension to main rear roof including raising the ridge by 300mm; erection of extension above part of three-storey back addition and formation of roof terrace with 1.7m high screen surround; erection of single storey side/rear extension and rear extension of back addition at first and second floors; formation of first floor roof terrace with 1.7m high screen surround and conversion of property into 1 x 3-bedroom and 2 x 2-bedroom flats with associated cycle and refuse storage."/>
    <s v="PF"/>
    <d v="2022-09-20T00:00:00"/>
    <d v="2022-12-02T00:00:00"/>
    <m/>
    <s v="Nil"/>
    <m/>
    <s v="BF"/>
    <s v="CON"/>
    <x v="2"/>
    <x v="10"/>
    <n v="8.0000000000000002E-3"/>
    <d v="2023-04-03T00:00:00"/>
    <x v="1"/>
    <m/>
    <s v="Open Market"/>
    <s v="M"/>
    <s v=""/>
    <m/>
    <m/>
    <m/>
    <m/>
    <m/>
    <n v="0"/>
    <n v="0"/>
    <n v="2"/>
    <n v="1"/>
    <n v="0"/>
    <n v="-1"/>
    <n v="0"/>
    <n v="0"/>
    <n v="0"/>
    <n v="2"/>
    <n v="1"/>
    <n v="0"/>
    <n v="0"/>
    <n v="0"/>
    <n v="0"/>
    <n v="0"/>
    <n v="0"/>
    <n v="0"/>
    <n v="0"/>
    <n v="-1"/>
    <n v="0"/>
    <n v="0"/>
    <n v="0"/>
    <n v="0"/>
    <n v="0"/>
    <n v="0"/>
    <n v="0"/>
    <n v="0"/>
    <m/>
    <m/>
    <s v="Rest of Borough"/>
    <n v="13"/>
    <m/>
    <n v="2"/>
    <m/>
    <m/>
    <m/>
    <m/>
    <m/>
    <m/>
    <m/>
    <m/>
    <m/>
    <m/>
    <m/>
    <m/>
    <m/>
    <m/>
    <m/>
    <m/>
    <m/>
    <m/>
    <n v="2"/>
    <n v="2"/>
  </r>
  <r>
    <n v="7897"/>
    <x v="1"/>
    <s v="2022/3951"/>
    <s v="14A Oakmead Road"/>
    <s v=""/>
    <n v="528647"/>
    <n v="173103"/>
    <s v="South Balham"/>
    <d v="2024-03-31T00:00:00"/>
    <m/>
    <n v="0"/>
    <n v="1"/>
    <n v="1"/>
    <n v="1"/>
    <n v="1"/>
    <m/>
    <s v="Alterations including erection of mansard roof extension to main rear roof (with French doors and safety railings) and extension above part of two-storey back addition; Formation of roof terrace above two-storey back addition with 1.7m high screen surround. Installation of metal stairs from first floor to ground floor in connection with creation of 1 x1 bedroom residential flat."/>
    <s v="PF"/>
    <d v="2022-09-26T00:00:00"/>
    <d v="2022-12-15T00:00:00"/>
    <m/>
    <s v="Nil"/>
    <m/>
    <s v="BF"/>
    <s v="EXT"/>
    <x v="2"/>
    <x v="7"/>
    <n v="5.1700000000000001E-3"/>
    <d v="2024-03-31T00:00:00"/>
    <x v="1"/>
    <m/>
    <s v="Open Market"/>
    <s v="MR"/>
    <s v=""/>
    <m/>
    <m/>
    <m/>
    <m/>
    <m/>
    <n v="0"/>
    <n v="1"/>
    <n v="0"/>
    <n v="0"/>
    <n v="0"/>
    <n v="0"/>
    <n v="0"/>
    <n v="0"/>
    <n v="1"/>
    <n v="0"/>
    <n v="0"/>
    <n v="0"/>
    <n v="0"/>
    <n v="0"/>
    <n v="0"/>
    <n v="0"/>
    <n v="0"/>
    <n v="0"/>
    <n v="0"/>
    <n v="0"/>
    <n v="0"/>
    <n v="0"/>
    <n v="0"/>
    <n v="0"/>
    <n v="0"/>
    <n v="0"/>
    <n v="0"/>
    <n v="0"/>
    <m/>
    <m/>
    <s v="Balham"/>
    <n v="14"/>
    <m/>
    <n v="0.5"/>
    <n v="0.5"/>
    <m/>
    <m/>
    <m/>
    <m/>
    <m/>
    <m/>
    <m/>
    <m/>
    <m/>
    <m/>
    <m/>
    <m/>
    <m/>
    <m/>
    <m/>
    <m/>
    <m/>
    <n v="1"/>
    <n v="1"/>
  </r>
  <r>
    <n v="7460"/>
    <x v="1"/>
    <s v="2022/4157"/>
    <s v="and Flat B 790, 788 Garratt Lane"/>
    <s v="no 788"/>
    <n v="526862"/>
    <n v="171849"/>
    <s v="Tooting Broadway"/>
    <d v="2023-12-05T00:00:00"/>
    <m/>
    <n v="1"/>
    <n v="3"/>
    <n v="2"/>
    <n v="3"/>
    <n v="2"/>
    <m/>
    <s v="Erection of part single, part two-storey side/rear extension, erection of mansard roof extension to main rear roof (with French doors and safety railings) and extension above part of back addition in connection with conversion of the property into 1 x 2 bedroom, 1 x 1- bedroom and 1 x studio flats at 788 Garratt Lane with formation of rear roof terraces at first and second floor levels. Erection of first floor rear extension at 790 Garratt Lane."/>
    <s v="PF"/>
    <d v="2022-11-25T00:00:00"/>
    <d v="2023-01-26T00:00:00"/>
    <m/>
    <s v="Nil"/>
    <m/>
    <s v="BF"/>
    <s v="CON"/>
    <x v="2"/>
    <x v="7"/>
    <n v="6.3200000000000001E-3"/>
    <d v="2023-12-05T00:00:00"/>
    <x v="1"/>
    <m/>
    <s v="Open Market"/>
    <s v="M"/>
    <s v=""/>
    <m/>
    <m/>
    <m/>
    <m/>
    <m/>
    <n v="1"/>
    <n v="1"/>
    <n v="0"/>
    <n v="0"/>
    <n v="0"/>
    <n v="0"/>
    <n v="0"/>
    <n v="1"/>
    <n v="1"/>
    <n v="0"/>
    <n v="0"/>
    <n v="0"/>
    <n v="0"/>
    <n v="0"/>
    <n v="0"/>
    <n v="0"/>
    <n v="0"/>
    <n v="0"/>
    <n v="0"/>
    <n v="0"/>
    <n v="0"/>
    <n v="0"/>
    <n v="0"/>
    <n v="0"/>
    <n v="0"/>
    <n v="0"/>
    <n v="0"/>
    <n v="0"/>
    <m/>
    <m/>
    <s v="Rest of Borough"/>
    <n v="14"/>
    <m/>
    <n v="1"/>
    <n v="1"/>
    <m/>
    <m/>
    <m/>
    <m/>
    <m/>
    <m/>
    <m/>
    <m/>
    <m/>
    <m/>
    <m/>
    <m/>
    <m/>
    <m/>
    <m/>
    <m/>
    <m/>
    <n v="2"/>
    <n v="2"/>
  </r>
  <r>
    <n v="8058"/>
    <x v="1"/>
    <s v="2022/4179"/>
    <s v="The Brewery Tap, 68 Wandsworth High Street"/>
    <s v=""/>
    <n v="525652"/>
    <n v="174657"/>
    <s v="Wandsworth Town"/>
    <d v="2024-03-22T00:00:00"/>
    <m/>
    <n v="1"/>
    <n v="0"/>
    <n v="-1"/>
    <n v="0"/>
    <n v="-1"/>
    <m/>
    <s v="Refurbishment of existing listed public house; including the refurbishment and alterations to the existing ground &amp; first floor public bars, wc's and circulation areas, the creation of new interior public seating/dining areas, public wc's, conversion of existing external service yards into customer seating &amp; smoking areas with associated extension and bin store; new external signage; change of use of part of first floor from ancillary staff accommodation to pub toilets."/>
    <s v="PF"/>
    <d v="2022-10-31T00:00:00"/>
    <d v="2023-06-15T00:00:00"/>
    <s v="Y"/>
    <s v="Nil"/>
    <m/>
    <s v="BF"/>
    <s v="COU"/>
    <x v="2"/>
    <x v="9"/>
    <n v="0"/>
    <d v="2024-03-22T00:00:00"/>
    <x v="1"/>
    <m/>
    <s v="Unknown"/>
    <s v="U"/>
    <s v=""/>
    <m/>
    <m/>
    <m/>
    <m/>
    <m/>
    <n v="-1"/>
    <n v="0"/>
    <n v="0"/>
    <n v="0"/>
    <n v="0"/>
    <n v="0"/>
    <n v="0"/>
    <n v="-1"/>
    <n v="0"/>
    <n v="0"/>
    <n v="0"/>
    <n v="0"/>
    <n v="0"/>
    <n v="0"/>
    <n v="0"/>
    <n v="0"/>
    <n v="0"/>
    <n v="0"/>
    <n v="0"/>
    <n v="0"/>
    <n v="0"/>
    <n v="0"/>
    <n v="0"/>
    <n v="0"/>
    <n v="0"/>
    <n v="0"/>
    <n v="0"/>
    <n v="0"/>
    <s v="Wandsworth"/>
    <m/>
    <s v="Wandsworth Town, including the Wandle Delta Masterplan Area"/>
    <n v="14"/>
    <m/>
    <n v="-0.5"/>
    <n v="-0.5"/>
    <m/>
    <m/>
    <m/>
    <m/>
    <m/>
    <m/>
    <m/>
    <m/>
    <m/>
    <m/>
    <m/>
    <m/>
    <m/>
    <m/>
    <m/>
    <m/>
    <m/>
    <n v="-1"/>
    <n v="-1"/>
  </r>
  <r>
    <n v="7903"/>
    <x v="1"/>
    <s v="2022/4249"/>
    <s v="Gardeners Arms, 266-268 Merton Road"/>
    <s v=""/>
    <n v="525219"/>
    <n v="173651"/>
    <s v="Southfields"/>
    <d v="2024-03-31T00:00:00"/>
    <m/>
    <n v="0"/>
    <n v="5"/>
    <n v="5"/>
    <n v="5"/>
    <n v="5"/>
    <m/>
    <s v="Change of use of first and second floors from sui generis to residential (Class C3) to provide 5 x 1-bedroom flats."/>
    <s v="PF"/>
    <d v="2022-10-17T00:00:00"/>
    <d v="2023-05-26T00:00:00"/>
    <s v="Y"/>
    <s v="Nil"/>
    <m/>
    <s v="BF"/>
    <s v="COU"/>
    <x v="2"/>
    <x v="8"/>
    <n v="1.2999999999999999E-2"/>
    <d v="2024-03-31T00:00:00"/>
    <x v="1"/>
    <m/>
    <s v="Open Market"/>
    <s v="MR"/>
    <s v=""/>
    <m/>
    <m/>
    <m/>
    <m/>
    <m/>
    <n v="0"/>
    <n v="5"/>
    <n v="0"/>
    <n v="0"/>
    <n v="0"/>
    <n v="0"/>
    <n v="0"/>
    <n v="0"/>
    <n v="5"/>
    <n v="0"/>
    <n v="0"/>
    <n v="0"/>
    <n v="0"/>
    <n v="0"/>
    <n v="0"/>
    <n v="0"/>
    <n v="0"/>
    <n v="0"/>
    <n v="0"/>
    <n v="0"/>
    <n v="0"/>
    <n v="0"/>
    <n v="0"/>
    <n v="0"/>
    <n v="0"/>
    <n v="0"/>
    <n v="0"/>
    <n v="0"/>
    <m/>
    <m/>
    <s v="Wandle Valley"/>
    <n v="14"/>
    <m/>
    <n v="2.5"/>
    <n v="2.5"/>
    <m/>
    <m/>
    <m/>
    <m/>
    <m/>
    <m/>
    <m/>
    <m/>
    <m/>
    <m/>
    <m/>
    <m/>
    <m/>
    <m/>
    <m/>
    <m/>
    <m/>
    <n v="5"/>
    <n v="5"/>
  </r>
  <r>
    <n v="2410"/>
    <x v="1"/>
    <s v="2022/4305"/>
    <s v="Coach House adjoining 83, Mallinson Road"/>
    <s v=""/>
    <n v="527525"/>
    <n v="174930"/>
    <s v="Northcote"/>
    <d v="2022-04-01T00:00:00"/>
    <m/>
    <n v="0"/>
    <n v="1"/>
    <n v="1"/>
    <n v="1"/>
    <n v="1"/>
    <m/>
    <s v="Erection of a detached house with basement and roof terraces to front, rear and above roof."/>
    <s v="PF"/>
    <d v="2022-10-20T00:00:00"/>
    <d v="2022-12-20T00:00:00"/>
    <m/>
    <s v="Nil"/>
    <m/>
    <s v="BF"/>
    <s v="NB"/>
    <x v="2"/>
    <x v="3"/>
    <n v="0.01"/>
    <d v="2022-04-01T00:00:00"/>
    <x v="0"/>
    <m/>
    <s v="Open Market"/>
    <s v="M"/>
    <s v=""/>
    <m/>
    <m/>
    <m/>
    <m/>
    <m/>
    <n v="0"/>
    <n v="0"/>
    <n v="0"/>
    <n v="0"/>
    <n v="1"/>
    <n v="0"/>
    <n v="0"/>
    <n v="0"/>
    <n v="0"/>
    <n v="0"/>
    <n v="0"/>
    <n v="0"/>
    <n v="0"/>
    <n v="0"/>
    <n v="0"/>
    <n v="0"/>
    <n v="0"/>
    <n v="0"/>
    <n v="1"/>
    <n v="0"/>
    <n v="0"/>
    <n v="0"/>
    <n v="0"/>
    <n v="0"/>
    <n v="0"/>
    <n v="0"/>
    <n v="0"/>
    <n v="0"/>
    <s v="Clapham Junction"/>
    <m/>
    <s v="Clapham Junction and York Road / Winstanley Regeneration Area"/>
    <n v="3"/>
    <m/>
    <n v="1"/>
    <m/>
    <m/>
    <m/>
    <m/>
    <m/>
    <m/>
    <m/>
    <m/>
    <m/>
    <m/>
    <m/>
    <m/>
    <m/>
    <m/>
    <m/>
    <m/>
    <m/>
    <m/>
    <n v="1"/>
    <n v="1"/>
  </r>
  <r>
    <n v="6853"/>
    <x v="1"/>
    <s v="2022/5287"/>
    <s v="The Patmore Centre, Patmore Street"/>
    <s v="Block C"/>
    <n v="529335"/>
    <n v="176880"/>
    <s v="Shaftesbury &amp; Queenstown"/>
    <d v="2022-11-08T00:00:00"/>
    <m/>
    <n v="0"/>
    <n v="19"/>
    <n v="19"/>
    <n v="57"/>
    <n v="57"/>
    <s v="Y"/>
    <s v="Application under Section 96a of the Town and Country Planning Act 1990 for amendments to the housing tenure mix of planning permission 2020/0636 dated 2 September 2021 (&quot;Demolition of existing building and multi-use games area and redevelopment of the site to include erection of two five-storey buildings to provide 57 affordable residential units and a community room (Use Class D1) with associated bicycle parking, residential car parking, refuse storage, plant and outdoor private amenity space. Provision of a new shared street and enhancements to existing public open space (including new and improved children's play space and replacement multi-use games area) and associated landscaping and SuDS.&quot;) It is proposed to change the tenure of 18 shared ownership units to social rented (London Affordable Rent), providing a total of 57 social rent units within the development."/>
    <s v="S96A"/>
    <d v="2023-01-26T00:00:00"/>
    <d v="2023-05-17T00:00:00"/>
    <s v="Y"/>
    <s v="Nil"/>
    <m/>
    <s v="BF"/>
    <s v="NB"/>
    <x v="1"/>
    <x v="0"/>
    <n v="0.186"/>
    <d v="2022-11-08T00:00:00"/>
    <x v="0"/>
    <m/>
    <s v="Social/Affordable Rent"/>
    <s v="AL"/>
    <s v=""/>
    <m/>
    <m/>
    <n v="19"/>
    <m/>
    <m/>
    <n v="0"/>
    <n v="6"/>
    <n v="7"/>
    <n v="4"/>
    <n v="2"/>
    <n v="0"/>
    <n v="0"/>
    <n v="0"/>
    <n v="6"/>
    <n v="7"/>
    <n v="4"/>
    <n v="2"/>
    <n v="0"/>
    <n v="0"/>
    <n v="0"/>
    <n v="0"/>
    <n v="0"/>
    <n v="0"/>
    <n v="0"/>
    <n v="0"/>
    <n v="0"/>
    <n v="0"/>
    <n v="0"/>
    <n v="0"/>
    <n v="0"/>
    <n v="0"/>
    <n v="0"/>
    <n v="0"/>
    <m/>
    <s v="Y"/>
    <s v="Nine Elms"/>
    <n v="5"/>
    <m/>
    <n v="19"/>
    <m/>
    <m/>
    <m/>
    <m/>
    <m/>
    <m/>
    <m/>
    <m/>
    <m/>
    <m/>
    <m/>
    <m/>
    <m/>
    <m/>
    <m/>
    <m/>
    <m/>
    <m/>
    <n v="19"/>
    <n v="19"/>
  </r>
  <r>
    <n v="6853"/>
    <x v="1"/>
    <s v="2022/5287"/>
    <s v="The Patmore Centre, Patmore Street"/>
    <s v="Block A"/>
    <n v="529335"/>
    <n v="176880"/>
    <s v="Shaftesbury &amp; Queenstown"/>
    <d v="2022-11-08T00:00:00"/>
    <m/>
    <n v="0"/>
    <n v="18"/>
    <n v="18"/>
    <n v="57"/>
    <n v="57"/>
    <s v="Y"/>
    <s v="Application under Section 96a of the Town and Country Planning Act 1990 for amendments to the housing tenure mix of planning permission 2020/0636 dated 2 September 2021 (&quot;Demolition of existing building and multi-use games area and redevelopment of the site to include erection of two five-storey buildings to provide 57 affordable residential units and a community room (Use Class D1) with associated bicycle parking, residential car parking, refuse storage, plant and outdoor private amenity space. Provision of a new shared street and enhancements to existing public open space (including new and improved children's play space and replacement multi-use games area) and associated landscaping and SuDS.&quot;) It is proposed to change the tenure of 18 shared ownership units to social rented (London Affordable Rent), providing a total of 57 social rent units within the development."/>
    <s v="S96A"/>
    <d v="2023-01-26T00:00:00"/>
    <d v="2023-05-17T00:00:00"/>
    <s v="Y"/>
    <s v="Nil"/>
    <m/>
    <s v="BF"/>
    <s v="NB"/>
    <x v="1"/>
    <x v="0"/>
    <n v="3.5000000000000003E-2"/>
    <d v="2022-11-08T00:00:00"/>
    <x v="0"/>
    <m/>
    <s v="Social/Affordable Rent"/>
    <s v="AL"/>
    <s v=""/>
    <m/>
    <m/>
    <n v="18"/>
    <m/>
    <m/>
    <n v="0"/>
    <n v="9"/>
    <n v="9"/>
    <n v="0"/>
    <n v="0"/>
    <n v="0"/>
    <n v="0"/>
    <n v="0"/>
    <n v="9"/>
    <n v="9"/>
    <n v="0"/>
    <n v="0"/>
    <n v="0"/>
    <n v="0"/>
    <n v="0"/>
    <n v="0"/>
    <n v="0"/>
    <n v="0"/>
    <n v="0"/>
    <n v="0"/>
    <n v="0"/>
    <n v="0"/>
    <n v="0"/>
    <n v="0"/>
    <n v="0"/>
    <n v="0"/>
    <n v="0"/>
    <n v="0"/>
    <m/>
    <s v="Y"/>
    <s v="Nine Elms"/>
    <n v="5"/>
    <m/>
    <n v="18"/>
    <m/>
    <m/>
    <m/>
    <m/>
    <m/>
    <m/>
    <m/>
    <m/>
    <m/>
    <m/>
    <m/>
    <m/>
    <m/>
    <m/>
    <m/>
    <m/>
    <m/>
    <m/>
    <n v="18"/>
    <n v="18"/>
  </r>
  <r>
    <n v="6854"/>
    <x v="1"/>
    <s v="2021/3247"/>
    <s v="Stroud Crescent (Open space adjacent to 178-204)"/>
    <s v="done"/>
    <n v="522206"/>
    <n v="172346"/>
    <s v="Roehampton"/>
    <d v="2022-12-09T00:00:00"/>
    <m/>
    <n v="0"/>
    <n v="14"/>
    <n v="14"/>
    <n v="14"/>
    <n v="14"/>
    <s v="Y"/>
    <s v="Erection of three/four storey building to provide 14 x flats (4 x 1-bedroom, 6 x 2-bedroom and 4 x 3-bedroom) each with a balcony with metal rails and with associated landscaping, 6 parking spaces, 2 of which are disability spaces, erection of new refuse and cycle storage."/>
    <s v="PFLA"/>
    <d v="2021-07-13T00:00:00"/>
    <d v="2022-03-16T00:00:00"/>
    <m/>
    <s v="Nil"/>
    <m/>
    <s v="BF"/>
    <s v="NB"/>
    <x v="1"/>
    <x v="0"/>
    <n v="2.5000000000000001E-2"/>
    <d v="2022-12-09T00:00:00"/>
    <x v="0"/>
    <m/>
    <s v="Social/Affordable Rent"/>
    <s v="AA"/>
    <s v=""/>
    <m/>
    <m/>
    <m/>
    <m/>
    <n v="2"/>
    <n v="0"/>
    <n v="4"/>
    <n v="6"/>
    <n v="4"/>
    <n v="0"/>
    <n v="0"/>
    <n v="0"/>
    <n v="0"/>
    <n v="4"/>
    <n v="6"/>
    <n v="4"/>
    <n v="0"/>
    <n v="0"/>
    <n v="0"/>
    <n v="0"/>
    <n v="0"/>
    <n v="0"/>
    <n v="0"/>
    <n v="0"/>
    <n v="0"/>
    <n v="0"/>
    <n v="0"/>
    <n v="0"/>
    <n v="0"/>
    <n v="0"/>
    <n v="0"/>
    <n v="0"/>
    <n v="0"/>
    <m/>
    <m/>
    <s v="Rest of Borough"/>
    <n v="2"/>
    <m/>
    <m/>
    <n v="14"/>
    <m/>
    <m/>
    <m/>
    <m/>
    <m/>
    <m/>
    <m/>
    <m/>
    <m/>
    <m/>
    <m/>
    <m/>
    <m/>
    <m/>
    <m/>
    <m/>
    <m/>
    <n v="14"/>
    <n v="14"/>
  </r>
  <r>
    <n v="6955"/>
    <x v="1"/>
    <s v="2019/2186"/>
    <s v="1 East Hill"/>
    <s v=""/>
    <n v="526542"/>
    <n v="174943"/>
    <s v="Wandsworth Town"/>
    <d v="2021-12-23T00:00:00"/>
    <m/>
    <n v="0"/>
    <n v="8"/>
    <n v="8"/>
    <n v="8"/>
    <n v="8"/>
    <m/>
    <s v="New 4 storey building with 2 new commercial units (Class A1, A2, A3 and B1) and 8 x residential self-contained flats (Class C3), comprising 2 x 1 bed units; and 5 x 2 bed units and 1 x 3 bed units."/>
    <s v="PF"/>
    <d v="2019-05-20T00:00:00"/>
    <d v="2019-08-23T00:00:00"/>
    <m/>
    <s v="Nil"/>
    <m/>
    <s v="BF"/>
    <s v="NB"/>
    <x v="2"/>
    <x v="3"/>
    <n v="2.5000000000000001E-2"/>
    <d v="2021-12-23T00:00:00"/>
    <x v="0"/>
    <m/>
    <s v="Open Market"/>
    <s v="M"/>
    <s v=""/>
    <m/>
    <m/>
    <m/>
    <m/>
    <m/>
    <n v="0"/>
    <n v="2"/>
    <n v="5"/>
    <n v="1"/>
    <n v="0"/>
    <n v="0"/>
    <n v="0"/>
    <n v="0"/>
    <n v="2"/>
    <n v="5"/>
    <n v="1"/>
    <n v="0"/>
    <n v="0"/>
    <n v="0"/>
    <n v="0"/>
    <n v="0"/>
    <n v="0"/>
    <n v="0"/>
    <n v="0"/>
    <n v="0"/>
    <n v="0"/>
    <n v="0"/>
    <n v="0"/>
    <n v="0"/>
    <n v="0"/>
    <n v="0"/>
    <n v="0"/>
    <n v="0"/>
    <m/>
    <m/>
    <s v="Rest of Borough"/>
    <n v="2"/>
    <m/>
    <n v="8"/>
    <m/>
    <m/>
    <m/>
    <m/>
    <m/>
    <m/>
    <m/>
    <m/>
    <m/>
    <m/>
    <m/>
    <m/>
    <m/>
    <m/>
    <m/>
    <m/>
    <m/>
    <m/>
    <n v="8"/>
    <n v="8"/>
  </r>
  <r>
    <n v="6988"/>
    <x v="1"/>
    <s v="2021/1729"/>
    <s v="73 Earlsfield Road"/>
    <s v=""/>
    <n v="526452"/>
    <n v="173866"/>
    <s v="Wandle"/>
    <d v="2022-06-28T00:00:00"/>
    <m/>
    <n v="1"/>
    <n v="8"/>
    <n v="7"/>
    <n v="8"/>
    <n v="7"/>
    <m/>
    <s v="Alterations including erection of rear mansard roof extension to main rear roof slope and above existing two-storey side extension; extension above part of two-storey rear addition with installation of 1.7m high obscure glazed balustrade to form roof terrace; erection of single-storey rear extension to create full width ground floor rear extension, excavation to enlarge existing basement with stairs up to rear garden. alterations to front fenestration and replacement of all windows and doors in association with conversion of single-family dwelling house into 8 self-contained flats (3 x 3 bed, 2 x 2 bed, 3 x 1 bed) with associated outside amenity space, secure refuse and cycle storage and off-street parking."/>
    <s v="PF"/>
    <d v="2021-04-12T00:00:00"/>
    <d v="2021-07-27T00:00:00"/>
    <m/>
    <s v="Nil"/>
    <m/>
    <s v="BF"/>
    <s v="MIX"/>
    <x v="2"/>
    <x v="10"/>
    <n v="1.6199999999999999E-2"/>
    <d v="2022-06-28T00:00:00"/>
    <x v="0"/>
    <m/>
    <s v="Open Market"/>
    <s v="M"/>
    <s v=""/>
    <m/>
    <m/>
    <m/>
    <m/>
    <m/>
    <n v="0"/>
    <n v="3"/>
    <n v="2"/>
    <n v="3"/>
    <n v="0"/>
    <n v="-1"/>
    <n v="0"/>
    <n v="0"/>
    <n v="3"/>
    <n v="2"/>
    <n v="3"/>
    <n v="0"/>
    <n v="0"/>
    <n v="0"/>
    <n v="0"/>
    <n v="0"/>
    <n v="0"/>
    <n v="0"/>
    <n v="0"/>
    <n v="-1"/>
    <n v="0"/>
    <n v="0"/>
    <n v="0"/>
    <n v="0"/>
    <n v="0"/>
    <n v="0"/>
    <n v="0"/>
    <n v="0"/>
    <m/>
    <m/>
    <s v="Rest of Borough"/>
    <n v="12"/>
    <m/>
    <m/>
    <n v="7"/>
    <m/>
    <m/>
    <m/>
    <m/>
    <m/>
    <m/>
    <m/>
    <m/>
    <m/>
    <m/>
    <m/>
    <m/>
    <m/>
    <m/>
    <m/>
    <m/>
    <m/>
    <n v="7"/>
    <n v="7"/>
  </r>
  <r>
    <n v="7024"/>
    <x v="1"/>
    <s v="2021/3556"/>
    <s v="17-19 St Anns Park Road"/>
    <s v=""/>
    <n v="526226"/>
    <n v="174119"/>
    <s v="Wandle"/>
    <d v="2024-03-31T00:00:00"/>
    <m/>
    <n v="5"/>
    <n v="6"/>
    <n v="1"/>
    <n v="6"/>
    <n v="1"/>
    <m/>
    <s v="Alterations including erection of replacement main roof, raising the ridge by 1.1m with dormers to all elevations; infilling extension to first floor; replacement fenestration throughout in connection with use as 1 x studio, 2 x 2-bed and 3 x 1-bed flats; enlarge refuse and cycle stores in front garden."/>
    <s v="PF"/>
    <d v="2021-07-28T00:00:00"/>
    <d v="2021-12-15T00:00:00"/>
    <m/>
    <s v="Nil"/>
    <m/>
    <s v="BF"/>
    <s v="CON"/>
    <x v="2"/>
    <x v="5"/>
    <n v="1.0999999999999999E-2"/>
    <d v="2024-03-31T00:00:00"/>
    <x v="1"/>
    <m/>
    <s v="Open Market"/>
    <s v="M"/>
    <s v=""/>
    <m/>
    <m/>
    <m/>
    <m/>
    <m/>
    <n v="0"/>
    <n v="0"/>
    <n v="1"/>
    <n v="0"/>
    <n v="0"/>
    <n v="0"/>
    <n v="0"/>
    <n v="0"/>
    <n v="0"/>
    <n v="1"/>
    <n v="0"/>
    <n v="0"/>
    <n v="0"/>
    <n v="0"/>
    <n v="0"/>
    <n v="0"/>
    <n v="0"/>
    <n v="0"/>
    <n v="0"/>
    <n v="0"/>
    <n v="0"/>
    <n v="0"/>
    <n v="0"/>
    <n v="0"/>
    <n v="0"/>
    <n v="0"/>
    <n v="0"/>
    <n v="0"/>
    <m/>
    <m/>
    <s v="Rest of Borough"/>
    <n v="12"/>
    <m/>
    <n v="1"/>
    <m/>
    <m/>
    <m/>
    <m/>
    <m/>
    <m/>
    <m/>
    <m/>
    <m/>
    <m/>
    <m/>
    <m/>
    <m/>
    <m/>
    <m/>
    <m/>
    <m/>
    <m/>
    <n v="1"/>
    <n v="1"/>
  </r>
  <r>
    <n v="7912"/>
    <x v="1"/>
    <s v="2022/4396"/>
    <s v="952 Garratt Lane"/>
    <s v=""/>
    <n v="527318"/>
    <n v="171548"/>
    <s v="Tooting Broadway"/>
    <d v="2023-03-31T00:00:00"/>
    <m/>
    <n v="1"/>
    <n v="3"/>
    <n v="2"/>
    <n v="3"/>
    <n v="2"/>
    <m/>
    <s v="Alterations including raising of ridge by 300mm, replacement rear mansard dormer and insertion of french doors and safety railings, erection of roof extension above two storey back addition with roof terrace (plus 1.7m high screening above) and erection of replacement single storey rear and side extension. Extensions and alterations in connection with conversion of property into three flats (1x3 bedroom, 1x2 bedroom and 1x1 bedroom flats). Provision of bin and cycle stores within front garden."/>
    <s v="PF"/>
    <d v="2022-10-21T00:00:00"/>
    <d v="2023-01-10T00:00:00"/>
    <m/>
    <s v="Nil"/>
    <m/>
    <s v="BF"/>
    <s v="MIX"/>
    <x v="2"/>
    <x v="10"/>
    <n v="5.8333329999999996E-3"/>
    <d v="2023-03-31T00:00:00"/>
    <x v="0"/>
    <m/>
    <s v="Open Market"/>
    <s v="M"/>
    <s v=""/>
    <m/>
    <m/>
    <m/>
    <m/>
    <m/>
    <n v="0"/>
    <n v="1"/>
    <n v="1"/>
    <n v="1"/>
    <n v="0"/>
    <n v="-1"/>
    <n v="0"/>
    <n v="0"/>
    <n v="1"/>
    <n v="1"/>
    <n v="1"/>
    <n v="0"/>
    <n v="0"/>
    <n v="0"/>
    <n v="0"/>
    <n v="0"/>
    <n v="0"/>
    <n v="0"/>
    <n v="0"/>
    <n v="-1"/>
    <n v="0"/>
    <n v="0"/>
    <n v="0"/>
    <n v="0"/>
    <n v="0"/>
    <n v="0"/>
    <n v="0"/>
    <n v="0"/>
    <m/>
    <m/>
    <s v="Tooting"/>
    <n v="13"/>
    <m/>
    <n v="2"/>
    <m/>
    <m/>
    <m/>
    <m/>
    <m/>
    <m/>
    <m/>
    <m/>
    <m/>
    <m/>
    <m/>
    <m/>
    <m/>
    <m/>
    <m/>
    <m/>
    <m/>
    <m/>
    <n v="2"/>
    <n v="2"/>
  </r>
  <r>
    <n v="7754"/>
    <x v="1"/>
    <s v="2022/4549"/>
    <s v="31 Clarendon Drive"/>
    <s v=""/>
    <n v="523504"/>
    <n v="175361"/>
    <s v="Thamesfield"/>
    <d v="2023-08-03T00:00:00"/>
    <m/>
    <n v="7"/>
    <n v="1"/>
    <n v="-6"/>
    <n v="1"/>
    <n v="-6"/>
    <m/>
    <s v="Deconversion of seven bedsits into a single dwelling house."/>
    <s v="PF"/>
    <d v="2022-11-29T00:00:00"/>
    <d v="2023-02-08T00:00:00"/>
    <m/>
    <s v="Nil"/>
    <m/>
    <s v="BF"/>
    <s v="CON"/>
    <x v="2"/>
    <x v="11"/>
    <n v="7.1333330000000004E-3"/>
    <d v="2023-08-03T00:00:00"/>
    <x v="1"/>
    <m/>
    <s v="Open Market"/>
    <s v="M"/>
    <s v=""/>
    <m/>
    <m/>
    <m/>
    <m/>
    <m/>
    <n v="-7"/>
    <n v="0"/>
    <n v="0"/>
    <n v="0"/>
    <n v="0"/>
    <n v="1"/>
    <n v="0"/>
    <n v="-7"/>
    <n v="0"/>
    <n v="0"/>
    <n v="0"/>
    <n v="0"/>
    <n v="0"/>
    <n v="0"/>
    <n v="0"/>
    <n v="0"/>
    <n v="0"/>
    <n v="0"/>
    <n v="0"/>
    <n v="1"/>
    <n v="0"/>
    <n v="0"/>
    <n v="0"/>
    <n v="0"/>
    <n v="0"/>
    <n v="0"/>
    <n v="0"/>
    <n v="0"/>
    <m/>
    <m/>
    <s v="Rest of Borough"/>
    <n v="13"/>
    <m/>
    <n v="-6"/>
    <m/>
    <m/>
    <m/>
    <m/>
    <m/>
    <m/>
    <m/>
    <m/>
    <m/>
    <m/>
    <m/>
    <m/>
    <m/>
    <m/>
    <m/>
    <m/>
    <m/>
    <m/>
    <n v="-6"/>
    <n v="-6"/>
  </r>
  <r>
    <n v="7886"/>
    <x v="1"/>
    <s v="2022/4648"/>
    <s v="80 Taybridge Road"/>
    <s v=""/>
    <n v="528462"/>
    <n v="175439"/>
    <s v="Lavender"/>
    <d v="2023-03-31T00:00:00"/>
    <m/>
    <n v="1"/>
    <n v="3"/>
    <n v="2"/>
    <n v="3"/>
    <n v="2"/>
    <m/>
    <s v="Alterations including erection of dormer roof extensions to side roof slope, extension to roof at rear incuding increase ridge, erection of ground floor extension and replacement of shop frontage and lowering/replacement of windows in connection with the conversion of the commercial unit and dwelling into into 3 self-contained residential units (1 x 1 bedroom, and 2 x 2 bedroom units); provision cycle storage and waste storage."/>
    <s v="PF"/>
    <d v="2022-11-14T00:00:00"/>
    <d v="2023-01-11T00:00:00"/>
    <m/>
    <s v="Nil"/>
    <m/>
    <s v="BF"/>
    <s v="CON"/>
    <x v="2"/>
    <x v="5"/>
    <n v="1.9E-2"/>
    <d v="2023-03-31T00:00:00"/>
    <x v="0"/>
    <m/>
    <s v="Open Market"/>
    <s v="M"/>
    <s v=""/>
    <m/>
    <m/>
    <m/>
    <m/>
    <m/>
    <n v="0"/>
    <n v="1"/>
    <n v="2"/>
    <n v="0"/>
    <n v="-1"/>
    <n v="0"/>
    <n v="0"/>
    <n v="0"/>
    <n v="1"/>
    <n v="2"/>
    <n v="0"/>
    <n v="-1"/>
    <n v="0"/>
    <n v="0"/>
    <n v="0"/>
    <n v="0"/>
    <n v="0"/>
    <n v="0"/>
    <n v="0"/>
    <n v="0"/>
    <n v="0"/>
    <n v="0"/>
    <n v="0"/>
    <n v="0"/>
    <n v="0"/>
    <n v="0"/>
    <n v="0"/>
    <n v="0"/>
    <m/>
    <m/>
    <s v="Rest of Borough"/>
    <n v="13"/>
    <m/>
    <n v="2"/>
    <m/>
    <m/>
    <m/>
    <m/>
    <m/>
    <m/>
    <m/>
    <m/>
    <m/>
    <m/>
    <m/>
    <m/>
    <m/>
    <m/>
    <m/>
    <m/>
    <m/>
    <m/>
    <n v="2"/>
    <n v="2"/>
  </r>
  <r>
    <n v="4882"/>
    <x v="1"/>
    <s v="2022/4780"/>
    <s v="46 Ramsden Road"/>
    <s v=""/>
    <n v="528475"/>
    <n v="173545"/>
    <s v="Balham"/>
    <d v="2024-03-31T00:00:00"/>
    <m/>
    <n v="2"/>
    <n v="1"/>
    <n v="-1"/>
    <n v="1"/>
    <n v="-1"/>
    <m/>
    <s v="Conversion of two flats into a single family dwelling."/>
    <s v="PF"/>
    <d v="2022-11-23T00:00:00"/>
    <d v="2023-04-24T00:00:00"/>
    <s v="Y"/>
    <s v="Nil"/>
    <m/>
    <s v="BF"/>
    <s v="CON"/>
    <x v="2"/>
    <x v="11"/>
    <n v="1.7999999999999999E-2"/>
    <d v="2024-03-31T00:00:00"/>
    <x v="1"/>
    <m/>
    <s v="Open Market"/>
    <s v="M"/>
    <s v=""/>
    <m/>
    <m/>
    <m/>
    <m/>
    <m/>
    <n v="0"/>
    <n v="-1"/>
    <n v="0"/>
    <n v="0"/>
    <n v="-1"/>
    <n v="1"/>
    <n v="0"/>
    <n v="0"/>
    <n v="-1"/>
    <n v="0"/>
    <n v="0"/>
    <n v="-1"/>
    <n v="0"/>
    <n v="0"/>
    <n v="0"/>
    <n v="0"/>
    <n v="0"/>
    <n v="0"/>
    <n v="0"/>
    <n v="1"/>
    <n v="0"/>
    <n v="0"/>
    <n v="0"/>
    <n v="0"/>
    <n v="0"/>
    <n v="0"/>
    <n v="0"/>
    <n v="0"/>
    <m/>
    <m/>
    <s v="Rest of Borough"/>
    <n v="14"/>
    <m/>
    <n v="-0.5"/>
    <n v="-0.5"/>
    <m/>
    <m/>
    <m/>
    <m/>
    <m/>
    <m/>
    <m/>
    <m/>
    <m/>
    <m/>
    <m/>
    <m/>
    <m/>
    <m/>
    <m/>
    <m/>
    <m/>
    <n v="-1"/>
    <n v="-1"/>
  </r>
  <r>
    <n v="2502"/>
    <x v="1"/>
    <s v="2022/4812"/>
    <s v="Springfield Hospital site, 61 Glenburnie Road"/>
    <s v="Plot F - Affordable"/>
    <n v="527221"/>
    <n v="172443"/>
    <s v="Wandsworth Common"/>
    <d v="2024-03-31T00:00:00"/>
    <m/>
    <n v="0"/>
    <n v="37"/>
    <n v="37"/>
    <n v="253"/>
    <n v="253"/>
    <s v="Y"/>
    <s v="Reserved matters application relating to landscaping, scale and appearance of Springfield Hospital Plots P, Q, G and F pursuant to Condition 1 of Outline Permission (reference: 2010/3703 as amended by 2014/6585, 2016/4760 and 2019/2495) in respect of the demolition, clearance and redevelopment of the plots to provide 253 residential units, landscaping and associated works."/>
    <s v="DT"/>
    <d v="2022-11-22T00:00:00"/>
    <d v="2023-04-26T00:00:00"/>
    <s v="Y"/>
    <s v="Nil"/>
    <m/>
    <s v="BF"/>
    <s v="NB"/>
    <x v="1"/>
    <x v="0"/>
    <n v="0.313"/>
    <d v="2024-03-31T00:00:00"/>
    <x v="1"/>
    <m/>
    <s v="Social/Affordable Rent"/>
    <s v="AL"/>
    <s v="9.1"/>
    <m/>
    <m/>
    <n v="37"/>
    <m/>
    <m/>
    <n v="0"/>
    <n v="0"/>
    <n v="0"/>
    <n v="30"/>
    <n v="7"/>
    <n v="0"/>
    <n v="0"/>
    <n v="0"/>
    <n v="0"/>
    <n v="0"/>
    <n v="25"/>
    <n v="7"/>
    <n v="0"/>
    <n v="0"/>
    <n v="0"/>
    <n v="0"/>
    <n v="0"/>
    <n v="5"/>
    <n v="0"/>
    <n v="0"/>
    <n v="0"/>
    <n v="0"/>
    <n v="0"/>
    <n v="0"/>
    <n v="0"/>
    <n v="0"/>
    <n v="0"/>
    <n v="0"/>
    <m/>
    <m/>
    <s v="Rest of Borough"/>
    <n v="6"/>
    <m/>
    <m/>
    <n v="9.25"/>
    <n v="9.25"/>
    <n v="9.25"/>
    <n v="9.25"/>
    <m/>
    <m/>
    <m/>
    <m/>
    <m/>
    <m/>
    <m/>
    <m/>
    <m/>
    <m/>
    <m/>
    <m/>
    <m/>
    <m/>
    <n v="37"/>
    <n v="37"/>
  </r>
  <r>
    <n v="2502"/>
    <x v="1"/>
    <s v="2022/4812"/>
    <s v="Springfield Hospital site, 61 Glenburnie Road"/>
    <s v="Plot F - Intermediate"/>
    <n v="527221"/>
    <n v="172443"/>
    <s v="Wandsworth Common"/>
    <d v="2024-03-31T00:00:00"/>
    <m/>
    <n v="0"/>
    <n v="15"/>
    <n v="15"/>
    <n v="253"/>
    <n v="253"/>
    <s v="Y"/>
    <s v="Reserved matters application relating to landscaping, scale and appearance of Springfield Hospital Plots P, Q, G and F pursuant to Condition 1 of Outline Permission (reference: 2010/3703 as amended by 2014/6585, 2016/4760 and 2019/2495) in respect of the demolition, clearance and redevelopment of the plots to provide 253 residential units, landscaping and associated works."/>
    <s v="DT"/>
    <d v="2022-11-22T00:00:00"/>
    <d v="2023-04-26T00:00:00"/>
    <s v="Y"/>
    <s v="Nil"/>
    <m/>
    <s v="BF"/>
    <s v="NB"/>
    <x v="1"/>
    <x v="0"/>
    <n v="0.127"/>
    <d v="2024-03-31T00:00:00"/>
    <x v="1"/>
    <m/>
    <s v="Intermediate"/>
    <s v="ISL"/>
    <s v="9.1"/>
    <m/>
    <m/>
    <m/>
    <m/>
    <n v="1"/>
    <n v="0"/>
    <n v="7"/>
    <n v="2"/>
    <n v="6"/>
    <n v="0"/>
    <n v="0"/>
    <n v="0"/>
    <n v="0"/>
    <n v="7"/>
    <n v="2"/>
    <n v="6"/>
    <n v="0"/>
    <n v="0"/>
    <n v="0"/>
    <n v="0"/>
    <n v="0"/>
    <n v="0"/>
    <n v="0"/>
    <n v="0"/>
    <n v="0"/>
    <n v="0"/>
    <n v="0"/>
    <n v="0"/>
    <n v="0"/>
    <n v="0"/>
    <n v="0"/>
    <n v="0"/>
    <n v="0"/>
    <m/>
    <m/>
    <s v="Rest of Borough"/>
    <n v="6"/>
    <m/>
    <m/>
    <n v="3.75"/>
    <n v="3.75"/>
    <n v="3.75"/>
    <n v="3.75"/>
    <m/>
    <m/>
    <m/>
    <m/>
    <m/>
    <m/>
    <m/>
    <m/>
    <m/>
    <m/>
    <m/>
    <m/>
    <m/>
    <m/>
    <n v="15"/>
    <n v="15"/>
  </r>
  <r>
    <n v="2502"/>
    <x v="1"/>
    <s v="2022/4812"/>
    <s v="Springfield Hospital site, 61 Glenburnie Road"/>
    <s v="Plot F - Market"/>
    <n v="527221"/>
    <n v="172443"/>
    <s v="Wandsworth Common"/>
    <d v="2024-03-31T00:00:00"/>
    <m/>
    <n v="0"/>
    <n v="4"/>
    <n v="4"/>
    <n v="253"/>
    <n v="253"/>
    <s v="Y"/>
    <s v="Reserved matters application relating to landscaping, scale and appearance of Springfield Hospital Plots P, Q, G and F pursuant to Condition 1 of Outline Permission (reference: 2010/3703 as amended by 2014/6585, 2016/4760 and 2019/2495) in respect of the demolition, clearance and redevelopment of the plots to provide 253 residential units, landscaping and associated works."/>
    <s v="DT"/>
    <d v="2022-11-22T00:00:00"/>
    <d v="2023-04-26T00:00:00"/>
    <s v="Y"/>
    <s v="Nil"/>
    <m/>
    <s v="BF"/>
    <s v="NB"/>
    <x v="1"/>
    <x v="0"/>
    <n v="3.4000000000000002E-2"/>
    <d v="2024-03-31T00:00:00"/>
    <x v="1"/>
    <m/>
    <s v="Open Market"/>
    <s v="M"/>
    <s v="9.1"/>
    <m/>
    <m/>
    <m/>
    <m/>
    <m/>
    <n v="0"/>
    <n v="0"/>
    <n v="0"/>
    <n v="4"/>
    <n v="0"/>
    <n v="0"/>
    <n v="0"/>
    <n v="0"/>
    <n v="0"/>
    <n v="0"/>
    <n v="0"/>
    <n v="0"/>
    <n v="0"/>
    <n v="0"/>
    <n v="0"/>
    <n v="0"/>
    <n v="0"/>
    <n v="4"/>
    <n v="0"/>
    <n v="0"/>
    <n v="0"/>
    <n v="0"/>
    <n v="0"/>
    <n v="0"/>
    <n v="0"/>
    <n v="0"/>
    <n v="0"/>
    <n v="0"/>
    <m/>
    <m/>
    <s v="Rest of Borough"/>
    <n v="6"/>
    <m/>
    <m/>
    <n v="1"/>
    <n v="1"/>
    <n v="1"/>
    <n v="1"/>
    <m/>
    <m/>
    <m/>
    <m/>
    <m/>
    <m/>
    <m/>
    <m/>
    <m/>
    <m/>
    <m/>
    <m/>
    <m/>
    <m/>
    <n v="4"/>
    <n v="4"/>
  </r>
  <r>
    <n v="2502"/>
    <x v="1"/>
    <s v="2022/4812"/>
    <s v="Springfield Hospital site, 61 Glenburnie Road"/>
    <s v="Plot G - Extra Care"/>
    <n v="527221"/>
    <n v="172443"/>
    <s v="Wandsworth Common"/>
    <d v="2024-03-31T00:00:00"/>
    <m/>
    <n v="0"/>
    <n v="46"/>
    <n v="46"/>
    <n v="253"/>
    <n v="253"/>
    <s v="Y"/>
    <s v="Reserved matters application relating to landscaping, scale and appearance of Springfield Hospital Plots P, Q, G and F pursuant to Condition 1 of Outline Permission (reference: 2010/3703 as amended by 2014/6585, 2016/4760 and 2019/2495) in respect of the demolition, clearance and redevelopment of the plots to provide 253 residential units, landscaping and associated works."/>
    <s v="DT"/>
    <d v="2022-11-22T00:00:00"/>
    <d v="2023-04-26T00:00:00"/>
    <s v="Y"/>
    <s v="Nil"/>
    <m/>
    <s v="BF"/>
    <s v="NB"/>
    <x v="1"/>
    <x v="0"/>
    <n v="0.26400000000000001"/>
    <d v="2024-03-31T00:00:00"/>
    <x v="1"/>
    <m/>
    <s v="Social/Affordable Rent"/>
    <s v="AS"/>
    <s v="9.1"/>
    <m/>
    <m/>
    <n v="35"/>
    <m/>
    <n v="11"/>
    <n v="0"/>
    <n v="46"/>
    <n v="0"/>
    <n v="0"/>
    <n v="0"/>
    <n v="0"/>
    <n v="0"/>
    <n v="0"/>
    <n v="46"/>
    <n v="0"/>
    <n v="0"/>
    <n v="0"/>
    <n v="0"/>
    <n v="0"/>
    <n v="0"/>
    <n v="0"/>
    <n v="0"/>
    <n v="0"/>
    <n v="0"/>
    <n v="0"/>
    <n v="0"/>
    <n v="0"/>
    <n v="0"/>
    <n v="0"/>
    <n v="0"/>
    <n v="0"/>
    <n v="0"/>
    <n v="0"/>
    <m/>
    <m/>
    <s v="Rest of Borough"/>
    <n v="6"/>
    <m/>
    <m/>
    <n v="11.5"/>
    <n v="11.5"/>
    <n v="11.5"/>
    <n v="11.5"/>
    <m/>
    <m/>
    <m/>
    <m/>
    <m/>
    <m/>
    <m/>
    <m/>
    <m/>
    <m/>
    <m/>
    <m/>
    <m/>
    <m/>
    <n v="46"/>
    <n v="46"/>
  </r>
  <r>
    <n v="2502"/>
    <x v="1"/>
    <s v="2022/4812"/>
    <s v="Springfield Hospital site, 61 Glenburnie Road"/>
    <s v="Plot G - Extra Care (Supported Living)"/>
    <n v="527221"/>
    <n v="172443"/>
    <s v="Wandsworth Common"/>
    <d v="2024-03-31T00:00:00"/>
    <m/>
    <n v="0"/>
    <n v="10"/>
    <n v="10"/>
    <n v="253"/>
    <n v="253"/>
    <s v="Y"/>
    <s v="Reserved matters application relating to landscaping, scale and appearance of Springfield Hospital Plots P, Q, G and F pursuant to Condition 1 of Outline Permission (reference: 2010/3703 as amended by 2014/6585, 2016/4760 and 2019/2495) in respect of the demolition, clearance and redevelopment of the plots to provide 253 residential units, landscaping and associated works."/>
    <s v="DT"/>
    <d v="2022-11-22T00:00:00"/>
    <d v="2023-04-26T00:00:00"/>
    <s v="Y"/>
    <s v="Nil"/>
    <m/>
    <s v="BF"/>
    <s v="NB"/>
    <x v="1"/>
    <x v="0"/>
    <n v="5.7000000000000002E-2"/>
    <d v="2024-03-31T00:00:00"/>
    <x v="1"/>
    <m/>
    <s v="Social/Affordable Rent"/>
    <s v="AA"/>
    <s v="9.1"/>
    <m/>
    <m/>
    <n v="10"/>
    <m/>
    <m/>
    <n v="0"/>
    <n v="10"/>
    <n v="0"/>
    <n v="0"/>
    <n v="0"/>
    <n v="0"/>
    <n v="0"/>
    <n v="0"/>
    <n v="10"/>
    <n v="0"/>
    <n v="0"/>
    <n v="0"/>
    <n v="0"/>
    <n v="0"/>
    <n v="0"/>
    <n v="0"/>
    <n v="0"/>
    <n v="0"/>
    <n v="0"/>
    <n v="0"/>
    <n v="0"/>
    <n v="0"/>
    <n v="0"/>
    <n v="0"/>
    <n v="0"/>
    <n v="0"/>
    <n v="0"/>
    <n v="0"/>
    <m/>
    <m/>
    <s v="Rest of Borough"/>
    <n v="6"/>
    <m/>
    <m/>
    <n v="2.5"/>
    <n v="2.5"/>
    <n v="2.5"/>
    <n v="2.5"/>
    <m/>
    <m/>
    <m/>
    <m/>
    <m/>
    <m/>
    <m/>
    <m/>
    <m/>
    <m/>
    <m/>
    <m/>
    <m/>
    <m/>
    <n v="10"/>
    <n v="10"/>
  </r>
  <r>
    <n v="2502"/>
    <x v="1"/>
    <s v="2022/4812"/>
    <s v="Springfield Hospital site, 61 Glenburnie Road"/>
    <s v="Plot G - Market"/>
    <n v="527221"/>
    <n v="172443"/>
    <s v="Wandsworth Common"/>
    <d v="2024-03-31T00:00:00"/>
    <m/>
    <n v="0"/>
    <n v="63"/>
    <n v="63"/>
    <n v="253"/>
    <n v="253"/>
    <s v="Y"/>
    <s v="Reserved matters application relating to landscaping, scale and appearance of Springfield Hospital Plots P, Q, G and F pursuant to Condition 1 of Outline Permission (reference: 2010/3703 as amended by 2014/6585, 2016/4760 and 2019/2495) in respect of the demolition, clearance and redevelopment of the plots to provide 253 residential units, landscaping and associated works."/>
    <s v="DT"/>
    <d v="2022-11-22T00:00:00"/>
    <d v="2023-04-26T00:00:00"/>
    <s v="Y"/>
    <s v="Nil"/>
    <m/>
    <s v="BF"/>
    <s v="NB"/>
    <x v="1"/>
    <x v="0"/>
    <n v="0.36199999999999999"/>
    <d v="2024-03-31T00:00:00"/>
    <x v="1"/>
    <m/>
    <s v="Open Market"/>
    <s v="M"/>
    <s v="9.1"/>
    <m/>
    <m/>
    <m/>
    <m/>
    <n v="14"/>
    <n v="0"/>
    <n v="26"/>
    <n v="22"/>
    <n v="15"/>
    <n v="0"/>
    <n v="0"/>
    <n v="0"/>
    <n v="0"/>
    <n v="26"/>
    <n v="22"/>
    <n v="15"/>
    <n v="0"/>
    <n v="0"/>
    <n v="0"/>
    <n v="0"/>
    <n v="0"/>
    <n v="0"/>
    <n v="0"/>
    <n v="0"/>
    <n v="0"/>
    <n v="0"/>
    <n v="0"/>
    <n v="0"/>
    <n v="0"/>
    <n v="0"/>
    <n v="0"/>
    <n v="0"/>
    <n v="0"/>
    <m/>
    <m/>
    <s v="Rest of Borough"/>
    <n v="6"/>
    <m/>
    <m/>
    <n v="15.75"/>
    <n v="15.75"/>
    <n v="15.75"/>
    <n v="15.75"/>
    <m/>
    <m/>
    <m/>
    <m/>
    <m/>
    <m/>
    <m/>
    <m/>
    <m/>
    <m/>
    <m/>
    <m/>
    <m/>
    <m/>
    <n v="63"/>
    <n v="63"/>
  </r>
  <r>
    <n v="2502"/>
    <x v="1"/>
    <s v="2022/4812"/>
    <s v="Springfield Hospital site, 61 Glenburnie Road"/>
    <s v="Plot P - Market"/>
    <n v="527221"/>
    <n v="172443"/>
    <s v="Wandsworth Common"/>
    <d v="2024-03-31T00:00:00"/>
    <m/>
    <n v="0"/>
    <n v="44"/>
    <n v="44"/>
    <n v="253"/>
    <n v="253"/>
    <s v="Y"/>
    <s v="Reserved matters application relating to landscaping, scale and appearance of Springfield Hospital Plots P, Q, G and F pursuant to Condition 1 of Outline Permission (reference: 2010/3703 as amended by 2014/6585, 2016/4760 and 2019/2495) in respect of the demolition, clearance and redevelopment of the plots to provide 253 residential units, landscaping and associated works."/>
    <s v="DT"/>
    <d v="2022-11-22T00:00:00"/>
    <d v="2023-04-26T00:00:00"/>
    <s v="Y"/>
    <s v="Nil"/>
    <m/>
    <s v="BF"/>
    <s v="NB"/>
    <x v="1"/>
    <x v="0"/>
    <n v="0.623"/>
    <d v="2024-03-31T00:00:00"/>
    <x v="1"/>
    <m/>
    <s v="Open Market"/>
    <s v="M"/>
    <s v="9.1"/>
    <m/>
    <m/>
    <m/>
    <m/>
    <m/>
    <n v="0"/>
    <n v="8"/>
    <n v="24"/>
    <n v="10"/>
    <n v="2"/>
    <n v="0"/>
    <n v="0"/>
    <n v="0"/>
    <n v="8"/>
    <n v="24"/>
    <n v="0"/>
    <n v="0"/>
    <n v="0"/>
    <n v="0"/>
    <n v="0"/>
    <n v="0"/>
    <n v="0"/>
    <n v="10"/>
    <n v="2"/>
    <n v="0"/>
    <n v="0"/>
    <n v="0"/>
    <n v="0"/>
    <n v="0"/>
    <n v="0"/>
    <n v="0"/>
    <n v="0"/>
    <n v="0"/>
    <m/>
    <m/>
    <s v="Rest of Borough"/>
    <n v="6"/>
    <m/>
    <m/>
    <n v="11"/>
    <n v="11"/>
    <n v="11"/>
    <n v="11"/>
    <m/>
    <m/>
    <m/>
    <m/>
    <m/>
    <m/>
    <m/>
    <m/>
    <m/>
    <m/>
    <m/>
    <m/>
    <m/>
    <m/>
    <n v="44"/>
    <n v="44"/>
  </r>
  <r>
    <n v="2502"/>
    <x v="1"/>
    <s v="2022/4812"/>
    <s v="Springfield Hospital site, 61 Glenburnie Road"/>
    <s v="Plot Q - Market"/>
    <n v="527221"/>
    <n v="172443"/>
    <s v="Wandsworth Common"/>
    <d v="2024-03-31T00:00:00"/>
    <m/>
    <n v="0"/>
    <n v="34"/>
    <n v="34"/>
    <n v="253"/>
    <n v="253"/>
    <s v="Y"/>
    <s v="Reserved matters application relating to landscaping, scale and appearance of Springfield Hospital Plots P, Q, G and F pursuant to Condition 1 of Outline Permission (reference: 2010/3703 as amended by 2014/6585, 2016/4760 and 2019/2495) in respect of the demolition, clearance and redevelopment of the plots to provide 253 residential units, landscaping and associated works."/>
    <s v="DT"/>
    <d v="2022-11-22T00:00:00"/>
    <d v="2023-04-26T00:00:00"/>
    <s v="Y"/>
    <s v="Nil"/>
    <m/>
    <s v="BF"/>
    <s v="NB"/>
    <x v="1"/>
    <x v="0"/>
    <n v="0.57699999999999996"/>
    <d v="2024-03-31T00:00:00"/>
    <x v="1"/>
    <m/>
    <s v="Open Market"/>
    <s v="M"/>
    <s v="9.1"/>
    <m/>
    <m/>
    <m/>
    <m/>
    <m/>
    <n v="0"/>
    <n v="3"/>
    <n v="19"/>
    <n v="10"/>
    <n v="2"/>
    <n v="0"/>
    <n v="0"/>
    <n v="0"/>
    <n v="3"/>
    <n v="19"/>
    <n v="0"/>
    <n v="0"/>
    <n v="0"/>
    <n v="0"/>
    <n v="0"/>
    <n v="0"/>
    <n v="0"/>
    <n v="10"/>
    <n v="2"/>
    <n v="0"/>
    <n v="0"/>
    <n v="0"/>
    <n v="0"/>
    <n v="0"/>
    <n v="0"/>
    <n v="0"/>
    <n v="0"/>
    <n v="0"/>
    <m/>
    <m/>
    <s v="Rest of Borough"/>
    <n v="6"/>
    <m/>
    <m/>
    <n v="8.5"/>
    <n v="8.5"/>
    <n v="8.5"/>
    <n v="8.5"/>
    <m/>
    <m/>
    <m/>
    <m/>
    <m/>
    <m/>
    <m/>
    <m/>
    <m/>
    <m/>
    <m/>
    <m/>
    <m/>
    <m/>
    <n v="34"/>
    <n v="34"/>
  </r>
  <r>
    <n v="7923"/>
    <x v="1"/>
    <s v="2022/4956"/>
    <s v="Maisonette First Second And Third Floors 13,  11-13 Bedford Hill"/>
    <s v=""/>
    <n v="528606"/>
    <n v="173388"/>
    <s v="Balham"/>
    <d v="2023-09-14T00:00:00"/>
    <m/>
    <n v="2"/>
    <n v="5"/>
    <n v="3"/>
    <n v="5"/>
    <n v="3"/>
    <m/>
    <s v="Alterations including erection of a three storey rear extension above existing ground and first floor addition and replacement of windows and doors to rear elevation in connection with the conversion of existing 2 x 3 Bedroom Maisonettes into 6 x 1 bedroom flats. Internal alterations and reconfiguration of external areas to create bike storage."/>
    <s v="PF"/>
    <d v="2022-12-02T00:00:00"/>
    <d v="2023-04-26T00:00:00"/>
    <s v="Y"/>
    <s v="Nil"/>
    <m/>
    <s v="BF"/>
    <s v="CON"/>
    <x v="2"/>
    <x v="5"/>
    <n v="0.08"/>
    <d v="2023-09-14T00:00:00"/>
    <x v="1"/>
    <m/>
    <s v="Open Market"/>
    <s v="M"/>
    <s v=""/>
    <m/>
    <m/>
    <m/>
    <m/>
    <m/>
    <n v="0"/>
    <n v="3"/>
    <n v="1"/>
    <n v="-1"/>
    <n v="0"/>
    <n v="0"/>
    <n v="0"/>
    <n v="0"/>
    <n v="3"/>
    <n v="1"/>
    <n v="-1"/>
    <n v="0"/>
    <n v="0"/>
    <n v="0"/>
    <n v="0"/>
    <n v="0"/>
    <n v="0"/>
    <n v="0"/>
    <n v="0"/>
    <n v="0"/>
    <n v="0"/>
    <n v="0"/>
    <n v="0"/>
    <n v="0"/>
    <n v="0"/>
    <n v="0"/>
    <n v="0"/>
    <n v="0"/>
    <s v="Balham"/>
    <m/>
    <s v="Balham"/>
    <n v="13"/>
    <m/>
    <n v="3"/>
    <m/>
    <m/>
    <m/>
    <m/>
    <m/>
    <m/>
    <m/>
    <m/>
    <m/>
    <m/>
    <m/>
    <m/>
    <m/>
    <m/>
    <m/>
    <m/>
    <m/>
    <m/>
    <n v="3"/>
    <n v="3"/>
  </r>
  <r>
    <n v="7090"/>
    <x v="1"/>
    <s v="2018/5833"/>
    <s v="The Northcote Library, Chatham Hall and garages west of Chatham Hall, 155e Northcote Road"/>
    <s v="Northcote Library Site"/>
    <n v="527587"/>
    <n v="174507"/>
    <s v="Northcote"/>
    <d v="2021-04-01T00:00:00"/>
    <m/>
    <n v="0"/>
    <n v="9"/>
    <n v="9"/>
    <n v="16"/>
    <n v="16"/>
    <s v="Y"/>
    <s v="The demolition of the two storey library, the single storey plus two storey roof Chatham Hall and the 8 vehicular garages (single storey) and the erection of a four storey building plus the excavation of a basement at the existing library site comprising two commercial units (Use Class A1) split over basement and ground floor levels (approximately 388sq.m) and nine (9) residential units at upper floor levels; the erection of a part one/two/three storey library (Use Class D1) (approximately 848sq.m) fronting onto Northcote Road; the erection of a part two/ three storey building behind the proposed library comprising a community hall (Use Class D1) at ground floor (approximately 301sq.m) and seven (7) residential flats at upper floor levels; 2 car parking spaces and 20 cycle parking spaces; and associated landscaping and infrastructure works."/>
    <s v="PFLA"/>
    <d v="2019-01-15T00:00:00"/>
    <d v="2020-03-25T00:00:00"/>
    <m/>
    <s v="Nil"/>
    <m/>
    <s v="BF"/>
    <s v="NB"/>
    <x v="1"/>
    <x v="0"/>
    <n v="6.6000000000000003E-2"/>
    <d v="2023-11-01T00:00:00"/>
    <x v="1"/>
    <m/>
    <s v="Open Market"/>
    <s v="M"/>
    <s v=""/>
    <m/>
    <m/>
    <m/>
    <m/>
    <m/>
    <n v="0"/>
    <n v="1"/>
    <n v="8"/>
    <n v="0"/>
    <n v="0"/>
    <n v="0"/>
    <n v="0"/>
    <n v="0"/>
    <n v="1"/>
    <n v="8"/>
    <n v="0"/>
    <n v="0"/>
    <n v="0"/>
    <n v="0"/>
    <n v="0"/>
    <n v="0"/>
    <n v="0"/>
    <n v="0"/>
    <n v="0"/>
    <n v="0"/>
    <n v="0"/>
    <n v="0"/>
    <n v="0"/>
    <n v="0"/>
    <n v="0"/>
    <n v="0"/>
    <n v="0"/>
    <n v="0"/>
    <m/>
    <m/>
    <s v="Rest of Borough"/>
    <n v="2"/>
    <m/>
    <m/>
    <n v="9"/>
    <m/>
    <m/>
    <m/>
    <m/>
    <m/>
    <m/>
    <m/>
    <m/>
    <m/>
    <m/>
    <m/>
    <m/>
    <m/>
    <m/>
    <m/>
    <m/>
    <m/>
    <n v="9"/>
    <n v="9"/>
  </r>
  <r>
    <n v="7101"/>
    <x v="1"/>
    <s v="2022/0354"/>
    <s v="Site of York Road, Winstanley Road (Part of Estate, York Gardens and Winstanley Estate)"/>
    <s v="Block 5A"/>
    <n v="526922"/>
    <n v="175807"/>
    <s v="Falconbrook"/>
    <d v="2022-02-17T00:00:00"/>
    <m/>
    <n v="0"/>
    <n v="47"/>
    <n v="47"/>
    <n v="126"/>
    <n v="126"/>
    <s v="Y"/>
    <s v="Non Material Amendment under Section 96a of the Town and County Planning Act (1990) to planning permission dated 29th January 2021 planning reference 2019/0024 for the &quot;a part outline and part detailed planning permission for the following proposed development: a) Phased demolition of all existing buildings; b) Mixed use phased development comprising residential up to 2550 units (mix tenure including social rent, affordable rent, intermediate, private rented and private sale) above ground level including leisure centre, health, flexible commercial uses (retail, financial and professional services, café / restaurants, drinking establishments, hot food takeaways, business, non residential institutions and assembly and leisure), park, landscaping, public realm, energy centres, car/cycle parking and new vehicle accesses. All matters reserved except for phased construction of Block 1 (two residential towers comprising private sale units and new leisure/community centre including a gym, swimming pool and library, commercial uses), Block 5 (comprising affordable units and commercial units) and Block 6 (private sale units and affordable units) together with a new Park and associated works. c) Site clearance and enabling works including works to Winstanley Road, as well as temporary works necessary to enable the approved development. An Environmental Statement has been submitted with the application under the Town and Country Planning (Environmental Impact Assessment) Regulations 2017.&quot;"/>
    <s v="S96A"/>
    <d v="2022-01-31T00:00:00"/>
    <d v="2023-08-15T00:00:00"/>
    <s v="Y"/>
    <s v="Nil"/>
    <m/>
    <s v="BF"/>
    <s v="NB"/>
    <x v="1"/>
    <x v="0"/>
    <n v="0"/>
    <d v="2022-02-17T00:00:00"/>
    <x v="0"/>
    <m/>
    <s v="Social/Affordable Rent"/>
    <s v="AS"/>
    <s v=""/>
    <m/>
    <m/>
    <m/>
    <m/>
    <m/>
    <n v="0"/>
    <n v="18"/>
    <n v="10"/>
    <n v="14"/>
    <n v="5"/>
    <n v="0"/>
    <n v="0"/>
    <n v="0"/>
    <n v="18"/>
    <n v="10"/>
    <n v="14"/>
    <n v="5"/>
    <n v="0"/>
    <n v="0"/>
    <n v="0"/>
    <n v="0"/>
    <n v="0"/>
    <n v="0"/>
    <n v="0"/>
    <n v="0"/>
    <n v="0"/>
    <n v="0"/>
    <n v="0"/>
    <n v="0"/>
    <n v="0"/>
    <n v="0"/>
    <n v="0"/>
    <n v="0"/>
    <m/>
    <m/>
    <s v="Clapham Junction and York Road / Winstanley Regeneration Area"/>
    <n v="5"/>
    <m/>
    <n v="47"/>
    <m/>
    <m/>
    <m/>
    <m/>
    <m/>
    <m/>
    <m/>
    <m/>
    <m/>
    <m/>
    <m/>
    <m/>
    <m/>
    <m/>
    <m/>
    <m/>
    <m/>
    <m/>
    <n v="47"/>
    <n v="47"/>
  </r>
  <r>
    <n v="7101"/>
    <x v="1"/>
    <s v="2022/0354"/>
    <s v="Site of York Road, Winstanley Road (Part of Estate, York Gardens and Winstanley Estate)"/>
    <s v="Block 5C"/>
    <n v="526922"/>
    <n v="175807"/>
    <s v="Falconbrook"/>
    <d v="2022-02-17T00:00:00"/>
    <m/>
    <n v="0"/>
    <n v="40"/>
    <n v="40"/>
    <n v="126"/>
    <n v="126"/>
    <s v="Y"/>
    <s v="Non Material Amendment under Section 96a of the Town and County Planning Act (1990) to planning permission dated 29th January 2021 planning reference 2019/0024 for the &quot;a part outline and part detailed planning permission for the following proposed development: a) Phased demolition of all existing buildings; b) Mixed use phased development comprising residential up to 2550 units (mix tenure including social rent, affordable rent, intermediate, private rented and private sale) above ground level including leisure centre, health, flexible commercial uses (retail, financial and professional services, café / restaurants, drinking establishments, hot food takeaways, business, non residential institutions and assembly and leisure), park, landscaping, public realm, energy centres, car/cycle parking and new vehicle accesses. All matters reserved except for phased construction of Block 1 (two residential towers comprising private sale units and new leisure/community centre including a gym, swimming pool and library, commercial uses), Block 5 (comprising affordable units and commercial units) and Block 6 (private sale units and affordable units) together with a new Park and associated works. c) Site clearance and enabling works including works to Winstanley Road, as well as temporary works necessary to enable the approved development. An Environmental Statement has been submitted with the application under the Town and Country Planning (Environmental Impact Assessment) Regulations 2017.&quot;"/>
    <s v="S96A"/>
    <d v="2022-01-31T00:00:00"/>
    <d v="2023-08-15T00:00:00"/>
    <s v="Y"/>
    <s v="Nil"/>
    <m/>
    <s v="BF"/>
    <s v="NB"/>
    <x v="1"/>
    <x v="0"/>
    <n v="0"/>
    <d v="2022-02-17T00:00:00"/>
    <x v="0"/>
    <m/>
    <s v="Social/Affordable Rent"/>
    <s v="AS"/>
    <s v=""/>
    <m/>
    <m/>
    <m/>
    <m/>
    <m/>
    <n v="0"/>
    <n v="7"/>
    <n v="15"/>
    <n v="14"/>
    <n v="3"/>
    <n v="1"/>
    <n v="0"/>
    <n v="0"/>
    <n v="7"/>
    <n v="15"/>
    <n v="14"/>
    <n v="3"/>
    <n v="1"/>
    <n v="0"/>
    <n v="0"/>
    <n v="0"/>
    <n v="0"/>
    <n v="0"/>
    <n v="0"/>
    <n v="0"/>
    <n v="0"/>
    <n v="0"/>
    <n v="0"/>
    <n v="0"/>
    <n v="0"/>
    <n v="0"/>
    <n v="0"/>
    <n v="0"/>
    <m/>
    <m/>
    <s v="Clapham Junction and York Road / Winstanley Regeneration Area"/>
    <n v="5"/>
    <m/>
    <n v="40"/>
    <m/>
    <m/>
    <m/>
    <m/>
    <m/>
    <m/>
    <m/>
    <m/>
    <m/>
    <m/>
    <m/>
    <m/>
    <m/>
    <m/>
    <m/>
    <m/>
    <m/>
    <m/>
    <n v="40"/>
    <n v="40"/>
  </r>
  <r>
    <n v="7936"/>
    <x v="1"/>
    <s v="2022/5295"/>
    <s v="39 Dornton Road"/>
    <s v=""/>
    <n v="529018"/>
    <n v="172727"/>
    <s v="South Balham"/>
    <d v="2023-11-16T00:00:00"/>
    <m/>
    <n v="2"/>
    <n v="1"/>
    <n v="-1"/>
    <n v="1"/>
    <n v="-1"/>
    <m/>
    <s v="Conversion of two flats into one single dwellinghouse, to include alterations to install new glazed door on ground floor and addition of five roof lights on the front and side roof slopes."/>
    <s v="PF"/>
    <d v="2022-12-23T00:00:00"/>
    <d v="2023-02-24T00:00:00"/>
    <m/>
    <s v="Nil"/>
    <m/>
    <s v="BF"/>
    <s v="CON"/>
    <x v="2"/>
    <x v="11"/>
    <n v="7.0000000000000001E-3"/>
    <d v="2023-11-16T00:00:00"/>
    <x v="1"/>
    <m/>
    <s v="Open Market"/>
    <s v="M"/>
    <s v=""/>
    <m/>
    <m/>
    <m/>
    <m/>
    <m/>
    <n v="0"/>
    <n v="-1"/>
    <n v="0"/>
    <n v="-1"/>
    <n v="0"/>
    <n v="1"/>
    <n v="0"/>
    <n v="0"/>
    <n v="-1"/>
    <n v="0"/>
    <n v="-1"/>
    <n v="0"/>
    <n v="0"/>
    <n v="0"/>
    <n v="0"/>
    <n v="0"/>
    <n v="0"/>
    <n v="0"/>
    <n v="0"/>
    <n v="1"/>
    <n v="0"/>
    <n v="0"/>
    <n v="0"/>
    <n v="0"/>
    <n v="0"/>
    <n v="0"/>
    <n v="0"/>
    <n v="0"/>
    <m/>
    <m/>
    <s v="Rest of Borough"/>
    <n v="14"/>
    <m/>
    <n v="-0.5"/>
    <n v="-0.5"/>
    <m/>
    <m/>
    <m/>
    <m/>
    <m/>
    <m/>
    <m/>
    <m/>
    <m/>
    <m/>
    <m/>
    <m/>
    <m/>
    <m/>
    <m/>
    <m/>
    <m/>
    <n v="-1"/>
    <n v="-1"/>
  </r>
  <r>
    <n v="7101"/>
    <x v="1"/>
    <s v="2022/0354"/>
    <s v="Site of York Road, Winstanley Road (Part of Estate, York Gardens and Winstanley Estate)"/>
    <s v="Block 5B"/>
    <n v="526922"/>
    <n v="175807"/>
    <s v="Falconbrook"/>
    <d v="2022-02-17T00:00:00"/>
    <m/>
    <n v="0"/>
    <n v="15"/>
    <n v="15"/>
    <n v="126"/>
    <n v="126"/>
    <s v="Y"/>
    <s v="Non Material Amendment under Section 96a of the Town and County Planning Act (1990) to planning permission dated 29th January 2021 planning reference 2019/0024 for the &quot;a part outline and part detailed planning permission for the following proposed development: a) Phased demolition of all existing buildings; b) Mixed use phased development comprising residential up to 2550 units (mix tenure including social rent, affordable rent, intermediate, private rented and private sale) above ground level including leisure centre, health, flexible commercial uses (retail, financial and professional services, café / restaurants, drinking establishments, hot food takeaways, business, non residential institutions and assembly and leisure), park, landscaping, public realm, energy centres, car/cycle parking and new vehicle accesses. All matters reserved except for phased construction of Block 1 (two residential towers comprising private sale units and new leisure/community centre including a gym, swimming pool and library, commercial uses), Block 5 (comprising affordable units and commercial units) and Block 6 (private sale units and affordable units) together with a new Park and associated works. c) Site clearance and enabling works including works to Winstanley Road, as well as temporary works necessary to enable the approved development. An Environmental Statement has been submitted with the application under the Town and Country Planning (Environmental Impact Assessment) Regulations 2017.&quot;"/>
    <s v="S96A"/>
    <d v="2022-01-31T00:00:00"/>
    <d v="2023-08-15T00:00:00"/>
    <s v="Y"/>
    <s v="Nil"/>
    <m/>
    <s v="BF"/>
    <s v="NB"/>
    <x v="1"/>
    <x v="0"/>
    <n v="0"/>
    <d v="2022-02-17T00:00:00"/>
    <x v="0"/>
    <m/>
    <s v="Social/Affordable Rent"/>
    <s v="AS"/>
    <s v=""/>
    <m/>
    <m/>
    <m/>
    <m/>
    <m/>
    <n v="0"/>
    <n v="0"/>
    <n v="2"/>
    <n v="8"/>
    <n v="3"/>
    <n v="2"/>
    <n v="0"/>
    <n v="0"/>
    <n v="0"/>
    <n v="2"/>
    <n v="8"/>
    <n v="3"/>
    <n v="2"/>
    <n v="0"/>
    <n v="0"/>
    <n v="0"/>
    <n v="0"/>
    <n v="0"/>
    <n v="0"/>
    <n v="0"/>
    <n v="0"/>
    <n v="0"/>
    <n v="0"/>
    <n v="0"/>
    <n v="0"/>
    <n v="0"/>
    <n v="0"/>
    <n v="0"/>
    <m/>
    <m/>
    <s v="Clapham Junction and York Road / Winstanley Regeneration Area"/>
    <n v="5"/>
    <m/>
    <n v="15"/>
    <m/>
    <m/>
    <m/>
    <m/>
    <m/>
    <m/>
    <m/>
    <m/>
    <m/>
    <m/>
    <m/>
    <m/>
    <m/>
    <m/>
    <m/>
    <m/>
    <m/>
    <m/>
    <n v="15"/>
    <n v="15"/>
  </r>
  <r>
    <n v="7101"/>
    <x v="1"/>
    <s v="2022/0354"/>
    <s v="Site of York Road, Winstanley Road (Part of Estate, York Gardens and Winstanley Estate)"/>
    <s v="Block 5C"/>
    <n v="526922"/>
    <n v="175807"/>
    <s v="Falconbrook"/>
    <d v="2022-02-17T00:00:00"/>
    <m/>
    <n v="0"/>
    <n v="10"/>
    <n v="10"/>
    <n v="126"/>
    <n v="126"/>
    <s v="Y"/>
    <s v="Non Material Amendment under Section 96a of the Town and County Planning Act (1990) to planning permission dated 29th January 2021 planning reference 2019/0024 for the &quot;a part outline and part detailed planning permission for the following proposed development: a) Phased demolition of all existing buildings; b) Mixed use phased development comprising residential up to 2550 units (mix tenure including social rent, affordable rent, intermediate, private rented and private sale) above ground level including leisure centre, health, flexible commercial uses (retail, financial and professional services, café / restaurants, drinking establishments, hot food takeaways, business, non residential institutions and assembly and leisure), park, landscaping, public realm, energy centres, car/cycle parking and new vehicle accesses. All matters reserved except for phased construction of Block 1 (two residential towers comprising private sale units and new leisure/community centre including a gym, swimming pool and library, commercial uses), Block 5 (comprising affordable units and commercial units) and Block 6 (private sale units and affordable units) together with a new Park and associated works. c) Site clearance and enabling works including works to Winstanley Road, as well as temporary works necessary to enable the approved development. An Environmental Statement has been submitted with the application under the Town and Country Planning (Environmental Impact Assessment) Regulations 2017.&quot;"/>
    <s v="S96A"/>
    <d v="2022-01-31T00:00:00"/>
    <d v="2023-08-15T00:00:00"/>
    <s v="Y"/>
    <s v="Nil"/>
    <m/>
    <s v="BF"/>
    <s v="NB"/>
    <x v="1"/>
    <x v="0"/>
    <n v="0"/>
    <d v="2022-02-17T00:00:00"/>
    <x v="0"/>
    <m/>
    <s v="Intermediate"/>
    <s v="ISE"/>
    <s v=""/>
    <m/>
    <m/>
    <m/>
    <m/>
    <m/>
    <n v="0"/>
    <n v="4"/>
    <n v="6"/>
    <n v="0"/>
    <n v="0"/>
    <n v="0"/>
    <n v="0"/>
    <n v="0"/>
    <n v="4"/>
    <n v="6"/>
    <n v="0"/>
    <n v="0"/>
    <n v="0"/>
    <n v="0"/>
    <n v="0"/>
    <n v="0"/>
    <n v="0"/>
    <n v="0"/>
    <n v="0"/>
    <n v="0"/>
    <n v="0"/>
    <n v="0"/>
    <n v="0"/>
    <n v="0"/>
    <n v="0"/>
    <n v="0"/>
    <n v="0"/>
    <n v="0"/>
    <m/>
    <m/>
    <s v="Clapham Junction and York Road / Winstanley Regeneration Area"/>
    <n v="5"/>
    <m/>
    <n v="10"/>
    <m/>
    <m/>
    <m/>
    <m/>
    <m/>
    <m/>
    <m/>
    <m/>
    <m/>
    <m/>
    <m/>
    <m/>
    <m/>
    <m/>
    <m/>
    <m/>
    <m/>
    <m/>
    <n v="10"/>
    <n v="10"/>
  </r>
  <r>
    <n v="7101"/>
    <x v="1"/>
    <s v="2022/0354"/>
    <s v="Site of York Road, Winstanley Road (Part of Estate, York Gardens and Winstanley Estate)"/>
    <s v="Block 5A"/>
    <n v="526922"/>
    <n v="175807"/>
    <s v="Falconbrook"/>
    <d v="2022-02-17T00:00:00"/>
    <m/>
    <n v="0"/>
    <n v="8"/>
    <n v="8"/>
    <n v="126"/>
    <n v="126"/>
    <s v="Y"/>
    <s v="Non Material Amendment under Section 96a of the Town and County Planning Act (1990) to planning permission dated 29th January 2021 planning reference 2019/0024 for the &quot;a part outline and part detailed planning permission for the following proposed development: a) Phased demolition of all existing buildings; b) Mixed use phased development comprising residential up to 2550 units (mix tenure including social rent, affordable rent, intermediate, private rented and private sale) above ground level including leisure centre, health, flexible commercial uses (retail, financial and professional services, café / restaurants, drinking establishments, hot food takeaways, business, non residential institutions and assembly and leisure), park, landscaping, public realm, energy centres, car/cycle parking and new vehicle accesses. All matters reserved except for phased construction of Block 1 (two residential towers comprising private sale units and new leisure/community centre including a gym, swimming pool and library, commercial uses), Block 5 (comprising affordable units and commercial units) and Block 6 (private sale units and affordable units) together with a new Park and associated works. c) Site clearance and enabling works including works to Winstanley Road, as well as temporary works necessary to enable the approved development. An Environmental Statement has been submitted with the application under the Town and Country Planning (Environmental Impact Assessment) Regulations 2017.&quot;"/>
    <s v="S96A"/>
    <d v="2022-01-31T00:00:00"/>
    <d v="2023-08-15T00:00:00"/>
    <s v="Y"/>
    <s v="Nil"/>
    <m/>
    <s v="BF"/>
    <s v="NB"/>
    <x v="1"/>
    <x v="0"/>
    <n v="0"/>
    <d v="2022-02-17T00:00:00"/>
    <x v="0"/>
    <m/>
    <s v="Intermediate"/>
    <s v="ISE"/>
    <s v=""/>
    <m/>
    <m/>
    <m/>
    <m/>
    <m/>
    <n v="0"/>
    <n v="1"/>
    <n v="7"/>
    <n v="0"/>
    <n v="0"/>
    <n v="0"/>
    <n v="0"/>
    <n v="0"/>
    <n v="1"/>
    <n v="7"/>
    <n v="0"/>
    <n v="0"/>
    <n v="0"/>
    <n v="0"/>
    <n v="0"/>
    <n v="0"/>
    <n v="0"/>
    <n v="0"/>
    <n v="0"/>
    <n v="0"/>
    <n v="0"/>
    <n v="0"/>
    <n v="0"/>
    <n v="0"/>
    <n v="0"/>
    <n v="0"/>
    <n v="0"/>
    <n v="0"/>
    <m/>
    <m/>
    <s v="Clapham Junction and York Road / Winstanley Regeneration Area"/>
    <n v="5"/>
    <m/>
    <n v="8"/>
    <m/>
    <m/>
    <m/>
    <m/>
    <m/>
    <m/>
    <m/>
    <m/>
    <m/>
    <m/>
    <m/>
    <m/>
    <m/>
    <m/>
    <m/>
    <m/>
    <m/>
    <m/>
    <n v="8"/>
    <n v="8"/>
  </r>
  <r>
    <n v="7101"/>
    <x v="1"/>
    <s v="2022/0354"/>
    <s v="Site of York Road, Winstanley Road (Part of Estate, York Gardens and Winstanley Estate)"/>
    <s v="Block 5B"/>
    <n v="526922"/>
    <n v="175807"/>
    <s v="Falconbrook"/>
    <d v="2022-02-17T00:00:00"/>
    <m/>
    <n v="0"/>
    <n v="6"/>
    <n v="6"/>
    <n v="126"/>
    <n v="126"/>
    <s v="Y"/>
    <s v="Non Material Amendment under Section 96a of the Town and County Planning Act (1990) to planning permission dated 29th January 2021 planning reference 2019/0024 for the &quot;a part outline and part detailed planning permission for the following proposed development: a) Phased demolition of all existing buildings; b) Mixed use phased development comprising residential up to 2550 units (mix tenure including social rent, affordable rent, intermediate, private rented and private sale) above ground level including leisure centre, health, flexible commercial uses (retail, financial and professional services, café / restaurants, drinking establishments, hot food takeaways, business, non residential institutions and assembly and leisure), park, landscaping, public realm, energy centres, car/cycle parking and new vehicle accesses. All matters reserved except for phased construction of Block 1 (two residential towers comprising private sale units and new leisure/community centre including a gym, swimming pool and library, commercial uses), Block 5 (comprising affordable units and commercial units) and Block 6 (private sale units and affordable units) together with a new Park and associated works. c) Site clearance and enabling works including works to Winstanley Road, as well as temporary works necessary to enable the approved development. An Environmental Statement has been submitted with the application under the Town and Country Planning (Environmental Impact Assessment) Regulations 2017.&quot;"/>
    <s v="S96A"/>
    <d v="2022-01-31T00:00:00"/>
    <d v="2023-08-15T00:00:00"/>
    <s v="Y"/>
    <s v="Nil"/>
    <m/>
    <s v="BF"/>
    <s v="NB"/>
    <x v="1"/>
    <x v="0"/>
    <n v="0"/>
    <d v="2022-02-17T00:00:00"/>
    <x v="0"/>
    <m/>
    <s v="Intermediate"/>
    <s v="ISE"/>
    <s v=""/>
    <m/>
    <m/>
    <m/>
    <m/>
    <m/>
    <n v="0"/>
    <n v="0"/>
    <n v="2"/>
    <n v="0"/>
    <n v="4"/>
    <n v="0"/>
    <n v="0"/>
    <n v="0"/>
    <n v="0"/>
    <n v="2"/>
    <n v="0"/>
    <n v="4"/>
    <n v="0"/>
    <n v="0"/>
    <n v="0"/>
    <n v="0"/>
    <n v="0"/>
    <n v="0"/>
    <n v="0"/>
    <n v="0"/>
    <n v="0"/>
    <n v="0"/>
    <n v="0"/>
    <n v="0"/>
    <n v="0"/>
    <n v="0"/>
    <n v="0"/>
    <n v="0"/>
    <m/>
    <m/>
    <s v="Clapham Junction and York Road / Winstanley Regeneration Area"/>
    <n v="5"/>
    <m/>
    <n v="6"/>
    <m/>
    <m/>
    <m/>
    <m/>
    <m/>
    <m/>
    <m/>
    <m/>
    <m/>
    <m/>
    <m/>
    <m/>
    <m/>
    <m/>
    <m/>
    <m/>
    <m/>
    <m/>
    <n v="6"/>
    <n v="6"/>
  </r>
  <r>
    <n v="7296"/>
    <x v="1"/>
    <s v="2019/4697"/>
    <s v="Alton One O'clock Centre, Fontley Way"/>
    <s v="GROUND FLOOR"/>
    <n v="522049"/>
    <n v="173511"/>
    <s v="Roehampton"/>
    <d v="2022-04-01T00:00:00"/>
    <m/>
    <n v="0"/>
    <n v="7"/>
    <n v="7"/>
    <n v="14"/>
    <n v="14"/>
    <s v="Y"/>
    <s v="Redevelopment of the site to provide one new build block of four storeys in height comprising 14 dwellings (Class C3) comprising 12 x 3 bed units and 2 x 4 bed units, landscaped amenity area and playspace, car parking spaces (including disabled spaces), cycle parking, refuse storage and creation of access."/>
    <s v="PFLA"/>
    <d v="2019-11-11T00:00:00"/>
    <d v="2021-11-05T00:00:00"/>
    <m/>
    <s v="Nil"/>
    <m/>
    <s v="BF"/>
    <s v="NB"/>
    <x v="1"/>
    <x v="0"/>
    <n v="4.5999999999999999E-2"/>
    <d v="2022-09-15T00:00:00"/>
    <x v="0"/>
    <m/>
    <s v="Social/Affordable Rent"/>
    <s v="AS"/>
    <s v=""/>
    <m/>
    <m/>
    <n v="5"/>
    <m/>
    <n v="2"/>
    <n v="0"/>
    <n v="0"/>
    <n v="0"/>
    <n v="5"/>
    <n v="2"/>
    <n v="0"/>
    <n v="0"/>
    <n v="0"/>
    <n v="0"/>
    <n v="0"/>
    <n v="5"/>
    <n v="2"/>
    <n v="0"/>
    <n v="0"/>
    <n v="0"/>
    <n v="0"/>
    <n v="0"/>
    <n v="0"/>
    <n v="0"/>
    <n v="0"/>
    <n v="0"/>
    <n v="0"/>
    <n v="0"/>
    <n v="0"/>
    <n v="0"/>
    <n v="0"/>
    <n v="0"/>
    <n v="0"/>
    <m/>
    <m/>
    <s v="Rest of Borough"/>
    <n v="2"/>
    <m/>
    <n v="7"/>
    <m/>
    <m/>
    <m/>
    <m/>
    <m/>
    <m/>
    <m/>
    <m/>
    <m/>
    <m/>
    <m/>
    <m/>
    <m/>
    <m/>
    <m/>
    <m/>
    <m/>
    <m/>
    <n v="7"/>
    <n v="7"/>
  </r>
  <r>
    <n v="8001"/>
    <x v="1"/>
    <s v="2023/0177"/>
    <s v="103 Eswyn Road"/>
    <s v=""/>
    <n v="527860"/>
    <n v="171448"/>
    <s v="Tooting Bec"/>
    <d v="2023-11-28T00:00:00"/>
    <m/>
    <n v="1"/>
    <n v="1"/>
    <n v="0"/>
    <n v="1"/>
    <n v="0"/>
    <m/>
    <s v="Alterations including erection of dormer roof extension to main rear roof and ground floor side and rear extension in connection with conversion of property into house of multi occupancy (HMO) (Class C4)."/>
    <s v="PF"/>
    <d v="2023-06-19T00:00:00"/>
    <d v="2023-11-28T00:00:00"/>
    <s v="Y"/>
    <s v="Nil"/>
    <m/>
    <s v="BF"/>
    <s v="COU"/>
    <x v="2"/>
    <x v="10"/>
    <n v="0"/>
    <d v="2023-11-28T00:00:00"/>
    <x v="1"/>
    <m/>
    <s v="Open Market"/>
    <s v="M"/>
    <s v=""/>
    <m/>
    <m/>
    <m/>
    <m/>
    <m/>
    <n v="0"/>
    <n v="0"/>
    <n v="0"/>
    <n v="0"/>
    <n v="0"/>
    <n v="0"/>
    <n v="0"/>
    <n v="0"/>
    <n v="0"/>
    <n v="0"/>
    <n v="0"/>
    <n v="0"/>
    <n v="0"/>
    <n v="0"/>
    <n v="0"/>
    <n v="0"/>
    <n v="0"/>
    <n v="0"/>
    <n v="0"/>
    <n v="0"/>
    <n v="0"/>
    <n v="0"/>
    <n v="0"/>
    <n v="0"/>
    <n v="0"/>
    <n v="0"/>
    <n v="0"/>
    <n v="0"/>
    <m/>
    <m/>
    <s v="Rest of Borough"/>
    <n v="14"/>
    <m/>
    <n v="0"/>
    <n v="0"/>
    <m/>
    <m/>
    <m/>
    <m/>
    <m/>
    <m/>
    <m/>
    <m/>
    <m/>
    <m/>
    <m/>
    <m/>
    <m/>
    <m/>
    <m/>
    <m/>
    <m/>
    <n v="0"/>
    <n v="0"/>
  </r>
  <r>
    <n v="2356"/>
    <x v="1"/>
    <s v="2023/0224"/>
    <s v="The Forester, 114 Allfarthing Lane"/>
    <s v=""/>
    <n v="525955"/>
    <n v="174077"/>
    <s v="Wandsworth Town"/>
    <d v="2024-03-31T00:00:00"/>
    <m/>
    <n v="0"/>
    <n v="8"/>
    <n v="8"/>
    <n v="8"/>
    <n v="8"/>
    <m/>
    <s v="Alterations including part demolition of building, retaining existing facades; erection of main roof extension and side extensions at first and second floor levels to NE elevation; front and side lightwells and first floor level terraces to NE elevation in connection with provision of 8 residential units (3 x 1-bed, 4 x 2-bed and 1 x 3-bed) with associated landscaping, cycle and refuse storage."/>
    <s v="PF"/>
    <d v="2023-01-19T00:00:00"/>
    <d v="2023-05-25T00:00:00"/>
    <s v="Y"/>
    <s v="Nil"/>
    <m/>
    <s v="BF"/>
    <s v="MIX"/>
    <x v="2"/>
    <x v="3"/>
    <n v="0.1"/>
    <d v="2024-03-31T00:00:00"/>
    <x v="1"/>
    <m/>
    <s v="Open Market"/>
    <s v="M"/>
    <s v=""/>
    <m/>
    <m/>
    <m/>
    <m/>
    <m/>
    <n v="0"/>
    <n v="3"/>
    <n v="4"/>
    <n v="1"/>
    <n v="0"/>
    <n v="0"/>
    <n v="0"/>
    <n v="0"/>
    <n v="3"/>
    <n v="4"/>
    <n v="1"/>
    <n v="0"/>
    <n v="0"/>
    <n v="0"/>
    <n v="0"/>
    <n v="0"/>
    <n v="0"/>
    <n v="0"/>
    <n v="0"/>
    <n v="0"/>
    <n v="0"/>
    <n v="0"/>
    <n v="0"/>
    <n v="0"/>
    <n v="0"/>
    <n v="0"/>
    <n v="0"/>
    <n v="0"/>
    <m/>
    <m/>
    <s v="Rest of Borough"/>
    <n v="14"/>
    <m/>
    <n v="4"/>
    <n v="4"/>
    <m/>
    <m/>
    <m/>
    <m/>
    <m/>
    <m/>
    <m/>
    <m/>
    <m/>
    <m/>
    <m/>
    <m/>
    <m/>
    <m/>
    <m/>
    <m/>
    <m/>
    <n v="8"/>
    <n v="8"/>
  </r>
  <r>
    <n v="5220"/>
    <x v="1"/>
    <s v="2023/0244"/>
    <s v="Units 11 &amp; 15 Southside Quarter, Burns Road"/>
    <s v=""/>
    <n v="527650"/>
    <n v="176358"/>
    <s v="Battersea Park"/>
    <d v="2023-07-24T00:00:00"/>
    <m/>
    <n v="1"/>
    <n v="2"/>
    <n v="1"/>
    <n v="2"/>
    <n v="1"/>
    <m/>
    <s v="Conversion of one self-contained flat into two self-contained flats."/>
    <s v="PF"/>
    <d v="2023-02-17T00:00:00"/>
    <d v="2023-05-19T00:00:00"/>
    <s v="Y"/>
    <s v="Nil"/>
    <m/>
    <s v="BF"/>
    <s v="CON"/>
    <x v="2"/>
    <x v="5"/>
    <n v="1.4999999999999999E-2"/>
    <d v="2023-07-24T00:00:00"/>
    <x v="1"/>
    <m/>
    <s v="Open Market"/>
    <s v="M"/>
    <s v=""/>
    <m/>
    <m/>
    <m/>
    <m/>
    <m/>
    <n v="0"/>
    <n v="0"/>
    <n v="2"/>
    <n v="-1"/>
    <n v="0"/>
    <n v="0"/>
    <n v="0"/>
    <n v="0"/>
    <n v="0"/>
    <n v="2"/>
    <n v="-1"/>
    <n v="0"/>
    <n v="0"/>
    <n v="0"/>
    <n v="0"/>
    <n v="0"/>
    <n v="0"/>
    <n v="0"/>
    <n v="0"/>
    <n v="0"/>
    <n v="0"/>
    <n v="0"/>
    <n v="0"/>
    <n v="0"/>
    <n v="0"/>
    <n v="0"/>
    <n v="0"/>
    <n v="0"/>
    <m/>
    <m/>
    <s v="Rest of Borough"/>
    <n v="13"/>
    <m/>
    <n v="1"/>
    <m/>
    <m/>
    <m/>
    <m/>
    <m/>
    <m/>
    <m/>
    <m/>
    <m/>
    <m/>
    <m/>
    <m/>
    <m/>
    <m/>
    <m/>
    <m/>
    <m/>
    <m/>
    <n v="1"/>
    <n v="1"/>
  </r>
  <r>
    <n v="7734"/>
    <x v="1"/>
    <s v="2023/0295"/>
    <s v="Land to the rear of 43, Southfields Road"/>
    <s v=""/>
    <n v="525211"/>
    <n v="174287"/>
    <s v="East Putney"/>
    <d v="2024-03-31T00:00:00"/>
    <m/>
    <n v="0"/>
    <n v="5"/>
    <n v="5"/>
    <n v="5"/>
    <n v="5"/>
    <m/>
    <s v="Redevelopment including erection of a terrace of 5 x two-storey houses (4 x 3-bedroom and 1 x 2 bedroom) with 3 no. off-street parking spaces, cycle and refuse storage. (Revisions to 2021/5257 with pitched roof added to each house to provide additional living space)."/>
    <s v="PFLA"/>
    <d v="2023-01-25T00:00:00"/>
    <d v="2023-10-02T00:00:00"/>
    <s v="Y"/>
    <s v="Nil"/>
    <m/>
    <s v="BF"/>
    <s v="NB"/>
    <x v="2"/>
    <x v="3"/>
    <n v="0.50900000000000001"/>
    <d v="2024-03-31T00:00:00"/>
    <x v="1"/>
    <m/>
    <s v="Open Market"/>
    <s v="M"/>
    <s v=""/>
    <m/>
    <m/>
    <m/>
    <m/>
    <m/>
    <n v="0"/>
    <n v="0"/>
    <n v="1"/>
    <n v="4"/>
    <n v="0"/>
    <n v="0"/>
    <n v="0"/>
    <n v="0"/>
    <n v="0"/>
    <n v="0"/>
    <n v="0"/>
    <n v="0"/>
    <n v="0"/>
    <n v="0"/>
    <n v="0"/>
    <n v="0"/>
    <n v="1"/>
    <n v="4"/>
    <n v="0"/>
    <n v="0"/>
    <n v="0"/>
    <n v="0"/>
    <n v="0"/>
    <n v="0"/>
    <n v="0"/>
    <n v="0"/>
    <n v="0"/>
    <n v="0"/>
    <m/>
    <m/>
    <s v="Rest of Borough"/>
    <n v="4"/>
    <m/>
    <n v="2.5"/>
    <n v="2.5"/>
    <m/>
    <m/>
    <m/>
    <m/>
    <m/>
    <m/>
    <m/>
    <m/>
    <m/>
    <m/>
    <m/>
    <m/>
    <m/>
    <m/>
    <m/>
    <m/>
    <m/>
    <n v="5"/>
    <n v="5"/>
  </r>
  <r>
    <n v="3902"/>
    <x v="1"/>
    <s v="2023/0320"/>
    <s v="St Peter with St Paul Church, Vicarage and, 23-31 Plough Road (Parkside St. Peters)"/>
    <s v=""/>
    <n v="526710"/>
    <n v="175659"/>
    <s v="Falconbrook"/>
    <d v="2024-03-31T00:00:00"/>
    <m/>
    <n v="0"/>
    <n v="3"/>
    <n v="3"/>
    <n v="3"/>
    <n v="3"/>
    <m/>
    <s v="Replacement of roof garden with extension to  provide 2 x 1 bedroom flats and 1 x 3 bedroom flat."/>
    <s v="PFLA"/>
    <d v="2023-01-26T00:00:00"/>
    <d v="2023-12-20T00:00:00"/>
    <s v="Y"/>
    <s v="Nil"/>
    <m/>
    <s v="BF"/>
    <s v="EXT"/>
    <x v="2"/>
    <x v="7"/>
    <n v="2.0199999999999999E-2"/>
    <d v="2024-03-31T00:00:00"/>
    <x v="1"/>
    <m/>
    <s v="Open Market"/>
    <s v="M"/>
    <s v="4.1.6"/>
    <m/>
    <m/>
    <m/>
    <m/>
    <m/>
    <n v="0"/>
    <n v="2"/>
    <n v="0"/>
    <n v="1"/>
    <n v="0"/>
    <n v="0"/>
    <n v="0"/>
    <n v="0"/>
    <n v="2"/>
    <n v="0"/>
    <n v="1"/>
    <n v="0"/>
    <n v="0"/>
    <n v="0"/>
    <n v="0"/>
    <n v="0"/>
    <n v="0"/>
    <n v="0"/>
    <n v="0"/>
    <n v="0"/>
    <n v="0"/>
    <n v="0"/>
    <n v="0"/>
    <n v="0"/>
    <n v="0"/>
    <n v="0"/>
    <n v="0"/>
    <n v="0"/>
    <m/>
    <m/>
    <s v="Clapham Junction and York Road / Winstanley Regeneration Area"/>
    <n v="14"/>
    <m/>
    <n v="1.5"/>
    <n v="1.5"/>
    <m/>
    <m/>
    <m/>
    <m/>
    <m/>
    <m/>
    <m/>
    <m/>
    <m/>
    <m/>
    <m/>
    <m/>
    <m/>
    <m/>
    <m/>
    <m/>
    <m/>
    <n v="3"/>
    <n v="3"/>
  </r>
  <r>
    <n v="7915"/>
    <x v="1"/>
    <s v="2023/0600"/>
    <s v="Basement and Ground Flr, 2 Glenburnie Road"/>
    <s v=""/>
    <n v="527854"/>
    <n v="172507"/>
    <s v="Trinity"/>
    <d v="2024-03-31T00:00:00"/>
    <m/>
    <n v="0"/>
    <n v="1"/>
    <n v="1"/>
    <n v="1"/>
    <n v="1"/>
    <m/>
    <s v="Determination as to whether prior approval is required for change of use of basement and ground floor from Hot Food Takeaway (Sui Generis) to residential (Class C3) to provide 1 x 1-bedroom flat. Replacement of existing shopfront with windows and door."/>
    <s v="PAG"/>
    <d v="2023-02-14T00:00:00"/>
    <d v="2023-04-06T00:00:00"/>
    <s v="Y"/>
    <s v="Nil"/>
    <m/>
    <s v="BF"/>
    <s v="COU"/>
    <x v="2"/>
    <x v="8"/>
    <n v="4.3E-3"/>
    <d v="2024-03-31T00:00:00"/>
    <x v="1"/>
    <m/>
    <s v="Open Market"/>
    <s v="M"/>
    <s v=""/>
    <m/>
    <m/>
    <m/>
    <m/>
    <m/>
    <n v="0"/>
    <n v="1"/>
    <n v="0"/>
    <n v="0"/>
    <n v="0"/>
    <n v="0"/>
    <n v="0"/>
    <n v="0"/>
    <n v="1"/>
    <n v="0"/>
    <n v="0"/>
    <n v="0"/>
    <n v="0"/>
    <n v="0"/>
    <n v="0"/>
    <n v="0"/>
    <n v="0"/>
    <n v="0"/>
    <n v="0"/>
    <n v="0"/>
    <n v="0"/>
    <n v="0"/>
    <n v="0"/>
    <n v="0"/>
    <n v="0"/>
    <n v="0"/>
    <n v="0"/>
    <n v="0"/>
    <m/>
    <m/>
    <s v="Rest of Borough"/>
    <n v="14"/>
    <m/>
    <n v="0.5"/>
    <n v="0.5"/>
    <m/>
    <m/>
    <m/>
    <m/>
    <m/>
    <m/>
    <m/>
    <m/>
    <m/>
    <m/>
    <m/>
    <m/>
    <m/>
    <m/>
    <m/>
    <m/>
    <m/>
    <n v="1"/>
    <n v="1"/>
  </r>
  <r>
    <n v="7954"/>
    <x v="1"/>
    <s v="2023/0640"/>
    <s v="41 Southfields Road"/>
    <s v=""/>
    <n v="525175"/>
    <n v="174296"/>
    <s v="East Putney"/>
    <d v="2024-03-31T00:00:00"/>
    <m/>
    <n v="0"/>
    <n v="1"/>
    <n v="1"/>
    <n v="1"/>
    <n v="1"/>
    <m/>
    <s v="Determination as to whether prior approval is required for change of use of the ground floor from  medical consulting rooms (Class E) to a 2-bed flat. (Class C3)"/>
    <s v="PAG"/>
    <d v="2023-02-16T00:00:00"/>
    <d v="2023-04-04T00:00:00"/>
    <s v="Y"/>
    <s v="Nil"/>
    <m/>
    <s v="BF"/>
    <s v="COU"/>
    <x v="2"/>
    <x v="8"/>
    <n v="7.4999999999999997E-3"/>
    <d v="2024-03-31T00:00:00"/>
    <x v="1"/>
    <m/>
    <s v="Open Market"/>
    <s v="M"/>
    <s v=""/>
    <m/>
    <m/>
    <m/>
    <m/>
    <m/>
    <n v="0"/>
    <n v="0"/>
    <n v="1"/>
    <n v="0"/>
    <n v="0"/>
    <n v="0"/>
    <n v="0"/>
    <n v="0"/>
    <n v="0"/>
    <n v="1"/>
    <n v="0"/>
    <n v="0"/>
    <n v="0"/>
    <n v="0"/>
    <n v="0"/>
    <n v="0"/>
    <n v="0"/>
    <n v="0"/>
    <n v="0"/>
    <n v="0"/>
    <n v="0"/>
    <n v="0"/>
    <n v="0"/>
    <n v="0"/>
    <n v="0"/>
    <n v="0"/>
    <n v="0"/>
    <n v="0"/>
    <m/>
    <m/>
    <s v="Rest of Borough"/>
    <n v="14"/>
    <m/>
    <n v="0.5"/>
    <n v="0.5"/>
    <m/>
    <m/>
    <m/>
    <m/>
    <m/>
    <m/>
    <m/>
    <m/>
    <m/>
    <m/>
    <m/>
    <m/>
    <m/>
    <m/>
    <m/>
    <m/>
    <m/>
    <n v="1"/>
    <n v="1"/>
  </r>
  <r>
    <n v="7863"/>
    <x v="1"/>
    <s v="2023/0718"/>
    <s v="178 Mitcham Road"/>
    <s v=""/>
    <n v="527882"/>
    <n v="170985"/>
    <s v="Tooting Broadway"/>
    <d v="2024-03-31T00:00:00"/>
    <m/>
    <n v="0"/>
    <n v="1"/>
    <n v="1"/>
    <n v="1"/>
    <n v="1"/>
    <m/>
    <s v="Determination as to whether prior approval is required for change of use from retail unit (Class E) to residential (Class C3) to provide a studio flat_x000d_."/>
    <s v="PAG"/>
    <d v="2023-02-22T00:00:00"/>
    <d v="2023-05-05T00:00:00"/>
    <s v="Y"/>
    <s v="Nil"/>
    <m/>
    <s v="BF"/>
    <s v="COU"/>
    <x v="2"/>
    <x v="4"/>
    <n v="4.0000000000000001E-3"/>
    <d v="2024-03-31T00:00:00"/>
    <x v="1"/>
    <m/>
    <s v="Open Market"/>
    <s v="M"/>
    <s v=""/>
    <m/>
    <m/>
    <m/>
    <m/>
    <m/>
    <n v="1"/>
    <n v="0"/>
    <n v="0"/>
    <n v="0"/>
    <n v="0"/>
    <n v="0"/>
    <n v="0"/>
    <n v="1"/>
    <n v="0"/>
    <n v="0"/>
    <n v="0"/>
    <n v="0"/>
    <n v="0"/>
    <n v="0"/>
    <n v="0"/>
    <n v="0"/>
    <n v="0"/>
    <n v="0"/>
    <n v="0"/>
    <n v="0"/>
    <n v="0"/>
    <n v="0"/>
    <n v="0"/>
    <n v="0"/>
    <n v="0"/>
    <n v="0"/>
    <n v="0"/>
    <n v="0"/>
    <m/>
    <m/>
    <s v="Tooting"/>
    <n v="14"/>
    <m/>
    <n v="0.5"/>
    <n v="0.5"/>
    <m/>
    <m/>
    <m/>
    <m/>
    <m/>
    <m/>
    <m/>
    <m/>
    <m/>
    <m/>
    <m/>
    <m/>
    <m/>
    <m/>
    <m/>
    <m/>
    <m/>
    <n v="1"/>
    <n v="1"/>
  </r>
  <r>
    <n v="7296"/>
    <x v="1"/>
    <s v="2019/4697"/>
    <s v="Alton One O'clock Centre, Fontley Way"/>
    <s v="SECOND FLOOR"/>
    <n v="522049"/>
    <n v="173511"/>
    <s v="Roehampton"/>
    <d v="2022-04-01T00:00:00"/>
    <m/>
    <n v="0"/>
    <n v="7"/>
    <n v="7"/>
    <n v="14"/>
    <n v="14"/>
    <s v="Y"/>
    <s v="Redevelopment of the site to provide one new build block of four storeys in height comprising 14 dwellings (Class C3) comprising 12 x 3 bed units and 2 x 4 bed units, landscaped amenity area and playspace, car parking spaces (including disabled spaces), cycle parking, refuse storage and creation of access."/>
    <s v="PFLA"/>
    <d v="2019-11-11T00:00:00"/>
    <d v="2021-11-05T00:00:00"/>
    <m/>
    <s v="Nil"/>
    <m/>
    <s v="BF"/>
    <s v="NB"/>
    <x v="1"/>
    <x v="0"/>
    <n v="4.1000000000000002E-2"/>
    <d v="2022-09-15T00:00:00"/>
    <x v="0"/>
    <m/>
    <s v="Intermediate"/>
    <s v="ISE"/>
    <s v=""/>
    <m/>
    <m/>
    <n v="7"/>
    <m/>
    <m/>
    <n v="0"/>
    <n v="0"/>
    <n v="0"/>
    <n v="7"/>
    <n v="0"/>
    <n v="0"/>
    <n v="0"/>
    <n v="0"/>
    <n v="0"/>
    <n v="0"/>
    <n v="7"/>
    <n v="0"/>
    <n v="0"/>
    <n v="0"/>
    <n v="0"/>
    <n v="0"/>
    <n v="0"/>
    <n v="0"/>
    <n v="0"/>
    <n v="0"/>
    <n v="0"/>
    <n v="0"/>
    <n v="0"/>
    <n v="0"/>
    <n v="0"/>
    <n v="0"/>
    <n v="0"/>
    <n v="0"/>
    <m/>
    <m/>
    <s v="Rest of Borough"/>
    <n v="2"/>
    <m/>
    <n v="7"/>
    <m/>
    <m/>
    <m/>
    <m/>
    <m/>
    <m/>
    <m/>
    <m/>
    <m/>
    <m/>
    <m/>
    <m/>
    <m/>
    <m/>
    <m/>
    <m/>
    <m/>
    <m/>
    <n v="7"/>
    <n v="7"/>
  </r>
  <r>
    <n v="7385"/>
    <x v="1"/>
    <s v="2022/5303"/>
    <s v="Randall Close Day Centre and car park, 2 Randall Close (Surrey Lane Estate)"/>
    <s v="BLOCK B - HYDE LANE"/>
    <n v="527211"/>
    <n v="176872"/>
    <s v="Battersea Park"/>
    <d v="2022-09-21T00:00:00"/>
    <m/>
    <n v="0"/>
    <n v="39"/>
    <n v="39"/>
    <n v="106"/>
    <n v="106"/>
    <s v="Y"/>
    <s v="Variation of conditions 36 (Flood risk) and 41 (provision of 106 affordable and market units) pursuant to planning permission dated 07/05/2021 ref 2020/0635 (as varied by Non-Material Amendments (NMA) dated 13/01/2022 ref.2021/5680, NMA dated 21/10/2022 ref.2022/4169, NMA dated 25/01/2023 ref.2022/3868 and NMA dated 25/01/2023 ref.2022/4493) (Demolition of existing buildings and redevelopment of site to include erection of three buildings between four and six storeys (fronting Battersea Bridge Road and Randall Close) to provide 106 affordable residential units with associated public open space, landscaping, car and cycle parking, refuse storage, plant and amenity space.) to allow submission of updated flood risk assessment and provision of no more than 106 affordable residential units"/>
    <s v="S73"/>
    <d v="2023-01-04T00:00:00"/>
    <d v="2023-07-28T00:00:00"/>
    <s v="Y"/>
    <s v="Nil"/>
    <m/>
    <s v="BF"/>
    <s v="NB"/>
    <x v="1"/>
    <x v="0"/>
    <n v="0.23"/>
    <d v="2023-03-09T00:00:00"/>
    <x v="0"/>
    <m/>
    <s v="Social/Affordable Rent"/>
    <s v="AL"/>
    <s v=""/>
    <m/>
    <m/>
    <n v="39"/>
    <m/>
    <m/>
    <n v="0"/>
    <n v="10"/>
    <n v="28"/>
    <n v="1"/>
    <n v="0"/>
    <n v="0"/>
    <n v="0"/>
    <n v="0"/>
    <n v="10"/>
    <n v="28"/>
    <n v="1"/>
    <n v="0"/>
    <n v="0"/>
    <n v="0"/>
    <n v="0"/>
    <n v="0"/>
    <n v="0"/>
    <n v="0"/>
    <n v="0"/>
    <n v="0"/>
    <n v="0"/>
    <n v="0"/>
    <n v="0"/>
    <n v="0"/>
    <n v="0"/>
    <n v="0"/>
    <n v="0"/>
    <n v="0"/>
    <m/>
    <m/>
    <s v="Rest of Borough"/>
    <n v="5"/>
    <m/>
    <m/>
    <n v="39"/>
    <m/>
    <m/>
    <m/>
    <m/>
    <m/>
    <m/>
    <m/>
    <m/>
    <m/>
    <m/>
    <m/>
    <m/>
    <m/>
    <m/>
    <m/>
    <m/>
    <m/>
    <n v="39"/>
    <n v="39"/>
  </r>
  <r>
    <n v="7960"/>
    <x v="1"/>
    <s v="2023/1179"/>
    <s v="Land West Of, 1 Treville Street"/>
    <s v=""/>
    <n v="522588"/>
    <n v="173914"/>
    <s v="Roehampton"/>
    <d v="2024-03-31T00:00:00"/>
    <m/>
    <n v="1"/>
    <n v="1"/>
    <n v="0"/>
    <n v="1"/>
    <n v="0"/>
    <m/>
    <s v="Redevelopment of single-storey building and garage (Class C3) to provide a two-storey (basement and ground levels)  2-bedroom house (Class C3) with 1 x off street parking space and associated refuse and cycle storage."/>
    <s v="PF"/>
    <d v="2023-03-24T00:00:00"/>
    <d v="2023-05-23T00:00:00"/>
    <s v="Y"/>
    <s v="Nil"/>
    <m/>
    <s v="BF"/>
    <s v="NB"/>
    <x v="2"/>
    <x v="3"/>
    <n v="7.7499999999999999E-3"/>
    <d v="2024-03-31T00:00:00"/>
    <x v="1"/>
    <m/>
    <s v="Open Market"/>
    <s v="MR"/>
    <s v=""/>
    <m/>
    <m/>
    <m/>
    <m/>
    <m/>
    <n v="0"/>
    <n v="-1"/>
    <n v="1"/>
    <n v="0"/>
    <n v="0"/>
    <n v="0"/>
    <n v="0"/>
    <n v="0"/>
    <n v="-1"/>
    <n v="0"/>
    <n v="0"/>
    <n v="0"/>
    <n v="0"/>
    <n v="0"/>
    <n v="0"/>
    <n v="0"/>
    <n v="1"/>
    <n v="0"/>
    <n v="0"/>
    <n v="0"/>
    <n v="0"/>
    <n v="0"/>
    <n v="0"/>
    <n v="0"/>
    <n v="0"/>
    <n v="0"/>
    <n v="0"/>
    <n v="0"/>
    <m/>
    <m/>
    <s v="Rest of Borough"/>
    <n v="4"/>
    <m/>
    <n v="0"/>
    <n v="0"/>
    <m/>
    <m/>
    <m/>
    <m/>
    <m/>
    <m/>
    <m/>
    <m/>
    <m/>
    <m/>
    <m/>
    <m/>
    <m/>
    <m/>
    <m/>
    <m/>
    <m/>
    <n v="0"/>
    <n v="0"/>
  </r>
  <r>
    <n v="7280"/>
    <x v="1"/>
    <s v="2023/1311"/>
    <s v="207-217 Lavender Hill"/>
    <s v=""/>
    <n v="527825"/>
    <n v="175532"/>
    <s v="Lavender"/>
    <d v="2024-03-31T00:00:00"/>
    <m/>
    <n v="0"/>
    <n v="1"/>
    <n v="1"/>
    <n v="1"/>
    <n v="1"/>
    <m/>
    <s v="Alterations in connection with change of use from office (Class E) to residential (Class C3) to provide 2-bedroom flat, installation of planting to forecourt, alterations to ramp, installation of new doors."/>
    <s v="PF"/>
    <d v="2023-04-04T00:00:00"/>
    <d v="2023-10-20T00:00:00"/>
    <s v="Y"/>
    <s v="Nil"/>
    <m/>
    <s v="BF"/>
    <s v="CON"/>
    <x v="2"/>
    <x v="8"/>
    <n v="1.0999999999999999E-2"/>
    <d v="2024-03-31T00:00:00"/>
    <x v="1"/>
    <m/>
    <s v="Open Market"/>
    <s v="M"/>
    <s v=""/>
    <m/>
    <m/>
    <m/>
    <m/>
    <m/>
    <n v="0"/>
    <n v="0"/>
    <n v="1"/>
    <n v="0"/>
    <n v="0"/>
    <n v="0"/>
    <n v="0"/>
    <n v="0"/>
    <n v="0"/>
    <n v="1"/>
    <n v="0"/>
    <n v="0"/>
    <n v="0"/>
    <n v="0"/>
    <n v="0"/>
    <n v="0"/>
    <n v="0"/>
    <n v="0"/>
    <n v="0"/>
    <n v="0"/>
    <n v="0"/>
    <n v="0"/>
    <n v="0"/>
    <n v="0"/>
    <n v="0"/>
    <n v="0"/>
    <n v="0"/>
    <n v="0"/>
    <m/>
    <m/>
    <s v="Clapham Junction and York Road / Winstanley Regeneration Area"/>
    <n v="14"/>
    <m/>
    <n v="0.5"/>
    <n v="0.5"/>
    <m/>
    <m/>
    <m/>
    <m/>
    <m/>
    <m/>
    <m/>
    <m/>
    <m/>
    <m/>
    <m/>
    <m/>
    <m/>
    <m/>
    <m/>
    <m/>
    <m/>
    <n v="1"/>
    <n v="1"/>
  </r>
  <r>
    <n v="7829"/>
    <x v="1"/>
    <s v="2023/1371"/>
    <s v="116 Disraeli Road"/>
    <s v=""/>
    <n v="524414"/>
    <n v="175024"/>
    <s v="Thamesfield"/>
    <d v="2023-07-20T00:00:00"/>
    <m/>
    <n v="1"/>
    <n v="3"/>
    <n v="2"/>
    <n v="3"/>
    <n v="2"/>
    <m/>
    <s v="Alterations including erection of part single, part two-storey rear and side extensions; mansard roof extension to main rear roof and above back addition with terraces at rear first and second floor levels; in connection with the conversion of the property into 3 self-contained residential units (1 x 3-bedroom and 2 x 2-bedroom units) (Amendment to 2022/1557)"/>
    <s v="PF"/>
    <d v="2023-05-04T00:00:00"/>
    <d v="2023-07-12T00:00:00"/>
    <s v="Y"/>
    <s v="Nil"/>
    <m/>
    <s v="BF"/>
    <s v="MIX"/>
    <x v="2"/>
    <x v="10"/>
    <n v="1.8350000000000002E-2"/>
    <d v="2023-07-20T00:00:00"/>
    <x v="1"/>
    <m/>
    <s v="Open Market"/>
    <s v="M"/>
    <s v=""/>
    <m/>
    <m/>
    <m/>
    <m/>
    <m/>
    <n v="0"/>
    <n v="0"/>
    <n v="2"/>
    <n v="1"/>
    <n v="0"/>
    <n v="-1"/>
    <n v="0"/>
    <n v="0"/>
    <n v="0"/>
    <n v="2"/>
    <n v="1"/>
    <n v="0"/>
    <n v="0"/>
    <n v="0"/>
    <n v="0"/>
    <n v="0"/>
    <n v="0"/>
    <n v="0"/>
    <n v="0"/>
    <n v="-1"/>
    <n v="0"/>
    <n v="0"/>
    <n v="0"/>
    <n v="0"/>
    <n v="0"/>
    <n v="0"/>
    <n v="0"/>
    <n v="0"/>
    <m/>
    <m/>
    <s v="Rest of Borough"/>
    <n v="13"/>
    <m/>
    <n v="2"/>
    <m/>
    <m/>
    <m/>
    <m/>
    <m/>
    <m/>
    <m/>
    <m/>
    <m/>
    <m/>
    <m/>
    <m/>
    <m/>
    <m/>
    <m/>
    <m/>
    <m/>
    <m/>
    <n v="2"/>
    <n v="2"/>
  </r>
  <r>
    <n v="7385"/>
    <x v="1"/>
    <s v="2022/5303"/>
    <s v="Randall Close Day Centre and car park, 2 Randall Close (Surrey Lane Estate)"/>
    <s v="BLOCK A2 - RANDALL CLOSE"/>
    <n v="527211"/>
    <n v="176872"/>
    <s v="Battersea Park"/>
    <d v="2022-09-21T00:00:00"/>
    <m/>
    <n v="0"/>
    <n v="30"/>
    <n v="30"/>
    <n v="106"/>
    <n v="106"/>
    <s v="Y"/>
    <s v="Variation of conditions 36 (Flood risk) and 41 (provision of 106 affordable and market units) pursuant to planning permission dated 07/05/2021 ref 2020/0635 (as varied by Non-Material Amendments (NMA) dated 13/01/2022 ref.2021/5680, NMA dated 21/10/2022 ref.2022/4169, NMA dated 25/01/2023 ref.2022/3868 and NMA dated 25/01/2023 ref.2022/4493) (Demolition of existing buildings and redevelopment of site to include erection of three buildings between four and six storeys (fronting Battersea Bridge Road and Randall Close) to provide 106 affordable residential units with associated public open space, landscaping, car and cycle parking, refuse storage, plant and amenity space.) to allow submission of updated flood risk assessment and provision of no more than 106 affordable residential units"/>
    <s v="S73"/>
    <d v="2023-01-04T00:00:00"/>
    <d v="2023-07-28T00:00:00"/>
    <s v="Y"/>
    <s v="Nil"/>
    <m/>
    <s v="BF"/>
    <s v="NB"/>
    <x v="1"/>
    <x v="0"/>
    <n v="0.17699999999999999"/>
    <d v="2023-03-09T00:00:00"/>
    <x v="0"/>
    <m/>
    <s v="Social/Affordable Rent"/>
    <s v="AL"/>
    <s v=""/>
    <m/>
    <m/>
    <n v="30"/>
    <m/>
    <m/>
    <n v="22"/>
    <n v="0"/>
    <n v="8"/>
    <n v="0"/>
    <n v="0"/>
    <n v="0"/>
    <n v="0"/>
    <n v="22"/>
    <n v="0"/>
    <n v="8"/>
    <n v="0"/>
    <n v="0"/>
    <n v="0"/>
    <n v="0"/>
    <n v="0"/>
    <n v="0"/>
    <n v="0"/>
    <n v="0"/>
    <n v="0"/>
    <n v="0"/>
    <n v="0"/>
    <n v="0"/>
    <n v="0"/>
    <n v="0"/>
    <n v="0"/>
    <n v="0"/>
    <n v="0"/>
    <n v="0"/>
    <m/>
    <m/>
    <s v="Rest of Borough"/>
    <n v="5"/>
    <m/>
    <m/>
    <n v="30"/>
    <m/>
    <m/>
    <m/>
    <m/>
    <m/>
    <m/>
    <m/>
    <m/>
    <m/>
    <m/>
    <m/>
    <m/>
    <m/>
    <m/>
    <m/>
    <m/>
    <m/>
    <n v="30"/>
    <n v="30"/>
  </r>
  <r>
    <n v="7385"/>
    <x v="1"/>
    <s v="2022/5303"/>
    <s v="Randall Close Day Centre and car park, 2 Randall Close (Surrey Lane Estate)"/>
    <s v="BLOCK A1 - RANDALL CLOSE"/>
    <n v="527211"/>
    <n v="176872"/>
    <s v="Battersea Park"/>
    <d v="2022-09-21T00:00:00"/>
    <m/>
    <n v="0"/>
    <n v="27"/>
    <n v="27"/>
    <n v="106"/>
    <n v="106"/>
    <s v="Y"/>
    <s v="Variation of conditions 36 (Flood risk) and 41 (provision of 106 affordable and market units) pursuant to planning permission dated 07/05/2021 ref 2020/0635 (as varied by Non-Material Amendments (NMA) dated 13/01/2022 ref.2021/5680, NMA dated 21/10/2022 ref.2022/4169, NMA dated 25/01/2023 ref.2022/3868 and NMA dated 25/01/2023 ref.2022/4493) (Demolition of existing buildings and redevelopment of site to include erection of three buildings between four and six storeys (fronting Battersea Bridge Road and Randall Close) to provide 106 affordable residential units with associated public open space, landscaping, car and cycle parking, refuse storage, plant and amenity space.) to allow submission of updated flood risk assessment and provision of no more than 106 affordable residential units"/>
    <s v="S73"/>
    <d v="2023-01-04T00:00:00"/>
    <d v="2023-07-28T00:00:00"/>
    <s v="Y"/>
    <s v="Nil"/>
    <m/>
    <s v="BF"/>
    <s v="NB"/>
    <x v="1"/>
    <x v="0"/>
    <n v="0.16"/>
    <d v="2023-03-09T00:00:00"/>
    <x v="0"/>
    <m/>
    <s v="Social/Affordable Rent"/>
    <s v="AL"/>
    <s v=""/>
    <m/>
    <m/>
    <n v="16"/>
    <m/>
    <n v="11"/>
    <n v="0"/>
    <n v="8"/>
    <n v="13"/>
    <n v="4"/>
    <n v="2"/>
    <n v="0"/>
    <n v="0"/>
    <n v="0"/>
    <n v="8"/>
    <n v="13"/>
    <n v="4"/>
    <n v="2"/>
    <n v="0"/>
    <n v="0"/>
    <n v="0"/>
    <n v="0"/>
    <n v="0"/>
    <n v="0"/>
    <n v="0"/>
    <n v="0"/>
    <n v="0"/>
    <n v="0"/>
    <n v="0"/>
    <n v="0"/>
    <n v="0"/>
    <n v="0"/>
    <n v="0"/>
    <n v="0"/>
    <m/>
    <m/>
    <s v="Rest of Borough"/>
    <n v="5"/>
    <m/>
    <m/>
    <n v="27"/>
    <m/>
    <m/>
    <m/>
    <m/>
    <m/>
    <m/>
    <m/>
    <m/>
    <m/>
    <m/>
    <m/>
    <m/>
    <m/>
    <m/>
    <m/>
    <m/>
    <m/>
    <n v="27"/>
    <n v="27"/>
  </r>
  <r>
    <n v="7385"/>
    <x v="1"/>
    <s v="2022/5303"/>
    <s v="Randall Close Day Centre and car park, 2 Randall Close (Surrey Lane Estate)"/>
    <s v="BLOCK C - BATTERSEA BRIDGE ROAD"/>
    <n v="527211"/>
    <n v="176872"/>
    <s v="Battersea Park"/>
    <d v="2022-09-21T00:00:00"/>
    <m/>
    <n v="0"/>
    <n v="10"/>
    <n v="10"/>
    <n v="106"/>
    <n v="106"/>
    <s v="Y"/>
    <s v="Variation of conditions 36 (Flood risk) and 41 (provision of 106 affordable and market units) pursuant to planning permission dated 07/05/2021 ref 2020/0635 (as varied by Non-Material Amendments (NMA) dated 13/01/2022 ref.2021/5680, NMA dated 21/10/2022 ref.2022/4169, NMA dated 25/01/2023 ref.2022/3868 and NMA dated 25/01/2023 ref.2022/4493) (Demolition of existing buildings and redevelopment of site to include erection of three buildings between four and six storeys (fronting Battersea Bridge Road and Randall Close) to provide 106 affordable residential units with associated public open space, landscaping, car and cycle parking, refuse storage, plant and amenity space.) to allow submission of updated flood risk assessment and provision of no more than 106 affordable residential units"/>
    <s v="S73"/>
    <d v="2023-01-04T00:00:00"/>
    <d v="2023-07-28T00:00:00"/>
    <s v="Y"/>
    <s v="Nil"/>
    <m/>
    <s v="BF"/>
    <s v="NB"/>
    <x v="1"/>
    <x v="0"/>
    <n v="5.8999999999999997E-2"/>
    <d v="2023-03-09T00:00:00"/>
    <x v="0"/>
    <m/>
    <s v="Social/Affordable Rent"/>
    <s v="AL"/>
    <s v=""/>
    <m/>
    <m/>
    <n v="10"/>
    <m/>
    <m/>
    <n v="0"/>
    <n v="6"/>
    <n v="4"/>
    <n v="0"/>
    <n v="0"/>
    <n v="0"/>
    <n v="0"/>
    <n v="0"/>
    <n v="6"/>
    <n v="4"/>
    <n v="0"/>
    <n v="0"/>
    <n v="0"/>
    <n v="0"/>
    <n v="0"/>
    <n v="0"/>
    <n v="0"/>
    <n v="0"/>
    <n v="0"/>
    <n v="0"/>
    <n v="0"/>
    <n v="0"/>
    <n v="0"/>
    <n v="0"/>
    <n v="0"/>
    <n v="0"/>
    <n v="0"/>
    <n v="0"/>
    <m/>
    <m/>
    <s v="Rest of Borough"/>
    <n v="5"/>
    <m/>
    <m/>
    <n v="10"/>
    <m/>
    <m/>
    <m/>
    <m/>
    <m/>
    <m/>
    <m/>
    <m/>
    <m/>
    <m/>
    <m/>
    <m/>
    <m/>
    <m/>
    <m/>
    <m/>
    <m/>
    <n v="10"/>
    <n v="10"/>
  </r>
  <r>
    <n v="7980"/>
    <x v="1"/>
    <s v="2023/1549"/>
    <s v="68 Southcroft Road"/>
    <s v=""/>
    <n v="528153"/>
    <n v="170863"/>
    <s v="Furzedown"/>
    <d v="2023-06-01T00:00:00"/>
    <m/>
    <n v="0"/>
    <n v="1"/>
    <n v="1"/>
    <n v="1"/>
    <n v="1"/>
    <m/>
    <s v="Alterations including erection of mansard roof extension to main rear roof and extension above part of the two-storey back addition and formation of roof terrace above two-storey back addition with 1.7m high screen surround in connection with creation of 1 x 1 bedroom flat."/>
    <s v="PF"/>
    <d v="2023-04-24T00:00:00"/>
    <d v="2023-06-19T00:00:00"/>
    <s v="Y"/>
    <s v="Nil"/>
    <m/>
    <s v="BF"/>
    <s v="EXT"/>
    <x v="2"/>
    <x v="7"/>
    <n v="5.6499999999999996E-3"/>
    <d v="2023-06-01T00:00:00"/>
    <x v="1"/>
    <m/>
    <s v="Open Market"/>
    <s v="M"/>
    <s v=""/>
    <m/>
    <m/>
    <m/>
    <m/>
    <m/>
    <n v="0"/>
    <n v="1"/>
    <n v="0"/>
    <n v="0"/>
    <n v="0"/>
    <n v="0"/>
    <n v="0"/>
    <n v="0"/>
    <n v="1"/>
    <n v="0"/>
    <n v="0"/>
    <n v="0"/>
    <n v="0"/>
    <n v="0"/>
    <n v="0"/>
    <n v="0"/>
    <n v="0"/>
    <n v="0"/>
    <n v="0"/>
    <n v="0"/>
    <n v="0"/>
    <n v="0"/>
    <n v="0"/>
    <n v="0"/>
    <n v="0"/>
    <n v="0"/>
    <n v="0"/>
    <n v="0"/>
    <m/>
    <m/>
    <s v="Rest of Borough"/>
    <n v="13"/>
    <m/>
    <n v="1"/>
    <m/>
    <m/>
    <m/>
    <m/>
    <m/>
    <m/>
    <m/>
    <m/>
    <m/>
    <m/>
    <m/>
    <m/>
    <m/>
    <m/>
    <m/>
    <m/>
    <m/>
    <m/>
    <n v="1"/>
    <n v="1"/>
  </r>
  <r>
    <n v="7991"/>
    <x v="1"/>
    <s v="2023/1804"/>
    <s v="13 Thirsk Road"/>
    <s v=""/>
    <n v="528019"/>
    <n v="175525"/>
    <s v="Lavender"/>
    <d v="2024-03-31T00:00:00"/>
    <m/>
    <n v="2"/>
    <n v="1"/>
    <n v="-1"/>
    <n v="1"/>
    <n v="-1"/>
    <m/>
    <s v="Conversion of two existing flats into a single 4-bedroom house"/>
    <s v="PF"/>
    <d v="2023-05-10T00:00:00"/>
    <d v="2023-07-05T00:00:00"/>
    <s v="Y"/>
    <s v="Nil"/>
    <m/>
    <s v="BF"/>
    <s v="CON"/>
    <x v="2"/>
    <x v="11"/>
    <n v="6.1999999999999998E-3"/>
    <d v="2024-03-31T00:00:00"/>
    <x v="1"/>
    <m/>
    <s v="Open Market"/>
    <s v="M"/>
    <s v=""/>
    <m/>
    <m/>
    <m/>
    <m/>
    <m/>
    <n v="0"/>
    <n v="-1"/>
    <n v="-1"/>
    <n v="0"/>
    <n v="1"/>
    <n v="0"/>
    <n v="0"/>
    <n v="0"/>
    <n v="-1"/>
    <n v="-1"/>
    <n v="0"/>
    <n v="0"/>
    <n v="0"/>
    <n v="0"/>
    <n v="0"/>
    <n v="0"/>
    <n v="0"/>
    <n v="0"/>
    <n v="1"/>
    <n v="0"/>
    <n v="0"/>
    <n v="0"/>
    <n v="0"/>
    <n v="0"/>
    <n v="0"/>
    <n v="0"/>
    <n v="0"/>
    <n v="0"/>
    <m/>
    <m/>
    <s v="Rest of Borough"/>
    <n v="14"/>
    <m/>
    <n v="-0.5"/>
    <n v="-0.5"/>
    <m/>
    <m/>
    <m/>
    <m/>
    <m/>
    <m/>
    <m/>
    <m/>
    <m/>
    <m/>
    <m/>
    <m/>
    <m/>
    <m/>
    <m/>
    <m/>
    <m/>
    <n v="-1"/>
    <n v="-1"/>
  </r>
  <r>
    <n v="7992"/>
    <x v="1"/>
    <s v="2023/1904"/>
    <s v="20 Coverton Road"/>
    <s v=""/>
    <n v="527301"/>
    <n v="171404"/>
    <s v="Tooting Broadway"/>
    <d v="2024-01-22T00:00:00"/>
    <m/>
    <n v="2"/>
    <n v="4"/>
    <n v="2"/>
    <n v="4"/>
    <n v="2"/>
    <m/>
    <s v="Alterations including erection of mansard roof extension to main rear roof (with french doors and safety railings) including raising ridge by 300mm, erection of roof extension above three storey back addition, erection of part single/part three storey rear and side extension, formation of roof terrace with 1.7m safety screen surround at second floor level and installation of french doors and safety railings  at first and second floors. Extensions and alterastions in connection with creation of 2 x 1-bedroom, 1 x 2-bedroom and 1 x 3-bedroom flats with associated refuse and cycle storage and boundary treatment."/>
    <s v="PF"/>
    <d v="2023-05-17T00:00:00"/>
    <d v="2023-08-24T00:00:00"/>
    <s v="Y"/>
    <s v="Nil"/>
    <m/>
    <s v="BF"/>
    <s v="MIX"/>
    <x v="2"/>
    <x v="7"/>
    <n v="7.9266670000000001E-3"/>
    <d v="2024-01-22T00:00:00"/>
    <x v="1"/>
    <m/>
    <s v="Open Market"/>
    <s v="M"/>
    <s v=""/>
    <m/>
    <m/>
    <m/>
    <m/>
    <m/>
    <n v="0"/>
    <n v="2"/>
    <n v="0"/>
    <n v="0"/>
    <n v="0"/>
    <n v="0"/>
    <n v="0"/>
    <n v="0"/>
    <n v="2"/>
    <n v="0"/>
    <n v="0"/>
    <n v="0"/>
    <n v="0"/>
    <n v="0"/>
    <n v="0"/>
    <n v="0"/>
    <n v="0"/>
    <n v="0"/>
    <n v="0"/>
    <n v="0"/>
    <n v="0"/>
    <n v="0"/>
    <n v="0"/>
    <n v="0"/>
    <n v="0"/>
    <n v="0"/>
    <n v="0"/>
    <n v="0"/>
    <m/>
    <m/>
    <s v="Tooting"/>
    <n v="14"/>
    <m/>
    <n v="1"/>
    <n v="1"/>
    <m/>
    <m/>
    <m/>
    <m/>
    <m/>
    <m/>
    <m/>
    <m/>
    <m/>
    <m/>
    <m/>
    <m/>
    <m/>
    <m/>
    <m/>
    <m/>
    <m/>
    <n v="2"/>
    <n v="2"/>
  </r>
  <r>
    <n v="8003"/>
    <x v="1"/>
    <s v="2023/1977"/>
    <s v="11 and 11a, 11 Fairlight Road"/>
    <s v=""/>
    <n v="526962"/>
    <n v="171676"/>
    <s v="Tooting Broadway"/>
    <d v="2024-01-23T00:00:00"/>
    <m/>
    <n v="2"/>
    <n v="3"/>
    <n v="1"/>
    <n v="3"/>
    <n v="1"/>
    <m/>
    <s v="Alterations including erection of a dormer roof extension to main rear roof (including raising the roof ridge by 250mm) and extension with formation of a roof terrace with 1.7m high screen surround above two storey back addition in connection with the creation of 1-bedroom flat. Replacement of window with bi folding doors at first floor and erection of first floor balcony with 1.7m high screen surround. Erection of ground floor rear extension."/>
    <s v="PF"/>
    <d v="2023-07-07T00:00:00"/>
    <d v="2023-10-06T00:00:00"/>
    <s v="Y"/>
    <s v="Nil"/>
    <m/>
    <s v="BF"/>
    <s v="EXT"/>
    <x v="2"/>
    <x v="7"/>
    <n v="6.4000000000000003E-3"/>
    <d v="2024-01-23T00:00:00"/>
    <x v="1"/>
    <m/>
    <s v="Open Market"/>
    <s v="M"/>
    <s v=""/>
    <m/>
    <m/>
    <m/>
    <m/>
    <m/>
    <n v="0"/>
    <n v="0"/>
    <n v="1"/>
    <n v="0"/>
    <n v="0"/>
    <n v="0"/>
    <n v="0"/>
    <n v="0"/>
    <n v="0"/>
    <n v="1"/>
    <n v="0"/>
    <n v="0"/>
    <n v="0"/>
    <n v="0"/>
    <n v="0"/>
    <n v="0"/>
    <n v="0"/>
    <n v="0"/>
    <n v="0"/>
    <n v="0"/>
    <n v="0"/>
    <n v="0"/>
    <n v="0"/>
    <n v="0"/>
    <n v="0"/>
    <n v="0"/>
    <n v="0"/>
    <n v="0"/>
    <m/>
    <m/>
    <s v="Rest of Borough"/>
    <n v="14"/>
    <m/>
    <n v="0.5"/>
    <n v="0.5"/>
    <m/>
    <m/>
    <m/>
    <m/>
    <m/>
    <m/>
    <m/>
    <m/>
    <m/>
    <m/>
    <m/>
    <m/>
    <m/>
    <m/>
    <m/>
    <m/>
    <m/>
    <n v="1"/>
    <n v="1"/>
  </r>
  <r>
    <n v="6983"/>
    <x v="1"/>
    <s v="2023/2434"/>
    <s v="824 Garratt Lane"/>
    <s v=""/>
    <n v="526930"/>
    <n v="171771"/>
    <s v="Tooting Broadway"/>
    <d v="2024-01-10T00:00:00"/>
    <m/>
    <n v="1"/>
    <n v="3"/>
    <n v="2"/>
    <n v="3"/>
    <n v="2"/>
    <m/>
    <s v="Erection of mansard roof extension to main rear roof slope, extension over two-storey back addition and part single/part two-storey rear extension. Raising of ridgeline by 350mm,  installation of roof lights to front main roof slope. Formation of a roof terrace to second floor addition and internal balcony to the first floor. Install new shop front and doorway to the front elevation with extensive internal refurbishment throughout. Change of use of rear of ground floor from launderette (Sui Generis) to residential (Class C3) and creation of 2 no x 1-bedroom and 1 No 2-bedroom flat with retention of front for commercial use."/>
    <s v="PF"/>
    <d v="2023-06-26T00:00:00"/>
    <d v="2023-11-02T00:00:00"/>
    <s v="Y"/>
    <s v="Nil"/>
    <m/>
    <s v="BF"/>
    <s v="MIX"/>
    <x v="2"/>
    <x v="7"/>
    <n v="9.3399999999999993E-3"/>
    <d v="2024-01-10T00:00:00"/>
    <x v="1"/>
    <m/>
    <s v="Open Market"/>
    <s v="M"/>
    <s v=""/>
    <m/>
    <m/>
    <m/>
    <m/>
    <m/>
    <n v="0"/>
    <n v="2"/>
    <n v="0"/>
    <n v="0"/>
    <n v="0"/>
    <n v="0"/>
    <n v="0"/>
    <n v="0"/>
    <n v="2"/>
    <n v="0"/>
    <n v="0"/>
    <n v="0"/>
    <n v="0"/>
    <n v="0"/>
    <n v="0"/>
    <n v="0"/>
    <n v="0"/>
    <n v="0"/>
    <n v="0"/>
    <n v="0"/>
    <n v="0"/>
    <n v="0"/>
    <n v="0"/>
    <n v="0"/>
    <n v="0"/>
    <n v="0"/>
    <n v="0"/>
    <n v="0"/>
    <m/>
    <m/>
    <s v="Rest of Borough"/>
    <n v="14"/>
    <m/>
    <n v="1"/>
    <n v="1"/>
    <m/>
    <m/>
    <m/>
    <m/>
    <m/>
    <m/>
    <m/>
    <m/>
    <m/>
    <m/>
    <m/>
    <m/>
    <m/>
    <m/>
    <m/>
    <m/>
    <m/>
    <n v="2"/>
    <n v="2"/>
  </r>
  <r>
    <n v="4865"/>
    <x v="1"/>
    <s v="2023/2606"/>
    <s v="1 Withycombe Road"/>
    <s v=""/>
    <n v="523686"/>
    <n v="173656"/>
    <s v="West Hill"/>
    <d v="2023-04-01T00:00:00"/>
    <m/>
    <n v="0"/>
    <n v="2"/>
    <n v="2"/>
    <n v="2"/>
    <n v="2"/>
    <m/>
    <s v="Erection of two new semi-detached house with two 3-bedroom units including a basement. (site has already been demolished)"/>
    <s v="PF"/>
    <d v="2023-07-17T00:00:00"/>
    <d v="2024-03-13T00:00:00"/>
    <s v="Y"/>
    <s v="Nil"/>
    <m/>
    <s v="BF"/>
    <s v="NB"/>
    <x v="2"/>
    <x v="3"/>
    <n v="1.09E-2"/>
    <d v="2023-04-01T00:00:00"/>
    <x v="1"/>
    <m/>
    <s v="Open Market"/>
    <s v="M"/>
    <s v=""/>
    <m/>
    <m/>
    <m/>
    <m/>
    <m/>
    <n v="0"/>
    <n v="0"/>
    <n v="0"/>
    <n v="2"/>
    <n v="0"/>
    <n v="0"/>
    <n v="0"/>
    <n v="0"/>
    <n v="0"/>
    <n v="0"/>
    <n v="0"/>
    <n v="0"/>
    <n v="0"/>
    <n v="0"/>
    <n v="0"/>
    <n v="0"/>
    <n v="0"/>
    <n v="2"/>
    <n v="0"/>
    <n v="0"/>
    <n v="0"/>
    <n v="0"/>
    <n v="0"/>
    <n v="0"/>
    <n v="0"/>
    <n v="0"/>
    <n v="0"/>
    <n v="0"/>
    <m/>
    <m/>
    <s v="Rest of Borough"/>
    <n v="3"/>
    <m/>
    <n v="2"/>
    <m/>
    <m/>
    <m/>
    <m/>
    <m/>
    <m/>
    <m/>
    <m/>
    <m/>
    <m/>
    <m/>
    <m/>
    <m/>
    <m/>
    <m/>
    <m/>
    <m/>
    <m/>
    <n v="2"/>
    <n v="2"/>
  </r>
  <r>
    <n v="7748"/>
    <x v="1"/>
    <s v="2023/2912"/>
    <s v="19 St Maragret's Crescent"/>
    <s v=""/>
    <n v="522924"/>
    <n v="174688"/>
    <s v="West Putney"/>
    <d v="2024-01-29T00:00:00"/>
    <m/>
    <n v="0"/>
    <n v="1"/>
    <n v="1"/>
    <n v="1"/>
    <n v="1"/>
    <m/>
    <s v="Erection of a two-storey (plus additional accommodation within the roofspace and at basement level) 5-bedroom dwellinghouse, with associated off-street parking space, cycle storage and hard and soft landscaping, including provision of a front lightwell and an air source heat pump."/>
    <s v="PF"/>
    <d v="2023-08-01T00:00:00"/>
    <d v="2023-09-22T00:00:00"/>
    <s v="Y"/>
    <s v="Nil"/>
    <m/>
    <s v="BF"/>
    <s v="NB"/>
    <x v="2"/>
    <x v="3"/>
    <n v="0"/>
    <d v="2024-01-29T00:00:00"/>
    <x v="1"/>
    <m/>
    <s v="Open Market"/>
    <s v="M"/>
    <s v=""/>
    <m/>
    <m/>
    <m/>
    <m/>
    <m/>
    <n v="0"/>
    <n v="0"/>
    <n v="0"/>
    <n v="0"/>
    <n v="0"/>
    <n v="1"/>
    <n v="0"/>
    <n v="0"/>
    <n v="0"/>
    <n v="0"/>
    <n v="0"/>
    <n v="0"/>
    <n v="0"/>
    <n v="0"/>
    <n v="0"/>
    <n v="0"/>
    <n v="0"/>
    <n v="0"/>
    <n v="0"/>
    <n v="1"/>
    <n v="0"/>
    <n v="0"/>
    <n v="0"/>
    <n v="0"/>
    <n v="0"/>
    <n v="0"/>
    <n v="0"/>
    <n v="0"/>
    <m/>
    <m/>
    <s v="Rest of Borough"/>
    <n v="4"/>
    <m/>
    <n v="0.5"/>
    <n v="0.5"/>
    <m/>
    <m/>
    <m/>
    <m/>
    <m/>
    <m/>
    <m/>
    <m/>
    <m/>
    <m/>
    <m/>
    <m/>
    <m/>
    <m/>
    <m/>
    <m/>
    <m/>
    <n v="1"/>
    <n v="1"/>
  </r>
  <r>
    <n v="5998"/>
    <x v="1"/>
    <s v="2023/2923"/>
    <s v="61 Latchmere Road"/>
    <s v=""/>
    <n v="527626"/>
    <n v="176137"/>
    <s v="Shaftesbury &amp; Queenstown"/>
    <d v="2024-03-31T00:00:00"/>
    <m/>
    <n v="1"/>
    <n v="3"/>
    <n v="2"/>
    <n v="3"/>
    <n v="2"/>
    <m/>
    <s v="Alterations including erection of a front and rear mansard roof extension above main roof (with French doors and safety railings). Erection of part single, two, three, four storey rear/side extension and formation of rear roof terrace with 1.7m high screen surround in connection with conversion of single family dwelling house into 3 self-contained flats (1 x 3-bed, 1 x 2-bed, 1 x 1-bed) with associated refuse and cycle storage._x000a__x000a_Rear extensions at ground, first and second floor, with full mansard and pod roof extension and roof terrace with obscured glazed balustrade up to a height of 1.7m above terrace floor and conversion of single family dwelling house into 3 self-contained flats (1 x 3-bed, 1 x 2-bed, 1 x 1-bed/1-person) with associated refuse and cycle storage."/>
    <s v="PF"/>
    <d v="2023-08-02T00:00:00"/>
    <d v="2023-12-20T00:00:00"/>
    <s v="Y"/>
    <s v="Nil"/>
    <m/>
    <s v="BF"/>
    <s v="CON"/>
    <x v="2"/>
    <x v="10"/>
    <n v="6.4999999999999997E-3"/>
    <d v="2024-03-31T00:00:00"/>
    <x v="1"/>
    <m/>
    <s v="Open Market"/>
    <s v="M"/>
    <s v=""/>
    <m/>
    <m/>
    <m/>
    <m/>
    <m/>
    <n v="1"/>
    <n v="1"/>
    <n v="0"/>
    <n v="-1"/>
    <n v="1"/>
    <n v="0"/>
    <n v="0"/>
    <n v="1"/>
    <n v="1"/>
    <n v="0"/>
    <n v="0"/>
    <n v="1"/>
    <n v="0"/>
    <n v="0"/>
    <n v="0"/>
    <n v="0"/>
    <n v="0"/>
    <n v="-1"/>
    <n v="0"/>
    <n v="0"/>
    <n v="0"/>
    <n v="0"/>
    <n v="0"/>
    <n v="0"/>
    <n v="0"/>
    <n v="0"/>
    <n v="0"/>
    <n v="0"/>
    <m/>
    <m/>
    <s v="Rest of Borough"/>
    <n v="14"/>
    <m/>
    <n v="1"/>
    <n v="1"/>
    <m/>
    <m/>
    <m/>
    <m/>
    <m/>
    <m/>
    <m/>
    <m/>
    <m/>
    <m/>
    <m/>
    <m/>
    <m/>
    <m/>
    <m/>
    <m/>
    <m/>
    <n v="2"/>
    <n v="2"/>
  </r>
  <r>
    <n v="8028"/>
    <x v="1"/>
    <s v="2023/3024"/>
    <s v="284 Franciscan Road"/>
    <s v=""/>
    <n v="527719"/>
    <n v="171291"/>
    <s v="Tooting Broadway"/>
    <d v="2023-12-07T00:00:00"/>
    <m/>
    <n v="1"/>
    <n v="4"/>
    <n v="3"/>
    <n v="4"/>
    <n v="3"/>
    <m/>
    <s v="Alterations including erection of a mansard roof extension to main rear roof (with French doors and safety railings) including raising ridge by 300mm and erection of roof extension above two storey back addition; erection of single storey rear/side extension; formation of second floor rear roof terrace with 1.7m glazed safety screen surround in connection with creation of 1 x 3-bedroom, 1 x 2-bedroom and 1 x 1-bedroom and 1 x studio flats with associated refuse storage to front garden and associate internal cycle storage."/>
    <s v="PF"/>
    <d v="2023-08-10T00:00:00"/>
    <d v="2023-11-23T00:00:00"/>
    <s v="Y"/>
    <s v="Nil"/>
    <m/>
    <s v="BF"/>
    <s v="EXT"/>
    <x v="2"/>
    <x v="10"/>
    <n v="1.2152E-2"/>
    <d v="2023-12-07T00:00:00"/>
    <x v="1"/>
    <m/>
    <s v="Open Market"/>
    <s v="M"/>
    <s v=""/>
    <m/>
    <m/>
    <m/>
    <m/>
    <m/>
    <n v="0"/>
    <n v="2"/>
    <n v="1"/>
    <n v="1"/>
    <n v="-1"/>
    <n v="0"/>
    <n v="0"/>
    <n v="0"/>
    <n v="2"/>
    <n v="1"/>
    <n v="1"/>
    <n v="0"/>
    <n v="0"/>
    <n v="0"/>
    <n v="0"/>
    <n v="0"/>
    <n v="0"/>
    <n v="0"/>
    <n v="-1"/>
    <n v="0"/>
    <n v="0"/>
    <n v="0"/>
    <n v="0"/>
    <n v="0"/>
    <n v="0"/>
    <n v="0"/>
    <n v="0"/>
    <n v="0"/>
    <m/>
    <m/>
    <s v="Tooting"/>
    <n v="14"/>
    <m/>
    <n v="1.5"/>
    <n v="1.5"/>
    <m/>
    <m/>
    <m/>
    <m/>
    <m/>
    <m/>
    <m/>
    <m/>
    <m/>
    <m/>
    <m/>
    <m/>
    <m/>
    <m/>
    <m/>
    <m/>
    <m/>
    <n v="3"/>
    <n v="3"/>
  </r>
  <r>
    <n v="7924"/>
    <x v="1"/>
    <s v="2023/3205"/>
    <s v="4a Aldrington Road"/>
    <s v=""/>
    <n v="529471"/>
    <n v="171314"/>
    <s v="Furzedown"/>
    <d v="2024-03-31T00:00:00"/>
    <m/>
    <n v="1"/>
    <n v="7"/>
    <n v="6"/>
    <n v="7"/>
    <n v="6"/>
    <m/>
    <s v="Variation of condition 2 (in accordance with approved drawings) pursuant to planning permission dated 14/07/2023 ref 2022/5125 (Demolition of existing property and annex buildings and the erection of three storey building to create 7 self-contained flats (2 x 3-bed units, 2 x 2-bed units and 3 x 1-bed units) with associated terrace/balconies, refuse and cycle storage, boundary treatments and landscaping, including removal and replacement of two trees.) to allow changes to internal layout so that a 1-bedroom unit can be a 2-bedroom unit; relocate a terrace from second floor to first; alterations to fenestration and increase number of windows on side elevation (window on side elevation above ground floor will be obscured); repositioning of boundary and replacement of doors on the ground floor with full height windows and safety railings."/>
    <s v="S73"/>
    <d v="2023-09-08T00:00:00"/>
    <d v="2024-01-30T00:00:00"/>
    <s v="Y"/>
    <s v="Nil"/>
    <m/>
    <s v="BF"/>
    <s v="NB"/>
    <x v="2"/>
    <x v="3"/>
    <n v="0.47499999999999998"/>
    <d v="2024-03-31T00:00:00"/>
    <x v="1"/>
    <m/>
    <s v="Open Market"/>
    <s v="M"/>
    <s v=""/>
    <m/>
    <m/>
    <m/>
    <m/>
    <m/>
    <n v="0"/>
    <n v="2"/>
    <n v="3"/>
    <n v="2"/>
    <n v="0"/>
    <n v="-1"/>
    <n v="0"/>
    <n v="0"/>
    <n v="2"/>
    <n v="3"/>
    <n v="2"/>
    <n v="0"/>
    <n v="0"/>
    <n v="0"/>
    <n v="0"/>
    <n v="0"/>
    <n v="0"/>
    <n v="0"/>
    <n v="0"/>
    <n v="-1"/>
    <n v="0"/>
    <n v="0"/>
    <n v="0"/>
    <n v="0"/>
    <n v="0"/>
    <n v="0"/>
    <n v="0"/>
    <n v="0"/>
    <m/>
    <m/>
    <s v="Rest of Borough"/>
    <n v="4"/>
    <m/>
    <n v="3"/>
    <n v="3"/>
    <m/>
    <m/>
    <m/>
    <m/>
    <m/>
    <m/>
    <m/>
    <m/>
    <m/>
    <m/>
    <m/>
    <m/>
    <m/>
    <m/>
    <m/>
    <m/>
    <m/>
    <n v="6"/>
    <n v="6"/>
  </r>
  <r>
    <n v="7836"/>
    <x v="1"/>
    <s v="2023/3240"/>
    <s v="4 West Hill"/>
    <s v=""/>
    <n v="525243"/>
    <n v="174663"/>
    <s v="East Putney"/>
    <d v="2024-03-31T00:00:00"/>
    <m/>
    <n v="0"/>
    <n v="2"/>
    <n v="2"/>
    <n v="2"/>
    <n v="2"/>
    <m/>
    <s v="Erection of a rear single-storey extension with lightwell to ground floor, installation of a new rear door, window and roof lights and formation of a roof terrace for existing flat.  Internal alterations to form 1 x studio and 1 x 2-bedroom flat.  New front to existing shop elevation."/>
    <s v="PF"/>
    <d v="2023-08-25T00:00:00"/>
    <d v="2023-11-16T00:00:00"/>
    <s v="Y"/>
    <s v="Nil"/>
    <m/>
    <s v="BF"/>
    <s v="CON"/>
    <x v="2"/>
    <x v="6"/>
    <n v="4.5500000000000002E-3"/>
    <d v="2024-03-31T00:00:00"/>
    <x v="1"/>
    <m/>
    <s v="Open Market"/>
    <s v="M"/>
    <s v=""/>
    <m/>
    <m/>
    <m/>
    <m/>
    <m/>
    <n v="0"/>
    <n v="1"/>
    <n v="1"/>
    <n v="0"/>
    <n v="0"/>
    <n v="0"/>
    <n v="0"/>
    <n v="0"/>
    <n v="1"/>
    <n v="1"/>
    <n v="0"/>
    <n v="0"/>
    <n v="0"/>
    <n v="0"/>
    <n v="0"/>
    <n v="0"/>
    <n v="0"/>
    <n v="0"/>
    <n v="0"/>
    <n v="0"/>
    <n v="0"/>
    <n v="0"/>
    <n v="0"/>
    <n v="0"/>
    <n v="0"/>
    <n v="0"/>
    <n v="0"/>
    <n v="0"/>
    <m/>
    <m/>
    <s v="Wandsworth Town, including the Wandle Delta Masterplan Area"/>
    <n v="14"/>
    <m/>
    <n v="1"/>
    <n v="1"/>
    <m/>
    <m/>
    <m/>
    <m/>
    <m/>
    <m/>
    <m/>
    <m/>
    <m/>
    <m/>
    <m/>
    <m/>
    <m/>
    <m/>
    <m/>
    <m/>
    <m/>
    <n v="2"/>
    <n v="2"/>
  </r>
  <r>
    <n v="3260"/>
    <x v="1"/>
    <s v="2023/3368"/>
    <s v="4 Bank Buildings, Mitcham Lane"/>
    <s v=""/>
    <n v="529282"/>
    <n v="171042"/>
    <s v="Furzedown"/>
    <d v="2024-03-26T00:00:00"/>
    <m/>
    <n v="0"/>
    <n v="1"/>
    <n v="1"/>
    <n v="1"/>
    <n v="1"/>
    <m/>
    <s v="Determination as to whether prior approval is required for change of use from Launderette (Sui Generis) to 1 x 1-bedroom flat (Class C3)."/>
    <s v="PAG"/>
    <d v="2023-09-08T00:00:00"/>
    <d v="2023-10-30T00:00:00"/>
    <s v="Y"/>
    <s v="Nil"/>
    <m/>
    <s v="BF"/>
    <s v="COU"/>
    <x v="2"/>
    <x v="4"/>
    <n v="5.0000000000000001E-3"/>
    <d v="2024-03-26T00:00:00"/>
    <x v="1"/>
    <m/>
    <s v="Open Market"/>
    <s v="M"/>
    <s v=""/>
    <m/>
    <m/>
    <m/>
    <m/>
    <m/>
    <n v="0"/>
    <n v="1"/>
    <n v="0"/>
    <n v="0"/>
    <n v="0"/>
    <n v="0"/>
    <n v="0"/>
    <n v="0"/>
    <n v="1"/>
    <n v="0"/>
    <n v="0"/>
    <n v="0"/>
    <n v="0"/>
    <n v="0"/>
    <n v="0"/>
    <n v="0"/>
    <n v="0"/>
    <n v="0"/>
    <n v="0"/>
    <n v="0"/>
    <n v="0"/>
    <n v="0"/>
    <n v="0"/>
    <n v="0"/>
    <n v="0"/>
    <n v="0"/>
    <n v="0"/>
    <n v="0"/>
    <m/>
    <m/>
    <s v="Rest of Borough"/>
    <n v="14"/>
    <m/>
    <n v="0.5"/>
    <n v="0.5"/>
    <m/>
    <m/>
    <m/>
    <m/>
    <m/>
    <m/>
    <m/>
    <m/>
    <m/>
    <m/>
    <m/>
    <m/>
    <m/>
    <m/>
    <m/>
    <m/>
    <m/>
    <n v="1"/>
    <n v="1"/>
  </r>
  <r>
    <n v="8046"/>
    <x v="1"/>
    <s v="2023/3464"/>
    <s v="6-9 Denton Street"/>
    <s v=""/>
    <n v="525920"/>
    <n v="174386"/>
    <s v="Wandsworth Town"/>
    <d v="2024-02-29T00:00:00"/>
    <m/>
    <n v="0"/>
    <n v="1"/>
    <n v="1"/>
    <n v="1"/>
    <n v="1"/>
    <m/>
    <s v="Alterations including erection of mansard roof extension to main rear including raising the ridge by 350mm and extension above part of two-storey back addition; formation of roof terrace above two-storey back addition with 1.7m high screen surround in connection with the creation of 1 x 2-bedroom flat."/>
    <s v="PF"/>
    <d v="2023-09-28T00:00:00"/>
    <d v="2023-12-01T00:00:00"/>
    <s v="Y"/>
    <s v="Nil"/>
    <m/>
    <s v="BF"/>
    <s v="EXT"/>
    <x v="2"/>
    <x v="7"/>
    <n v="5.592667E-3"/>
    <d v="2024-02-29T00:00:00"/>
    <x v="1"/>
    <m/>
    <s v="Open Market"/>
    <s v="M"/>
    <s v=""/>
    <m/>
    <m/>
    <m/>
    <m/>
    <m/>
    <n v="0"/>
    <n v="0"/>
    <n v="1"/>
    <n v="0"/>
    <n v="0"/>
    <n v="0"/>
    <n v="0"/>
    <n v="0"/>
    <n v="0"/>
    <n v="1"/>
    <n v="0"/>
    <n v="0"/>
    <n v="0"/>
    <n v="0"/>
    <n v="0"/>
    <n v="0"/>
    <n v="0"/>
    <n v="0"/>
    <n v="0"/>
    <n v="0"/>
    <n v="0"/>
    <n v="0"/>
    <n v="0"/>
    <n v="0"/>
    <n v="0"/>
    <n v="0"/>
    <n v="0"/>
    <n v="0"/>
    <m/>
    <m/>
    <s v="Wandsworth Town, excluding the Wandle Delta Masterplan Area"/>
    <n v="14"/>
    <m/>
    <n v="0.5"/>
    <n v="0.5"/>
    <m/>
    <m/>
    <m/>
    <m/>
    <m/>
    <m/>
    <m/>
    <m/>
    <m/>
    <m/>
    <m/>
    <m/>
    <m/>
    <m/>
    <m/>
    <m/>
    <m/>
    <n v="1"/>
    <n v="1"/>
  </r>
  <r>
    <n v="6955"/>
    <x v="1"/>
    <s v="2023/3664"/>
    <s v="1 East Hill"/>
    <s v=""/>
    <n v="526542"/>
    <n v="174943"/>
    <s v="Wandsworth Town"/>
    <d v="2021-12-23T00:00:00"/>
    <m/>
    <n v="0"/>
    <n v="1"/>
    <n v="1"/>
    <n v="1"/>
    <n v="1"/>
    <m/>
    <s v="Variation of condition 2 (in accordance with approved drawings) pursuant to planning permission dated 23/08/2019 ref 2019/2186 varied by 2020/4573 (New 4 storey building with new commercial units and residential self-contained flats) to allow for change of the approved commercial unit B to a two-bed four-person dwelling"/>
    <s v="S73"/>
    <d v="2023-11-02T00:00:00"/>
    <d v="2024-01-31T00:00:00"/>
    <s v="Y"/>
    <s v="Nil"/>
    <m/>
    <s v="BF"/>
    <s v="COU"/>
    <x v="2"/>
    <x v="6"/>
    <n v="3.3999999999999998E-3"/>
    <d v="2021-12-23T00:00:00"/>
    <x v="0"/>
    <m/>
    <s v="Open Market"/>
    <s v="M"/>
    <s v=""/>
    <m/>
    <m/>
    <m/>
    <m/>
    <m/>
    <n v="0"/>
    <n v="0"/>
    <n v="1"/>
    <n v="0"/>
    <n v="0"/>
    <n v="0"/>
    <n v="0"/>
    <n v="0"/>
    <n v="0"/>
    <n v="1"/>
    <n v="0"/>
    <n v="0"/>
    <n v="0"/>
    <n v="0"/>
    <n v="0"/>
    <n v="0"/>
    <n v="0"/>
    <n v="0"/>
    <n v="0"/>
    <n v="0"/>
    <n v="0"/>
    <n v="0"/>
    <n v="0"/>
    <n v="0"/>
    <n v="0"/>
    <n v="0"/>
    <n v="0"/>
    <n v="0"/>
    <m/>
    <m/>
    <s v="Rest of Borough"/>
    <n v="13"/>
    <m/>
    <n v="1"/>
    <m/>
    <m/>
    <m/>
    <m/>
    <m/>
    <m/>
    <m/>
    <m/>
    <m/>
    <m/>
    <m/>
    <m/>
    <m/>
    <m/>
    <m/>
    <m/>
    <m/>
    <m/>
    <n v="1"/>
    <n v="1"/>
  </r>
  <r>
    <n v="7498"/>
    <x v="1"/>
    <s v="2021/0831"/>
    <s v="142 Trinity Road"/>
    <s v=""/>
    <n v="527633"/>
    <n v="172951"/>
    <s v="Trinity"/>
    <d v="2022-03-31T00:00:00"/>
    <m/>
    <n v="1"/>
    <n v="8"/>
    <n v="7"/>
    <n v="8"/>
    <n v="7"/>
    <m/>
    <s v="Alterations including demolition of existing garage, erection of dormer roof extensions to main rear roof, two-storey rear and side extension plus roof level extensions above, excavation to enlarge basement including formation of front and rear lightwells, alterations to fenestration in connection with conversion and creation of 2 x 3-bedroom, 5 x 2-bedroom and 1 x 1-bed/studio flats with associated boundary treatment, landscaping, cycle and refuse storage."/>
    <s v="PF"/>
    <d v="2021-02-22T00:00:00"/>
    <d v="2021-06-22T00:00:00"/>
    <m/>
    <s v="Nil"/>
    <m/>
    <s v="BF"/>
    <s v="MIX"/>
    <x v="2"/>
    <x v="10"/>
    <n v="6.2E-2"/>
    <d v="2022-07-03T00:00:00"/>
    <x v="0"/>
    <m/>
    <s v="Open Market"/>
    <s v="M"/>
    <s v=""/>
    <m/>
    <m/>
    <m/>
    <m/>
    <m/>
    <n v="0"/>
    <n v="1"/>
    <n v="5"/>
    <n v="2"/>
    <n v="0"/>
    <n v="-1"/>
    <n v="0"/>
    <n v="0"/>
    <n v="1"/>
    <n v="5"/>
    <n v="2"/>
    <n v="0"/>
    <n v="0"/>
    <n v="0"/>
    <n v="0"/>
    <n v="0"/>
    <n v="0"/>
    <n v="0"/>
    <n v="0"/>
    <n v="-1"/>
    <n v="0"/>
    <n v="0"/>
    <n v="0"/>
    <n v="0"/>
    <n v="0"/>
    <n v="0"/>
    <n v="0"/>
    <n v="0"/>
    <m/>
    <m/>
    <s v="Rest of Borough"/>
    <n v="12"/>
    <m/>
    <m/>
    <n v="7"/>
    <m/>
    <m/>
    <m/>
    <m/>
    <m/>
    <m/>
    <m/>
    <m/>
    <m/>
    <m/>
    <m/>
    <m/>
    <m/>
    <m/>
    <m/>
    <m/>
    <m/>
    <n v="7"/>
    <n v="7"/>
  </r>
  <r>
    <n v="7797"/>
    <x v="1"/>
    <s v="2022/0777"/>
    <s v="21 Chetwode Road"/>
    <s v=""/>
    <n v="528052"/>
    <n v="172514"/>
    <s v="Trinity"/>
    <d v="2023-05-01T00:00:00"/>
    <m/>
    <n v="1"/>
    <n v="8"/>
    <n v="7"/>
    <n v="8"/>
    <n v="7"/>
    <m/>
    <s v="Demolition of existing dwelling house and erection of replacement two storey (plus roof and basement) building to create 2 x 3-bedroom, 4 x 2-bedroom, 2 x 1-bedroom flats with associated cycle and refuse storage."/>
    <s v="PF"/>
    <d v="2022-02-23T00:00:00"/>
    <d v="2022-07-01T00:00:00"/>
    <m/>
    <s v="Nil"/>
    <m/>
    <s v="BF"/>
    <s v="NB"/>
    <x v="2"/>
    <x v="3"/>
    <n v="0.01"/>
    <d v="2023-12-27T00:00:00"/>
    <x v="1"/>
    <m/>
    <s v="Open Market"/>
    <s v="M"/>
    <s v=""/>
    <m/>
    <m/>
    <n v="8"/>
    <m/>
    <n v="8"/>
    <n v="0"/>
    <n v="3"/>
    <n v="3"/>
    <n v="1"/>
    <n v="0"/>
    <n v="0"/>
    <n v="0"/>
    <n v="0"/>
    <n v="3"/>
    <n v="3"/>
    <n v="2"/>
    <n v="0"/>
    <n v="0"/>
    <n v="0"/>
    <n v="0"/>
    <n v="0"/>
    <n v="0"/>
    <n v="-1"/>
    <n v="0"/>
    <n v="0"/>
    <n v="0"/>
    <n v="0"/>
    <n v="0"/>
    <n v="0"/>
    <n v="0"/>
    <n v="0"/>
    <n v="0"/>
    <n v="0"/>
    <m/>
    <m/>
    <s v="Rest of Borough"/>
    <n v="2"/>
    <m/>
    <m/>
    <n v="7"/>
    <m/>
    <m/>
    <m/>
    <m/>
    <m/>
    <m/>
    <m/>
    <m/>
    <m/>
    <m/>
    <m/>
    <m/>
    <m/>
    <m/>
    <m/>
    <m/>
    <m/>
    <n v="7"/>
    <n v="7"/>
  </r>
  <r>
    <n v="8043"/>
    <x v="1"/>
    <s v="2023/2863"/>
    <s v="Flat A 539 and 541A, Battersea Park Road"/>
    <s v=""/>
    <n v="527388"/>
    <n v="176323"/>
    <s v="St Mary's"/>
    <d v="2024-02-27T00:00:00"/>
    <m/>
    <n v="2"/>
    <n v="6"/>
    <n v="4"/>
    <n v="6"/>
    <n v="4"/>
    <m/>
    <s v="Alterations including erection of a mansard style roof extension to main roof to form additional storey. Erection of rear extension at second floor level and formation of roof terrace above with 1.7m obscured glazed balustrade. Formation of terrace at first floor level. Extensions and alterations as part of the conversion of the properties from 2 flats into 4 x 1 bedroom and 2x2-bedroom flats."/>
    <s v="PF"/>
    <d v="2023-09-14T00:00:00"/>
    <d v="2023-12-20T00:00:00"/>
    <s v="Y"/>
    <s v="Nil"/>
    <m/>
    <s v="BF"/>
    <s v="MIX"/>
    <x v="2"/>
    <x v="5"/>
    <n v="1.468125E-2"/>
    <d v="2024-02-27T00:00:00"/>
    <x v="1"/>
    <m/>
    <s v="Open Market"/>
    <s v="MR"/>
    <s v=""/>
    <m/>
    <m/>
    <m/>
    <m/>
    <m/>
    <n v="0"/>
    <n v="4"/>
    <n v="1"/>
    <n v="-1"/>
    <n v="0"/>
    <n v="0"/>
    <n v="0"/>
    <n v="0"/>
    <n v="4"/>
    <n v="1"/>
    <n v="-1"/>
    <n v="0"/>
    <n v="0"/>
    <n v="0"/>
    <n v="0"/>
    <n v="0"/>
    <n v="0"/>
    <n v="0"/>
    <n v="0"/>
    <n v="0"/>
    <n v="0"/>
    <n v="0"/>
    <n v="0"/>
    <n v="0"/>
    <n v="0"/>
    <n v="0"/>
    <n v="0"/>
    <n v="0"/>
    <m/>
    <m/>
    <s v="Rest of Borough"/>
    <n v="12"/>
    <m/>
    <n v="4"/>
    <m/>
    <m/>
    <m/>
    <m/>
    <m/>
    <m/>
    <m/>
    <m/>
    <m/>
    <m/>
    <m/>
    <m/>
    <m/>
    <m/>
    <m/>
    <m/>
    <m/>
    <m/>
    <n v="4"/>
    <n v="4"/>
  </r>
  <r>
    <n v="7768"/>
    <x v="1"/>
    <s v="2023/4514"/>
    <s v="124 Wandsworth High Street"/>
    <s v="C3 to small HMO"/>
    <n v="525371"/>
    <n v="174696"/>
    <s v="Wandsworth Town"/>
    <d v="2024-03-31T00:00:00"/>
    <m/>
    <n v="1"/>
    <n v="1"/>
    <n v="0"/>
    <n v="1"/>
    <n v="0"/>
    <m/>
    <s v="Alterations including the erection of a mansard extension to provide an additional floor of accommodation at main roof level; erection of a part single, part-four storey rear/side extension, with formation of roof terraces at first floor level, installation of new shopfront. Works in connection with proposed use as an 8-bedroom HMO with a commercial unit to the front part of the ground floor."/>
    <s v="PF"/>
    <d v="2023-11-30T00:00:00"/>
    <d v="2024-03-11T00:00:00"/>
    <s v="Y"/>
    <s v="Nil"/>
    <m/>
    <s v="BF"/>
    <s v="COU"/>
    <x v="2"/>
    <x v="10"/>
    <n v="1.0999999999999999E-2"/>
    <d v="2024-03-31T00:00:00"/>
    <x v="1"/>
    <m/>
    <s v="Open Market"/>
    <s v="M"/>
    <s v=""/>
    <m/>
    <m/>
    <m/>
    <m/>
    <m/>
    <n v="0"/>
    <n v="0"/>
    <n v="0"/>
    <n v="0"/>
    <n v="0"/>
    <n v="0"/>
    <n v="0"/>
    <n v="0"/>
    <n v="0"/>
    <n v="0"/>
    <n v="0"/>
    <n v="0"/>
    <n v="0"/>
    <n v="0"/>
    <n v="0"/>
    <n v="0"/>
    <n v="0"/>
    <n v="0"/>
    <n v="0"/>
    <n v="0"/>
    <n v="0"/>
    <n v="0"/>
    <n v="0"/>
    <n v="0"/>
    <n v="0"/>
    <n v="0"/>
    <n v="0"/>
    <n v="0"/>
    <s v="Wandsworth"/>
    <m/>
    <s v="Wandsworth Town, including the Wandle Delta Masterplan Area"/>
    <n v="14"/>
    <m/>
    <n v="0"/>
    <n v="0"/>
    <m/>
    <m/>
    <m/>
    <m/>
    <m/>
    <m/>
    <m/>
    <m/>
    <m/>
    <m/>
    <m/>
    <m/>
    <m/>
    <m/>
    <m/>
    <m/>
    <m/>
    <n v="0"/>
    <n v="0"/>
  </r>
  <r>
    <n v="7692"/>
    <x v="1"/>
    <s v="2023/4747"/>
    <s v="367 Garratt Lane"/>
    <s v=""/>
    <n v="525937"/>
    <n v="173389"/>
    <s v="Wandle"/>
    <d v="2023-04-01T00:00:00"/>
    <m/>
    <n v="1"/>
    <n v="3"/>
    <n v="2"/>
    <n v="3"/>
    <n v="2"/>
    <m/>
    <s v="Alterations including excavation to enlarge basement including formation of front and rear lightwells with grille over. Replacement fenestration to front elevation, installation of railings to front forecourt with cycle store. Erection of a mansard roof _x000a_extension to main rear roof including raising the ridge height by 300mm and erection of a mansard roof extension above two-storey back addition including formation of roof terrace with 1.7m high screen surround. Erection of a part first floor rear extension and ground floor single storey side/rear extension. All in connection with the change of use of the ground floor retail (Class E(b)) and residential (Class C3) _x000a_3 x 1 bed and 1 x Studio."/>
    <s v="PF"/>
    <d v="2024-01-03T00:00:00"/>
    <d v="2024-03-04T00:00:00"/>
    <s v="Y"/>
    <s v="Nil"/>
    <m/>
    <s v="BF"/>
    <s v="COU"/>
    <x v="2"/>
    <x v="4"/>
    <n v="1.0999999999999999E-2"/>
    <d v="2023-04-01T00:00:00"/>
    <x v="1"/>
    <m/>
    <s v="Open Market"/>
    <s v="M"/>
    <s v=""/>
    <m/>
    <m/>
    <m/>
    <m/>
    <m/>
    <n v="1"/>
    <n v="1"/>
    <n v="0"/>
    <n v="0"/>
    <n v="0"/>
    <n v="0"/>
    <n v="0"/>
    <n v="1"/>
    <n v="1"/>
    <n v="0"/>
    <n v="0"/>
    <n v="0"/>
    <n v="0"/>
    <n v="0"/>
    <n v="0"/>
    <n v="0"/>
    <n v="0"/>
    <n v="0"/>
    <n v="0"/>
    <n v="0"/>
    <n v="0"/>
    <n v="0"/>
    <n v="0"/>
    <n v="0"/>
    <n v="0"/>
    <n v="0"/>
    <n v="0"/>
    <n v="0"/>
    <m/>
    <m/>
    <s v="Wandle Valley"/>
    <n v="13"/>
    <m/>
    <n v="2"/>
    <m/>
    <m/>
    <m/>
    <m/>
    <m/>
    <m/>
    <m/>
    <m/>
    <m/>
    <m/>
    <m/>
    <m/>
    <m/>
    <m/>
    <m/>
    <m/>
    <m/>
    <m/>
    <n v="2"/>
    <n v="2"/>
  </r>
  <r>
    <n v="2502"/>
    <x v="2"/>
    <s v="2010/3703"/>
    <s v="Springfield Hospital site, 61 Glenburnie Road"/>
    <s v=""/>
    <n v="527221"/>
    <n v="172443"/>
    <s v="Wandsworth Common"/>
    <d v="2015-08-28T00:00:00"/>
    <m/>
    <n v="0"/>
    <n v="190"/>
    <n v="190"/>
    <n v="839"/>
    <n v="839"/>
    <s v="Y"/>
    <s v="Redevelopment of Springfield Hospital site entailing the erection of 25,000 sq m replacement mental health facilities (Use Class C2/C2A); 839 residential dwellings (including up to 262 dwellings within the converted Main Building and Elizabeth Newton Wing and 56 extra care residential apartments) (Use Class C3); 9,200 sq m elderly persons' care home (including up to 50 close care units) (Use Class C2); 240 sqm of retail floorspace (Use Class A1); a school Use Class (D1); 3,500 sq m of flexible non-residential floor space (Use Class A1 (up to 250 sq m), A2 (up to 300 sq m), A3 (up to 500 sq m), A4 (up to 250 sq m), B1 (up to 1,000 sq m), D1 (up to 750 sq m), or D2 (up to 750 sq m)); 240 sqm of retail floorspace (Use Class A1); landscaped public park; other private and public open space; construction of a combined cooling, heat and power energy centre; associated landscaping, parking, roads, access and infrastructure and other associated works. (Outline application with appearance, landscaping and scale reserved)."/>
    <s v="RP"/>
    <d v="2010-09-10T00:00:00"/>
    <d v="2011-02-13T00:00:00"/>
    <m/>
    <s v="APG"/>
    <d v="2012-06-22T00:00:00"/>
    <s v="BF"/>
    <s v="MIX"/>
    <x v="0"/>
    <x v="0"/>
    <n v="3.6659999999999999"/>
    <m/>
    <x v="0"/>
    <m/>
    <s v="Open Market"/>
    <s v="M"/>
    <s v="9.1"/>
    <m/>
    <n v="262"/>
    <m/>
    <n v="26"/>
    <m/>
    <n v="0"/>
    <n v="0"/>
    <n v="0"/>
    <n v="0"/>
    <n v="0"/>
    <n v="0"/>
    <n v="190"/>
    <n v="0"/>
    <n v="0"/>
    <n v="0"/>
    <n v="0"/>
    <n v="0"/>
    <n v="0"/>
    <n v="189"/>
    <n v="0"/>
    <n v="0"/>
    <n v="0"/>
    <n v="0"/>
    <n v="0"/>
    <n v="0"/>
    <n v="1"/>
    <n v="0"/>
    <n v="0"/>
    <n v="0"/>
    <n v="0"/>
    <n v="0"/>
    <n v="0"/>
    <n v="0"/>
    <m/>
    <m/>
    <s v="Rest of Borough"/>
    <n v="17"/>
    <m/>
    <m/>
    <m/>
    <m/>
    <m/>
    <m/>
    <n v="47.5"/>
    <n v="47.5"/>
    <n v="47.5"/>
    <n v="47.5"/>
    <m/>
    <m/>
    <m/>
    <m/>
    <m/>
    <m/>
    <m/>
    <m/>
    <m/>
    <m/>
    <n v="0"/>
    <n v="190"/>
  </r>
  <r>
    <n v="2320"/>
    <x v="2"/>
    <s v="2014/3837"/>
    <s v="Former Domus Tiles site, 31-33 Parkgate Road/Elcho Street (27-33 Parkgate Road &amp; 2-42 Elcho Street)"/>
    <s v=""/>
    <n v="527260"/>
    <n v="177215"/>
    <s v="Battersea Park"/>
    <d v="2018-03-31T00:00:00"/>
    <m/>
    <n v="0"/>
    <n v="94"/>
    <n v="94"/>
    <n v="118"/>
    <n v="118"/>
    <s v="Y"/>
    <s v="Demolition of existing buildings and redevelopment of the site to provide new buildings ranging from 3 to 10 storeys in height comprising 118 residential units including affordable housing (Use Class C3), and 2,282m2 of flexible commercial floorspace (Use Classes A1-A4/B1/D1/D2), together with associated car parking, open space, landscaping and infrastructure works."/>
    <s v="PFLA"/>
    <d v="2014-08-04T00:00:00"/>
    <d v="2015-06-30T00:00:00"/>
    <m/>
    <s v="Nil"/>
    <m/>
    <s v="BF"/>
    <s v="NB"/>
    <x v="1"/>
    <x v="0"/>
    <n v="0.247"/>
    <m/>
    <x v="0"/>
    <m/>
    <s v="Open Market"/>
    <s v="M"/>
    <s v="10.1.1"/>
    <m/>
    <n v="94"/>
    <m/>
    <n v="94"/>
    <m/>
    <n v="0"/>
    <n v="21"/>
    <n v="47"/>
    <n v="23"/>
    <n v="3"/>
    <n v="0"/>
    <n v="0"/>
    <n v="0"/>
    <n v="21"/>
    <n v="47"/>
    <n v="23"/>
    <n v="3"/>
    <n v="0"/>
    <n v="0"/>
    <n v="0"/>
    <n v="0"/>
    <n v="0"/>
    <n v="0"/>
    <n v="0"/>
    <n v="0"/>
    <n v="0"/>
    <n v="0"/>
    <n v="0"/>
    <n v="0"/>
    <n v="0"/>
    <n v="0"/>
    <n v="0"/>
    <n v="0"/>
    <m/>
    <m/>
    <s v="Wandsworth riverside"/>
    <n v="8"/>
    <m/>
    <m/>
    <m/>
    <m/>
    <m/>
    <n v="47"/>
    <n v="47"/>
    <m/>
    <m/>
    <m/>
    <m/>
    <m/>
    <m/>
    <m/>
    <m/>
    <m/>
    <m/>
    <m/>
    <m/>
    <m/>
    <n v="47"/>
    <n v="94"/>
  </r>
  <r>
    <n v="2320"/>
    <x v="2"/>
    <s v="2014/3837"/>
    <s v="Former Domus Tiles site, 31-33 Parkgate Road/Elcho Street (27-33 Parkgate Road &amp; 2-42 Elcho Street)"/>
    <s v=""/>
    <n v="527260"/>
    <n v="177215"/>
    <s v="Battersea Park"/>
    <d v="2018-03-31T00:00:00"/>
    <m/>
    <n v="0"/>
    <n v="14"/>
    <n v="14"/>
    <n v="118"/>
    <n v="118"/>
    <s v="Y"/>
    <s v="Demolition of existing buildings and redevelopment of the site to provide new buildings ranging from 3 to 10 storeys in height comprising 118 residential units including affordable housing (Use Class C3), and 2,282m2 of flexible commercial floorspace (Use Classes A1-A4/B1/D1/D2), together with associated car parking, open space, landscaping and infrastructure works."/>
    <s v="PFLA"/>
    <d v="2014-08-04T00:00:00"/>
    <d v="2015-06-30T00:00:00"/>
    <m/>
    <s v="Nil"/>
    <m/>
    <s v="BF"/>
    <s v="NB"/>
    <x v="1"/>
    <x v="0"/>
    <n v="3.6999999999999998E-2"/>
    <m/>
    <x v="0"/>
    <m/>
    <s v="Social/Affordable Rent"/>
    <s v="AS"/>
    <s v="10.1.1"/>
    <m/>
    <n v="14"/>
    <m/>
    <n v="14"/>
    <m/>
    <n v="0"/>
    <n v="1"/>
    <n v="0"/>
    <n v="13"/>
    <n v="0"/>
    <n v="0"/>
    <n v="0"/>
    <n v="0"/>
    <n v="1"/>
    <n v="0"/>
    <n v="13"/>
    <n v="0"/>
    <n v="0"/>
    <n v="0"/>
    <n v="0"/>
    <n v="0"/>
    <n v="0"/>
    <n v="0"/>
    <n v="0"/>
    <n v="0"/>
    <n v="0"/>
    <n v="0"/>
    <n v="0"/>
    <n v="0"/>
    <n v="0"/>
    <n v="0"/>
    <n v="0"/>
    <n v="0"/>
    <m/>
    <m/>
    <s v="Wandsworth riverside"/>
    <n v="8"/>
    <m/>
    <m/>
    <m/>
    <m/>
    <m/>
    <n v="7"/>
    <n v="7"/>
    <m/>
    <m/>
    <m/>
    <m/>
    <m/>
    <m/>
    <m/>
    <m/>
    <m/>
    <m/>
    <m/>
    <m/>
    <m/>
    <n v="7"/>
    <n v="14"/>
  </r>
  <r>
    <n v="2320"/>
    <x v="2"/>
    <s v="2014/3837"/>
    <s v="Former Domus Tiles site, 31-33 Parkgate Road/Elcho Street (27-33 Parkgate Road &amp; 2-42 Elcho Street)"/>
    <s v=""/>
    <n v="527260"/>
    <n v="177215"/>
    <s v="Battersea Park"/>
    <d v="2018-03-31T00:00:00"/>
    <m/>
    <n v="0"/>
    <n v="10"/>
    <n v="10"/>
    <n v="118"/>
    <n v="118"/>
    <s v="Y"/>
    <s v="Demolition of existing buildings and redevelopment of the site to provide new buildings ranging from 3 to 10 storeys in height comprising 118 residential units including affordable housing (Use Class C3), and 2,282m2 of flexible commercial floorspace (Use Classes A1-A4/B1/D1/D2), together with associated car parking, open space, landscaping and infrastructure works."/>
    <s v="PFLA"/>
    <d v="2014-08-04T00:00:00"/>
    <d v="2015-06-30T00:00:00"/>
    <m/>
    <s v="Nil"/>
    <m/>
    <s v="BF"/>
    <s v="NB"/>
    <x v="1"/>
    <x v="0"/>
    <n v="2.5999999999999999E-2"/>
    <m/>
    <x v="0"/>
    <m/>
    <s v="Intermediate"/>
    <s v="ISO"/>
    <s v="10.1.1"/>
    <m/>
    <n v="10"/>
    <m/>
    <n v="10"/>
    <m/>
    <n v="0"/>
    <n v="6"/>
    <n v="2"/>
    <n v="2"/>
    <n v="0"/>
    <n v="0"/>
    <n v="0"/>
    <n v="0"/>
    <n v="6"/>
    <n v="2"/>
    <n v="2"/>
    <n v="0"/>
    <n v="0"/>
    <n v="0"/>
    <n v="0"/>
    <n v="0"/>
    <n v="0"/>
    <n v="0"/>
    <n v="0"/>
    <n v="0"/>
    <n v="0"/>
    <n v="0"/>
    <n v="0"/>
    <n v="0"/>
    <n v="0"/>
    <n v="0"/>
    <n v="0"/>
    <n v="0"/>
    <m/>
    <m/>
    <s v="Wandsworth riverside"/>
    <n v="8"/>
    <m/>
    <m/>
    <m/>
    <m/>
    <m/>
    <n v="5"/>
    <n v="5"/>
    <m/>
    <m/>
    <m/>
    <m/>
    <m/>
    <m/>
    <m/>
    <m/>
    <m/>
    <m/>
    <m/>
    <m/>
    <m/>
    <n v="5"/>
    <n v="10"/>
  </r>
  <r>
    <n v="2530"/>
    <x v="2"/>
    <s v="2023/3698"/>
    <s v="193-197 Upper Tooting Road"/>
    <s v=""/>
    <n v="527684"/>
    <n v="171814"/>
    <s v="Tooting Bec"/>
    <m/>
    <m/>
    <n v="3"/>
    <n v="6"/>
    <n v="3"/>
    <n v="6"/>
    <n v="3"/>
    <m/>
    <s v="Alterations including erection of roof extension to create an additional storey with accommodation in connection with the conversion ofthe upper floors into  5 x 2-bedroom and 1 x 1 bedroom flats. Erection of an external staircase."/>
    <s v="PF"/>
    <d v="2023-10-02T00:00:00"/>
    <d v="2024-01-08T00:00:00"/>
    <s v="Y"/>
    <s v="Nil"/>
    <m/>
    <s v="BF"/>
    <s v="CON"/>
    <x v="2"/>
    <x v="7"/>
    <n v="2.4E-2"/>
    <m/>
    <x v="0"/>
    <m/>
    <s v="Open Market"/>
    <s v="MR"/>
    <s v=""/>
    <m/>
    <m/>
    <m/>
    <m/>
    <m/>
    <n v="0"/>
    <n v="0"/>
    <n v="3"/>
    <n v="0"/>
    <n v="0"/>
    <n v="0"/>
    <n v="0"/>
    <n v="0"/>
    <n v="0"/>
    <n v="3"/>
    <n v="0"/>
    <n v="0"/>
    <n v="0"/>
    <n v="0"/>
    <n v="0"/>
    <n v="0"/>
    <n v="0"/>
    <n v="0"/>
    <n v="0"/>
    <n v="0"/>
    <n v="0"/>
    <n v="0"/>
    <n v="0"/>
    <n v="0"/>
    <n v="0"/>
    <n v="0"/>
    <n v="0"/>
    <n v="0"/>
    <s v="Tooting"/>
    <m/>
    <s v="Tooting"/>
    <n v="16"/>
    <m/>
    <n v="1"/>
    <n v="1"/>
    <n v="1"/>
    <m/>
    <m/>
    <m/>
    <m/>
    <m/>
    <m/>
    <m/>
    <m/>
    <m/>
    <m/>
    <m/>
    <m/>
    <m/>
    <m/>
    <m/>
    <m/>
    <n v="3"/>
    <n v="3"/>
  </r>
  <r>
    <n v="5442"/>
    <x v="2"/>
    <s v="2013/3516"/>
    <s v="70A Ravensbury Road"/>
    <s v=""/>
    <n v="525614"/>
    <n v="172864"/>
    <s v="Southfields"/>
    <d v="2014-03-31T00:00:00"/>
    <m/>
    <n v="0"/>
    <n v="1"/>
    <n v="1"/>
    <n v="1"/>
    <n v="1"/>
    <m/>
    <s v="Demolition of existing workshop. Erection of two-storey, 1-bedroom house with first floor level terrace to rear."/>
    <s v="PF"/>
    <d v="2013-07-15T00:00:00"/>
    <d v="2013-10-11T00:00:00"/>
    <m/>
    <s v="Nil"/>
    <m/>
    <s v="BF"/>
    <s v="NB"/>
    <x v="2"/>
    <x v="3"/>
    <n v="4.0000000000000001E-3"/>
    <m/>
    <x v="0"/>
    <m/>
    <s v="Open Market"/>
    <s v="M"/>
    <s v=""/>
    <m/>
    <m/>
    <m/>
    <m/>
    <m/>
    <n v="0"/>
    <n v="1"/>
    <n v="0"/>
    <n v="0"/>
    <n v="0"/>
    <n v="0"/>
    <n v="0"/>
    <n v="0"/>
    <n v="0"/>
    <n v="0"/>
    <n v="0"/>
    <n v="0"/>
    <n v="0"/>
    <n v="0"/>
    <n v="0"/>
    <n v="1"/>
    <n v="0"/>
    <n v="0"/>
    <n v="0"/>
    <n v="0"/>
    <n v="0"/>
    <n v="0"/>
    <n v="0"/>
    <n v="0"/>
    <n v="0"/>
    <n v="0"/>
    <n v="0"/>
    <n v="0"/>
    <m/>
    <m/>
    <s v="Wandle Valley"/>
    <n v="7"/>
    <m/>
    <m/>
    <n v="0.25"/>
    <n v="0.25"/>
    <n v="0.25"/>
    <n v="0.25"/>
    <m/>
    <m/>
    <m/>
    <m/>
    <m/>
    <m/>
    <m/>
    <m/>
    <m/>
    <m/>
    <m/>
    <m/>
    <m/>
    <m/>
    <n v="1"/>
    <n v="1"/>
  </r>
  <r>
    <n v="3511"/>
    <x v="2"/>
    <s v="2014/2810"/>
    <s v="New Covent Garden Market, Nine Elms Lane (Combined Main Market, Entrance site and Thessaly College site)"/>
    <s v="Entrance Site - E7"/>
    <n v="529369"/>
    <n v="177317"/>
    <s v="Nine Elms"/>
    <d v="2017-03-31T00:00:00"/>
    <m/>
    <n v="0"/>
    <n v="72"/>
    <n v="72"/>
    <n v="2971"/>
    <n v="2966"/>
    <s v="Y"/>
    <s v="Planning application for part outline and part detail planning permission for: (a) demolition of existing wholesale Fruit and Vegetable and Flower Market and ancillary buildings and structures, and residential building on Nine Elms Lane (apart from the existing multi storey car park); (b) Construction of mixed-use redevelopment comprising: a new Fruit and Vegetable Market and Flower Market and ancillary uses, including temporary and permanent façade; refurbishment and extension of existing waste collection area (including rooftop sports pitches); residential dwellings; flexible commercial uses, including retail, financial and professional services, café/restaurant, bar uses and hot food takeaways and offices; non-residential institutions; assembly and leisure uses; temporary storage and distribution buildings and associated works; associated car, cycle and motorcycle parking and servicing and new vehicle accesses, energy centres; and landscaping public realm and open space including part of the Linear Park. All matters reserved apart from access, details of all new markets and supporting buildings, and details of Building N8 and associated landscaping); (c) Site clearance and enabling works."/>
    <s v="POLA"/>
    <d v="2014-05-15T00:00:00"/>
    <d v="2015-02-11T00:00:00"/>
    <m/>
    <s v="Nil"/>
    <m/>
    <s v="BF"/>
    <s v="NB"/>
    <x v="1"/>
    <x v="0"/>
    <n v="0.435"/>
    <m/>
    <x v="0"/>
    <m/>
    <s v="Social/Affordable Rent"/>
    <s v="AA"/>
    <s v="2.1.27"/>
    <m/>
    <m/>
    <n v="65"/>
    <m/>
    <n v="7"/>
    <n v="0"/>
    <n v="11"/>
    <n v="32"/>
    <n v="22"/>
    <n v="7"/>
    <n v="0"/>
    <n v="0"/>
    <n v="0"/>
    <n v="11"/>
    <n v="32"/>
    <n v="22"/>
    <n v="7"/>
    <n v="0"/>
    <n v="0"/>
    <n v="0"/>
    <n v="0"/>
    <n v="0"/>
    <n v="0"/>
    <n v="0"/>
    <n v="0"/>
    <n v="0"/>
    <n v="0"/>
    <n v="0"/>
    <n v="0"/>
    <n v="0"/>
    <n v="0"/>
    <n v="0"/>
    <n v="0"/>
    <m/>
    <s v="Y"/>
    <s v="Nine Elms"/>
    <n v="8"/>
    <m/>
    <m/>
    <m/>
    <m/>
    <m/>
    <m/>
    <m/>
    <m/>
    <m/>
    <m/>
    <n v="72"/>
    <m/>
    <m/>
    <m/>
    <m/>
    <m/>
    <m/>
    <m/>
    <m/>
    <m/>
    <n v="0"/>
    <n v="72"/>
  </r>
  <r>
    <n v="3511"/>
    <x v="2"/>
    <s v="2014/2810"/>
    <s v="New Covent Garden Market, Nine Elms Lane (Combined Main Market, Entrance site and Thessaly College site)"/>
    <s v="Apex Site - A4"/>
    <n v="529369"/>
    <n v="177317"/>
    <s v="Nine Elms"/>
    <d v="2017-03-31T00:00:00"/>
    <m/>
    <n v="0"/>
    <n v="151"/>
    <n v="151"/>
    <n v="2971"/>
    <n v="2966"/>
    <s v="Y"/>
    <s v="Planning application for part outline and part detail planning permission for: (a) demolition of existing wholesale Fruit and Vegetable and Flower Market and ancillary buildings and structures, and residential building on Nine Elms Lane (apart from the existing multi storey car park); (b) Construction of mixed-use redevelopment comprising: a new Fruit and Vegetable Market and Flower Market and ancillary uses, including temporary and permanent façade; refurbishment and extension of existing waste collection area (including rooftop sports pitches); residential dwellings; flexible commercial uses, including retail, financial and professional services, café/restaurant, bar uses and hot food takeaways and offices; non-residential institutions; assembly and leisure uses; temporary storage and distribution buildings and associated works; associated car, cycle and motorcycle parking and servicing and new vehicle accesses, energy centres; and landscaping public realm and open space including part of the Linear Park. All matters reserved apart from access, details of all new markets and supporting buildings, and details of Building N8 and associated landscaping); (c) Site clearance and enabling works."/>
    <s v="POLA"/>
    <d v="2014-05-15T00:00:00"/>
    <d v="2015-02-11T00:00:00"/>
    <m/>
    <s v="Nil"/>
    <m/>
    <s v="BF"/>
    <s v="NB"/>
    <x v="1"/>
    <x v="0"/>
    <n v="0.91100000000000003"/>
    <m/>
    <x v="0"/>
    <m/>
    <s v="Open Market"/>
    <s v="M"/>
    <s v="2.1.27"/>
    <m/>
    <m/>
    <n v="136"/>
    <m/>
    <n v="15"/>
    <n v="19"/>
    <n v="30"/>
    <n v="91"/>
    <n v="11"/>
    <n v="0"/>
    <n v="0"/>
    <n v="0"/>
    <n v="19"/>
    <n v="30"/>
    <n v="91"/>
    <n v="11"/>
    <n v="0"/>
    <n v="0"/>
    <n v="0"/>
    <n v="0"/>
    <n v="0"/>
    <n v="0"/>
    <n v="0"/>
    <n v="0"/>
    <n v="0"/>
    <n v="0"/>
    <n v="0"/>
    <n v="0"/>
    <n v="0"/>
    <n v="0"/>
    <n v="0"/>
    <n v="0"/>
    <n v="0"/>
    <m/>
    <s v="Y"/>
    <s v="Nine Elms"/>
    <n v="8"/>
    <m/>
    <m/>
    <m/>
    <m/>
    <m/>
    <m/>
    <m/>
    <m/>
    <m/>
    <n v="151"/>
    <m/>
    <m/>
    <m/>
    <m/>
    <m/>
    <m/>
    <m/>
    <m/>
    <m/>
    <m/>
    <n v="0"/>
    <n v="151"/>
  </r>
  <r>
    <n v="3511"/>
    <x v="2"/>
    <s v="2014/2810"/>
    <s v="New Covent Garden Market, Nine Elms Lane (Combined Main Market, Entrance site and Thessaly College site)"/>
    <s v="Entrance Site - E6"/>
    <n v="529369"/>
    <n v="177317"/>
    <s v="Nine Elms"/>
    <d v="2017-03-31T00:00:00"/>
    <m/>
    <n v="0"/>
    <n v="96"/>
    <n v="96"/>
    <n v="2971"/>
    <n v="2966"/>
    <s v="Y"/>
    <s v="Planning application for part outline and part detail planning permission for: (a) demolition of existing wholesale Fruit and Vegetable and Flower Market and ancillary buildings and structures, and residential building on Nine Elms Lane (apart from the existing multi storey car park); (b) Construction of mixed-use redevelopment comprising: a new Fruit and Vegetable Market and Flower Market and ancillary uses, including temporary and permanent façade; refurbishment and extension of existing waste collection area (including rooftop sports pitches); residential dwellings; flexible commercial uses, including retail, financial and professional services, café/restaurant, bar uses and hot food takeaways and offices; non-residential institutions; assembly and leisure uses; temporary storage and distribution buildings and associated works; associated car, cycle and motorcycle parking and servicing and new vehicle accesses, energy centres; and landscaping public realm and open space including part of the Linear Park. All matters reserved apart from access, details of all new markets and supporting buildings, and details of Building N8 and associated landscaping); (c) Site clearance and enabling works."/>
    <s v="POLA"/>
    <d v="2014-05-15T00:00:00"/>
    <d v="2015-02-11T00:00:00"/>
    <m/>
    <s v="Nil"/>
    <m/>
    <s v="BF"/>
    <s v="NB"/>
    <x v="1"/>
    <x v="0"/>
    <n v="0.57299999999999995"/>
    <m/>
    <x v="0"/>
    <m/>
    <s v="Intermediate"/>
    <s v="IU"/>
    <s v="2.1.27"/>
    <m/>
    <m/>
    <n v="86"/>
    <m/>
    <n v="10"/>
    <n v="12"/>
    <n v="19"/>
    <n v="57"/>
    <n v="8"/>
    <n v="0"/>
    <n v="0"/>
    <n v="0"/>
    <n v="12"/>
    <n v="19"/>
    <n v="57"/>
    <n v="8"/>
    <n v="0"/>
    <n v="0"/>
    <n v="0"/>
    <n v="0"/>
    <n v="0"/>
    <n v="0"/>
    <n v="0"/>
    <n v="0"/>
    <n v="0"/>
    <n v="0"/>
    <n v="0"/>
    <n v="0"/>
    <n v="0"/>
    <n v="0"/>
    <n v="0"/>
    <n v="0"/>
    <n v="0"/>
    <m/>
    <s v="Y"/>
    <s v="Nine Elms"/>
    <n v="8"/>
    <m/>
    <m/>
    <m/>
    <m/>
    <m/>
    <m/>
    <m/>
    <m/>
    <m/>
    <n v="96"/>
    <m/>
    <m/>
    <m/>
    <m/>
    <m/>
    <m/>
    <m/>
    <m/>
    <m/>
    <m/>
    <n v="0"/>
    <n v="96"/>
  </r>
  <r>
    <n v="3511"/>
    <x v="2"/>
    <s v="2014/2810"/>
    <s v="New Covent Garden Market, Nine Elms Lane (Combined Main Market, Entrance site and Thessaly College site)"/>
    <s v="Entrance Site - E8"/>
    <n v="529369"/>
    <n v="177317"/>
    <s v="Nine Elms"/>
    <d v="2017-03-31T00:00:00"/>
    <m/>
    <n v="0"/>
    <n v="86"/>
    <n v="86"/>
    <n v="2971"/>
    <n v="2966"/>
    <s v="Y"/>
    <s v="Planning application for part outline and part detail planning permission for: (a) demolition of existing wholesale Fruit and Vegetable and Flower Market and ancillary buildings and structures, and residential building on Nine Elms Lane (apart from the existing multi storey car park); (b) Construction of mixed-use redevelopment comprising: a new Fruit and Vegetable Market and Flower Market and ancillary uses, including temporary and permanent façade; refurbishment and extension of existing waste collection area (including rooftop sports pitches); residential dwellings; flexible commercial uses, including retail, financial and professional services, café/restaurant, bar uses and hot food takeaways and offices; non-residential institutions; assembly and leisure uses; temporary storage and distribution buildings and associated works; associated car, cycle and motorcycle parking and servicing and new vehicle accesses, energy centres; and landscaping public realm and open space including part of the Linear Park. All matters reserved apart from access, details of all new markets and supporting buildings, and details of Building N8 and associated landscaping); (c) Site clearance and enabling works."/>
    <s v="POLA"/>
    <d v="2014-05-15T00:00:00"/>
    <d v="2015-02-11T00:00:00"/>
    <m/>
    <s v="Nil"/>
    <m/>
    <s v="BF"/>
    <s v="NB"/>
    <x v="1"/>
    <x v="0"/>
    <n v="0.52400000000000002"/>
    <m/>
    <x v="0"/>
    <m/>
    <s v="Open Market"/>
    <s v="M"/>
    <s v="2.1.27"/>
    <m/>
    <m/>
    <n v="77"/>
    <m/>
    <n v="9"/>
    <n v="0"/>
    <n v="17"/>
    <n v="30"/>
    <n v="39"/>
    <n v="0"/>
    <n v="0"/>
    <n v="0"/>
    <n v="0"/>
    <n v="17"/>
    <n v="30"/>
    <n v="39"/>
    <n v="0"/>
    <n v="0"/>
    <n v="0"/>
    <n v="0"/>
    <n v="0"/>
    <n v="0"/>
    <n v="0"/>
    <n v="0"/>
    <n v="0"/>
    <n v="0"/>
    <n v="0"/>
    <n v="0"/>
    <n v="0"/>
    <n v="0"/>
    <n v="0"/>
    <n v="0"/>
    <n v="0"/>
    <m/>
    <s v="Y"/>
    <s v="Nine Elms"/>
    <n v="8"/>
    <m/>
    <m/>
    <m/>
    <m/>
    <m/>
    <m/>
    <m/>
    <m/>
    <m/>
    <n v="86"/>
    <m/>
    <m/>
    <m/>
    <m/>
    <m/>
    <m/>
    <m/>
    <m/>
    <m/>
    <m/>
    <n v="0"/>
    <n v="86"/>
  </r>
  <r>
    <n v="3511"/>
    <x v="2"/>
    <s v="2014/2810"/>
    <s v="New Covent Garden Market, Nine Elms Lane (Combined Main Market, Entrance site and Thessaly College site)"/>
    <s v="Entrance Site - E4"/>
    <n v="529369"/>
    <n v="177317"/>
    <s v="Nine Elms"/>
    <d v="2017-03-31T00:00:00"/>
    <m/>
    <n v="0"/>
    <n v="59"/>
    <n v="59"/>
    <n v="2971"/>
    <n v="2966"/>
    <s v="Y"/>
    <s v="Planning application for part outline and part detail planning permission for: (a) demolition of existing wholesale Fruit and Vegetable and Flower Market and ancillary buildings and structures, and residential building on Nine Elms Lane (apart from the existing multi storey car park); (b) Construction of mixed-use redevelopment comprising: a new Fruit and Vegetable Market and Flower Market and ancillary uses, including temporary and permanent façade; refurbishment and extension of existing waste collection area (including rooftop sports pitches); residential dwellings; flexible commercial uses, including retail, financial and professional services, café/restaurant, bar uses and hot food takeaways and offices; non-residential institutions; assembly and leisure uses; temporary storage and distribution buildings and associated works; associated car, cycle and motorcycle parking and servicing and new vehicle accesses, energy centres; and landscaping public realm and open space including part of the Linear Park. All matters reserved apart from access, details of all new markets and supporting buildings, and details of Building N8 and associated landscaping); (c) Site clearance and enabling works."/>
    <s v="POLA"/>
    <d v="2014-05-15T00:00:00"/>
    <d v="2015-02-11T00:00:00"/>
    <m/>
    <s v="Nil"/>
    <m/>
    <s v="BF"/>
    <s v="NB"/>
    <x v="1"/>
    <x v="0"/>
    <n v="0.35599999999999998"/>
    <m/>
    <x v="0"/>
    <m/>
    <s v="Social/Affordable Rent"/>
    <s v="AA"/>
    <s v="2.1.27"/>
    <m/>
    <m/>
    <n v="53"/>
    <m/>
    <n v="6"/>
    <n v="7"/>
    <n v="12"/>
    <n v="36"/>
    <n v="4"/>
    <n v="0"/>
    <n v="0"/>
    <n v="0"/>
    <n v="7"/>
    <n v="12"/>
    <n v="36"/>
    <n v="4"/>
    <n v="0"/>
    <n v="0"/>
    <n v="0"/>
    <n v="0"/>
    <n v="0"/>
    <n v="0"/>
    <n v="0"/>
    <n v="0"/>
    <n v="0"/>
    <n v="0"/>
    <n v="0"/>
    <n v="0"/>
    <n v="0"/>
    <n v="0"/>
    <n v="0"/>
    <n v="0"/>
    <n v="0"/>
    <m/>
    <s v="Y"/>
    <s v="Nine Elms"/>
    <n v="8"/>
    <m/>
    <m/>
    <m/>
    <m/>
    <m/>
    <m/>
    <m/>
    <m/>
    <m/>
    <n v="59"/>
    <m/>
    <m/>
    <m/>
    <m/>
    <m/>
    <m/>
    <m/>
    <m/>
    <m/>
    <m/>
    <n v="0"/>
    <n v="59"/>
  </r>
  <r>
    <n v="3511"/>
    <x v="2"/>
    <s v="2014/2810"/>
    <s v="New Covent Garden Market, Nine Elms Lane (Combined Main Market, Entrance site and Thessaly College site)"/>
    <s v="Apex Site - A6"/>
    <n v="529369"/>
    <n v="177317"/>
    <s v="Nine Elms"/>
    <d v="2017-03-31T00:00:00"/>
    <m/>
    <n v="0"/>
    <n v="17"/>
    <n v="17"/>
    <n v="2971"/>
    <n v="2966"/>
    <s v="Y"/>
    <s v="Planning application for part outline and part detail planning permission for: (a) demolition of existing wholesale Fruit and Vegetable and Flower Market and ancillary buildings and structures, and residential building on Nine Elms Lane (apart from the existing multi storey car park); (b) Construction of mixed-use redevelopment comprising: a new Fruit and Vegetable Market and Flower Market and ancillary uses, including temporary and permanent façade; refurbishment and extension of existing waste collection area (including rooftop sports pitches); residential dwellings; flexible commercial uses, including retail, financial and professional services, café/restaurant, bar uses and hot food takeaways and offices; non-residential institutions; assembly and leisure uses; temporary storage and distribution buildings and associated works; associated car, cycle and motorcycle parking and servicing and new vehicle accesses, energy centres; and landscaping public realm and open space including part of the Linear Park. All matters reserved apart from access, details of all new markets and supporting buildings, and details of Building N8 and associated landscaping); (c) Site clearance and enabling works."/>
    <s v="POLA"/>
    <d v="2014-05-15T00:00:00"/>
    <d v="2015-02-11T00:00:00"/>
    <m/>
    <s v="Nil"/>
    <m/>
    <s v="BF"/>
    <s v="NB"/>
    <x v="1"/>
    <x v="0"/>
    <n v="0.10299999999999999"/>
    <m/>
    <x v="0"/>
    <m/>
    <s v="Open Market"/>
    <s v="M"/>
    <s v="2.1.27"/>
    <m/>
    <m/>
    <n v="15"/>
    <m/>
    <n v="2"/>
    <n v="2"/>
    <n v="3"/>
    <n v="10"/>
    <n v="2"/>
    <n v="0"/>
    <n v="0"/>
    <n v="0"/>
    <n v="2"/>
    <n v="3"/>
    <n v="10"/>
    <n v="2"/>
    <n v="0"/>
    <n v="0"/>
    <n v="0"/>
    <n v="0"/>
    <n v="0"/>
    <n v="0"/>
    <n v="0"/>
    <n v="0"/>
    <n v="0"/>
    <n v="0"/>
    <n v="0"/>
    <n v="0"/>
    <n v="0"/>
    <n v="0"/>
    <n v="0"/>
    <n v="0"/>
    <n v="0"/>
    <m/>
    <s v="Y"/>
    <s v="Nine Elms"/>
    <n v="8"/>
    <m/>
    <m/>
    <m/>
    <m/>
    <m/>
    <m/>
    <m/>
    <m/>
    <m/>
    <n v="17"/>
    <m/>
    <m/>
    <m/>
    <m/>
    <m/>
    <m/>
    <m/>
    <m/>
    <m/>
    <m/>
    <n v="0"/>
    <n v="17"/>
  </r>
  <r>
    <n v="3511"/>
    <x v="2"/>
    <s v="2014/2810"/>
    <s v="New Covent Garden Market, Nine Elms Lane (Combined Main Market, Entrance site and Thessaly College site)"/>
    <s v="Apex Site - A2"/>
    <n v="529369"/>
    <n v="177317"/>
    <s v="Nine Elms"/>
    <d v="2017-03-31T00:00:00"/>
    <m/>
    <n v="0"/>
    <n v="136"/>
    <n v="136"/>
    <n v="2971"/>
    <n v="2966"/>
    <s v="Y"/>
    <s v="Planning application for part outline and part detail planning permission for: (a) demolition of existing wholesale Fruit and Vegetable and Flower Market and ancillary buildings and structures, and residential building on Nine Elms Lane (apart from the existing multi storey car park); (b) Construction of mixed-use redevelopment comprising: a new Fruit and Vegetable Market and Flower Market and ancillary uses, including temporary and permanent façade; refurbishment and extension of existing waste collection area (including rooftop sports pitches); residential dwellings; flexible commercial uses, including retail, financial and professional services, café/restaurant, bar uses and hot food takeaways and offices; non-residential institutions; assembly and leisure uses; temporary storage and distribution buildings and associated works; associated car, cycle and motorcycle parking and servicing and new vehicle accesses, energy centres; and landscaping public realm and open space including part of the Linear Park. All matters reserved apart from access, details of all new markets and supporting buildings, and details of Building N8 and associated landscaping); (c) Site clearance and enabling works."/>
    <s v="POLA"/>
    <d v="2014-05-15T00:00:00"/>
    <d v="2015-02-11T00:00:00"/>
    <m/>
    <s v="Nil"/>
    <m/>
    <s v="BF"/>
    <s v="NB"/>
    <x v="1"/>
    <x v="0"/>
    <n v="0.82099999999999995"/>
    <m/>
    <x v="0"/>
    <m/>
    <s v="Open Market"/>
    <s v="M"/>
    <s v="2.1.27"/>
    <m/>
    <m/>
    <n v="122"/>
    <m/>
    <n v="14"/>
    <n v="17"/>
    <n v="27"/>
    <n v="82"/>
    <n v="10"/>
    <n v="0"/>
    <n v="0"/>
    <n v="0"/>
    <n v="17"/>
    <n v="27"/>
    <n v="82"/>
    <n v="10"/>
    <n v="0"/>
    <n v="0"/>
    <n v="0"/>
    <n v="0"/>
    <n v="0"/>
    <n v="0"/>
    <n v="0"/>
    <n v="0"/>
    <n v="0"/>
    <n v="0"/>
    <n v="0"/>
    <n v="0"/>
    <n v="0"/>
    <n v="0"/>
    <n v="0"/>
    <n v="0"/>
    <n v="0"/>
    <m/>
    <s v="Y"/>
    <s v="Nine Elms"/>
    <n v="8"/>
    <m/>
    <m/>
    <m/>
    <m/>
    <m/>
    <m/>
    <m/>
    <m/>
    <n v="136"/>
    <m/>
    <m/>
    <m/>
    <m/>
    <m/>
    <m/>
    <m/>
    <m/>
    <m/>
    <m/>
    <m/>
    <n v="0"/>
    <n v="136"/>
  </r>
  <r>
    <n v="3511"/>
    <x v="2"/>
    <s v="2014/2810"/>
    <s v="New Covent Garden Market, Nine Elms Lane (Combined Main Market, Entrance site and Thessaly College site)"/>
    <s v="Apex Site - A3"/>
    <n v="529369"/>
    <n v="177317"/>
    <s v="Nine Elms"/>
    <d v="2017-03-31T00:00:00"/>
    <m/>
    <n v="0"/>
    <n v="101"/>
    <n v="101"/>
    <n v="2971"/>
    <n v="2966"/>
    <s v="Y"/>
    <s v="Planning application for part outline and part detail planning permission for: (a) demolition of existing wholesale Fruit and Vegetable and Flower Market and ancillary buildings and structures, and residential building on Nine Elms Lane (apart from the existing multi storey car park); (b) Construction of mixed-use redevelopment comprising: a new Fruit and Vegetable Market and Flower Market and ancillary uses, including temporary and permanent façade; refurbishment and extension of existing waste collection area (including rooftop sports pitches); residential dwellings; flexible commercial uses, including retail, financial and professional services, café/restaurant, bar uses and hot food takeaways and offices; non-residential institutions; assembly and leisure uses; temporary storage and distribution buildings and associated works; associated car, cycle and motorcycle parking and servicing and new vehicle accesses, energy centres; and landscaping public realm and open space including part of the Linear Park. All matters reserved apart from access, details of all new markets and supporting buildings, and details of Building N8 and associated landscaping); (c) Site clearance and enabling works."/>
    <s v="POLA"/>
    <d v="2014-05-15T00:00:00"/>
    <d v="2015-02-11T00:00:00"/>
    <m/>
    <s v="Nil"/>
    <m/>
    <s v="BF"/>
    <s v="NB"/>
    <x v="1"/>
    <x v="0"/>
    <n v="0.61"/>
    <m/>
    <x v="0"/>
    <m/>
    <s v="Intermediate"/>
    <s v="ISO"/>
    <s v="2.1.27"/>
    <m/>
    <m/>
    <n v="91"/>
    <m/>
    <n v="10"/>
    <n v="0"/>
    <n v="45"/>
    <n v="46"/>
    <n v="10"/>
    <n v="0"/>
    <n v="0"/>
    <n v="0"/>
    <n v="0"/>
    <n v="45"/>
    <n v="46"/>
    <n v="10"/>
    <n v="0"/>
    <n v="0"/>
    <n v="0"/>
    <n v="0"/>
    <n v="0"/>
    <n v="0"/>
    <n v="0"/>
    <n v="0"/>
    <n v="0"/>
    <n v="0"/>
    <n v="0"/>
    <n v="0"/>
    <n v="0"/>
    <n v="0"/>
    <n v="0"/>
    <n v="0"/>
    <n v="0"/>
    <m/>
    <s v="Y"/>
    <s v="Nine Elms"/>
    <n v="8"/>
    <m/>
    <m/>
    <m/>
    <m/>
    <m/>
    <m/>
    <m/>
    <m/>
    <n v="101"/>
    <m/>
    <m/>
    <m/>
    <m/>
    <m/>
    <m/>
    <m/>
    <m/>
    <m/>
    <m/>
    <m/>
    <n v="0"/>
    <n v="101"/>
  </r>
  <r>
    <n v="3511"/>
    <x v="2"/>
    <s v="2014/2810"/>
    <s v="New Covent Garden Market, Nine Elms Lane (Combined Main Market, Entrance site and Thessaly College site)"/>
    <s v="Entrance Site - E3"/>
    <n v="529369"/>
    <n v="177317"/>
    <s v="Nine Elms"/>
    <d v="2017-03-31T00:00:00"/>
    <m/>
    <n v="0"/>
    <n v="54"/>
    <n v="54"/>
    <n v="2971"/>
    <n v="2966"/>
    <s v="Y"/>
    <s v="Planning application for part outline and part detail planning permission for: (a) demolition of existing wholesale Fruit and Vegetable and Flower Market and ancillary buildings and structures, and residential building on Nine Elms Lane (apart from the existing multi storey car park); (b) Construction of mixed-use redevelopment comprising: a new Fruit and Vegetable Market and Flower Market and ancillary uses, including temporary and permanent façade; refurbishment and extension of existing waste collection area (including rooftop sports pitches); residential dwellings; flexible commercial uses, including retail, financial and professional services, café/restaurant, bar uses and hot food takeaways and offices; non-residential institutions; assembly and leisure uses; temporary storage and distribution buildings and associated works; associated car, cycle and motorcycle parking and servicing and new vehicle accesses, energy centres; and landscaping public realm and open space including part of the Linear Park. All matters reserved apart from access, details of all new markets and supporting buildings, and details of Building N8 and associated landscaping); (c) Site clearance and enabling works."/>
    <s v="POLA"/>
    <d v="2014-05-15T00:00:00"/>
    <d v="2015-02-11T00:00:00"/>
    <m/>
    <s v="Nil"/>
    <m/>
    <s v="BF"/>
    <s v="NB"/>
    <x v="1"/>
    <x v="0"/>
    <n v="0.32600000000000001"/>
    <m/>
    <x v="0"/>
    <m/>
    <s v="Social/Affordable Rent"/>
    <s v="AA"/>
    <s v="2.1.27"/>
    <m/>
    <m/>
    <n v="49"/>
    <m/>
    <n v="5"/>
    <n v="0"/>
    <n v="8"/>
    <n v="25"/>
    <n v="16"/>
    <n v="5"/>
    <n v="0"/>
    <n v="0"/>
    <n v="0"/>
    <n v="8"/>
    <n v="25"/>
    <n v="16"/>
    <n v="5"/>
    <n v="0"/>
    <n v="0"/>
    <n v="0"/>
    <n v="0"/>
    <n v="0"/>
    <n v="0"/>
    <n v="0"/>
    <n v="0"/>
    <n v="0"/>
    <n v="0"/>
    <n v="0"/>
    <n v="0"/>
    <n v="0"/>
    <n v="0"/>
    <n v="0"/>
    <n v="0"/>
    <m/>
    <s v="Y"/>
    <s v="Nine Elms"/>
    <n v="8"/>
    <m/>
    <m/>
    <m/>
    <m/>
    <m/>
    <m/>
    <m/>
    <m/>
    <n v="54"/>
    <m/>
    <m/>
    <m/>
    <m/>
    <m/>
    <m/>
    <m/>
    <m/>
    <m/>
    <m/>
    <m/>
    <n v="0"/>
    <n v="54"/>
  </r>
  <r>
    <n v="3511"/>
    <x v="2"/>
    <s v="2014/2810"/>
    <s v="New Covent Garden Market, Nine Elms Lane (Combined Main Market, Entrance site and Thessaly College site)"/>
    <s v="Entrance Site - E2"/>
    <n v="529369"/>
    <n v="177317"/>
    <s v="Nine Elms"/>
    <d v="2017-03-31T00:00:00"/>
    <m/>
    <n v="0"/>
    <n v="36"/>
    <n v="36"/>
    <n v="2971"/>
    <n v="2966"/>
    <s v="Y"/>
    <s v="Planning application for part outline and part detail planning permission for: (a) demolition of existing wholesale Fruit and Vegetable and Flower Market and ancillary buildings and structures, and residential building on Nine Elms Lane (apart from the existing multi storey car park); (b) Construction of mixed-use redevelopment comprising: a new Fruit and Vegetable Market and Flower Market and ancillary uses, including temporary and permanent façade; refurbishment and extension of existing waste collection area (including rooftop sports pitches); residential dwellings; flexible commercial uses, including retail, financial and professional services, café/restaurant, bar uses and hot food takeaways and offices; non-residential institutions; assembly and leisure uses; temporary storage and distribution buildings and associated works; associated car, cycle and motorcycle parking and servicing and new vehicle accesses, energy centres; and landscaping public realm and open space including part of the Linear Park. All matters reserved apart from access, details of all new markets and supporting buildings, and details of Building N8 and associated landscaping); (c) Site clearance and enabling works."/>
    <s v="POLA"/>
    <d v="2014-05-15T00:00:00"/>
    <d v="2015-02-11T00:00:00"/>
    <m/>
    <s v="Nil"/>
    <m/>
    <s v="BF"/>
    <s v="NB"/>
    <x v="1"/>
    <x v="0"/>
    <n v="0.217"/>
    <m/>
    <x v="0"/>
    <m/>
    <s v="Social/Affordable Rent"/>
    <s v="AA"/>
    <s v="2.1.27"/>
    <m/>
    <m/>
    <n v="32"/>
    <m/>
    <n v="4"/>
    <n v="0"/>
    <n v="5"/>
    <n v="16"/>
    <n v="11"/>
    <n v="4"/>
    <n v="0"/>
    <n v="0"/>
    <n v="0"/>
    <n v="5"/>
    <n v="16"/>
    <n v="11"/>
    <n v="4"/>
    <n v="0"/>
    <n v="0"/>
    <n v="0"/>
    <n v="0"/>
    <n v="0"/>
    <n v="0"/>
    <n v="0"/>
    <n v="0"/>
    <n v="0"/>
    <n v="0"/>
    <n v="0"/>
    <n v="0"/>
    <n v="0"/>
    <n v="0"/>
    <n v="0"/>
    <n v="0"/>
    <m/>
    <s v="Y"/>
    <s v="Nine Elms"/>
    <n v="8"/>
    <m/>
    <m/>
    <m/>
    <m/>
    <m/>
    <m/>
    <m/>
    <m/>
    <n v="36"/>
    <m/>
    <m/>
    <m/>
    <m/>
    <m/>
    <m/>
    <m/>
    <m/>
    <m/>
    <m/>
    <m/>
    <n v="0"/>
    <n v="36"/>
  </r>
  <r>
    <n v="3511"/>
    <x v="2"/>
    <s v="2014/2810"/>
    <s v="New Covent Garden Market, Nine Elms Lane (Combined Main Market, Entrance site and Thessaly College site)"/>
    <s v="Entrance Site - E1"/>
    <n v="529369"/>
    <n v="177317"/>
    <s v="Nine Elms"/>
    <d v="2017-03-31T00:00:00"/>
    <m/>
    <n v="0"/>
    <n v="27"/>
    <n v="27"/>
    <n v="2971"/>
    <n v="2966"/>
    <s v="Y"/>
    <s v="Planning application for part outline and part detail planning permission for: (a) demolition of existing wholesale Fruit and Vegetable and Flower Market and ancillary buildings and structures, and residential building on Nine Elms Lane (apart from the existing multi storey car park); (b) Construction of mixed-use redevelopment comprising: a new Fruit and Vegetable Market and Flower Market and ancillary uses, including temporary and permanent façade; refurbishment and extension of existing waste collection area (including rooftop sports pitches); residential dwellings; flexible commercial uses, including retail, financial and professional services, café/restaurant, bar uses and hot food takeaways and offices; non-residential institutions; assembly and leisure uses; temporary storage and distribution buildings and associated works; associated car, cycle and motorcycle parking and servicing and new vehicle accesses, energy centres; and landscaping public realm and open space including part of the Linear Park. All matters reserved apart from access, details of all new markets and supporting buildings, and details of Building N8 and associated landscaping); (c) Site clearance and enabling works."/>
    <s v="POLA"/>
    <d v="2014-05-15T00:00:00"/>
    <d v="2015-02-11T00:00:00"/>
    <m/>
    <s v="Nil"/>
    <m/>
    <s v="BF"/>
    <s v="NB"/>
    <x v="1"/>
    <x v="0"/>
    <n v="0.16400000000000001"/>
    <m/>
    <x v="0"/>
    <m/>
    <s v="Social/Affordable Rent"/>
    <s v="AA"/>
    <s v="2.1.27"/>
    <m/>
    <m/>
    <n v="24"/>
    <m/>
    <n v="3"/>
    <n v="0"/>
    <n v="4"/>
    <n v="12"/>
    <n v="8"/>
    <n v="3"/>
    <n v="0"/>
    <n v="0"/>
    <n v="0"/>
    <n v="4"/>
    <n v="12"/>
    <n v="8"/>
    <n v="3"/>
    <n v="0"/>
    <n v="0"/>
    <n v="0"/>
    <n v="0"/>
    <n v="0"/>
    <n v="0"/>
    <n v="0"/>
    <n v="0"/>
    <n v="0"/>
    <n v="0"/>
    <n v="0"/>
    <n v="0"/>
    <n v="0"/>
    <n v="0"/>
    <n v="0"/>
    <n v="0"/>
    <m/>
    <s v="Y"/>
    <s v="Nine Elms"/>
    <n v="8"/>
    <m/>
    <m/>
    <m/>
    <m/>
    <m/>
    <m/>
    <m/>
    <m/>
    <n v="27"/>
    <m/>
    <m/>
    <m/>
    <m/>
    <m/>
    <m/>
    <m/>
    <m/>
    <m/>
    <m/>
    <m/>
    <n v="0"/>
    <n v="27"/>
  </r>
  <r>
    <n v="3511"/>
    <x v="2"/>
    <s v="2014/2810"/>
    <s v="New Covent Garden Market, Nine Elms Lane (Combined Main Market, Entrance site and Thessaly College site)"/>
    <s v="Thessaly Road Site - T2"/>
    <n v="529369"/>
    <n v="177317"/>
    <s v="Nine Elms"/>
    <d v="2017-03-31T00:00:00"/>
    <m/>
    <n v="0"/>
    <n v="17"/>
    <n v="17"/>
    <n v="2971"/>
    <n v="2966"/>
    <s v="Y"/>
    <s v="Planning application for part outline and part detail planning permission for: (a) demolition of existing wholesale Fruit and Vegetable and Flower Market and ancillary buildings and structures, and residential building on Nine Elms Lane (apart from the existing multi storey car park); (b) Construction of mixed-use redevelopment comprising: a new Fruit and Vegetable Market and Flower Market and ancillary uses, including temporary and permanent façade; refurbishment and extension of existing waste collection area (including rooftop sports pitches); residential dwellings; flexible commercial uses, including retail, financial and professional services, café/restaurant, bar uses and hot food takeaways and offices; non-residential institutions; assembly and leisure uses; temporary storage and distribution buildings and associated works; associated car, cycle and motorcycle parking and servicing and new vehicle accesses, energy centres; and landscaping public realm and open space including part of the Linear Park. All matters reserved apart from access, details of all new markets and supporting buildings, and details of Building N8 and associated landscaping); (c) Site clearance and enabling works."/>
    <s v="POLA"/>
    <d v="2014-05-15T00:00:00"/>
    <d v="2015-02-11T00:00:00"/>
    <m/>
    <s v="Nil"/>
    <m/>
    <s v="BF"/>
    <s v="NB"/>
    <x v="1"/>
    <x v="0"/>
    <n v="0.10199999999999999"/>
    <m/>
    <x v="0"/>
    <m/>
    <s v="Social/Affordable Rent"/>
    <s v="AA"/>
    <s v="2.1.27"/>
    <m/>
    <m/>
    <n v="15"/>
    <m/>
    <n v="2"/>
    <n v="0"/>
    <n v="2"/>
    <n v="7"/>
    <n v="8"/>
    <n v="0"/>
    <n v="0"/>
    <n v="0"/>
    <n v="0"/>
    <n v="2"/>
    <n v="7"/>
    <n v="8"/>
    <n v="0"/>
    <n v="0"/>
    <n v="0"/>
    <n v="0"/>
    <n v="0"/>
    <n v="0"/>
    <n v="0"/>
    <n v="0"/>
    <n v="0"/>
    <n v="0"/>
    <n v="0"/>
    <n v="0"/>
    <n v="0"/>
    <n v="0"/>
    <n v="0"/>
    <n v="0"/>
    <n v="0"/>
    <m/>
    <s v="Y"/>
    <s v="Nine Elms"/>
    <n v="8"/>
    <m/>
    <m/>
    <m/>
    <m/>
    <m/>
    <m/>
    <m/>
    <m/>
    <n v="17"/>
    <m/>
    <m/>
    <m/>
    <m/>
    <m/>
    <m/>
    <m/>
    <m/>
    <m/>
    <m/>
    <m/>
    <n v="0"/>
    <n v="17"/>
  </r>
  <r>
    <n v="3511"/>
    <x v="2"/>
    <s v="2014/2810"/>
    <s v="New Covent Garden Market, Nine Elms Lane (Combined Main Market, Entrance site and Thessaly College site)"/>
    <s v="Thessaly Road Site - T4"/>
    <n v="529369"/>
    <n v="177317"/>
    <s v="Nine Elms"/>
    <d v="2017-03-31T00:00:00"/>
    <m/>
    <n v="0"/>
    <n v="17"/>
    <n v="17"/>
    <n v="2971"/>
    <n v="2966"/>
    <s v="Y"/>
    <s v="Planning application for part outline and part detail planning permission for: (a) demolition of existing wholesale Fruit and Vegetable and Flower Market and ancillary buildings and structures, and residential building on Nine Elms Lane (apart from the existing multi storey car park); (b) Construction of mixed-use redevelopment comprising: a new Fruit and Vegetable Market and Flower Market and ancillary uses, including temporary and permanent façade; refurbishment and extension of existing waste collection area (including rooftop sports pitches); residential dwellings; flexible commercial uses, including retail, financial and professional services, café/restaurant, bar uses and hot food takeaways and offices; non-residential institutions; assembly and leisure uses; temporary storage and distribution buildings and associated works; associated car, cycle and motorcycle parking and servicing and new vehicle accesses, energy centres; and landscaping public realm and open space including part of the Linear Park. All matters reserved apart from access, details of all new markets and supporting buildings, and details of Building N8 and associated landscaping); (c) Site clearance and enabling works."/>
    <s v="POLA"/>
    <d v="2014-05-15T00:00:00"/>
    <d v="2015-02-11T00:00:00"/>
    <m/>
    <s v="Nil"/>
    <m/>
    <s v="BF"/>
    <s v="NB"/>
    <x v="1"/>
    <x v="0"/>
    <n v="0.10199999999999999"/>
    <m/>
    <x v="0"/>
    <m/>
    <s v="Social/Affordable Rent"/>
    <s v="AA"/>
    <s v="2.1.27"/>
    <m/>
    <m/>
    <n v="15"/>
    <m/>
    <n v="2"/>
    <n v="0"/>
    <n v="2"/>
    <n v="7"/>
    <n v="8"/>
    <n v="0"/>
    <n v="0"/>
    <n v="0"/>
    <n v="0"/>
    <n v="2"/>
    <n v="7"/>
    <n v="8"/>
    <n v="0"/>
    <n v="0"/>
    <n v="0"/>
    <n v="0"/>
    <n v="0"/>
    <n v="0"/>
    <n v="0"/>
    <n v="0"/>
    <n v="0"/>
    <n v="0"/>
    <n v="0"/>
    <n v="0"/>
    <n v="0"/>
    <n v="0"/>
    <n v="0"/>
    <n v="0"/>
    <n v="0"/>
    <m/>
    <s v="Y"/>
    <s v="Nine Elms"/>
    <n v="8"/>
    <m/>
    <m/>
    <m/>
    <m/>
    <m/>
    <m/>
    <m/>
    <m/>
    <n v="17"/>
    <m/>
    <m/>
    <m/>
    <m/>
    <m/>
    <m/>
    <m/>
    <m/>
    <m/>
    <m/>
    <m/>
    <n v="0"/>
    <n v="17"/>
  </r>
  <r>
    <n v="3511"/>
    <x v="2"/>
    <s v="2014/2810"/>
    <s v="New Covent Garden Market, Nine Elms Lane (Combined Main Market, Entrance site and Thessaly College site)"/>
    <s v="Apex Site - A7"/>
    <n v="529369"/>
    <n v="177317"/>
    <s v="Nine Elms"/>
    <d v="2017-03-31T00:00:00"/>
    <m/>
    <n v="0"/>
    <n v="11"/>
    <n v="11"/>
    <n v="2971"/>
    <n v="2966"/>
    <s v="Y"/>
    <s v="Planning application for part outline and part detail planning permission for: (a) demolition of existing wholesale Fruit and Vegetable and Flower Market and ancillary buildings and structures, and residential building on Nine Elms Lane (apart from the existing multi storey car park); (b) Construction of mixed-use redevelopment comprising: a new Fruit and Vegetable Market and Flower Market and ancillary uses, including temporary and permanent façade; refurbishment and extension of existing waste collection area (including rooftop sports pitches); residential dwellings; flexible commercial uses, including retail, financial and professional services, café/restaurant, bar uses and hot food takeaways and offices; non-residential institutions; assembly and leisure uses; temporary storage and distribution buildings and associated works; associated car, cycle and motorcycle parking and servicing and new vehicle accesses, energy centres; and landscaping public realm and open space including part of the Linear Park. All matters reserved apart from access, details of all new markets and supporting buildings, and details of Building N8 and associated landscaping); (c) Site clearance and enabling works."/>
    <s v="POLA"/>
    <d v="2014-05-15T00:00:00"/>
    <d v="2015-02-11T00:00:00"/>
    <m/>
    <s v="Nil"/>
    <m/>
    <s v="BF"/>
    <s v="NB"/>
    <x v="1"/>
    <x v="0"/>
    <n v="6.0999999999999999E-2"/>
    <m/>
    <x v="0"/>
    <m/>
    <s v="Intermediate"/>
    <s v="IU"/>
    <s v="2.1.27"/>
    <m/>
    <m/>
    <n v="10"/>
    <m/>
    <n v="1"/>
    <n v="0"/>
    <n v="2"/>
    <n v="5"/>
    <n v="3"/>
    <n v="1"/>
    <n v="0"/>
    <n v="0"/>
    <n v="0"/>
    <n v="2"/>
    <n v="5"/>
    <n v="3"/>
    <n v="0"/>
    <n v="0"/>
    <n v="0"/>
    <n v="0"/>
    <n v="0"/>
    <n v="0"/>
    <n v="0"/>
    <n v="1"/>
    <n v="0"/>
    <n v="0"/>
    <n v="0"/>
    <n v="0"/>
    <n v="0"/>
    <n v="0"/>
    <n v="0"/>
    <n v="0"/>
    <n v="0"/>
    <m/>
    <s v="Y"/>
    <s v="Nine Elms"/>
    <n v="8"/>
    <m/>
    <m/>
    <m/>
    <m/>
    <m/>
    <m/>
    <m/>
    <m/>
    <n v="11"/>
    <m/>
    <m/>
    <m/>
    <m/>
    <m/>
    <m/>
    <m/>
    <m/>
    <m/>
    <m/>
    <m/>
    <n v="0"/>
    <n v="11"/>
  </r>
  <r>
    <n v="3511"/>
    <x v="2"/>
    <s v="2014/2810"/>
    <s v="New Covent Garden Market, Nine Elms Lane (Combined Main Market, Entrance site and Thessaly College site)"/>
    <s v="Thessaly Road Site - T3A"/>
    <n v="529369"/>
    <n v="177317"/>
    <s v="Nine Elms"/>
    <d v="2017-03-31T00:00:00"/>
    <m/>
    <n v="0"/>
    <n v="11"/>
    <n v="11"/>
    <n v="2971"/>
    <n v="2966"/>
    <s v="Y"/>
    <s v="Planning application for part outline and part detail planning permission for: (a) demolition of existing wholesale Fruit and Vegetable and Flower Market and ancillary buildings and structures, and residential building on Nine Elms Lane (apart from the existing multi storey car park); (b) Construction of mixed-use redevelopment comprising: a new Fruit and Vegetable Market and Flower Market and ancillary uses, including temporary and permanent façade; refurbishment and extension of existing waste collection area (including rooftop sports pitches); residential dwellings; flexible commercial uses, including retail, financial and professional services, café/restaurant, bar uses and hot food takeaways and offices; non-residential institutions; assembly and leisure uses; temporary storage and distribution buildings and associated works; associated car, cycle and motorcycle parking and servicing and new vehicle accesses, energy centres; and landscaping public realm and open space including part of the Linear Park. All matters reserved apart from access, details of all new markets and supporting buildings, and details of Building N8 and associated landscaping); (c) Site clearance and enabling works."/>
    <s v="POLA"/>
    <d v="2014-05-15T00:00:00"/>
    <d v="2015-02-11T00:00:00"/>
    <m/>
    <s v="Nil"/>
    <m/>
    <s v="BF"/>
    <s v="NB"/>
    <x v="1"/>
    <x v="0"/>
    <n v="6.6000000000000003E-2"/>
    <m/>
    <x v="0"/>
    <m/>
    <s v="Social/Affordable Rent"/>
    <s v="AA"/>
    <s v="2.1.27"/>
    <m/>
    <m/>
    <n v="10"/>
    <m/>
    <n v="1"/>
    <n v="0"/>
    <n v="2"/>
    <n v="5"/>
    <n v="4"/>
    <n v="0"/>
    <n v="0"/>
    <n v="0"/>
    <n v="0"/>
    <n v="2"/>
    <n v="5"/>
    <n v="4"/>
    <n v="0"/>
    <n v="0"/>
    <n v="0"/>
    <n v="0"/>
    <n v="0"/>
    <n v="0"/>
    <n v="0"/>
    <n v="0"/>
    <n v="0"/>
    <n v="0"/>
    <n v="0"/>
    <n v="0"/>
    <n v="0"/>
    <n v="0"/>
    <n v="0"/>
    <n v="0"/>
    <n v="0"/>
    <m/>
    <s v="Y"/>
    <s v="Nine Elms"/>
    <n v="8"/>
    <m/>
    <m/>
    <m/>
    <m/>
    <m/>
    <m/>
    <m/>
    <m/>
    <n v="11"/>
    <m/>
    <m/>
    <m/>
    <m/>
    <m/>
    <m/>
    <m/>
    <m/>
    <m/>
    <m/>
    <m/>
    <n v="0"/>
    <n v="11"/>
  </r>
  <r>
    <n v="3511"/>
    <x v="2"/>
    <s v="2014/2810"/>
    <s v="New Covent Garden Market, Nine Elms Lane (Combined Main Market, Entrance site and Thessaly College site)"/>
    <s v="Thessaly Road Site - T3B"/>
    <n v="529369"/>
    <n v="177317"/>
    <s v="Nine Elms"/>
    <d v="2017-03-31T00:00:00"/>
    <m/>
    <n v="0"/>
    <n v="6"/>
    <n v="6"/>
    <n v="2971"/>
    <n v="2966"/>
    <s v="Y"/>
    <s v="Planning application for part outline and part detail planning permission for: (a) demolition of existing wholesale Fruit and Vegetable and Flower Market and ancillary buildings and structures, and residential building on Nine Elms Lane (apart from the existing multi storey car park); (b) Construction of mixed-use redevelopment comprising: a new Fruit and Vegetable Market and Flower Market and ancillary uses, including temporary and permanent façade; refurbishment and extension of existing waste collection area (including rooftop sports pitches); residential dwellings; flexible commercial uses, including retail, financial and professional services, café/restaurant, bar uses and hot food takeaways and offices; non-residential institutions; assembly and leisure uses; temporary storage and distribution buildings and associated works; associated car, cycle and motorcycle parking and servicing and new vehicle accesses, energy centres; and landscaping public realm and open space including part of the Linear Park. All matters reserved apart from access, details of all new markets and supporting buildings, and details of Building N8 and associated landscaping); (c) Site clearance and enabling works."/>
    <s v="POLA"/>
    <d v="2014-05-15T00:00:00"/>
    <d v="2015-02-11T00:00:00"/>
    <m/>
    <s v="Nil"/>
    <m/>
    <s v="BF"/>
    <s v="NB"/>
    <x v="1"/>
    <x v="0"/>
    <n v="3.5999999999999997E-2"/>
    <m/>
    <x v="0"/>
    <m/>
    <s v="Social/Affordable Rent"/>
    <s v="AA"/>
    <s v="2.1.27"/>
    <m/>
    <m/>
    <n v="5"/>
    <m/>
    <n v="1"/>
    <n v="0"/>
    <n v="0"/>
    <n v="2"/>
    <n v="4"/>
    <n v="0"/>
    <n v="0"/>
    <n v="0"/>
    <n v="0"/>
    <n v="0"/>
    <n v="2"/>
    <n v="4"/>
    <n v="0"/>
    <n v="0"/>
    <n v="0"/>
    <n v="0"/>
    <n v="0"/>
    <n v="0"/>
    <n v="0"/>
    <n v="0"/>
    <n v="0"/>
    <n v="0"/>
    <n v="0"/>
    <n v="0"/>
    <n v="0"/>
    <n v="0"/>
    <n v="0"/>
    <n v="0"/>
    <n v="0"/>
    <m/>
    <s v="Y"/>
    <s v="Nine Elms"/>
    <n v="8"/>
    <m/>
    <m/>
    <m/>
    <m/>
    <m/>
    <m/>
    <m/>
    <m/>
    <n v="6"/>
    <m/>
    <m/>
    <m/>
    <m/>
    <m/>
    <m/>
    <m/>
    <m/>
    <m/>
    <m/>
    <m/>
    <n v="0"/>
    <n v="6"/>
  </r>
  <r>
    <n v="3511"/>
    <x v="2"/>
    <s v="2014/2810"/>
    <s v="New Covent Garden Market, Nine Elms Lane (Combined Main Market, Entrance site and Thessaly College site)"/>
    <s v="Entrance Site - Existing"/>
    <n v="529369"/>
    <n v="177317"/>
    <s v="Nine Elms"/>
    <d v="2017-03-31T00:00:00"/>
    <m/>
    <n v="5"/>
    <n v="0"/>
    <n v="-5"/>
    <n v="2971"/>
    <n v="2966"/>
    <s v="Y"/>
    <s v="Planning application for part outline and part detail planning permission for: (a) demolition of existing wholesale Fruit and Vegetable and Flower Market and ancillary buildings and structures, and residential building on Nine Elms Lane (apart from the existing multi storey car park); (b) Construction of mixed-use redevelopment comprising: a new Fruit and Vegetable Market and Flower Market and ancillary uses, including temporary and permanent façade; refurbishment and extension of existing waste collection area (including rooftop sports pitches); residential dwellings; flexible commercial uses, including retail, financial and professional services, café/restaurant, bar uses and hot food takeaways and offices; non-residential institutions; assembly and leisure uses; temporary storage and distribution buildings and associated works; associated car, cycle and motorcycle parking and servicing and new vehicle accesses, energy centres; and landscaping public realm and open space including part of the Linear Park. All matters reserved apart from access, details of all new markets and supporting buildings, and details of Building N8 and associated landscaping); (c) Site clearance and enabling works."/>
    <s v="POLA"/>
    <d v="2014-05-15T00:00:00"/>
    <d v="2015-02-11T00:00:00"/>
    <m/>
    <s v="Nil"/>
    <m/>
    <s v="BF"/>
    <s v="NB"/>
    <x v="1"/>
    <x v="0"/>
    <n v="0"/>
    <m/>
    <x v="0"/>
    <m/>
    <s v="Open Market"/>
    <s v="M"/>
    <s v="2.1.27"/>
    <m/>
    <m/>
    <m/>
    <m/>
    <m/>
    <n v="0"/>
    <n v="0"/>
    <n v="0"/>
    <n v="0"/>
    <n v="0"/>
    <n v="0"/>
    <n v="-5"/>
    <n v="0"/>
    <n v="0"/>
    <n v="0"/>
    <n v="0"/>
    <n v="0"/>
    <n v="0"/>
    <n v="-5"/>
    <n v="0"/>
    <n v="0"/>
    <n v="0"/>
    <n v="0"/>
    <n v="0"/>
    <n v="0"/>
    <n v="0"/>
    <n v="0"/>
    <n v="0"/>
    <n v="0"/>
    <n v="0"/>
    <n v="0"/>
    <n v="0"/>
    <n v="0"/>
    <m/>
    <s v="Y"/>
    <s v="Nine Elms"/>
    <n v="8"/>
    <m/>
    <m/>
    <m/>
    <m/>
    <m/>
    <m/>
    <m/>
    <m/>
    <n v="-5"/>
    <m/>
    <m/>
    <m/>
    <m/>
    <m/>
    <m/>
    <m/>
    <m/>
    <m/>
    <m/>
    <m/>
    <n v="0"/>
    <n v="-5"/>
  </r>
  <r>
    <n v="4797"/>
    <x v="2"/>
    <s v="2014/3470"/>
    <s v="Unit 25-28 Ransomes Dock, 35-37 Parkgate Road (Ransomes Dock Business Centre)"/>
    <s v="Flat 12"/>
    <n v="527293"/>
    <n v="177185"/>
    <s v="Battersea Park"/>
    <d v="2014-08-19T00:00:00"/>
    <m/>
    <n v="0"/>
    <n v="1"/>
    <n v="1"/>
    <n v="2"/>
    <n v="2"/>
    <m/>
    <s v="Change of use of 232 sqm of floorspace at third floor level from Office (Class B1a) to Residential use (Class C3) to provide two flats."/>
    <s v="PAG"/>
    <d v="2014-06-24T00:00:00"/>
    <d v="2014-08-19T00:00:00"/>
    <m/>
    <s v="Nil"/>
    <m/>
    <s v="BF"/>
    <s v="COU"/>
    <x v="2"/>
    <x v="6"/>
    <n v="7.0000000000000001E-3"/>
    <m/>
    <x v="0"/>
    <m/>
    <s v="Open Market"/>
    <s v="M"/>
    <s v=""/>
    <m/>
    <m/>
    <m/>
    <m/>
    <m/>
    <n v="0"/>
    <n v="0"/>
    <n v="0"/>
    <n v="1"/>
    <n v="0"/>
    <n v="0"/>
    <n v="0"/>
    <n v="0"/>
    <n v="0"/>
    <n v="0"/>
    <n v="1"/>
    <n v="0"/>
    <n v="0"/>
    <n v="0"/>
    <n v="0"/>
    <n v="0"/>
    <n v="0"/>
    <n v="0"/>
    <n v="0"/>
    <n v="0"/>
    <n v="0"/>
    <n v="0"/>
    <n v="0"/>
    <n v="0"/>
    <n v="0"/>
    <n v="0"/>
    <n v="0"/>
    <n v="0"/>
    <m/>
    <m/>
    <s v="Wandsworth riverside"/>
    <n v="15"/>
    <m/>
    <n v="0.25"/>
    <n v="0.25"/>
    <n v="0.25"/>
    <n v="0.25"/>
    <m/>
    <m/>
    <m/>
    <m/>
    <m/>
    <m/>
    <m/>
    <m/>
    <m/>
    <m/>
    <m/>
    <m/>
    <m/>
    <m/>
    <m/>
    <n v="1"/>
    <n v="1"/>
  </r>
  <r>
    <n v="3511"/>
    <x v="2"/>
    <s v="2014/2810"/>
    <s v="New Covent Garden Market, Nine Elms Lane (Combined Main Market, Entrance site and Thessaly College site)"/>
    <s v="Northern Site - N7"/>
    <n v="529369"/>
    <n v="177317"/>
    <s v="Nine Elms"/>
    <d v="2017-03-31T00:00:00"/>
    <m/>
    <n v="0"/>
    <n v="166"/>
    <n v="166"/>
    <n v="2971"/>
    <n v="2966"/>
    <s v="Y"/>
    <s v="Planning application for part outline and part detail planning permission for: (a) demolition of existing wholesale Fruit and Vegetable and Flower Market and ancillary buildings and structures, and residential building on Nine Elms Lane (apart from the existing multi storey car park); (b) Construction of mixed-use redevelopment comprising: a new Fruit and Vegetable Market and Flower Market and ancillary uses, including temporary and permanent façade; refurbishment and extension of existing waste collection area (including rooftop sports pitches); residential dwellings; flexible commercial uses, including retail, financial and professional services, café/restaurant, bar uses and hot food takeaways and offices; non-residential institutions; assembly and leisure uses; temporary storage and distribution buildings and associated works; associated car, cycle and motorcycle parking and servicing and new vehicle accesses, energy centres; and landscaping public realm and open space including part of the Linear Park. All matters reserved apart from access, details of all new markets and supporting buildings, and details of Building N8 and associated landscaping); (c) Site clearance and enabling works."/>
    <s v="POLA"/>
    <d v="2014-05-15T00:00:00"/>
    <d v="2015-02-11T00:00:00"/>
    <m/>
    <s v="Nil"/>
    <m/>
    <s v="BF"/>
    <s v="NB"/>
    <x v="1"/>
    <x v="0"/>
    <n v="1.0009999999999999"/>
    <m/>
    <x v="0"/>
    <m/>
    <s v="Open Market"/>
    <s v="M"/>
    <s v="2.1.27"/>
    <m/>
    <m/>
    <n v="149"/>
    <m/>
    <n v="17"/>
    <n v="0"/>
    <n v="33"/>
    <n v="58"/>
    <n v="75"/>
    <n v="0"/>
    <n v="0"/>
    <n v="0"/>
    <n v="0"/>
    <n v="33"/>
    <n v="58"/>
    <n v="75"/>
    <n v="0"/>
    <n v="0"/>
    <n v="0"/>
    <n v="0"/>
    <n v="0"/>
    <n v="0"/>
    <n v="0"/>
    <n v="0"/>
    <n v="0"/>
    <n v="0"/>
    <n v="0"/>
    <n v="0"/>
    <n v="0"/>
    <n v="0"/>
    <n v="0"/>
    <n v="0"/>
    <n v="0"/>
    <m/>
    <s v="Y"/>
    <s v="Nine Elms"/>
    <n v="8"/>
    <m/>
    <m/>
    <m/>
    <m/>
    <m/>
    <m/>
    <n v="166"/>
    <m/>
    <m/>
    <m/>
    <m/>
    <m/>
    <m/>
    <m/>
    <m/>
    <m/>
    <m/>
    <m/>
    <m/>
    <m/>
    <n v="0"/>
    <n v="166"/>
  </r>
  <r>
    <n v="3511"/>
    <x v="2"/>
    <s v="2018/5698"/>
    <s v="New Covent Garden Market, Nine Elms Lane (Combined Main Market, Entrance site and Thessaly College site)"/>
    <s v="N12"/>
    <n v="529369"/>
    <n v="177317"/>
    <s v="Nine Elms"/>
    <d v="2019-07-26T00:00:00"/>
    <m/>
    <n v="0"/>
    <n v="13"/>
    <n v="13"/>
    <n v="559"/>
    <n v="559"/>
    <s v="Y"/>
    <s v="Application for approval of reserved matters (Access, Layout, Appearance, Scale and Landscaping) for Phase 1B of the Northern Site Development Zone pursuant to part outline and part detailed planning permission 2014/2810, dated 11/02/15 &quot;For part outline and part detail planning permission for: (a) demolition of existing wholesale Fruit and Vegetable and Flower_x000a_Marketand ancillary buildings and structures, and residential building on Nine Elms Lane (apart from the existing multi storey car park); (b) Construction_x000a_ofmixed-use redevelopment comprising: a new Fruit and Vegetable Market and Flower Market and ancillary uses, including temporary and_x000a_permanentfaçade; refurbishment and extension of existing waste collection area (including rooftop sports pitches); residential dwellings; flexible_x000a_commercial uses, including retail, financial and professional services, café/restaurant, bar uses and hot food takeaways and offices; non-residential_x000a_institutions; assembly and leisure uses; temporary storage and distribution buildings and associated works; associated car, cycle and motorcycle_x000a_parking and servicing and new vehicle accesses, energy centres; and landscaping public realm and open space including part of the Linear Park._x000a_All matters reserved apart from access, details of all new markets and supporting buildings, and details of Building N8 and associated landscaping);_x000a_(c) Site clearance and enabling works. An Environmental Statement has been submitted with the application under The Town and Country Planning_x000a_(Environmental Impact Assessment) Regulations 2011.&quot;"/>
    <s v="DT"/>
    <d v="2018-11-29T00:00:00"/>
    <d v="2019-03-22T00:00:00"/>
    <m/>
    <s v="Nil"/>
    <m/>
    <s v="BF"/>
    <s v="NB"/>
    <x v="1"/>
    <x v="0"/>
    <n v="7.1999999999999995E-2"/>
    <m/>
    <x v="0"/>
    <m/>
    <s v="Intermediate"/>
    <s v="ISO"/>
    <s v="2.1.27"/>
    <m/>
    <n v="13"/>
    <m/>
    <m/>
    <m/>
    <n v="0"/>
    <n v="6"/>
    <n v="6"/>
    <n v="1"/>
    <n v="0"/>
    <n v="0"/>
    <n v="0"/>
    <n v="0"/>
    <n v="6"/>
    <n v="6"/>
    <n v="1"/>
    <n v="0"/>
    <n v="0"/>
    <n v="0"/>
    <n v="0"/>
    <n v="0"/>
    <n v="0"/>
    <n v="0"/>
    <n v="0"/>
    <n v="0"/>
    <n v="0"/>
    <n v="0"/>
    <n v="0"/>
    <n v="0"/>
    <n v="0"/>
    <n v="0"/>
    <n v="0"/>
    <n v="0"/>
    <m/>
    <s v="Y"/>
    <s v="Nine Elms"/>
    <n v="8"/>
    <m/>
    <m/>
    <m/>
    <m/>
    <m/>
    <m/>
    <n v="13"/>
    <m/>
    <m/>
    <m/>
    <m/>
    <m/>
    <m/>
    <m/>
    <m/>
    <m/>
    <m/>
    <m/>
    <m/>
    <m/>
    <n v="0"/>
    <n v="13"/>
  </r>
  <r>
    <n v="464"/>
    <x v="2"/>
    <s v="2015/6813"/>
    <s v="41-59 Battersea Park Road (Booker and BMW Sites)"/>
    <s v="Block A"/>
    <n v="529321"/>
    <n v="177258"/>
    <s v="Nine Elms"/>
    <d v="2022-02-14T00:00:00"/>
    <m/>
    <n v="0"/>
    <n v="42"/>
    <n v="42"/>
    <n v="307"/>
    <n v="307"/>
    <s v="Y"/>
    <s v="Demolition of all existing buildings and construction of new buildings of between 5 storeys and 18 storeys, containing 307 residential units, business (Class B1) floorspace and flexible retail/restaurant and cafe/business floorspace (Class A1-A5 and B1), CHP basement, vehicle and cycle parking, plant and associated works, landscaping  and a new access onto Sleaford street."/>
    <s v="PFLA"/>
    <d v="2015-11-30T00:00:00"/>
    <d v="2019-03-28T00:00:00"/>
    <m/>
    <s v="Nil"/>
    <m/>
    <s v="BF"/>
    <s v="NB"/>
    <x v="1"/>
    <x v="0"/>
    <n v="3.9E-2"/>
    <m/>
    <x v="0"/>
    <m/>
    <s v="Open Market"/>
    <s v="M"/>
    <s v="2.1.13"/>
    <n v="17320035"/>
    <m/>
    <n v="38"/>
    <m/>
    <n v="4"/>
    <n v="0"/>
    <n v="10"/>
    <n v="21"/>
    <n v="10"/>
    <n v="1"/>
    <n v="0"/>
    <n v="0"/>
    <n v="0"/>
    <n v="10"/>
    <n v="21"/>
    <n v="10"/>
    <n v="1"/>
    <n v="0"/>
    <n v="0"/>
    <n v="0"/>
    <n v="0"/>
    <n v="0"/>
    <n v="0"/>
    <n v="0"/>
    <n v="0"/>
    <n v="0"/>
    <n v="0"/>
    <n v="0"/>
    <n v="0"/>
    <n v="0"/>
    <n v="0"/>
    <n v="0"/>
    <n v="0"/>
    <m/>
    <s v="Y"/>
    <s v="Nine Elms"/>
    <n v="10"/>
    <m/>
    <m/>
    <m/>
    <m/>
    <n v="14"/>
    <n v="14"/>
    <n v="14"/>
    <m/>
    <m/>
    <m/>
    <m/>
    <m/>
    <m/>
    <m/>
    <m/>
    <m/>
    <m/>
    <m/>
    <m/>
    <m/>
    <n v="28"/>
    <n v="42"/>
  </r>
  <r>
    <n v="464"/>
    <x v="2"/>
    <s v="2015/6813"/>
    <s v="41-59 Battersea Park Road (Booker and BMW Sites)"/>
    <s v="Block B"/>
    <n v="529321"/>
    <n v="177258"/>
    <s v="Nine Elms"/>
    <d v="2022-02-14T00:00:00"/>
    <m/>
    <n v="0"/>
    <n v="111"/>
    <n v="111"/>
    <n v="307"/>
    <n v="307"/>
    <s v="Y"/>
    <s v="Demolition of all existing buildings and construction of new buildings of between 5 storeys and 18 storeys, containing 307 residential units, business (Class B1) floorspace and flexible retail/restaurant and cafe/business floorspace (Class A1-A5 and B1), CHP basement, vehicle and cycle parking, plant and associated works, landscaping  and a new access onto Sleaford street."/>
    <s v="PFLA"/>
    <d v="2015-11-30T00:00:00"/>
    <d v="2019-03-28T00:00:00"/>
    <m/>
    <s v="Nil"/>
    <m/>
    <s v="BF"/>
    <s v="NB"/>
    <x v="1"/>
    <x v="0"/>
    <n v="0.09"/>
    <m/>
    <x v="0"/>
    <m/>
    <s v="Open Market"/>
    <s v="M"/>
    <s v="2.1.13"/>
    <n v="17320035"/>
    <m/>
    <n v="100"/>
    <m/>
    <n v="11"/>
    <n v="1"/>
    <n v="40"/>
    <n v="60"/>
    <n v="10"/>
    <n v="0"/>
    <n v="0"/>
    <n v="0"/>
    <n v="1"/>
    <n v="40"/>
    <n v="60"/>
    <n v="10"/>
    <n v="0"/>
    <n v="0"/>
    <n v="0"/>
    <n v="0"/>
    <n v="0"/>
    <n v="0"/>
    <n v="0"/>
    <n v="0"/>
    <n v="0"/>
    <n v="0"/>
    <n v="0"/>
    <n v="0"/>
    <n v="0"/>
    <n v="0"/>
    <n v="0"/>
    <n v="0"/>
    <n v="0"/>
    <m/>
    <s v="Y"/>
    <s v="Nine Elms"/>
    <n v="10"/>
    <m/>
    <m/>
    <m/>
    <m/>
    <n v="37"/>
    <n v="37"/>
    <n v="37"/>
    <m/>
    <m/>
    <m/>
    <m/>
    <m/>
    <m/>
    <m/>
    <m/>
    <m/>
    <m/>
    <m/>
    <m/>
    <m/>
    <n v="74"/>
    <n v="111"/>
  </r>
  <r>
    <n v="464"/>
    <x v="2"/>
    <s v="2015/6813"/>
    <s v="41-59 Battersea Park Road (Booker and BMW Sites)"/>
    <s v="Block C"/>
    <n v="529321"/>
    <n v="177258"/>
    <s v="Nine Elms"/>
    <d v="2022-02-14T00:00:00"/>
    <m/>
    <n v="0"/>
    <n v="10"/>
    <n v="10"/>
    <n v="307"/>
    <n v="307"/>
    <s v="Y"/>
    <s v="Demolition of all existing buildings and construction of new buildings of between 5 storeys and 18 storeys, containing 307 residential units, business (Class B1) floorspace and flexible retail/restaurant and cafe/business floorspace (Class A1-A5 and B1), CHP basement, vehicle and cycle parking, plant and associated works, landscaping  and a new access onto Sleaford street."/>
    <s v="PFLA"/>
    <d v="2015-11-30T00:00:00"/>
    <d v="2019-03-28T00:00:00"/>
    <m/>
    <s v="Nil"/>
    <m/>
    <s v="BF"/>
    <s v="NB"/>
    <x v="1"/>
    <x v="0"/>
    <n v="5.0000000000000001E-3"/>
    <m/>
    <x v="0"/>
    <m/>
    <s v="Intermediate"/>
    <s v="ISO"/>
    <s v="2.1.13"/>
    <n v="17320035"/>
    <m/>
    <n v="9"/>
    <m/>
    <n v="1"/>
    <n v="0"/>
    <n v="10"/>
    <n v="0"/>
    <n v="0"/>
    <n v="0"/>
    <n v="0"/>
    <n v="0"/>
    <n v="0"/>
    <n v="10"/>
    <n v="0"/>
    <n v="0"/>
    <n v="0"/>
    <n v="0"/>
    <n v="0"/>
    <n v="0"/>
    <n v="0"/>
    <n v="0"/>
    <n v="0"/>
    <n v="0"/>
    <n v="0"/>
    <n v="0"/>
    <n v="0"/>
    <n v="0"/>
    <n v="0"/>
    <n v="0"/>
    <n v="0"/>
    <n v="0"/>
    <n v="0"/>
    <m/>
    <s v="Y"/>
    <s v="Nine Elms"/>
    <n v="10"/>
    <m/>
    <m/>
    <m/>
    <m/>
    <n v="3.3333333333333335"/>
    <n v="3.3333333333333335"/>
    <n v="3.3333333333333335"/>
    <m/>
    <m/>
    <m/>
    <m/>
    <m/>
    <m/>
    <m/>
    <m/>
    <m/>
    <m/>
    <m/>
    <m/>
    <m/>
    <n v="6.666666666666667"/>
    <n v="10"/>
  </r>
  <r>
    <n v="464"/>
    <x v="2"/>
    <s v="2015/6813"/>
    <s v="41-59 Battersea Park Road (Booker and BMW Sites)"/>
    <s v="Block C"/>
    <n v="529321"/>
    <n v="177258"/>
    <s v="Nine Elms"/>
    <d v="2022-02-14T00:00:00"/>
    <m/>
    <n v="0"/>
    <n v="52"/>
    <n v="52"/>
    <n v="307"/>
    <n v="307"/>
    <s v="Y"/>
    <s v="Demolition of all existing buildings and construction of new buildings of between 5 storeys and 18 storeys, containing 307 residential units, business (Class B1) floorspace and flexible retail/restaurant and cafe/business floorspace (Class A1-A5 and B1), CHP basement, vehicle and cycle parking, plant and associated works, landscaping  and a new access onto Sleaford street."/>
    <s v="PFLA"/>
    <d v="2015-11-30T00:00:00"/>
    <d v="2019-03-28T00:00:00"/>
    <m/>
    <s v="Nil"/>
    <m/>
    <s v="BF"/>
    <s v="NB"/>
    <x v="1"/>
    <x v="0"/>
    <n v="4.3999999999999997E-2"/>
    <m/>
    <x v="0"/>
    <m/>
    <s v="Open Market"/>
    <s v="M"/>
    <s v="2.1.13"/>
    <n v="17320035"/>
    <m/>
    <n v="47"/>
    <m/>
    <n v="5"/>
    <n v="0"/>
    <n v="9"/>
    <n v="42"/>
    <n v="1"/>
    <n v="0"/>
    <n v="0"/>
    <n v="0"/>
    <n v="0"/>
    <n v="9"/>
    <n v="42"/>
    <n v="1"/>
    <n v="0"/>
    <n v="0"/>
    <n v="0"/>
    <n v="0"/>
    <n v="0"/>
    <n v="0"/>
    <n v="0"/>
    <n v="0"/>
    <n v="0"/>
    <n v="0"/>
    <n v="0"/>
    <n v="0"/>
    <n v="0"/>
    <n v="0"/>
    <n v="0"/>
    <n v="0"/>
    <n v="0"/>
    <m/>
    <s v="Y"/>
    <s v="Nine Elms"/>
    <n v="10"/>
    <m/>
    <m/>
    <m/>
    <m/>
    <n v="17.333333333333332"/>
    <n v="17.333333333333332"/>
    <n v="17.333333333333332"/>
    <m/>
    <m/>
    <m/>
    <m/>
    <m/>
    <m/>
    <m/>
    <m/>
    <m/>
    <m/>
    <m/>
    <m/>
    <m/>
    <n v="34.666666666666664"/>
    <n v="52"/>
  </r>
  <r>
    <n v="464"/>
    <x v="2"/>
    <s v="2015/6813"/>
    <s v="41-59 Battersea Park Road (Booker and BMW Sites)"/>
    <s v="Block D"/>
    <n v="529321"/>
    <n v="177258"/>
    <s v="Nine Elms"/>
    <d v="2022-02-14T00:00:00"/>
    <m/>
    <n v="0"/>
    <n v="20"/>
    <n v="20"/>
    <n v="307"/>
    <n v="307"/>
    <s v="Y"/>
    <s v="Demolition of all existing buildings and construction of new buildings of between 5 storeys and 18 storeys, containing 307 residential units, business (Class B1) floorspace and flexible retail/restaurant and cafe/business floorspace (Class A1-A5 and B1), CHP basement, vehicle and cycle parking, plant and associated works, landscaping  and a new access onto Sleaford street."/>
    <s v="PFLA"/>
    <d v="2015-11-30T00:00:00"/>
    <d v="2019-03-28T00:00:00"/>
    <m/>
    <s v="Nil"/>
    <m/>
    <s v="BF"/>
    <s v="NB"/>
    <x v="1"/>
    <x v="0"/>
    <n v="1.7999999999999999E-2"/>
    <m/>
    <x v="0"/>
    <m/>
    <s v="Social/Affordable Rent"/>
    <s v="AA"/>
    <s v="2.1.13"/>
    <n v="17320035"/>
    <m/>
    <n v="18"/>
    <m/>
    <n v="2"/>
    <n v="1"/>
    <n v="9"/>
    <n v="6"/>
    <n v="4"/>
    <n v="0"/>
    <n v="0"/>
    <n v="0"/>
    <n v="1"/>
    <n v="9"/>
    <n v="6"/>
    <n v="4"/>
    <n v="0"/>
    <n v="0"/>
    <n v="0"/>
    <n v="0"/>
    <n v="0"/>
    <n v="0"/>
    <n v="0"/>
    <n v="0"/>
    <n v="0"/>
    <n v="0"/>
    <n v="0"/>
    <n v="0"/>
    <n v="0"/>
    <n v="0"/>
    <n v="0"/>
    <n v="0"/>
    <n v="0"/>
    <m/>
    <s v="Y"/>
    <s v="Nine Elms"/>
    <n v="10"/>
    <m/>
    <m/>
    <m/>
    <m/>
    <n v="6.666666666666667"/>
    <n v="6.666666666666667"/>
    <n v="6.666666666666667"/>
    <m/>
    <m/>
    <m/>
    <m/>
    <m/>
    <m/>
    <m/>
    <m/>
    <m/>
    <m/>
    <m/>
    <m/>
    <m/>
    <n v="13.333333333333334"/>
    <n v="20"/>
  </r>
  <r>
    <n v="464"/>
    <x v="2"/>
    <s v="2015/6813"/>
    <s v="41-59 Battersea Park Road (Booker and BMW Sites)"/>
    <s v="Block E"/>
    <n v="529321"/>
    <n v="177258"/>
    <s v="Nine Elms"/>
    <d v="2022-02-14T00:00:00"/>
    <m/>
    <n v="0"/>
    <n v="25"/>
    <n v="25"/>
    <n v="307"/>
    <n v="307"/>
    <s v="Y"/>
    <s v="Demolition of all existing buildings and construction of new buildings of between 5 storeys and 18 storeys, containing 307 residential units, business (Class B1) floorspace and flexible retail/restaurant and cafe/business floorspace (Class A1-A5 and B1), CHP basement, vehicle and cycle parking, plant and associated works, landscaping  and a new access onto Sleaford street."/>
    <s v="PFLA"/>
    <d v="2015-11-30T00:00:00"/>
    <d v="2019-03-28T00:00:00"/>
    <m/>
    <s v="Nil"/>
    <m/>
    <s v="BF"/>
    <s v="NB"/>
    <x v="1"/>
    <x v="0"/>
    <n v="2.1000000000000001E-2"/>
    <m/>
    <x v="0"/>
    <m/>
    <s v="Open Market"/>
    <s v="M"/>
    <s v="2.1.13"/>
    <n v="17320035"/>
    <m/>
    <n v="22"/>
    <m/>
    <n v="3"/>
    <n v="0"/>
    <n v="0"/>
    <n v="25"/>
    <n v="0"/>
    <n v="0"/>
    <n v="0"/>
    <n v="0"/>
    <n v="0"/>
    <n v="0"/>
    <n v="25"/>
    <n v="0"/>
    <n v="0"/>
    <n v="0"/>
    <n v="0"/>
    <n v="0"/>
    <n v="0"/>
    <n v="0"/>
    <n v="0"/>
    <n v="0"/>
    <n v="0"/>
    <n v="0"/>
    <n v="0"/>
    <n v="0"/>
    <n v="0"/>
    <n v="0"/>
    <n v="0"/>
    <n v="0"/>
    <n v="0"/>
    <m/>
    <s v="Y"/>
    <s v="Nine Elms"/>
    <n v="10"/>
    <m/>
    <m/>
    <m/>
    <m/>
    <n v="8.3333333333333339"/>
    <n v="8.3333333333333339"/>
    <n v="8.3333333333333339"/>
    <m/>
    <m/>
    <m/>
    <m/>
    <m/>
    <m/>
    <m/>
    <m/>
    <m/>
    <m/>
    <m/>
    <m/>
    <m/>
    <n v="16.666666666666668"/>
    <n v="25"/>
  </r>
  <r>
    <n v="464"/>
    <x v="2"/>
    <s v="2015/6813"/>
    <s v="41-59 Battersea Park Road (Booker and BMW Sites)"/>
    <s v="Block E"/>
    <n v="529321"/>
    <n v="177258"/>
    <s v="Nine Elms"/>
    <d v="2022-02-14T00:00:00"/>
    <m/>
    <n v="0"/>
    <n v="47"/>
    <n v="47"/>
    <n v="307"/>
    <n v="307"/>
    <s v="Y"/>
    <s v="Demolition of all existing buildings and construction of new buildings of between 5 storeys and 18 storeys, containing 307 residential units, business (Class B1) floorspace and flexible retail/restaurant and cafe/business floorspace (Class A1-A5 and B1), CHP basement, vehicle and cycle parking, plant and associated works, landscaping  and a new access onto Sleaford street."/>
    <s v="PFLA"/>
    <d v="2015-11-30T00:00:00"/>
    <d v="2019-03-28T00:00:00"/>
    <m/>
    <s v="Nil"/>
    <m/>
    <s v="BF"/>
    <s v="NB"/>
    <x v="1"/>
    <x v="0"/>
    <n v="3.9E-2"/>
    <m/>
    <x v="0"/>
    <m/>
    <s v="Intermediate"/>
    <s v="ISO"/>
    <s v="2.1.13"/>
    <n v="17320035"/>
    <m/>
    <n v="42"/>
    <m/>
    <n v="5"/>
    <n v="0"/>
    <n v="12"/>
    <n v="35"/>
    <n v="0"/>
    <n v="0"/>
    <n v="0"/>
    <n v="0"/>
    <n v="0"/>
    <n v="12"/>
    <n v="35"/>
    <n v="0"/>
    <n v="0"/>
    <n v="0"/>
    <n v="0"/>
    <n v="0"/>
    <n v="0"/>
    <n v="0"/>
    <n v="0"/>
    <n v="0"/>
    <n v="0"/>
    <n v="0"/>
    <n v="0"/>
    <n v="0"/>
    <n v="0"/>
    <n v="0"/>
    <n v="0"/>
    <n v="0"/>
    <n v="0"/>
    <m/>
    <s v="Y"/>
    <s v="Nine Elms"/>
    <n v="10"/>
    <m/>
    <m/>
    <m/>
    <m/>
    <n v="15.666666666666666"/>
    <n v="15.666666666666666"/>
    <n v="15.666666666666666"/>
    <m/>
    <m/>
    <m/>
    <m/>
    <m/>
    <m/>
    <m/>
    <m/>
    <m/>
    <m/>
    <m/>
    <m/>
    <m/>
    <n v="31.333333333333332"/>
    <n v="47"/>
  </r>
  <r>
    <n v="5966"/>
    <x v="2"/>
    <s v="2015/7662"/>
    <s v="Unit 3 &amp; 20 Ransomes Dock Business Centre, 35-37 Parkgate Road (Ransomes Dock Business Centre)"/>
    <s v="Apartment 3"/>
    <n v="527304"/>
    <n v="177160"/>
    <s v="Battersea Park"/>
    <d v="2017-03-31T00:00:00"/>
    <m/>
    <n v="0"/>
    <n v="1"/>
    <n v="1"/>
    <n v="2"/>
    <n v="2"/>
    <m/>
    <s v="Determination as to whether prior approval is required for change of use from office (Class B1a) to two residential units (Class C3)."/>
    <s v="PANR"/>
    <d v="2015-12-13T00:00:00"/>
    <d v="2016-03-14T00:00:00"/>
    <m/>
    <s v="Nil"/>
    <m/>
    <s v="BF"/>
    <s v="COU"/>
    <x v="2"/>
    <x v="6"/>
    <n v="2E-3"/>
    <m/>
    <x v="0"/>
    <m/>
    <s v="Open Market"/>
    <s v="M"/>
    <s v=""/>
    <m/>
    <m/>
    <m/>
    <m/>
    <m/>
    <n v="1"/>
    <n v="0"/>
    <n v="0"/>
    <n v="0"/>
    <n v="0"/>
    <n v="0"/>
    <n v="0"/>
    <n v="1"/>
    <n v="0"/>
    <n v="0"/>
    <n v="0"/>
    <n v="0"/>
    <n v="0"/>
    <n v="0"/>
    <n v="0"/>
    <n v="0"/>
    <n v="0"/>
    <n v="0"/>
    <n v="0"/>
    <n v="0"/>
    <n v="0"/>
    <n v="0"/>
    <n v="0"/>
    <n v="0"/>
    <n v="0"/>
    <n v="0"/>
    <n v="0"/>
    <n v="0"/>
    <m/>
    <m/>
    <s v="Wandsworth riverside"/>
    <n v="15"/>
    <m/>
    <n v="0.25"/>
    <n v="0.25"/>
    <n v="0.25"/>
    <n v="0.25"/>
    <m/>
    <m/>
    <m/>
    <m/>
    <m/>
    <m/>
    <m/>
    <m/>
    <m/>
    <m/>
    <m/>
    <m/>
    <m/>
    <m/>
    <m/>
    <n v="1"/>
    <n v="1"/>
  </r>
  <r>
    <n v="3652"/>
    <x v="2"/>
    <s v="2016/0654"/>
    <s v="9-15 Elcho Street"/>
    <s v=""/>
    <n v="527224"/>
    <n v="177200"/>
    <s v="Battersea Park"/>
    <d v="2019-04-16T00:00:00"/>
    <m/>
    <n v="0"/>
    <n v="4"/>
    <n v="4"/>
    <n v="4"/>
    <n v="4"/>
    <m/>
    <s v="Demolition of existing garage and erection of a ten-storey building comprising 4 residential units (4 x two-bedrooms) and 108 sq m of flexible commercial floorspace (Use Classes B1 (office)/A1 (retail)/A3 (restaurant/cafe)/D1 (non-residential institution) at ground and first floor levels, including associated balconies and roof terraces, cycle parking and refuse storage."/>
    <s v="PF"/>
    <d v="2016-02-12T00:00:00"/>
    <d v="2016-05-27T00:00:00"/>
    <m/>
    <s v="Nil"/>
    <m/>
    <s v="BF"/>
    <s v="NB"/>
    <x v="2"/>
    <x v="3"/>
    <n v="4.2000000000000003E-2"/>
    <m/>
    <x v="0"/>
    <m/>
    <s v="Open Market"/>
    <s v="M"/>
    <s v=""/>
    <m/>
    <m/>
    <m/>
    <m/>
    <m/>
    <n v="0"/>
    <n v="0"/>
    <n v="4"/>
    <n v="0"/>
    <n v="0"/>
    <n v="0"/>
    <n v="0"/>
    <n v="0"/>
    <n v="0"/>
    <n v="4"/>
    <n v="0"/>
    <n v="0"/>
    <n v="0"/>
    <n v="0"/>
    <n v="0"/>
    <n v="0"/>
    <n v="0"/>
    <n v="0"/>
    <n v="0"/>
    <n v="0"/>
    <n v="0"/>
    <n v="0"/>
    <n v="0"/>
    <n v="0"/>
    <n v="0"/>
    <n v="0"/>
    <n v="0"/>
    <n v="0"/>
    <m/>
    <m/>
    <s v="Wandsworth riverside"/>
    <n v="7"/>
    <m/>
    <m/>
    <n v="1"/>
    <n v="1"/>
    <n v="1"/>
    <n v="1"/>
    <m/>
    <m/>
    <m/>
    <m/>
    <m/>
    <m/>
    <m/>
    <m/>
    <m/>
    <m/>
    <m/>
    <m/>
    <m/>
    <m/>
    <n v="4"/>
    <n v="4"/>
  </r>
  <r>
    <n v="2411"/>
    <x v="2"/>
    <s v="2016/1119"/>
    <s v="South Lambeth Goods Depot, Cringle St./Battersea Park Rd., Kirtling Street (Battersea Power Station)"/>
    <s v="Phase 7 (RS-WF)"/>
    <n v="528934"/>
    <n v="177496"/>
    <s v="Nine Elms"/>
    <d v="2013-11-21T00:00:00"/>
    <m/>
    <n v="0"/>
    <n v="152"/>
    <n v="152"/>
    <n v="2735"/>
    <n v="2735"/>
    <s v="Y"/>
    <s v="Application for Amendments to the outline planning permission dated 5th December 2014 (ref; 2014/2837) for the for the restoration, extension, alterations and conversion of the Power Station building to provide retail, residential flats, business, cultural, hotel and conference facilities, event space and incidental accommodation; the demolition of other buildings and development of the land surrounding the Power Station and adjacent/nearby sites to provide retail, restaurants bars and cafes, offices, hotel, residential, community and cultural space, assembly and leisure space, student housing, serviced apartments, an energy centre and basement plant; parking for cars, coaches, motorcycles and bicycles; new access and internal road system and servicing; 'off-site' highway works; works to the jetty and riverwall to facilitate river transport and fuel delivery; provision of open space and landscaping. (The Amendments include changes to the residential mix to create additional residential units, the change of use of hotel and serviced apartments in Development Zone RS5 to residential, along with changes to the massing and distribution of land uses in Development Zone RS2 and other consequential changes to facilitate the redevelopment of the adjoining Cringle Dock site (previously sought by application ref: 2015/6359)). An Environmental Statement Addendum has been submitted with the application under the Town and Country Planning (Environmental Impact Assessment) (Amendment) Regulations 2015."/>
    <s v="S73"/>
    <d v="2016-03-02T00:00:00"/>
    <d v="2016-11-08T00:00:00"/>
    <m/>
    <s v="Nil"/>
    <m/>
    <s v="BF"/>
    <s v="NB"/>
    <x v="1"/>
    <x v="0"/>
    <n v="0.21"/>
    <m/>
    <x v="0"/>
    <m/>
    <s v="Open Market"/>
    <s v="M"/>
    <s v="2.1.1"/>
    <m/>
    <n v="152"/>
    <m/>
    <n v="15"/>
    <m/>
    <n v="26"/>
    <n v="1"/>
    <n v="31"/>
    <n v="55"/>
    <n v="14"/>
    <n v="25"/>
    <n v="0"/>
    <n v="26"/>
    <n v="1"/>
    <n v="31"/>
    <n v="55"/>
    <n v="14"/>
    <n v="25"/>
    <n v="0"/>
    <n v="0"/>
    <n v="0"/>
    <n v="0"/>
    <n v="0"/>
    <n v="0"/>
    <n v="0"/>
    <n v="0"/>
    <n v="0"/>
    <n v="0"/>
    <n v="0"/>
    <n v="0"/>
    <n v="0"/>
    <n v="0"/>
    <n v="0"/>
    <m/>
    <s v="Y"/>
    <s v="Nine Elms"/>
    <n v="10"/>
    <m/>
    <m/>
    <m/>
    <m/>
    <n v="50.666666666666664"/>
    <n v="50.666666666666664"/>
    <n v="50.666666666666664"/>
    <m/>
    <m/>
    <m/>
    <m/>
    <m/>
    <m/>
    <m/>
    <m/>
    <m/>
    <m/>
    <m/>
    <m/>
    <m/>
    <n v="101.33333333333333"/>
    <n v="152"/>
  </r>
  <r>
    <n v="6419"/>
    <x v="2"/>
    <s v="2016/2027"/>
    <s v="15-27 Falcon Road"/>
    <s v=""/>
    <n v="527130"/>
    <n v="176085"/>
    <s v="Falconbrook"/>
    <d v="2020-05-26T00:00:00"/>
    <m/>
    <n v="0"/>
    <n v="25"/>
    <n v="25"/>
    <n v="25"/>
    <n v="25"/>
    <s v="Y"/>
    <s v="Demolition of existing building and erection of a three/five storey building plus basement to provide 25 residential units (8 x one bedroom, 13 x two bedroom, 4 x three bedroom) including balconies and communal garden and two retail units (Class A1, totalling 669sq.m of floorspace) and a gymnasium (Class D2, 434sq.m) together with cycle storage (60 bicycles) and refuse stores."/>
    <s v="PFLA"/>
    <d v="2016-04-12T00:00:00"/>
    <d v="2017-02-24T00:00:00"/>
    <m/>
    <s v="Nil"/>
    <m/>
    <s v="BF"/>
    <s v="NB"/>
    <x v="1"/>
    <x v="0"/>
    <n v="7.0999999999999994E-2"/>
    <m/>
    <x v="0"/>
    <m/>
    <s v="Open Market"/>
    <s v="M"/>
    <s v=""/>
    <m/>
    <n v="3"/>
    <m/>
    <n v="25"/>
    <m/>
    <n v="0"/>
    <n v="8"/>
    <n v="13"/>
    <n v="4"/>
    <n v="0"/>
    <n v="0"/>
    <n v="0"/>
    <n v="0"/>
    <n v="8"/>
    <n v="13"/>
    <n v="4"/>
    <n v="0"/>
    <n v="0"/>
    <n v="0"/>
    <n v="0"/>
    <n v="0"/>
    <n v="0"/>
    <n v="0"/>
    <n v="0"/>
    <n v="0"/>
    <n v="0"/>
    <n v="0"/>
    <n v="0"/>
    <n v="0"/>
    <n v="0"/>
    <n v="0"/>
    <n v="0"/>
    <n v="0"/>
    <m/>
    <m/>
    <s v="Rest of Borough"/>
    <n v="10"/>
    <m/>
    <m/>
    <m/>
    <m/>
    <n v="8.3333333333333339"/>
    <n v="8.3333333333333339"/>
    <n v="8.3333333333333339"/>
    <m/>
    <m/>
    <m/>
    <m/>
    <m/>
    <m/>
    <m/>
    <m/>
    <m/>
    <m/>
    <m/>
    <m/>
    <m/>
    <n v="16.666666666666668"/>
    <n v="25"/>
  </r>
  <r>
    <n v="6149"/>
    <x v="2"/>
    <s v="2016/5183"/>
    <s v="8 Ravensbury Terrace"/>
    <s v=""/>
    <n v="525867"/>
    <n v="172948"/>
    <s v="Southfields"/>
    <d v="2021-08-01T00:00:00"/>
    <m/>
    <n v="0"/>
    <n v="14"/>
    <n v="14"/>
    <n v="14"/>
    <n v="14"/>
    <s v="Y"/>
    <s v="Demolition of existing buildings and erection of a part 1, part 3, part 4-storey building to accommodate 14 residential dwellings (3 x 1-bedroom, 10 x 2-bedroom and 1 x 3-bedroom units) including landscaping, cycle and refuse storage and works to the river wall. (Revised scheme following refusal of 2015/6103)"/>
    <s v="PFLA"/>
    <d v="2016-09-02T00:00:00"/>
    <d v="2019-11-01T00:00:00"/>
    <m/>
    <s v="Nil"/>
    <m/>
    <s v="BF"/>
    <s v="NB"/>
    <x v="1"/>
    <x v="0"/>
    <n v="6.7000000000000004E-2"/>
    <m/>
    <x v="0"/>
    <m/>
    <s v="Open Market"/>
    <s v="M"/>
    <s v=""/>
    <m/>
    <m/>
    <n v="1"/>
    <n v="2"/>
    <n v="1"/>
    <n v="0"/>
    <n v="3"/>
    <n v="10"/>
    <n v="1"/>
    <n v="0"/>
    <n v="0"/>
    <n v="0"/>
    <n v="0"/>
    <n v="3"/>
    <n v="10"/>
    <n v="1"/>
    <n v="0"/>
    <n v="0"/>
    <n v="0"/>
    <n v="0"/>
    <n v="0"/>
    <n v="0"/>
    <n v="0"/>
    <n v="0"/>
    <n v="0"/>
    <n v="0"/>
    <n v="0"/>
    <n v="0"/>
    <n v="0"/>
    <n v="0"/>
    <n v="0"/>
    <n v="0"/>
    <n v="0"/>
    <m/>
    <m/>
    <s v="Wandle Valley"/>
    <n v="10"/>
    <m/>
    <m/>
    <m/>
    <m/>
    <n v="4.666666666666667"/>
    <n v="4.666666666666667"/>
    <n v="4.666666666666667"/>
    <m/>
    <m/>
    <m/>
    <m/>
    <m/>
    <m/>
    <m/>
    <m/>
    <m/>
    <m/>
    <m/>
    <m/>
    <m/>
    <n v="9.3333333333333339"/>
    <n v="14"/>
  </r>
  <r>
    <n v="6526"/>
    <x v="2"/>
    <s v="2017/0535"/>
    <s v="Land west of 86-96, Garratt Lane"/>
    <s v="Intermediate"/>
    <n v="525688"/>
    <n v="174300"/>
    <s v="Wandsworth Town"/>
    <m/>
    <m/>
    <n v="0"/>
    <n v="10"/>
    <n v="10"/>
    <n v="27"/>
    <n v="27"/>
    <s v="Y"/>
    <s v="Erection of a 20-storey mixed use building comprising 27 residential  units; 31sqm cafe floorspace (Class A3) on the ground floor; associated refuse and cycle storage; rooftop solar PV array; and public realm including riverside walk with pedestran access from Garratt Lane and Mapleton Crescent."/>
    <s v="PFLA"/>
    <d v="2017-03-15T00:00:00"/>
    <d v="2021-06-16T00:00:00"/>
    <m/>
    <s v="Nil"/>
    <m/>
    <s v="BF"/>
    <s v="NB"/>
    <x v="1"/>
    <x v="0"/>
    <n v="6.7000000000000004E-2"/>
    <m/>
    <x v="0"/>
    <m/>
    <s v="Intermediate"/>
    <s v="ISD"/>
    <s v=""/>
    <m/>
    <n v="10"/>
    <m/>
    <n v="1"/>
    <m/>
    <n v="3"/>
    <n v="7"/>
    <n v="0"/>
    <n v="0"/>
    <n v="0"/>
    <n v="0"/>
    <n v="0"/>
    <n v="3"/>
    <n v="7"/>
    <n v="0"/>
    <n v="0"/>
    <n v="0"/>
    <n v="0"/>
    <n v="0"/>
    <n v="0"/>
    <n v="0"/>
    <n v="0"/>
    <n v="0"/>
    <n v="0"/>
    <n v="0"/>
    <n v="0"/>
    <n v="0"/>
    <n v="0"/>
    <n v="0"/>
    <n v="0"/>
    <n v="0"/>
    <n v="0"/>
    <n v="0"/>
    <s v="Wandsworth"/>
    <m/>
    <s v="Wandsworth Town, including the Wandle Delta Masterplan Area"/>
    <n v="10"/>
    <m/>
    <m/>
    <m/>
    <m/>
    <n v="3.3333333333333335"/>
    <n v="3.3333333333333335"/>
    <n v="3.3333333333333335"/>
    <m/>
    <m/>
    <m/>
    <m/>
    <m/>
    <m/>
    <m/>
    <m/>
    <m/>
    <m/>
    <m/>
    <m/>
    <m/>
    <n v="6.666666666666667"/>
    <n v="10"/>
  </r>
  <r>
    <n v="6526"/>
    <x v="2"/>
    <s v="2017/0535"/>
    <s v="Land west of 86-96, Garratt Lane"/>
    <s v="Market"/>
    <n v="525688"/>
    <n v="174300"/>
    <s v="Wandsworth Town"/>
    <m/>
    <m/>
    <n v="0"/>
    <n v="17"/>
    <n v="17"/>
    <n v="27"/>
    <n v="27"/>
    <s v="Y"/>
    <s v="Erection of a 20-storey mixed use building comprising 27 residential  units; 31sqm cafe floorspace (Class A3) on the ground floor; associated refuse and cycle storage; rooftop solar PV array; and public realm including riverside walk with pedestran access from Garratt Lane and Mapleton Crescent."/>
    <s v="PFLA"/>
    <d v="2017-03-15T00:00:00"/>
    <d v="2021-06-16T00:00:00"/>
    <m/>
    <s v="Nil"/>
    <m/>
    <s v="BF"/>
    <s v="NB"/>
    <x v="1"/>
    <x v="0"/>
    <n v="0.1139"/>
    <m/>
    <x v="0"/>
    <m/>
    <s v="Open Market"/>
    <s v="M"/>
    <s v=""/>
    <m/>
    <n v="15"/>
    <m/>
    <n v="2"/>
    <m/>
    <n v="0"/>
    <n v="7"/>
    <n v="6"/>
    <n v="4"/>
    <n v="0"/>
    <n v="0"/>
    <n v="0"/>
    <n v="0"/>
    <n v="7"/>
    <n v="6"/>
    <n v="4"/>
    <n v="0"/>
    <n v="0"/>
    <n v="0"/>
    <n v="0"/>
    <n v="0"/>
    <n v="0"/>
    <n v="0"/>
    <n v="0"/>
    <n v="0"/>
    <n v="0"/>
    <n v="0"/>
    <n v="0"/>
    <n v="0"/>
    <n v="0"/>
    <n v="0"/>
    <n v="0"/>
    <n v="0"/>
    <s v="Wandsworth"/>
    <m/>
    <s v="Wandsworth Town, including the Wandle Delta Masterplan Area"/>
    <n v="10"/>
    <m/>
    <m/>
    <m/>
    <m/>
    <n v="5.666666666666667"/>
    <n v="5.666666666666667"/>
    <n v="5.666666666666667"/>
    <m/>
    <m/>
    <m/>
    <m/>
    <m/>
    <m/>
    <m/>
    <m/>
    <m/>
    <m/>
    <m/>
    <m/>
    <m/>
    <n v="11.333333333333334"/>
    <n v="17"/>
  </r>
  <r>
    <n v="2411"/>
    <x v="2"/>
    <s v="2017/1680"/>
    <s v="South Lambeth Goods Depot, Cringle St./Battersea Park Rd., Kirtling Street (Battersea Power Station)"/>
    <s v="Phase 5 (RS-6)"/>
    <n v="528934"/>
    <n v="177496"/>
    <s v="Nine Elms"/>
    <d v="2016-05-16T00:00:00"/>
    <m/>
    <n v="0"/>
    <n v="11"/>
    <n v="11"/>
    <n v="1192"/>
    <n v="1192"/>
    <s v="Y"/>
    <s v="Variation of Section 106 Agreement dated 21 November 2016 of planning permission ref. 2016/3778 (for the restoration and alteration of Battersea Power Station and the surrounding land to provide a mixed use development) to relocate 103 affordable homes from Phase 3b to a later phase(s) alongside the 147 units currently located in Phase 5; introduce an up and down end-of-scheme review in relation to the 250 affordable housing units on the main site targeting 15% affordable housing provision; and amend the delivery triggers in respect of Phase 4a so that the affordable housing in that phase will be delivered earlier than is currently required."/>
    <s v="S106"/>
    <d v="2017-03-15T00:00:00"/>
    <d v="2017-11-10T00:00:00"/>
    <m/>
    <s v="Nil"/>
    <m/>
    <s v="BF"/>
    <s v="NB"/>
    <x v="1"/>
    <x v="0"/>
    <n v="1.4E-2"/>
    <m/>
    <x v="0"/>
    <m/>
    <s v="Intermediate"/>
    <s v="IR"/>
    <s v="2.1.1"/>
    <m/>
    <n v="11"/>
    <m/>
    <n v="1"/>
    <m/>
    <n v="0"/>
    <n v="11"/>
    <n v="0"/>
    <n v="0"/>
    <n v="0"/>
    <n v="0"/>
    <n v="0"/>
    <n v="0"/>
    <n v="11"/>
    <n v="0"/>
    <n v="0"/>
    <n v="0"/>
    <n v="0"/>
    <n v="0"/>
    <n v="0"/>
    <n v="0"/>
    <n v="0"/>
    <n v="0"/>
    <n v="0"/>
    <n v="0"/>
    <n v="0"/>
    <n v="0"/>
    <n v="0"/>
    <n v="0"/>
    <n v="0"/>
    <n v="0"/>
    <n v="0"/>
    <n v="0"/>
    <m/>
    <s v="Y"/>
    <s v="Nine Elms"/>
    <n v="10"/>
    <m/>
    <m/>
    <m/>
    <m/>
    <n v="3.6666666666666665"/>
    <n v="3.6666666666666665"/>
    <n v="3.6666666666666665"/>
    <m/>
    <m/>
    <m/>
    <m/>
    <m/>
    <m/>
    <m/>
    <m/>
    <m/>
    <m/>
    <m/>
    <m/>
    <m/>
    <n v="7.333333333333333"/>
    <n v="11"/>
  </r>
  <r>
    <n v="2411"/>
    <x v="2"/>
    <s v="2017/1680"/>
    <s v="South Lambeth Goods Depot, Cringle St./Battersea Park Rd., Kirtling Street (Battersea Power Station)"/>
    <s v="Phase 5 (RS-6)"/>
    <n v="528934"/>
    <n v="177496"/>
    <s v="Nine Elms"/>
    <d v="2016-05-16T00:00:00"/>
    <m/>
    <n v="0"/>
    <n v="147"/>
    <n v="147"/>
    <n v="1192"/>
    <n v="1192"/>
    <s v="Y"/>
    <s v="Variation of Section 106 Agreement dated 21 November 2016 of planning permission ref. 2016/3778 (for the restoration and alteration of Battersea Power Station and the surrounding land to provide a mixed use development) to relocate 103 affordable homes from Phase 3b to a later phase(s) alongside the 147 units currently located in Phase 5; introduce an up and down end-of-scheme review in relation to the 250 affordable housing units on the main site targeting 15% affordable housing provision; and amend the delivery triggers in respect of Phase 4a so that the affordable housing in that phase will be delivered earlier than is currently required."/>
    <s v="S106"/>
    <d v="2017-03-15T00:00:00"/>
    <d v="2017-11-10T00:00:00"/>
    <m/>
    <s v="Nil"/>
    <m/>
    <s v="BF"/>
    <s v="NB"/>
    <x v="1"/>
    <x v="0"/>
    <n v="0.186"/>
    <m/>
    <x v="0"/>
    <m/>
    <s v="Intermediate"/>
    <s v="IU"/>
    <s v="2.1.1"/>
    <m/>
    <n v="147"/>
    <m/>
    <n v="15"/>
    <m/>
    <n v="0"/>
    <n v="21"/>
    <n v="71"/>
    <n v="47"/>
    <n v="8"/>
    <n v="0"/>
    <n v="0"/>
    <n v="0"/>
    <n v="21"/>
    <n v="71"/>
    <n v="47"/>
    <n v="8"/>
    <n v="0"/>
    <n v="0"/>
    <n v="0"/>
    <n v="0"/>
    <n v="0"/>
    <n v="0"/>
    <n v="0"/>
    <n v="0"/>
    <n v="0"/>
    <n v="0"/>
    <n v="0"/>
    <n v="0"/>
    <n v="0"/>
    <n v="0"/>
    <n v="0"/>
    <n v="0"/>
    <m/>
    <s v="Y"/>
    <s v="Nine Elms"/>
    <n v="10"/>
    <m/>
    <m/>
    <m/>
    <m/>
    <n v="49"/>
    <n v="49"/>
    <n v="49"/>
    <m/>
    <m/>
    <m/>
    <m/>
    <m/>
    <m/>
    <m/>
    <m/>
    <m/>
    <m/>
    <m/>
    <m/>
    <m/>
    <n v="98"/>
    <n v="147"/>
  </r>
  <r>
    <n v="2411"/>
    <x v="2"/>
    <s v="2017/1680"/>
    <s v="South Lambeth Goods Depot, Cringle St./Battersea Park Rd., Kirtling Street (Battersea Power Station)"/>
    <s v="Phase 6 (RS-2)"/>
    <n v="528934"/>
    <n v="177496"/>
    <s v="Nine Elms"/>
    <d v="2016-05-16T00:00:00"/>
    <m/>
    <n v="0"/>
    <n v="92"/>
    <n v="92"/>
    <n v="1192"/>
    <n v="1192"/>
    <s v="Y"/>
    <s v="Variation of Section 106 Agreement dated 21 November 2016 of planning permission ref. 2016/3778 (for the restoration and alteration of Battersea Power Station and the surrounding land to provide a mixed use development) to relocate 103 affordable homes from Phase 3b to a later phase(s) alongside the 147 units currently located in Phase 5; introduce an up and down end-of-scheme review in relation to the 250 affordable housing units on the main site targeting 15% affordable housing provision; and amend the delivery triggers in respect of Phase 4a so that the affordable housing in that phase will be delivered earlier than is currently required."/>
    <s v="S106"/>
    <d v="2017-03-15T00:00:00"/>
    <d v="2017-11-10T00:00:00"/>
    <m/>
    <s v="Nil"/>
    <m/>
    <s v="BF"/>
    <s v="NB"/>
    <x v="1"/>
    <x v="0"/>
    <n v="0.11600000000000001"/>
    <m/>
    <x v="0"/>
    <m/>
    <s v="Intermediate"/>
    <s v="IR"/>
    <s v="2.1.1"/>
    <m/>
    <n v="92"/>
    <m/>
    <n v="9"/>
    <m/>
    <n v="0"/>
    <n v="41"/>
    <n v="48"/>
    <n v="3"/>
    <n v="0"/>
    <n v="0"/>
    <n v="0"/>
    <n v="0"/>
    <n v="41"/>
    <n v="48"/>
    <n v="3"/>
    <n v="0"/>
    <n v="0"/>
    <n v="0"/>
    <n v="0"/>
    <n v="0"/>
    <n v="0"/>
    <n v="0"/>
    <n v="0"/>
    <n v="0"/>
    <n v="0"/>
    <n v="0"/>
    <n v="0"/>
    <n v="0"/>
    <n v="0"/>
    <n v="0"/>
    <n v="0"/>
    <n v="0"/>
    <m/>
    <s v="Y"/>
    <s v="Nine Elms"/>
    <n v="10"/>
    <m/>
    <m/>
    <m/>
    <m/>
    <n v="30.666666666666668"/>
    <n v="30.666666666666668"/>
    <n v="30.666666666666668"/>
    <m/>
    <m/>
    <m/>
    <m/>
    <m/>
    <m/>
    <m/>
    <m/>
    <m/>
    <m/>
    <m/>
    <m/>
    <m/>
    <n v="61.333333333333336"/>
    <n v="92"/>
  </r>
  <r>
    <n v="2411"/>
    <x v="2"/>
    <s v="2017/1680"/>
    <s v="South Lambeth Goods Depot, Cringle St./Battersea Park Rd., Kirtling Street (Battersea Power Station)"/>
    <s v="Phase 6 (RS-2)"/>
    <n v="528934"/>
    <n v="177496"/>
    <s v="Nine Elms"/>
    <d v="2016-05-16T00:00:00"/>
    <m/>
    <n v="0"/>
    <n v="306"/>
    <n v="306"/>
    <n v="1192"/>
    <n v="1192"/>
    <s v="Y"/>
    <s v="Variation of Section 106 Agreement dated 21 November 2016 of planning permission ref. 2016/3778 (for the restoration and alteration of Battersea Power Station and the surrounding land to provide a mixed use development) to relocate 103 affordable homes from Phase 3b to a later phase(s) alongside the 147 units currently located in Phase 5; introduce an up and down end-of-scheme review in relation to the 250 affordable housing units on the main site targeting 15% affordable housing provision; and amend the delivery triggers in respect of Phase 4a so that the affordable housing in that phase will be delivered earlier than is currently required."/>
    <s v="S106"/>
    <d v="2017-03-15T00:00:00"/>
    <d v="2017-11-10T00:00:00"/>
    <m/>
    <s v="Nil"/>
    <m/>
    <s v="BF"/>
    <s v="NB"/>
    <x v="1"/>
    <x v="0"/>
    <n v="0.38600000000000001"/>
    <m/>
    <x v="0"/>
    <m/>
    <s v="Open Market"/>
    <s v="M"/>
    <s v="2.1.1"/>
    <m/>
    <n v="306"/>
    <m/>
    <n v="31"/>
    <m/>
    <n v="29"/>
    <n v="0"/>
    <n v="36"/>
    <n v="140"/>
    <n v="35"/>
    <n v="66"/>
    <n v="0"/>
    <n v="29"/>
    <n v="0"/>
    <n v="36"/>
    <n v="140"/>
    <n v="35"/>
    <n v="66"/>
    <n v="0"/>
    <n v="0"/>
    <n v="0"/>
    <n v="0"/>
    <n v="0"/>
    <n v="0"/>
    <n v="0"/>
    <n v="0"/>
    <n v="0"/>
    <n v="0"/>
    <n v="0"/>
    <n v="0"/>
    <n v="0"/>
    <n v="0"/>
    <n v="0"/>
    <m/>
    <s v="Y"/>
    <s v="Nine Elms"/>
    <n v="10"/>
    <m/>
    <m/>
    <m/>
    <m/>
    <n v="102"/>
    <n v="102"/>
    <n v="102"/>
    <m/>
    <m/>
    <m/>
    <m/>
    <m/>
    <m/>
    <m/>
    <m/>
    <m/>
    <m/>
    <m/>
    <m/>
    <m/>
    <n v="204"/>
    <n v="306"/>
  </r>
  <r>
    <n v="6839"/>
    <x v="2"/>
    <s v="2018/1079"/>
    <s v="Land east of 57, 57 Putney Bridge Road"/>
    <s v=""/>
    <n v="525097"/>
    <n v="175034"/>
    <s v="Thamesfield"/>
    <d v="2021-04-08T00:00:00"/>
    <m/>
    <n v="0"/>
    <n v="5"/>
    <n v="5"/>
    <n v="5"/>
    <n v="5"/>
    <m/>
    <s v="Erection of five storey building to provide 5 x studio flats with associated cycle and bin storage."/>
    <s v="PF"/>
    <d v="2018-03-09T00:00:00"/>
    <d v="2018-05-25T00:00:00"/>
    <m/>
    <s v="Nil"/>
    <m/>
    <s v="BF"/>
    <s v="NB"/>
    <x v="2"/>
    <x v="3"/>
    <n v="7.0000000000000001E-3"/>
    <m/>
    <x v="0"/>
    <m/>
    <s v="Open Market"/>
    <s v="M"/>
    <s v=""/>
    <m/>
    <m/>
    <n v="5"/>
    <m/>
    <m/>
    <n v="5"/>
    <n v="0"/>
    <n v="0"/>
    <n v="0"/>
    <n v="0"/>
    <n v="0"/>
    <n v="0"/>
    <n v="5"/>
    <n v="0"/>
    <n v="0"/>
    <n v="0"/>
    <n v="0"/>
    <n v="0"/>
    <n v="0"/>
    <n v="0"/>
    <n v="0"/>
    <n v="0"/>
    <n v="0"/>
    <n v="0"/>
    <n v="0"/>
    <n v="0"/>
    <n v="0"/>
    <n v="0"/>
    <n v="0"/>
    <n v="0"/>
    <n v="0"/>
    <n v="0"/>
    <n v="0"/>
    <m/>
    <m/>
    <s v="Wandsworth Town, including the Wandle Delta Masterplan Area"/>
    <n v="7"/>
    <m/>
    <m/>
    <n v="1.25"/>
    <n v="1.25"/>
    <n v="1.25"/>
    <n v="1.25"/>
    <m/>
    <m/>
    <m/>
    <m/>
    <m/>
    <m/>
    <m/>
    <m/>
    <m/>
    <m/>
    <m/>
    <m/>
    <m/>
    <m/>
    <n v="5"/>
    <n v="5"/>
  </r>
  <r>
    <n v="179"/>
    <x v="2"/>
    <s v="2018/2166"/>
    <s v="1a Merivale Road"/>
    <s v="Cou/extn"/>
    <n v="524331"/>
    <n v="175422"/>
    <s v="Thamesfield"/>
    <m/>
    <m/>
    <n v="0"/>
    <n v="4"/>
    <n v="4"/>
    <n v="7"/>
    <n v="7"/>
    <m/>
    <s v="Refurbishement and extension of warehouse building including insertion of dormer windows together with replacement and new fenestration to provide 1 x 1-bed, 2 x 2-bed and 1 x 3-bed flats; demolition of outbuildings and erection of  2 x 2-bed and 1 x 3-bed single-storey (plus roof level accommodation) houses; 3 x parking spaces, cycle parking, refuse storage and associated landscaping; gated access via Merivale Road and Deodar Road."/>
    <s v="PFLA"/>
    <d v="2018-05-23T00:00:00"/>
    <d v="2019-10-18T00:00:00"/>
    <m/>
    <s v="Nil"/>
    <m/>
    <s v="BF"/>
    <s v="MIX"/>
    <x v="2"/>
    <x v="8"/>
    <n v="3.9E-2"/>
    <m/>
    <x v="0"/>
    <m/>
    <s v="Open Market"/>
    <s v="M"/>
    <s v=""/>
    <m/>
    <m/>
    <m/>
    <m/>
    <m/>
    <n v="0"/>
    <n v="1"/>
    <n v="2"/>
    <n v="1"/>
    <n v="0"/>
    <n v="0"/>
    <n v="0"/>
    <n v="0"/>
    <n v="1"/>
    <n v="2"/>
    <n v="1"/>
    <n v="0"/>
    <n v="0"/>
    <n v="0"/>
    <n v="0"/>
    <n v="0"/>
    <n v="0"/>
    <n v="0"/>
    <n v="0"/>
    <n v="0"/>
    <n v="0"/>
    <n v="0"/>
    <n v="0"/>
    <n v="0"/>
    <n v="0"/>
    <n v="0"/>
    <n v="0"/>
    <n v="0"/>
    <m/>
    <m/>
    <s v="Rest of Borough"/>
    <n v="18"/>
    <m/>
    <n v="1"/>
    <n v="1"/>
    <n v="1"/>
    <n v="1"/>
    <m/>
    <m/>
    <m/>
    <m/>
    <m/>
    <m/>
    <m/>
    <m/>
    <m/>
    <m/>
    <m/>
    <m/>
    <m/>
    <m/>
    <m/>
    <n v="4"/>
    <n v="4"/>
  </r>
  <r>
    <n v="179"/>
    <x v="2"/>
    <s v="2018/2166"/>
    <s v="1a Merivale Road"/>
    <s v="New build"/>
    <n v="524331"/>
    <n v="175422"/>
    <s v="Thamesfield"/>
    <m/>
    <m/>
    <n v="0"/>
    <n v="3"/>
    <n v="3"/>
    <n v="7"/>
    <n v="7"/>
    <m/>
    <s v="Refurbishement and extension of warehouse building including insertion of dormer windows together with replacement and new fenestration to provide 1 x 1-bed, 2 x 2-bed and 1 x 3-bed flats; demolition of outbuildings and erection of  2 x 2-bed and 1 x 3-bed single-storey (plus roof level accommodation) houses; 3 x parking spaces, cycle parking, refuse storage and associated landscaping; gated access via Merivale Road and Deodar Road."/>
    <s v="PFLA"/>
    <d v="2018-05-23T00:00:00"/>
    <d v="2019-10-18T00:00:00"/>
    <m/>
    <s v="Nil"/>
    <m/>
    <s v="BF"/>
    <s v="MIX"/>
    <x v="2"/>
    <x v="3"/>
    <n v="0.04"/>
    <m/>
    <x v="0"/>
    <m/>
    <s v="Open Market"/>
    <s v="M"/>
    <s v=""/>
    <m/>
    <m/>
    <m/>
    <m/>
    <m/>
    <n v="0"/>
    <n v="0"/>
    <n v="2"/>
    <n v="1"/>
    <n v="0"/>
    <n v="0"/>
    <n v="0"/>
    <n v="0"/>
    <n v="0"/>
    <n v="0"/>
    <n v="0"/>
    <n v="0"/>
    <n v="0"/>
    <n v="0"/>
    <n v="0"/>
    <n v="0"/>
    <n v="2"/>
    <n v="1"/>
    <n v="0"/>
    <n v="0"/>
    <n v="0"/>
    <n v="0"/>
    <n v="0"/>
    <n v="0"/>
    <n v="0"/>
    <n v="0"/>
    <n v="0"/>
    <n v="0"/>
    <m/>
    <m/>
    <s v="Rest of Borough"/>
    <n v="18"/>
    <m/>
    <n v="0.75"/>
    <n v="0.75"/>
    <n v="0.75"/>
    <n v="0.75"/>
    <m/>
    <m/>
    <m/>
    <m/>
    <m/>
    <m/>
    <m/>
    <m/>
    <m/>
    <m/>
    <m/>
    <m/>
    <m/>
    <m/>
    <m/>
    <n v="3"/>
    <n v="3"/>
  </r>
  <r>
    <n v="4157"/>
    <x v="2"/>
    <s v="2018/3669"/>
    <s v="37-39 St Johns Road"/>
    <s v=""/>
    <n v="527404"/>
    <n v="175316"/>
    <s v="Lavender"/>
    <m/>
    <m/>
    <n v="0"/>
    <n v="6"/>
    <n v="6"/>
    <n v="6"/>
    <n v="6"/>
    <m/>
    <s v="Demolition of existing building and erection of a four-storey building to provide 1 x 1-bedroom, 3 x 2-bedroom and 2 x 3-bedroom flats (USe Class C3) and ground floor use as Class A1/A3 including associated works."/>
    <s v="PF"/>
    <d v="2018-07-30T00:00:00"/>
    <d v="2020-02-03T00:00:00"/>
    <m/>
    <s v="Nil"/>
    <m/>
    <s v="BF"/>
    <s v="NB"/>
    <x v="2"/>
    <x v="3"/>
    <n v="1.2999999999999999E-2"/>
    <m/>
    <x v="0"/>
    <m/>
    <s v="Open Market"/>
    <s v="M"/>
    <s v=""/>
    <m/>
    <m/>
    <m/>
    <m/>
    <m/>
    <n v="0"/>
    <n v="1"/>
    <n v="3"/>
    <n v="2"/>
    <n v="0"/>
    <n v="0"/>
    <n v="0"/>
    <n v="0"/>
    <n v="1"/>
    <n v="3"/>
    <n v="2"/>
    <n v="0"/>
    <n v="0"/>
    <n v="0"/>
    <n v="0"/>
    <n v="0"/>
    <n v="0"/>
    <n v="0"/>
    <n v="0"/>
    <n v="0"/>
    <n v="0"/>
    <n v="0"/>
    <n v="0"/>
    <n v="0"/>
    <n v="0"/>
    <n v="0"/>
    <n v="0"/>
    <n v="0"/>
    <s v="Clapham Junction"/>
    <m/>
    <s v="Clapham Junction and York Road / Winstanley Regeneration Area"/>
    <n v="10"/>
    <m/>
    <m/>
    <m/>
    <m/>
    <n v="2"/>
    <n v="2"/>
    <n v="2"/>
    <m/>
    <m/>
    <m/>
    <m/>
    <m/>
    <m/>
    <m/>
    <m/>
    <m/>
    <m/>
    <m/>
    <m/>
    <m/>
    <n v="4"/>
    <n v="6"/>
  </r>
  <r>
    <n v="6618"/>
    <x v="2"/>
    <s v="2018/4798"/>
    <s v="94-96, 94-96 Mitcham Lane"/>
    <s v=""/>
    <n v="529335"/>
    <n v="171178"/>
    <s v="Furzedown"/>
    <m/>
    <m/>
    <n v="2"/>
    <n v="8"/>
    <n v="6"/>
    <n v="8"/>
    <n v="6"/>
    <m/>
    <s v="Demolition of existing building and erection of a four-storey building to provide 6 x 2-bedroom and 2 x 1-bedroom flats and two retails units (Class A1 Shops) at ground floor level."/>
    <s v="RP"/>
    <d v="2018-10-08T00:00:00"/>
    <d v="2019-03-22T00:00:00"/>
    <m/>
    <s v="APG"/>
    <d v="2019-11-27T00:00:00"/>
    <s v="BF"/>
    <s v="NB"/>
    <x v="2"/>
    <x v="3"/>
    <n v="2.5999999999999999E-2"/>
    <m/>
    <x v="0"/>
    <m/>
    <s v="Open Market"/>
    <s v="M"/>
    <s v=""/>
    <m/>
    <m/>
    <m/>
    <m/>
    <m/>
    <n v="0"/>
    <n v="2"/>
    <n v="6"/>
    <n v="0"/>
    <n v="0"/>
    <n v="0"/>
    <n v="-2"/>
    <n v="0"/>
    <n v="2"/>
    <n v="6"/>
    <n v="0"/>
    <n v="0"/>
    <n v="0"/>
    <n v="0"/>
    <n v="0"/>
    <n v="0"/>
    <n v="0"/>
    <n v="0"/>
    <n v="0"/>
    <n v="0"/>
    <n v="-2"/>
    <n v="0"/>
    <n v="0"/>
    <n v="0"/>
    <n v="0"/>
    <n v="0"/>
    <n v="0"/>
    <n v="0"/>
    <m/>
    <m/>
    <s v="Rest of Borough"/>
    <n v="10"/>
    <m/>
    <m/>
    <m/>
    <m/>
    <n v="2"/>
    <n v="2"/>
    <n v="2"/>
    <m/>
    <m/>
    <m/>
    <m/>
    <m/>
    <m/>
    <m/>
    <m/>
    <m/>
    <m/>
    <m/>
    <m/>
    <m/>
    <n v="4"/>
    <n v="6"/>
  </r>
  <r>
    <n v="7057"/>
    <x v="2"/>
    <s v="2018/5309"/>
    <s v="121 Roehampton Vale"/>
    <s v=""/>
    <n v="521700"/>
    <n v="172445"/>
    <s v="Roehampton"/>
    <m/>
    <m/>
    <n v="1"/>
    <n v="3"/>
    <n v="2"/>
    <n v="3"/>
    <n v="2"/>
    <m/>
    <s v="Alterations including erection of main roof extension including rear and side dormers; alterations to front elevation in connection with use of garage as additional habitable accommodation and erection of part single part two-storey rear/side extension in connection with conversion of property into 2 x 3-bedroom and 1 x 1-bedroom flats; refuse and cycle stores in front garden."/>
    <s v="PF"/>
    <d v="2019-02-21T00:00:00"/>
    <d v="2019-04-29T00:00:00"/>
    <m/>
    <s v="Nil"/>
    <m/>
    <s v="BF"/>
    <s v="MIX"/>
    <x v="2"/>
    <x v="10"/>
    <n v="5.5E-2"/>
    <m/>
    <x v="0"/>
    <m/>
    <s v="Open Market"/>
    <s v="M"/>
    <s v=""/>
    <m/>
    <m/>
    <m/>
    <m/>
    <m/>
    <n v="0"/>
    <n v="1"/>
    <n v="0"/>
    <n v="2"/>
    <n v="-1"/>
    <n v="0"/>
    <n v="0"/>
    <n v="0"/>
    <n v="1"/>
    <n v="0"/>
    <n v="2"/>
    <n v="0"/>
    <n v="0"/>
    <n v="0"/>
    <n v="0"/>
    <n v="0"/>
    <n v="0"/>
    <n v="0"/>
    <n v="-1"/>
    <n v="0"/>
    <n v="0"/>
    <n v="0"/>
    <n v="0"/>
    <n v="0"/>
    <n v="0"/>
    <n v="0"/>
    <n v="0"/>
    <n v="0"/>
    <m/>
    <m/>
    <s v="Rest of Borough"/>
    <n v="15"/>
    <m/>
    <n v="0.5"/>
    <n v="0.5"/>
    <n v="0.5"/>
    <n v="0.5"/>
    <m/>
    <m/>
    <m/>
    <m/>
    <m/>
    <m/>
    <m/>
    <m/>
    <m/>
    <m/>
    <m/>
    <m/>
    <m/>
    <m/>
    <m/>
    <n v="2"/>
    <n v="2"/>
  </r>
  <r>
    <n v="6744"/>
    <x v="2"/>
    <s v="2018/5540"/>
    <s v="Land adjacent, 101 Moring Road"/>
    <s v=""/>
    <n v="528468"/>
    <n v="171491"/>
    <s v="Tooting Bec"/>
    <m/>
    <m/>
    <n v="0"/>
    <n v="1"/>
    <n v="1"/>
    <n v="1"/>
    <n v="1"/>
    <m/>
    <s v="Erection of single storey (plus basement and lightwells) 1-bedroom house with associated refuse and cycle storage."/>
    <s v="PFLA"/>
    <d v="2018-12-12T00:00:00"/>
    <d v="2020-08-03T00:00:00"/>
    <m/>
    <s v="Nil"/>
    <m/>
    <s v="BF"/>
    <s v="NB"/>
    <x v="2"/>
    <x v="3"/>
    <n v="6.0000000000000001E-3"/>
    <m/>
    <x v="0"/>
    <m/>
    <s v="Open Market"/>
    <s v="M"/>
    <s v=""/>
    <m/>
    <m/>
    <m/>
    <m/>
    <m/>
    <n v="0"/>
    <n v="1"/>
    <n v="0"/>
    <n v="0"/>
    <n v="0"/>
    <n v="0"/>
    <n v="0"/>
    <n v="0"/>
    <n v="0"/>
    <n v="0"/>
    <n v="0"/>
    <n v="0"/>
    <n v="0"/>
    <n v="0"/>
    <n v="0"/>
    <n v="1"/>
    <n v="0"/>
    <n v="0"/>
    <n v="0"/>
    <n v="0"/>
    <n v="0"/>
    <n v="0"/>
    <n v="0"/>
    <n v="0"/>
    <n v="0"/>
    <n v="0"/>
    <n v="0"/>
    <n v="0"/>
    <m/>
    <m/>
    <s v="Rest of Borough"/>
    <n v="7"/>
    <m/>
    <m/>
    <n v="0.25"/>
    <n v="0.25"/>
    <n v="0.25"/>
    <n v="0.25"/>
    <m/>
    <m/>
    <m/>
    <m/>
    <m/>
    <m/>
    <m/>
    <m/>
    <m/>
    <m/>
    <m/>
    <m/>
    <m/>
    <m/>
    <n v="1"/>
    <n v="1"/>
  </r>
  <r>
    <n v="3511"/>
    <x v="2"/>
    <s v="2023/0176"/>
    <s v="New Covent Garden Market, Nine Elms Lane (Combined Main Market, Entrance site and Thessaly College site)"/>
    <s v="Apex 1"/>
    <n v="529369"/>
    <n v="177317"/>
    <s v="Nine Elms"/>
    <m/>
    <m/>
    <n v="0"/>
    <n v="201"/>
    <n v="201"/>
    <n v="201"/>
    <n v="201"/>
    <s v="Y"/>
    <s v="Application under Section 96a of the Town and Country Planning Act 1990 for &quot;non-material&quot; amendments to Condition 1 (revised drawings with design amendments to introduce a second staircore with consequential amendments to unit layouts, mix and elevations) of Reserved Matters application ref. 2021/5032 dated 4th March 2022."/>
    <s v="PF"/>
    <d v="2023-01-17T00:00:00"/>
    <d v="2023-02-06T00:00:00"/>
    <m/>
    <s v="Nil"/>
    <m/>
    <s v="BF"/>
    <s v="NB"/>
    <x v="1"/>
    <x v="0"/>
    <n v="6.5383999999999998E-2"/>
    <m/>
    <x v="0"/>
    <m/>
    <s v="Open Market"/>
    <s v="M"/>
    <s v="2.1.27"/>
    <m/>
    <m/>
    <n v="181"/>
    <m/>
    <n v="20"/>
    <n v="34"/>
    <n v="70"/>
    <n v="87"/>
    <n v="10"/>
    <n v="0"/>
    <n v="0"/>
    <n v="0"/>
    <n v="34"/>
    <n v="70"/>
    <n v="87"/>
    <n v="10"/>
    <n v="0"/>
    <n v="0"/>
    <n v="0"/>
    <n v="0"/>
    <n v="0"/>
    <n v="0"/>
    <n v="0"/>
    <n v="0"/>
    <n v="0"/>
    <n v="0"/>
    <n v="0"/>
    <n v="0"/>
    <n v="0"/>
    <n v="0"/>
    <n v="0"/>
    <n v="0"/>
    <n v="0"/>
    <m/>
    <s v="Y"/>
    <s v="Nine Elms"/>
    <n v="8"/>
    <m/>
    <m/>
    <m/>
    <n v="201"/>
    <m/>
    <m/>
    <m/>
    <m/>
    <m/>
    <m/>
    <m/>
    <m/>
    <m/>
    <m/>
    <m/>
    <m/>
    <m/>
    <m/>
    <m/>
    <m/>
    <n v="201"/>
    <n v="201"/>
  </r>
  <r>
    <n v="3518"/>
    <x v="2"/>
    <s v="2012/5286"/>
    <s v="Ram Brewery, Capital Studios &amp; Duvall Works, Ram Street/Armoury Way/Wandsworth High Street (The Ram Quarter)"/>
    <s v="Building 06"/>
    <n v="525666"/>
    <n v="174804"/>
    <s v="Wandsworth Town"/>
    <d v="2015-04-01T00:00:00"/>
    <m/>
    <n v="0"/>
    <n v="30"/>
    <n v="30"/>
    <n v="663"/>
    <n v="662"/>
    <s v="Y"/>
    <s v="A mixed use development comprising alterations and change of use of retained former brewery buildings, demolition of non-Listed Buildings and the construction of new buildings 2-12 storeys in height and a tower of 36 storeys in height. Provision of 10114sqm of retail (Class A1-A4), 661 residential units, continued small scale brewery use (Class B2), museum (Class D1), ancillary gym. The creation of public areas and river walkway; new and repositioned vehicular and pedestrian access points and provision of servicing areas, energy centre and basement car and cycle parking."/>
    <s v="POLA"/>
    <d v="2012-11-21T00:00:00"/>
    <d v="2013-12-06T00:00:00"/>
    <m/>
    <s v="Nil"/>
    <m/>
    <s v="BF"/>
    <s v="NB"/>
    <x v="1"/>
    <x v="0"/>
    <n v="4.7699999999999999E-2"/>
    <m/>
    <x v="0"/>
    <m/>
    <s v="Open Market"/>
    <s v="M"/>
    <s v="3.1.2"/>
    <m/>
    <m/>
    <m/>
    <n v="5"/>
    <m/>
    <n v="0"/>
    <n v="15"/>
    <n v="5"/>
    <n v="10"/>
    <n v="0"/>
    <n v="0"/>
    <n v="0"/>
    <n v="0"/>
    <n v="15"/>
    <n v="5"/>
    <n v="10"/>
    <n v="0"/>
    <n v="0"/>
    <n v="0"/>
    <n v="0"/>
    <n v="0"/>
    <n v="0"/>
    <n v="0"/>
    <n v="0"/>
    <n v="0"/>
    <n v="0"/>
    <n v="0"/>
    <n v="0"/>
    <n v="0"/>
    <n v="0"/>
    <n v="0"/>
    <n v="0"/>
    <n v="0"/>
    <s v="Wandsworth"/>
    <m/>
    <s v="Wandsworth Town, including the Wandle Delta Masterplan Area"/>
    <n v="8"/>
    <m/>
    <m/>
    <m/>
    <m/>
    <m/>
    <n v="30"/>
    <m/>
    <m/>
    <m/>
    <m/>
    <m/>
    <m/>
    <m/>
    <m/>
    <m/>
    <m/>
    <m/>
    <m/>
    <m/>
    <m/>
    <n v="30"/>
    <n v="30"/>
  </r>
  <r>
    <n v="3518"/>
    <x v="2"/>
    <s v="2012/5286"/>
    <s v="Ram Brewery, Capital Studios &amp; Duvall Works, Ram Street/Armoury Way/Wandsworth High Street (The Ram Quarter)"/>
    <s v="Building 04F"/>
    <n v="525666"/>
    <n v="174804"/>
    <s v="Wandsworth Town"/>
    <d v="2015-04-01T00:00:00"/>
    <m/>
    <n v="0"/>
    <n v="24"/>
    <n v="24"/>
    <n v="663"/>
    <n v="662"/>
    <s v="Y"/>
    <s v="A mixed use development comprising alterations and change of use of retained former brewery buildings, demolition of non-Listed Buildings and the construction of new buildings 2-12 storeys in height and a tower of 36 storeys in height. Provision of 10114sqm of retail (Class A1-A4), 661 residential units, continued small scale brewery use (Class B2), museum (Class D1), ancillary gym. The creation of public areas and river walkway; new and repositioned vehicular and pedestrian access points and provision of servicing areas, energy centre and basement car and cycle parking."/>
    <s v="POLA"/>
    <d v="2012-11-21T00:00:00"/>
    <d v="2013-12-06T00:00:00"/>
    <m/>
    <s v="Nil"/>
    <m/>
    <s v="BF"/>
    <s v="NB"/>
    <x v="1"/>
    <x v="0"/>
    <n v="4.0300000000000002E-2"/>
    <m/>
    <x v="0"/>
    <m/>
    <s v="Open Market"/>
    <s v="M"/>
    <s v="3.1.2"/>
    <m/>
    <m/>
    <m/>
    <n v="5"/>
    <m/>
    <n v="0"/>
    <n v="1"/>
    <n v="19"/>
    <n v="4"/>
    <n v="0"/>
    <n v="0"/>
    <n v="0"/>
    <n v="0"/>
    <n v="1"/>
    <n v="19"/>
    <n v="4"/>
    <n v="0"/>
    <n v="0"/>
    <n v="0"/>
    <n v="0"/>
    <n v="0"/>
    <n v="0"/>
    <n v="0"/>
    <n v="0"/>
    <n v="0"/>
    <n v="0"/>
    <n v="0"/>
    <n v="0"/>
    <n v="0"/>
    <n v="0"/>
    <n v="0"/>
    <n v="0"/>
    <n v="0"/>
    <s v="Wandsworth"/>
    <m/>
    <s v="Wandsworth Town, including the Wandle Delta Masterplan Area"/>
    <n v="8"/>
    <m/>
    <m/>
    <m/>
    <m/>
    <m/>
    <n v="24"/>
    <m/>
    <m/>
    <m/>
    <m/>
    <m/>
    <m/>
    <m/>
    <m/>
    <m/>
    <m/>
    <m/>
    <m/>
    <m/>
    <m/>
    <n v="24"/>
    <n v="24"/>
  </r>
  <r>
    <n v="3518"/>
    <x v="2"/>
    <s v="2012/5286"/>
    <s v="Ram Brewery, Capital Studios &amp; Duvall Works, Ram Street/Armoury Way/Wandsworth High Street (The Ram Quarter)"/>
    <s v="Building 04E"/>
    <n v="525666"/>
    <n v="174804"/>
    <s v="Wandsworth Town"/>
    <d v="2015-04-01T00:00:00"/>
    <m/>
    <n v="0"/>
    <n v="23"/>
    <n v="23"/>
    <n v="663"/>
    <n v="662"/>
    <s v="Y"/>
    <s v="A mixed use development comprising alterations and change of use of retained former brewery buildings, demolition of non-Listed Buildings and the construction of new buildings 2-12 storeys in height and a tower of 36 storeys in height. Provision of 10114sqm of retail (Class A1-A4), 661 residential units, continued small scale brewery use (Class B2), museum (Class D1), ancillary gym. The creation of public areas and river walkway; new and repositioned vehicular and pedestrian access points and provision of servicing areas, energy centre and basement car and cycle parking."/>
    <s v="POLA"/>
    <d v="2012-11-21T00:00:00"/>
    <d v="2013-12-06T00:00:00"/>
    <m/>
    <s v="Nil"/>
    <m/>
    <s v="BF"/>
    <s v="NB"/>
    <x v="1"/>
    <x v="0"/>
    <n v="3.0200000000000001E-2"/>
    <m/>
    <x v="0"/>
    <m/>
    <s v="Open Market"/>
    <s v="M"/>
    <s v="3.1.2"/>
    <m/>
    <m/>
    <m/>
    <n v="1"/>
    <m/>
    <n v="0"/>
    <n v="10"/>
    <n v="7"/>
    <n v="4"/>
    <n v="2"/>
    <n v="0"/>
    <n v="0"/>
    <n v="0"/>
    <n v="10"/>
    <n v="7"/>
    <n v="4"/>
    <n v="2"/>
    <n v="0"/>
    <n v="0"/>
    <n v="0"/>
    <n v="0"/>
    <n v="0"/>
    <n v="0"/>
    <n v="0"/>
    <n v="0"/>
    <n v="0"/>
    <n v="0"/>
    <n v="0"/>
    <n v="0"/>
    <n v="0"/>
    <n v="0"/>
    <n v="0"/>
    <n v="0"/>
    <s v="Wandsworth"/>
    <m/>
    <s v="Wandsworth Town, including the Wandle Delta Masterplan Area"/>
    <n v="8"/>
    <m/>
    <m/>
    <m/>
    <m/>
    <m/>
    <n v="23"/>
    <m/>
    <m/>
    <m/>
    <m/>
    <m/>
    <m/>
    <m/>
    <m/>
    <m/>
    <m/>
    <m/>
    <m/>
    <m/>
    <m/>
    <n v="23"/>
    <n v="23"/>
  </r>
  <r>
    <n v="3518"/>
    <x v="2"/>
    <s v="2012/5286"/>
    <s v="Ram Brewery, Capital Studios &amp; Duvall Works, Ram Street/Armoury Way/Wandsworth High Street (The Ram Quarter)"/>
    <s v="Building 04D"/>
    <n v="525666"/>
    <n v="174804"/>
    <s v="Wandsworth Town"/>
    <d v="2015-04-01T00:00:00"/>
    <m/>
    <n v="0"/>
    <n v="16"/>
    <n v="16"/>
    <n v="663"/>
    <n v="662"/>
    <s v="Y"/>
    <s v="A mixed use development comprising alterations and change of use of retained former brewery buildings, demolition of non-Listed Buildings and the construction of new buildings 2-12 storeys in height and a tower of 36 storeys in height. Provision of 10114sqm of retail (Class A1-A4), 661 residential units, continued small scale brewery use (Class B2), museum (Class D1), ancillary gym. The creation of public areas and river walkway; new and repositioned vehicular and pedestrian access points and provision of servicing areas, energy centre and basement car and cycle parking."/>
    <s v="POLA"/>
    <d v="2012-11-21T00:00:00"/>
    <d v="2013-12-06T00:00:00"/>
    <m/>
    <s v="Nil"/>
    <m/>
    <s v="BF"/>
    <s v="NB"/>
    <x v="1"/>
    <x v="0"/>
    <n v="2.5899999999999999E-2"/>
    <m/>
    <x v="0"/>
    <m/>
    <s v="Open Market"/>
    <s v="M"/>
    <s v="3.1.2"/>
    <m/>
    <m/>
    <m/>
    <m/>
    <m/>
    <n v="0"/>
    <n v="10"/>
    <n v="6"/>
    <n v="0"/>
    <n v="0"/>
    <n v="0"/>
    <n v="0"/>
    <n v="0"/>
    <n v="10"/>
    <n v="6"/>
    <n v="0"/>
    <n v="0"/>
    <n v="0"/>
    <n v="0"/>
    <n v="0"/>
    <n v="0"/>
    <n v="0"/>
    <n v="0"/>
    <n v="0"/>
    <n v="0"/>
    <n v="0"/>
    <n v="0"/>
    <n v="0"/>
    <n v="0"/>
    <n v="0"/>
    <n v="0"/>
    <n v="0"/>
    <n v="0"/>
    <s v="Wandsworth"/>
    <m/>
    <s v="Wandsworth Town, including the Wandle Delta Masterplan Area"/>
    <n v="8"/>
    <m/>
    <m/>
    <m/>
    <m/>
    <m/>
    <n v="16"/>
    <m/>
    <m/>
    <m/>
    <m/>
    <m/>
    <m/>
    <m/>
    <m/>
    <m/>
    <m/>
    <m/>
    <m/>
    <m/>
    <m/>
    <n v="16"/>
    <n v="16"/>
  </r>
  <r>
    <n v="7101"/>
    <x v="2"/>
    <s v="2019/0024"/>
    <s v="Site of York Road, Winstanley Road (Part of Estate, York Gardens and Winstanley Estate)"/>
    <s v="Block 1A"/>
    <n v="526922"/>
    <n v="175807"/>
    <s v="Falconbrook"/>
    <d v="2022-02-17T00:00:00"/>
    <m/>
    <n v="0"/>
    <n v="150"/>
    <n v="150"/>
    <n v="2550"/>
    <n v="1791"/>
    <s v="Y"/>
    <s v="The application is for a part outline and part detailed planning permission for the following proposed development:_x000a_(a) Phased demolition of all existing buildings;_x000a_(b) Mixed use phased development comprising residential up to 2550 units (mix tenure including social rent, affordable rent, intermediate, private rented and private sale) ranging from 3 - 31 storeys above ground level including leisure centre, health, flexible commercial uses (retail, financial and professional services, café / restaurants, drinking establishments, hot-food takeaways, business, non-residential institutions and assembly and leisure), park, landscaping, public realm, energy centres, car/cycle parking and new vehicle accesses. All matters reserved except for phased construction of Block 1 (two residential towers comprising 239 private sale units and new leisure/community centre of 12,400sqm GIA including a gym, swimming pool and library, commercial uses of 2191sqm GIA), Block 5 (comprising 136 affordable units and commercial units of 393sqm GIA) and Block 6 (64 private sale units and 63 affordable units) together with a new Park (2.49ha) and associated works; and_x000a_(c) Site clearance and enabling works including works to Winstanley Road, as well as temporary works necessary to enable the approved development._x000a_An Environmental Statement has been submitted with the application under the Town and Country Planning (Environmental Impact Assessment) Regulations 2017."/>
    <s v="PFLA"/>
    <d v="2019-01-18T00:00:00"/>
    <d v="2021-01-29T00:00:00"/>
    <m/>
    <s v="Nil"/>
    <m/>
    <s v="BF"/>
    <s v="NB"/>
    <x v="1"/>
    <x v="0"/>
    <n v="0.23"/>
    <m/>
    <x v="0"/>
    <m/>
    <s v="Open Market"/>
    <s v="M"/>
    <s v=""/>
    <m/>
    <m/>
    <n v="135"/>
    <m/>
    <n v="15"/>
    <n v="0"/>
    <n v="60"/>
    <n v="61"/>
    <n v="29"/>
    <n v="0"/>
    <n v="0"/>
    <n v="0"/>
    <n v="0"/>
    <n v="60"/>
    <n v="61"/>
    <n v="29"/>
    <n v="0"/>
    <n v="0"/>
    <n v="0"/>
    <n v="0"/>
    <n v="0"/>
    <n v="0"/>
    <n v="0"/>
    <n v="0"/>
    <n v="0"/>
    <n v="0"/>
    <n v="0"/>
    <n v="0"/>
    <n v="0"/>
    <n v="0"/>
    <n v="0"/>
    <n v="0"/>
    <n v="0"/>
    <m/>
    <m/>
    <s v="Clapham Junction and York Road / Winstanley Regeneration Area"/>
    <n v="10"/>
    <m/>
    <m/>
    <m/>
    <m/>
    <n v="50"/>
    <n v="50"/>
    <n v="50"/>
    <m/>
    <m/>
    <m/>
    <m/>
    <m/>
    <m/>
    <m/>
    <m/>
    <m/>
    <m/>
    <m/>
    <m/>
    <m/>
    <n v="100"/>
    <n v="150"/>
  </r>
  <r>
    <n v="7101"/>
    <x v="2"/>
    <s v="2019/0024"/>
    <s v="Site of York Road, Winstanley Road (Part of Estate, York Gardens and Winstanley Estate)"/>
    <s v="Block 1C"/>
    <n v="526922"/>
    <n v="175807"/>
    <s v="Falconbrook"/>
    <d v="2022-02-17T00:00:00"/>
    <m/>
    <n v="0"/>
    <n v="89"/>
    <n v="89"/>
    <n v="2550"/>
    <n v="1791"/>
    <s v="Y"/>
    <s v="The application is for a part outline and part detailed planning permission for the following proposed development:_x000a_(a) Phased demolition of all existing buildings;_x000a_(b) Mixed use phased development comprising residential up to 2550 units (mix tenure including social rent, affordable rent, intermediate, private rented and private sale) ranging from 3 - 31 storeys above ground level including leisure centre, health, flexible commercial uses (retail, financial and professional services, café / restaurants, drinking establishments, hot-food takeaways, business, non-residential institutions and assembly and leisure), park, landscaping, public realm, energy centres, car/cycle parking and new vehicle accesses. All matters reserved except for phased construction of Block 1 (two residential towers comprising 239 private sale units and new leisure/community centre of 12,400sqm GIA including a gym, swimming pool and library, commercial uses of 2191sqm GIA), Block 5 (comprising 136 affordable units and commercial units of 393sqm GIA) and Block 6 (64 private sale units and 63 affordable units) together with a new Park (2.49ha) and associated works; and_x000a_(c) Site clearance and enabling works including works to Winstanley Road, as well as temporary works necessary to enable the approved development._x000a_An Environmental Statement has been submitted with the application under the Town and Country Planning (Environmental Impact Assessment) Regulations 2017."/>
    <s v="PFLA"/>
    <d v="2019-01-18T00:00:00"/>
    <d v="2021-01-29T00:00:00"/>
    <m/>
    <s v="Nil"/>
    <m/>
    <s v="BF"/>
    <s v="NB"/>
    <x v="1"/>
    <x v="0"/>
    <n v="0.13700000000000001"/>
    <m/>
    <x v="0"/>
    <m/>
    <s v="Open Market"/>
    <s v="M"/>
    <s v=""/>
    <m/>
    <m/>
    <n v="80"/>
    <m/>
    <n v="9"/>
    <n v="7"/>
    <n v="30"/>
    <n v="34"/>
    <n v="18"/>
    <n v="0"/>
    <n v="0"/>
    <n v="0"/>
    <n v="7"/>
    <n v="30"/>
    <n v="34"/>
    <n v="18"/>
    <n v="0"/>
    <n v="0"/>
    <n v="0"/>
    <n v="0"/>
    <n v="0"/>
    <n v="0"/>
    <n v="0"/>
    <n v="0"/>
    <n v="0"/>
    <n v="0"/>
    <n v="0"/>
    <n v="0"/>
    <n v="0"/>
    <n v="0"/>
    <n v="0"/>
    <n v="0"/>
    <n v="0"/>
    <m/>
    <m/>
    <s v="Clapham Junction and York Road / Winstanley Regeneration Area"/>
    <n v="10"/>
    <m/>
    <m/>
    <m/>
    <m/>
    <n v="29.666666666666668"/>
    <n v="29.666666666666668"/>
    <n v="29.666666666666668"/>
    <m/>
    <m/>
    <m/>
    <m/>
    <m/>
    <m/>
    <m/>
    <m/>
    <m/>
    <m/>
    <m/>
    <m/>
    <m/>
    <n v="59.333333333333336"/>
    <n v="89"/>
  </r>
  <r>
    <n v="7101"/>
    <x v="2"/>
    <s v="2019/0024"/>
    <s v="Site of York Road, Winstanley Road (Part of Estate, York Gardens and Winstanley Estate)"/>
    <s v="Block 6"/>
    <n v="526922"/>
    <n v="175807"/>
    <s v="Falconbrook"/>
    <d v="2022-02-17T00:00:00"/>
    <m/>
    <n v="0"/>
    <n v="64"/>
    <n v="64"/>
    <n v="2550"/>
    <n v="1791"/>
    <s v="Y"/>
    <s v="The application is for a part outline and part detailed planning permission for the following proposed development:_x000a_(a) Phased demolition of all existing buildings;_x000a_(b) Mixed use phased development comprising residential up to 2550 units (mix tenure including social rent, affordable rent, intermediate, private rented and private sale) ranging from 3 - 31 storeys above ground level including leisure centre, health, flexible commercial uses (retail, financial and professional services, café / restaurants, drinking establishments, hot-food takeaways, business, non-residential institutions and assembly and leisure), park, landscaping, public realm, energy centres, car/cycle parking and new vehicle accesses. All matters reserved except for phased construction of Block 1 (two residential towers comprising 239 private sale units and new leisure/community centre of 12,400sqm GIA including a gym, swimming pool and library, commercial uses of 2191sqm GIA), Block 5 (comprising 136 affordable units and commercial units of 393sqm GIA) and Block 6 (64 private sale units and 63 affordable units) together with a new Park (2.49ha) and associated works; and_x000a_(c) Site clearance and enabling works including works to Winstanley Road, as well as temporary works necessary to enable the approved development._x000a_An Environmental Statement has been submitted with the application under the Town and Country Planning (Environmental Impact Assessment) Regulations 2017."/>
    <s v="PFLA"/>
    <d v="2019-01-18T00:00:00"/>
    <d v="2021-01-29T00:00:00"/>
    <m/>
    <s v="Nil"/>
    <m/>
    <s v="BF"/>
    <s v="NB"/>
    <x v="1"/>
    <x v="0"/>
    <n v="9.8000000000000004E-2"/>
    <m/>
    <x v="0"/>
    <m/>
    <s v="Open Market"/>
    <s v="M"/>
    <s v=""/>
    <m/>
    <m/>
    <n v="58"/>
    <m/>
    <n v="6"/>
    <n v="0"/>
    <n v="18"/>
    <n v="24"/>
    <n v="22"/>
    <n v="0"/>
    <n v="0"/>
    <n v="0"/>
    <n v="0"/>
    <n v="18"/>
    <n v="24"/>
    <n v="22"/>
    <n v="0"/>
    <n v="0"/>
    <n v="0"/>
    <n v="0"/>
    <n v="0"/>
    <n v="0"/>
    <n v="0"/>
    <n v="0"/>
    <n v="0"/>
    <n v="0"/>
    <n v="0"/>
    <n v="0"/>
    <n v="0"/>
    <n v="0"/>
    <n v="0"/>
    <n v="0"/>
    <n v="0"/>
    <m/>
    <m/>
    <s v="Clapham Junction and York Road / Winstanley Regeneration Area"/>
    <n v="10"/>
    <m/>
    <m/>
    <m/>
    <m/>
    <n v="21.333333333333332"/>
    <n v="21.333333333333332"/>
    <n v="21.333333333333332"/>
    <m/>
    <m/>
    <m/>
    <m/>
    <m/>
    <m/>
    <m/>
    <m/>
    <m/>
    <m/>
    <m/>
    <m/>
    <m/>
    <n v="42.666666666666664"/>
    <n v="64"/>
  </r>
  <r>
    <n v="7101"/>
    <x v="2"/>
    <s v="2019/0024"/>
    <s v="Site of York Road, Winstanley Road (Part of Estate, York Gardens and Winstanley Estate)"/>
    <s v="Block 6"/>
    <n v="526922"/>
    <n v="175807"/>
    <s v="Falconbrook"/>
    <d v="2022-02-17T00:00:00"/>
    <m/>
    <n v="0"/>
    <n v="54"/>
    <n v="54"/>
    <n v="2550"/>
    <n v="1791"/>
    <s v="Y"/>
    <s v="The application is for a part outline and part detailed planning permission for the following proposed development:_x000a_(a) Phased demolition of all existing buildings;_x000a_(b) Mixed use phased development comprising residential up to 2550 units (mix tenure including social rent, affordable rent, intermediate, private rented and private sale) ranging from 3 - 31 storeys above ground level including leisure centre, health, flexible commercial uses (retail, financial and professional services, café / restaurants, drinking establishments, hot-food takeaways, business, non-residential institutions and assembly and leisure), park, landscaping, public realm, energy centres, car/cycle parking and new vehicle accesses. All matters reserved except for phased construction of Block 1 (two residential towers comprising 239 private sale units and new leisure/community centre of 12,400sqm GIA including a gym, swimming pool and library, commercial uses of 2191sqm GIA), Block 5 (comprising 136 affordable units and commercial units of 393sqm GIA) and Block 6 (64 private sale units and 63 affordable units) together with a new Park (2.49ha) and associated works; and_x000a_(c) Site clearance and enabling works including works to Winstanley Road, as well as temporary works necessary to enable the approved development._x000a_An Environmental Statement has been submitted with the application under the Town and Country Planning (Environmental Impact Assessment) Regulations 2017."/>
    <s v="PFLA"/>
    <d v="2019-01-18T00:00:00"/>
    <d v="2021-01-29T00:00:00"/>
    <m/>
    <s v="Nil"/>
    <m/>
    <s v="BF"/>
    <s v="NB"/>
    <x v="1"/>
    <x v="0"/>
    <n v="8.3000000000000004E-2"/>
    <m/>
    <x v="0"/>
    <m/>
    <s v="Social/Affordable Rent"/>
    <s v="AS"/>
    <s v=""/>
    <m/>
    <m/>
    <n v="48"/>
    <m/>
    <n v="6"/>
    <n v="0"/>
    <n v="19"/>
    <n v="15"/>
    <n v="17"/>
    <n v="3"/>
    <n v="0"/>
    <n v="0"/>
    <n v="0"/>
    <n v="19"/>
    <n v="15"/>
    <n v="17"/>
    <n v="3"/>
    <n v="0"/>
    <n v="0"/>
    <n v="0"/>
    <n v="0"/>
    <n v="0"/>
    <n v="0"/>
    <n v="0"/>
    <n v="0"/>
    <n v="0"/>
    <n v="0"/>
    <n v="0"/>
    <n v="0"/>
    <n v="0"/>
    <n v="0"/>
    <n v="0"/>
    <n v="0"/>
    <m/>
    <m/>
    <s v="Clapham Junction and York Road / Winstanley Regeneration Area"/>
    <n v="10"/>
    <m/>
    <m/>
    <m/>
    <m/>
    <n v="18"/>
    <n v="18"/>
    <n v="18"/>
    <m/>
    <m/>
    <m/>
    <m/>
    <m/>
    <m/>
    <m/>
    <m/>
    <m/>
    <m/>
    <m/>
    <m/>
    <m/>
    <n v="36"/>
    <n v="54"/>
  </r>
  <r>
    <n v="7101"/>
    <x v="2"/>
    <s v="2019/0024"/>
    <s v="Site of York Road, Winstanley Road (Part of Estate, York Gardens and Winstanley Estate)"/>
    <s v="Block 6"/>
    <n v="526922"/>
    <n v="175807"/>
    <s v="Falconbrook"/>
    <d v="2022-02-17T00:00:00"/>
    <m/>
    <n v="0"/>
    <n v="9"/>
    <n v="9"/>
    <n v="2550"/>
    <n v="1791"/>
    <s v="Y"/>
    <s v="The application is for a part outline and part detailed planning permission for the following proposed development:_x000a_(a) Phased demolition of all existing buildings;_x000a_(b) Mixed use phased development comprising residential up to 2550 units (mix tenure including social rent, affordable rent, intermediate, private rented and private sale) ranging from 3 - 31 storeys above ground level including leisure centre, health, flexible commercial uses (retail, financial and professional services, café / restaurants, drinking establishments, hot-food takeaways, business, non-residential institutions and assembly and leisure), park, landscaping, public realm, energy centres, car/cycle parking and new vehicle accesses. All matters reserved except for phased construction of Block 1 (two residential towers comprising 239 private sale units and new leisure/community centre of 12,400sqm GIA including a gym, swimming pool and library, commercial uses of 2191sqm GIA), Block 5 (comprising 136 affordable units and commercial units of 393sqm GIA) and Block 6 (64 private sale units and 63 affordable units) together with a new Park (2.49ha) and associated works; and_x000a_(c) Site clearance and enabling works including works to Winstanley Road, as well as temporary works necessary to enable the approved development._x000a_An Environmental Statement has been submitted with the application under the Town and Country Planning (Environmental Impact Assessment) Regulations 2017."/>
    <s v="PFLA"/>
    <d v="2019-01-18T00:00:00"/>
    <d v="2021-01-29T00:00:00"/>
    <m/>
    <s v="Nil"/>
    <m/>
    <s v="BF"/>
    <s v="NB"/>
    <x v="1"/>
    <x v="0"/>
    <n v="1.4E-2"/>
    <m/>
    <x v="0"/>
    <m/>
    <s v="Intermediate"/>
    <s v="ISE"/>
    <s v=""/>
    <m/>
    <m/>
    <n v="8"/>
    <m/>
    <n v="1"/>
    <n v="0"/>
    <n v="2"/>
    <n v="3"/>
    <n v="3"/>
    <n v="1"/>
    <n v="0"/>
    <n v="0"/>
    <n v="0"/>
    <n v="2"/>
    <n v="3"/>
    <n v="3"/>
    <n v="1"/>
    <n v="0"/>
    <n v="0"/>
    <n v="0"/>
    <n v="0"/>
    <n v="0"/>
    <n v="0"/>
    <n v="0"/>
    <n v="0"/>
    <n v="0"/>
    <n v="0"/>
    <n v="0"/>
    <n v="0"/>
    <n v="0"/>
    <n v="0"/>
    <n v="0"/>
    <n v="0"/>
    <m/>
    <m/>
    <s v="Clapham Junction and York Road / Winstanley Regeneration Area"/>
    <n v="10"/>
    <m/>
    <m/>
    <m/>
    <m/>
    <n v="3"/>
    <n v="3"/>
    <n v="3"/>
    <m/>
    <m/>
    <m/>
    <m/>
    <m/>
    <m/>
    <m/>
    <m/>
    <m/>
    <m/>
    <m/>
    <m/>
    <m/>
    <n v="6"/>
    <n v="9"/>
  </r>
  <r>
    <n v="7101"/>
    <x v="2"/>
    <s v="2019/0024"/>
    <s v="Site of York Road, Winstanley Road (Part of Estate, York Gardens and Winstanley Estate)"/>
    <s v="Blocks 2-4 and 7-14"/>
    <n v="526922"/>
    <n v="175807"/>
    <s v="Falconbrook"/>
    <d v="2022-02-17T00:00:00"/>
    <m/>
    <n v="0"/>
    <n v="379"/>
    <n v="379"/>
    <n v="2550"/>
    <n v="1791"/>
    <s v="Y"/>
    <s v="The application is for a part outline and part detailed planning permission for the following proposed development:_x000a_(a) Phased demolition of all existing buildings;_x000a_(b) Mixed use phased development comprising residential up to 2550 units (mix tenure including social rent, affordable rent, intermediate, private rented and private sale) ranging from 3 - 31 storeys above ground level including leisure centre, health, flexible commercial uses (retail, financial and professional services, café / restaurants, drinking establishments, hot-food takeaways, business, non-residential institutions and assembly and leisure), park, landscaping, public realm, energy centres, car/cycle parking and new vehicle accesses. All matters reserved except for phased construction of Block 1 (two residential towers comprising 239 private sale units and new leisure/community centre of 12,400sqm GIA including a gym, swimming pool and library, commercial uses of 2191sqm GIA), Block 5 (comprising 136 affordable units and commercial units of 393sqm GIA) and Block 6 (64 private sale units and 63 affordable units) together with a new Park (2.49ha) and associated works; and_x000a_(c) Site clearance and enabling works including works to Winstanley Road, as well as temporary works necessary to enable the approved development._x000a_An Environmental Statement has been submitted with the application under the Town and Country Planning (Environmental Impact Assessment) Regulations 2017."/>
    <s v="PFLA"/>
    <d v="2019-01-18T00:00:00"/>
    <d v="2021-01-29T00:00:00"/>
    <m/>
    <s v="Nil"/>
    <m/>
    <s v="BF"/>
    <s v="NB"/>
    <x v="1"/>
    <x v="0"/>
    <n v="0.58199999999999996"/>
    <m/>
    <x v="0"/>
    <m/>
    <s v="Social/Affordable Rent"/>
    <s v="AC"/>
    <s v=""/>
    <m/>
    <m/>
    <n v="341"/>
    <m/>
    <n v="38"/>
    <n v="0"/>
    <n v="0"/>
    <n v="0"/>
    <n v="0"/>
    <n v="0"/>
    <n v="0"/>
    <n v="379"/>
    <n v="0"/>
    <n v="0"/>
    <n v="0"/>
    <n v="0"/>
    <n v="0"/>
    <n v="0"/>
    <n v="379"/>
    <n v="0"/>
    <n v="0"/>
    <n v="0"/>
    <n v="0"/>
    <n v="0"/>
    <n v="0"/>
    <n v="0"/>
    <n v="0"/>
    <n v="0"/>
    <n v="0"/>
    <n v="0"/>
    <n v="0"/>
    <n v="0"/>
    <n v="0"/>
    <m/>
    <m/>
    <s v="Clapham Junction and York Road / Winstanley Regeneration Area"/>
    <n v="10"/>
    <m/>
    <m/>
    <m/>
    <m/>
    <n v="126.33333333333333"/>
    <n v="126.33333333333333"/>
    <n v="126.33333333333333"/>
    <m/>
    <m/>
    <m/>
    <m/>
    <m/>
    <m/>
    <m/>
    <m/>
    <m/>
    <m/>
    <m/>
    <m/>
    <m/>
    <n v="252.66666666666666"/>
    <n v="379"/>
  </r>
  <r>
    <n v="7101"/>
    <x v="2"/>
    <s v="2019/0024"/>
    <s v="Site of York Road, Winstanley Road (Part of Estate, York Gardens and Winstanley Estate)"/>
    <s v="Blocks 2-4 and 7-14"/>
    <n v="526922"/>
    <n v="175807"/>
    <s v="Falconbrook"/>
    <d v="2022-02-17T00:00:00"/>
    <m/>
    <n v="0"/>
    <n v="1355"/>
    <n v="1355"/>
    <n v="2550"/>
    <n v="1791"/>
    <s v="Y"/>
    <s v="The application is for a part outline and part detailed planning permission for the following proposed development:_x000a_(a) Phased demolition of all existing buildings;_x000a_(b) Mixed use phased development comprising residential up to 2550 units (mix tenure including social rent, affordable rent, intermediate, private rented and private sale) ranging from 3 - 31 storeys above ground level including leisure centre, health, flexible commercial uses (retail, financial and professional services, café / restaurants, drinking establishments, hot-food takeaways, business, non-residential institutions and assembly and leisure), park, landscaping, public realm, energy centres, car/cycle parking and new vehicle accesses. All matters reserved except for phased construction of Block 1 (two residential towers comprising 239 private sale units and new leisure/community centre of 12,400sqm GIA including a gym, swimming pool and library, commercial uses of 2191sqm GIA), Block 5 (comprising 136 affordable units and commercial units of 393sqm GIA) and Block 6 (64 private sale units and 63 affordable units) together with a new Park (2.49ha) and associated works; and_x000a_(c) Site clearance and enabling works including works to Winstanley Road, as well as temporary works necessary to enable the approved development._x000a_An Environmental Statement has been submitted with the application under the Town and Country Planning (Environmental Impact Assessment) Regulations 2017."/>
    <s v="PFLA"/>
    <d v="2019-01-18T00:00:00"/>
    <d v="2021-01-29T00:00:00"/>
    <m/>
    <s v="Nil"/>
    <m/>
    <s v="BF"/>
    <s v="NB"/>
    <x v="1"/>
    <x v="0"/>
    <n v="2.0819999999999999"/>
    <m/>
    <x v="0"/>
    <m/>
    <s v="Open Market"/>
    <s v="M"/>
    <s v=""/>
    <m/>
    <m/>
    <n v="1219"/>
    <m/>
    <n v="136"/>
    <n v="0"/>
    <n v="0"/>
    <n v="0"/>
    <n v="0"/>
    <n v="0"/>
    <n v="0"/>
    <n v="1355"/>
    <n v="0"/>
    <n v="0"/>
    <n v="0"/>
    <n v="0"/>
    <n v="0"/>
    <n v="0"/>
    <n v="1355"/>
    <n v="0"/>
    <n v="0"/>
    <n v="0"/>
    <n v="0"/>
    <n v="0"/>
    <n v="0"/>
    <n v="0"/>
    <n v="0"/>
    <n v="0"/>
    <n v="0"/>
    <n v="0"/>
    <n v="0"/>
    <n v="0"/>
    <n v="0"/>
    <m/>
    <m/>
    <s v="Clapham Junction and York Road / Winstanley Regeneration Area"/>
    <n v="10"/>
    <m/>
    <m/>
    <m/>
    <m/>
    <n v="451.66666666666669"/>
    <n v="451.66666666666669"/>
    <n v="451.66666666666669"/>
    <m/>
    <m/>
    <m/>
    <m/>
    <m/>
    <m/>
    <m/>
    <m/>
    <m/>
    <m/>
    <m/>
    <m/>
    <m/>
    <n v="903.33333333333337"/>
    <n v="1355"/>
  </r>
  <r>
    <n v="7101"/>
    <x v="2"/>
    <s v="2019/0024"/>
    <s v="Site of York Road, Winstanley Road (Part of Estate, York Gardens and Winstanley Estate)"/>
    <s v="Blocks 2-4 and 7-14"/>
    <n v="526922"/>
    <n v="175807"/>
    <s v="Falconbrook"/>
    <d v="2022-02-17T00:00:00"/>
    <m/>
    <n v="0"/>
    <n v="214"/>
    <n v="214"/>
    <n v="2550"/>
    <n v="1791"/>
    <s v="Y"/>
    <s v="The application is for a part outline and part detailed planning permission for the following proposed development:_x000a_(a) Phased demolition of all existing buildings;_x000a_(b) Mixed use phased development comprising residential up to 2550 units (mix tenure including social rent, affordable rent, intermediate, private rented and private sale) ranging from 3 - 31 storeys above ground level including leisure centre, health, flexible commercial uses (retail, financial and professional services, café / restaurants, drinking establishments, hot-food takeaways, business, non-residential institutions and assembly and leisure), park, landscaping, public realm, energy centres, car/cycle parking and new vehicle accesses. All matters reserved except for phased construction of Block 1 (two residential towers comprising 239 private sale units and new leisure/community centre of 12,400sqm GIA including a gym, swimming pool and library, commercial uses of 2191sqm GIA), Block 5 (comprising 136 affordable units and commercial units of 393sqm GIA) and Block 6 (64 private sale units and 63 affordable units) together with a new Park (2.49ha) and associated works; and_x000a_(c) Site clearance and enabling works including works to Winstanley Road, as well as temporary works necessary to enable the approved development._x000a_An Environmental Statement has been submitted with the application under the Town and Country Planning (Environmental Impact Assessment) Regulations 2017."/>
    <s v="PFLA"/>
    <d v="2019-01-18T00:00:00"/>
    <d v="2021-01-29T00:00:00"/>
    <m/>
    <s v="Nil"/>
    <m/>
    <s v="BF"/>
    <s v="NB"/>
    <x v="1"/>
    <x v="0"/>
    <n v="0.32900000000000001"/>
    <m/>
    <x v="0"/>
    <m/>
    <s v="Intermediate"/>
    <s v="ISE"/>
    <s v=""/>
    <m/>
    <m/>
    <n v="193"/>
    <m/>
    <n v="21"/>
    <n v="0"/>
    <n v="0"/>
    <n v="0"/>
    <n v="0"/>
    <n v="0"/>
    <n v="0"/>
    <n v="214"/>
    <n v="0"/>
    <n v="0"/>
    <n v="0"/>
    <n v="0"/>
    <n v="0"/>
    <n v="0"/>
    <n v="214"/>
    <n v="0"/>
    <n v="0"/>
    <n v="0"/>
    <n v="0"/>
    <n v="0"/>
    <n v="0"/>
    <n v="0"/>
    <n v="0"/>
    <n v="0"/>
    <n v="0"/>
    <n v="0"/>
    <n v="0"/>
    <n v="0"/>
    <n v="0"/>
    <m/>
    <m/>
    <s v="Clapham Junction and York Road / Winstanley Regeneration Area"/>
    <n v="10"/>
    <m/>
    <m/>
    <m/>
    <m/>
    <n v="71.333333333333329"/>
    <n v="71.333333333333329"/>
    <n v="71.333333333333329"/>
    <m/>
    <m/>
    <m/>
    <m/>
    <m/>
    <m/>
    <m/>
    <m/>
    <m/>
    <m/>
    <m/>
    <m/>
    <m/>
    <n v="142.66666666666666"/>
    <n v="214"/>
  </r>
  <r>
    <n v="7101"/>
    <x v="2"/>
    <s v="2019/0024"/>
    <s v="Site of York Road, Winstanley Road (Part of Estate, York Gardens and Winstanley Estate)"/>
    <s v="Blocks 2-4 and 7-14"/>
    <n v="526922"/>
    <n v="175807"/>
    <s v="Falconbrook"/>
    <d v="2022-02-17T00:00:00"/>
    <m/>
    <n v="0"/>
    <n v="100"/>
    <n v="100"/>
    <n v="2550"/>
    <n v="1791"/>
    <s v="Y"/>
    <s v="The application is for a part outline and part detailed planning permission for the following proposed development:_x000a_(a) Phased demolition of all existing buildings;_x000a_(b) Mixed use phased development comprising residential up to 2550 units (mix tenure including social rent, affordable rent, intermediate, private rented and private sale) ranging from 3 - 31 storeys above ground level including leisure centre, health, flexible commercial uses (retail, financial and professional services, café / restaurants, drinking establishments, hot-food takeaways, business, non-residential institutions and assembly and leisure), park, landscaping, public realm, energy centres, car/cycle parking and new vehicle accesses. All matters reserved except for phased construction of Block 1 (two residential towers comprising 239 private sale units and new leisure/community centre of 12,400sqm GIA including a gym, swimming pool and library, commercial uses of 2191sqm GIA), Block 5 (comprising 136 affordable units and commercial units of 393sqm GIA) and Block 6 (64 private sale units and 63 affordable units) together with a new Park (2.49ha) and associated works; and_x000a_(c) Site clearance and enabling works including works to Winstanley Road, as well as temporary works necessary to enable the approved development._x000a_An Environmental Statement has been submitted with the application under the Town and Country Planning (Environmental Impact Assessment) Regulations 2017."/>
    <s v="PFLA"/>
    <d v="2019-01-18T00:00:00"/>
    <d v="2021-01-29T00:00:00"/>
    <m/>
    <s v="Nil"/>
    <m/>
    <s v="BF"/>
    <s v="NB"/>
    <x v="1"/>
    <x v="0"/>
    <n v="0.154"/>
    <m/>
    <x v="0"/>
    <m/>
    <s v="Social/Affordable Rent"/>
    <s v="AA"/>
    <s v=""/>
    <m/>
    <m/>
    <n v="90"/>
    <m/>
    <n v="10"/>
    <n v="0"/>
    <n v="0"/>
    <n v="0"/>
    <n v="0"/>
    <n v="0"/>
    <n v="0"/>
    <n v="100"/>
    <n v="0"/>
    <n v="0"/>
    <n v="0"/>
    <n v="0"/>
    <n v="0"/>
    <n v="0"/>
    <n v="100"/>
    <n v="0"/>
    <n v="0"/>
    <n v="0"/>
    <n v="0"/>
    <n v="0"/>
    <n v="0"/>
    <n v="0"/>
    <n v="0"/>
    <n v="0"/>
    <n v="0"/>
    <n v="0"/>
    <n v="0"/>
    <n v="0"/>
    <n v="0"/>
    <m/>
    <m/>
    <s v="Clapham Junction and York Road / Winstanley Regeneration Area"/>
    <n v="10"/>
    <m/>
    <m/>
    <m/>
    <m/>
    <n v="33.333333333333336"/>
    <n v="33.333333333333336"/>
    <n v="33.333333333333336"/>
    <m/>
    <m/>
    <m/>
    <m/>
    <m/>
    <m/>
    <m/>
    <m/>
    <m/>
    <m/>
    <m/>
    <m/>
    <m/>
    <n v="66.666666666666671"/>
    <n v="100"/>
  </r>
  <r>
    <n v="7101"/>
    <x v="2"/>
    <s v="2019/0024"/>
    <s v="Site of York Road, Winstanley Road (Part of Estate, York Gardens and Winstanley Estate)"/>
    <s v="Blocks A-S"/>
    <n v="526922"/>
    <n v="175807"/>
    <s v="Falconbrook"/>
    <d v="2022-02-17T00:00:00"/>
    <m/>
    <n v="218"/>
    <n v="0"/>
    <n v="-218"/>
    <n v="2550"/>
    <n v="1791"/>
    <s v="Y"/>
    <s v="The application is for a part outline and part detailed planning permission for the following proposed development:_x000a_(a) Phased demolition of all existing buildings;_x000a_(b) Mixed use phased development comprising residential up to 2550 units (mix tenure including social rent, affordable rent, intermediate, private rented and private sale) ranging from 3 - 31 storeys above ground level including leisure centre, health, flexible commercial uses (retail, financial and professional services, café / restaurants, drinking establishments, hot-food takeaways, business, non-residential institutions and assembly and leisure), park, landscaping, public realm, energy centres, car/cycle parking and new vehicle accesses. All matters reserved except for phased construction of Block 1 (two residential towers comprising 239 private sale units and new leisure/community centre of 12,400sqm GIA including a gym, swimming pool and library, commercial uses of 2191sqm GIA), Block 5 (comprising 136 affordable units and commercial units of 393sqm GIA) and Block 6 (64 private sale units and 63 affordable units) together with a new Park (2.49ha) and associated works; and_x000a_(c) Site clearance and enabling works including works to Winstanley Road, as well as temporary works necessary to enable the approved development._x000a_An Environmental Statement has been submitted with the application under the Town and Country Planning (Environmental Impact Assessment) Regulations 2017."/>
    <s v="PFLA"/>
    <d v="2019-01-18T00:00:00"/>
    <d v="2021-01-29T00:00:00"/>
    <m/>
    <s v="Nil"/>
    <m/>
    <s v="BF"/>
    <s v="NB"/>
    <x v="1"/>
    <x v="0"/>
    <n v="0"/>
    <m/>
    <x v="0"/>
    <m/>
    <s v="Open Market"/>
    <s v="M"/>
    <s v=""/>
    <m/>
    <m/>
    <m/>
    <m/>
    <m/>
    <n v="-12"/>
    <n v="-54"/>
    <n v="-89"/>
    <n v="-33"/>
    <n v="-30"/>
    <n v="0"/>
    <n v="0"/>
    <n v="-12"/>
    <n v="-54"/>
    <n v="-89"/>
    <n v="-33"/>
    <n v="-30"/>
    <n v="0"/>
    <n v="0"/>
    <n v="0"/>
    <n v="0"/>
    <n v="0"/>
    <n v="0"/>
    <n v="0"/>
    <n v="0"/>
    <n v="0"/>
    <n v="0"/>
    <n v="0"/>
    <n v="0"/>
    <n v="0"/>
    <n v="0"/>
    <n v="0"/>
    <n v="0"/>
    <m/>
    <m/>
    <s v="Clapham Junction and York Road / Winstanley Regeneration Area"/>
    <n v="10"/>
    <m/>
    <m/>
    <m/>
    <m/>
    <n v="-72.666666666666671"/>
    <n v="-72.666666666666671"/>
    <n v="-72.666666666666671"/>
    <m/>
    <m/>
    <m/>
    <m/>
    <m/>
    <m/>
    <m/>
    <m/>
    <m/>
    <m/>
    <m/>
    <m/>
    <m/>
    <n v="-145.33333333333334"/>
    <n v="-218"/>
  </r>
  <r>
    <n v="7101"/>
    <x v="2"/>
    <s v="2019/0024"/>
    <s v="Site of York Road, Winstanley Road (Part of Estate, York Gardens and Winstanley Estate)"/>
    <s v="Blocks A-S"/>
    <n v="526922"/>
    <n v="175807"/>
    <s v="Falconbrook"/>
    <d v="2022-02-17T00:00:00"/>
    <m/>
    <n v="527"/>
    <n v="0"/>
    <n v="-527"/>
    <n v="2550"/>
    <n v="1791"/>
    <s v="Y"/>
    <s v="The application is for a part outline and part detailed planning permission for the following proposed development:_x000a_(a) Phased demolition of all existing buildings;_x000a_(b) Mixed use phased development comprising residential up to 2550 units (mix tenure including social rent, affordable rent, intermediate, private rented and private sale) ranging from 3 - 31 storeys above ground level including leisure centre, health, flexible commercial uses (retail, financial and professional services, café / restaurants, drinking establishments, hot-food takeaways, business, non-residential institutions and assembly and leisure), park, landscaping, public realm, energy centres, car/cycle parking and new vehicle accesses. All matters reserved except for phased construction of Block 1 (two residential towers comprising 239 private sale units and new leisure/community centre of 12,400sqm GIA including a gym, swimming pool and library, commercial uses of 2191sqm GIA), Block 5 (comprising 136 affordable units and commercial units of 393sqm GIA) and Block 6 (64 private sale units and 63 affordable units) together with a new Park (2.49ha) and associated works; and_x000a_(c) Site clearance and enabling works including works to Winstanley Road, as well as temporary works necessary to enable the approved development._x000a_An Environmental Statement has been submitted with the application under the Town and Country Planning (Environmental Impact Assessment) Regulations 2017."/>
    <s v="PFLA"/>
    <d v="2019-01-18T00:00:00"/>
    <d v="2021-01-29T00:00:00"/>
    <m/>
    <s v="Nil"/>
    <m/>
    <s v="BF"/>
    <s v="NB"/>
    <x v="1"/>
    <x v="0"/>
    <n v="0"/>
    <m/>
    <x v="0"/>
    <m/>
    <s v="Social/Affordable Rent"/>
    <s v="AC"/>
    <s v=""/>
    <m/>
    <m/>
    <m/>
    <m/>
    <m/>
    <n v="-79"/>
    <n v="-120"/>
    <n v="-256"/>
    <n v="-47"/>
    <n v="-25"/>
    <n v="0"/>
    <n v="0"/>
    <n v="-79"/>
    <n v="-120"/>
    <n v="-256"/>
    <n v="-47"/>
    <n v="-25"/>
    <n v="0"/>
    <n v="0"/>
    <n v="0"/>
    <n v="0"/>
    <n v="0"/>
    <n v="0"/>
    <n v="0"/>
    <n v="0"/>
    <n v="0"/>
    <n v="0"/>
    <n v="0"/>
    <n v="0"/>
    <n v="0"/>
    <n v="0"/>
    <n v="0"/>
    <n v="0"/>
    <m/>
    <m/>
    <s v="Clapham Junction and York Road / Winstanley Regeneration Area"/>
    <n v="10"/>
    <m/>
    <m/>
    <m/>
    <m/>
    <n v="-175.66666666666666"/>
    <n v="-175.66666666666666"/>
    <n v="-175.66666666666666"/>
    <m/>
    <m/>
    <m/>
    <m/>
    <m/>
    <m/>
    <m/>
    <m/>
    <m/>
    <m/>
    <m/>
    <m/>
    <m/>
    <n v="-351.33333333333331"/>
    <n v="-527"/>
  </r>
  <r>
    <n v="7101"/>
    <x v="2"/>
    <s v="2019/0024"/>
    <s v="Site of York Road, Winstanley Road (Part of Estate, York Gardens and Winstanley Estate)"/>
    <s v="Blocks A-S"/>
    <n v="526922"/>
    <n v="175807"/>
    <s v="Falconbrook"/>
    <d v="2022-02-17T00:00:00"/>
    <m/>
    <n v="14"/>
    <n v="0"/>
    <n v="-14"/>
    <n v="2550"/>
    <n v="1791"/>
    <s v="Y"/>
    <s v="The application is for a part outline and part detailed planning permission for the following proposed development:_x000a_(a) Phased demolition of all existing buildings;_x000a_(b) Mixed use phased development comprising residential up to 2550 units (mix tenure including social rent, affordable rent, intermediate, private rented and private sale) ranging from 3 - 31 storeys above ground level including leisure centre, health, flexible commercial uses (retail, financial and professional services, café / restaurants, drinking establishments, hot-food takeaways, business, non-residential institutions and assembly and leisure), park, landscaping, public realm, energy centres, car/cycle parking and new vehicle accesses. All matters reserved except for phased construction of Block 1 (two residential towers comprising 239 private sale units and new leisure/community centre of 12,400sqm GIA including a gym, swimming pool and library, commercial uses of 2191sqm GIA), Block 5 (comprising 136 affordable units and commercial units of 393sqm GIA) and Block 6 (64 private sale units and 63 affordable units) together with a new Park (2.49ha) and associated works; and_x000a_(c) Site clearance and enabling works including works to Winstanley Road, as well as temporary works necessary to enable the approved development._x000a_An Environmental Statement has been submitted with the application under the Town and Country Planning (Environmental Impact Assessment) Regulations 2017."/>
    <s v="PFLA"/>
    <d v="2019-01-18T00:00:00"/>
    <d v="2021-01-29T00:00:00"/>
    <m/>
    <s v="Nil"/>
    <m/>
    <s v="BF"/>
    <s v="NB"/>
    <x v="1"/>
    <x v="0"/>
    <n v="0"/>
    <m/>
    <x v="0"/>
    <m/>
    <s v="Intermediate"/>
    <s v="IU"/>
    <s v=""/>
    <m/>
    <m/>
    <m/>
    <m/>
    <m/>
    <n v="0"/>
    <n v="-2"/>
    <n v="-11"/>
    <n v="-1"/>
    <n v="0"/>
    <n v="0"/>
    <n v="0"/>
    <n v="0"/>
    <n v="-2"/>
    <n v="-11"/>
    <n v="-1"/>
    <n v="0"/>
    <n v="0"/>
    <n v="0"/>
    <n v="0"/>
    <n v="0"/>
    <n v="0"/>
    <n v="0"/>
    <n v="0"/>
    <n v="0"/>
    <n v="0"/>
    <n v="0"/>
    <n v="0"/>
    <n v="0"/>
    <n v="0"/>
    <n v="0"/>
    <n v="0"/>
    <n v="0"/>
    <m/>
    <m/>
    <s v="Clapham Junction and York Road / Winstanley Regeneration Area"/>
    <n v="10"/>
    <m/>
    <m/>
    <m/>
    <m/>
    <n v="-4.666666666666667"/>
    <n v="-4.666666666666667"/>
    <n v="-4.666666666666667"/>
    <m/>
    <m/>
    <m/>
    <m/>
    <m/>
    <m/>
    <m/>
    <m/>
    <m/>
    <m/>
    <m/>
    <m/>
    <m/>
    <n v="-9.3333333333333339"/>
    <n v="-14"/>
  </r>
  <r>
    <n v="1627"/>
    <x v="2"/>
    <s v="2019/0517"/>
    <s v="57 Gilbey Road"/>
    <s v=""/>
    <n v="527243"/>
    <n v="171511"/>
    <s v="Tooting Broadway"/>
    <m/>
    <m/>
    <n v="2"/>
    <n v="1"/>
    <n v="-1"/>
    <n v="1"/>
    <n v="-1"/>
    <m/>
    <s v="Alterations in connection with conversion of two flats into a single dwellinghouse."/>
    <s v="PF"/>
    <d v="2019-02-05T00:00:00"/>
    <d v="2019-04-02T00:00:00"/>
    <m/>
    <s v="Nil"/>
    <m/>
    <s v="BF"/>
    <s v="CON"/>
    <x v="2"/>
    <x v="11"/>
    <n v="1.0999999999999999E-2"/>
    <m/>
    <x v="0"/>
    <m/>
    <s v="Open Market"/>
    <s v="M"/>
    <s v=""/>
    <m/>
    <m/>
    <m/>
    <m/>
    <m/>
    <n v="0"/>
    <n v="0"/>
    <n v="-1"/>
    <n v="-1"/>
    <n v="0"/>
    <n v="1"/>
    <n v="0"/>
    <n v="0"/>
    <n v="0"/>
    <n v="-1"/>
    <n v="-1"/>
    <n v="0"/>
    <n v="0"/>
    <n v="0"/>
    <n v="0"/>
    <n v="0"/>
    <n v="0"/>
    <n v="0"/>
    <n v="0"/>
    <n v="1"/>
    <n v="0"/>
    <n v="0"/>
    <n v="0"/>
    <n v="0"/>
    <n v="0"/>
    <n v="0"/>
    <n v="0"/>
    <n v="0"/>
    <m/>
    <m/>
    <s v="Tooting"/>
    <n v="15"/>
    <m/>
    <n v="-0.25"/>
    <n v="-0.25"/>
    <n v="-0.25"/>
    <n v="-0.25"/>
    <m/>
    <m/>
    <m/>
    <m/>
    <m/>
    <m/>
    <m/>
    <m/>
    <m/>
    <m/>
    <m/>
    <m/>
    <m/>
    <m/>
    <m/>
    <n v="-1"/>
    <n v="-1"/>
  </r>
  <r>
    <n v="7130"/>
    <x v="2"/>
    <s v="2019/0899"/>
    <s v="55 Gayville Road"/>
    <s v=""/>
    <n v="527830"/>
    <n v="174273"/>
    <s v="Northcote"/>
    <m/>
    <m/>
    <n v="0"/>
    <n v="1"/>
    <n v="1"/>
    <n v="2"/>
    <n v="1"/>
    <m/>
    <s v="Alterations including erection of a mansard roof extension to main rear roof, installation of glazed doors (with safety railing) at first floor level and erection of a single storey rear/side extension in connection with conversion to 1 x 2-bed and 1 x 3-bed flats."/>
    <s v="PF"/>
    <d v="2019-07-30T00:00:00"/>
    <d v="2019-09-17T00:00:00"/>
    <m/>
    <s v="Nil"/>
    <m/>
    <s v="BF"/>
    <s v="MIX"/>
    <x v="2"/>
    <x v="7"/>
    <n v="7.0000000000000001E-3"/>
    <m/>
    <x v="0"/>
    <m/>
    <s v="Open Market"/>
    <s v="M"/>
    <s v=""/>
    <m/>
    <m/>
    <m/>
    <m/>
    <m/>
    <n v="0"/>
    <n v="0"/>
    <n v="1"/>
    <n v="0"/>
    <n v="0"/>
    <n v="0"/>
    <n v="0"/>
    <n v="0"/>
    <n v="0"/>
    <n v="1"/>
    <n v="0"/>
    <n v="0"/>
    <n v="0"/>
    <n v="0"/>
    <n v="0"/>
    <n v="0"/>
    <n v="0"/>
    <n v="0"/>
    <n v="0"/>
    <n v="0"/>
    <n v="0"/>
    <n v="0"/>
    <n v="0"/>
    <n v="0"/>
    <n v="0"/>
    <n v="0"/>
    <n v="0"/>
    <n v="0"/>
    <m/>
    <m/>
    <s v="Rest of Borough"/>
    <n v="15"/>
    <m/>
    <n v="0.25"/>
    <n v="0.25"/>
    <n v="0.25"/>
    <n v="0.25"/>
    <m/>
    <m/>
    <m/>
    <m/>
    <m/>
    <m/>
    <m/>
    <m/>
    <m/>
    <m/>
    <m/>
    <m/>
    <m/>
    <m/>
    <m/>
    <n v="1"/>
    <n v="1"/>
  </r>
  <r>
    <n v="7130"/>
    <x v="2"/>
    <s v="2019/0899"/>
    <s v="55 Gayville Road"/>
    <s v=""/>
    <n v="527830"/>
    <n v="174273"/>
    <s v="Northcote"/>
    <m/>
    <m/>
    <n v="1"/>
    <n v="1"/>
    <n v="0"/>
    <n v="2"/>
    <n v="1"/>
    <m/>
    <s v="Alterations including erection of a mansard roof extension to main rear roof, installation of glazed doors (with safety railing) at first floor level and erection of a single storey rear/side extension in connection with conversion to 1 x 2-bed and 1 x 3-bed flats."/>
    <s v="PF"/>
    <d v="2019-07-30T00:00:00"/>
    <d v="2019-09-17T00:00:00"/>
    <m/>
    <s v="Nil"/>
    <m/>
    <s v="BF"/>
    <s v="MIX"/>
    <x v="2"/>
    <x v="10"/>
    <n v="7.0000000000000001E-3"/>
    <m/>
    <x v="0"/>
    <m/>
    <s v="Open Market"/>
    <s v="M"/>
    <s v=""/>
    <m/>
    <m/>
    <m/>
    <m/>
    <m/>
    <n v="0"/>
    <n v="0"/>
    <n v="0"/>
    <n v="1"/>
    <n v="-1"/>
    <n v="0"/>
    <n v="0"/>
    <n v="0"/>
    <n v="0"/>
    <n v="0"/>
    <n v="1"/>
    <n v="0"/>
    <n v="0"/>
    <n v="0"/>
    <n v="0"/>
    <n v="0"/>
    <n v="0"/>
    <n v="0"/>
    <n v="-1"/>
    <n v="0"/>
    <n v="0"/>
    <n v="0"/>
    <n v="0"/>
    <n v="0"/>
    <n v="0"/>
    <n v="0"/>
    <n v="0"/>
    <n v="0"/>
    <m/>
    <m/>
    <s v="Rest of Borough"/>
    <n v="15"/>
    <m/>
    <n v="0"/>
    <n v="0"/>
    <n v="0"/>
    <n v="0"/>
    <m/>
    <m/>
    <m/>
    <m/>
    <m/>
    <m/>
    <m/>
    <m/>
    <m/>
    <m/>
    <m/>
    <m/>
    <m/>
    <m/>
    <m/>
    <n v="0"/>
    <n v="0"/>
  </r>
  <r>
    <n v="5147"/>
    <x v="2"/>
    <s v="2019/1181"/>
    <s v="60 Fairfield Street"/>
    <s v=""/>
    <n v="525825"/>
    <n v="174893"/>
    <s v="Wandsworth Town"/>
    <m/>
    <m/>
    <n v="0"/>
    <n v="1"/>
    <n v="1"/>
    <n v="1"/>
    <n v="1"/>
    <m/>
    <s v="Alterations to ground floor front, rear and side elevation in connection with change of use from cafe (Class A3) to two bedroom flat (Class C3) ."/>
    <s v="PF"/>
    <d v="2019-03-15T00:00:00"/>
    <d v="2019-07-16T00:00:00"/>
    <m/>
    <s v="Nil"/>
    <m/>
    <s v="BF"/>
    <s v="COU"/>
    <x v="2"/>
    <x v="8"/>
    <n v="6.0000000000000001E-3"/>
    <m/>
    <x v="0"/>
    <m/>
    <s v="Open Market"/>
    <s v="M"/>
    <s v=""/>
    <m/>
    <m/>
    <m/>
    <m/>
    <m/>
    <n v="0"/>
    <n v="1"/>
    <n v="0"/>
    <n v="0"/>
    <n v="0"/>
    <n v="0"/>
    <n v="0"/>
    <n v="0"/>
    <n v="1"/>
    <n v="0"/>
    <n v="0"/>
    <n v="0"/>
    <n v="0"/>
    <n v="0"/>
    <n v="0"/>
    <n v="0"/>
    <n v="0"/>
    <n v="0"/>
    <n v="0"/>
    <n v="0"/>
    <n v="0"/>
    <n v="0"/>
    <n v="0"/>
    <n v="0"/>
    <n v="0"/>
    <n v="0"/>
    <n v="0"/>
    <n v="0"/>
    <m/>
    <m/>
    <s v="Wandsworth Town, including the Wandle Delta Masterplan Area"/>
    <n v="15"/>
    <m/>
    <n v="0.25"/>
    <n v="0.25"/>
    <n v="0.25"/>
    <n v="0.25"/>
    <m/>
    <m/>
    <m/>
    <m/>
    <m/>
    <m/>
    <m/>
    <m/>
    <m/>
    <m/>
    <m/>
    <m/>
    <m/>
    <m/>
    <m/>
    <n v="1"/>
    <n v="1"/>
  </r>
  <r>
    <n v="7076"/>
    <x v="2"/>
    <s v="2019/1697"/>
    <s v="57-63 Tooting High Street"/>
    <s v="conversion"/>
    <n v="527497"/>
    <n v="171501"/>
    <s v="Tooting Broadway"/>
    <m/>
    <m/>
    <n v="7"/>
    <n v="7"/>
    <n v="0"/>
    <n v="11"/>
    <n v="4"/>
    <s v="Y"/>
    <s v="Alterations and extensions including erection of four storey rear extension (with three balconies); two storey side extension over the flat roof of the existing two storey back addition (with second floor roof terrace); conversions and changes to the layouts of the existing 7 flats (1 x 4 bedroom, 4 x 3 bedroom, 1 x 2 bedroom, 1 x 1 bedroom) in order to create 11 flats (8 x 2 bedroom, 1 x 1 bedroom and 2 x studio flats (net increase of 4 flats)); and associated waste and cycle storage."/>
    <s v="PF"/>
    <d v="2019-04-15T00:00:00"/>
    <d v="2019-06-10T00:00:00"/>
    <m/>
    <s v="Nil"/>
    <m/>
    <s v="BF"/>
    <s v="MIX"/>
    <x v="5"/>
    <x v="0"/>
    <n v="2.3E-2"/>
    <m/>
    <x v="0"/>
    <m/>
    <s v="Open Market"/>
    <s v="M"/>
    <s v="5.2"/>
    <m/>
    <m/>
    <m/>
    <m/>
    <m/>
    <n v="2"/>
    <n v="0"/>
    <n v="3"/>
    <n v="-4"/>
    <n v="-1"/>
    <n v="0"/>
    <n v="0"/>
    <n v="2"/>
    <n v="0"/>
    <n v="3"/>
    <n v="-4"/>
    <n v="-1"/>
    <n v="0"/>
    <n v="0"/>
    <n v="0"/>
    <n v="0"/>
    <n v="0"/>
    <n v="0"/>
    <n v="0"/>
    <n v="0"/>
    <n v="0"/>
    <n v="0"/>
    <n v="0"/>
    <n v="0"/>
    <n v="0"/>
    <n v="0"/>
    <n v="0"/>
    <n v="0"/>
    <s v="Tooting"/>
    <m/>
    <s v="Tooting"/>
    <n v="18"/>
    <m/>
    <n v="0"/>
    <n v="0"/>
    <n v="0"/>
    <n v="0"/>
    <m/>
    <m/>
    <m/>
    <m/>
    <m/>
    <m/>
    <m/>
    <m/>
    <m/>
    <m/>
    <m/>
    <m/>
    <m/>
    <m/>
    <m/>
    <n v="0"/>
    <n v="0"/>
  </r>
  <r>
    <n v="7076"/>
    <x v="2"/>
    <s v="2019/1697"/>
    <s v="57-63 Tooting High Street"/>
    <s v="extn"/>
    <n v="527497"/>
    <n v="171501"/>
    <s v="Tooting Broadway"/>
    <m/>
    <m/>
    <n v="0"/>
    <n v="4"/>
    <n v="4"/>
    <n v="11"/>
    <n v="4"/>
    <s v="Y"/>
    <s v="Alterations and extensions including erection of four storey rear extension (with three balconies); two storey side extension over the flat roof of the existing two storey back addition (with second floor roof terrace); conversions and changes to the layouts of the existing 7 flats (1 x 4 bedroom, 4 x 3 bedroom, 1 x 2 bedroom, 1 x 1 bedroom) in order to create 11 flats (8 x 2 bedroom, 1 x 1 bedroom and 2 x studio flats (net increase of 4 flats)); and associated waste and cycle storage."/>
    <s v="PF"/>
    <d v="2019-04-15T00:00:00"/>
    <d v="2019-06-10T00:00:00"/>
    <m/>
    <s v="Nil"/>
    <m/>
    <s v="BF"/>
    <s v="MIX"/>
    <x v="6"/>
    <x v="0"/>
    <n v="8.9999999999999993E-3"/>
    <m/>
    <x v="0"/>
    <m/>
    <s v="Open Market"/>
    <s v="M"/>
    <s v="5.2"/>
    <m/>
    <m/>
    <m/>
    <m/>
    <m/>
    <n v="0"/>
    <n v="0"/>
    <n v="4"/>
    <n v="0"/>
    <n v="0"/>
    <n v="0"/>
    <n v="0"/>
    <n v="0"/>
    <n v="0"/>
    <n v="4"/>
    <n v="0"/>
    <n v="0"/>
    <n v="0"/>
    <n v="0"/>
    <n v="0"/>
    <n v="0"/>
    <n v="0"/>
    <n v="0"/>
    <n v="0"/>
    <n v="0"/>
    <n v="0"/>
    <n v="0"/>
    <n v="0"/>
    <n v="0"/>
    <n v="0"/>
    <n v="0"/>
    <n v="0"/>
    <n v="0"/>
    <s v="Tooting"/>
    <m/>
    <s v="Tooting"/>
    <n v="18"/>
    <m/>
    <n v="1"/>
    <n v="1"/>
    <n v="1"/>
    <n v="1"/>
    <m/>
    <m/>
    <m/>
    <m/>
    <m/>
    <m/>
    <m/>
    <m/>
    <m/>
    <m/>
    <m/>
    <m/>
    <m/>
    <m/>
    <m/>
    <n v="4"/>
    <n v="4"/>
  </r>
  <r>
    <n v="7163"/>
    <x v="2"/>
    <s v="2019/1706"/>
    <s v="148 Earlsfield Road"/>
    <s v=""/>
    <n v="526291"/>
    <n v="173671"/>
    <s v="Wandle"/>
    <m/>
    <m/>
    <n v="0"/>
    <n v="1"/>
    <n v="1"/>
    <n v="1"/>
    <n v="1"/>
    <m/>
    <s v="Alterations including excavation to create basement in connection with creation of 1 x 1-bedroom flat."/>
    <s v="PF"/>
    <d v="2019-04-16T00:00:00"/>
    <d v="2019-07-16T00:00:00"/>
    <m/>
    <s v="Nil"/>
    <m/>
    <s v="BF"/>
    <s v="EXT"/>
    <x v="2"/>
    <x v="7"/>
    <n v="5.0000000000000001E-3"/>
    <m/>
    <x v="0"/>
    <m/>
    <s v="Open Market"/>
    <s v="M"/>
    <s v=""/>
    <m/>
    <m/>
    <m/>
    <m/>
    <m/>
    <n v="0"/>
    <n v="1"/>
    <n v="0"/>
    <n v="0"/>
    <n v="0"/>
    <n v="0"/>
    <n v="0"/>
    <n v="0"/>
    <n v="1"/>
    <n v="0"/>
    <n v="0"/>
    <n v="0"/>
    <n v="0"/>
    <n v="0"/>
    <n v="0"/>
    <n v="0"/>
    <n v="0"/>
    <n v="0"/>
    <n v="0"/>
    <n v="0"/>
    <n v="0"/>
    <n v="0"/>
    <n v="0"/>
    <n v="0"/>
    <n v="0"/>
    <n v="0"/>
    <n v="0"/>
    <n v="0"/>
    <m/>
    <m/>
    <s v="Rest of Borough"/>
    <n v="15"/>
    <m/>
    <n v="0.25"/>
    <n v="0.25"/>
    <n v="0.25"/>
    <n v="0.25"/>
    <m/>
    <m/>
    <m/>
    <m/>
    <m/>
    <m/>
    <m/>
    <m/>
    <m/>
    <m/>
    <m/>
    <m/>
    <m/>
    <m/>
    <m/>
    <n v="1"/>
    <n v="1"/>
  </r>
  <r>
    <n v="7188"/>
    <x v="2"/>
    <s v="2019/1757"/>
    <s v="Terrapin Court, Terrapin Road"/>
    <s v=""/>
    <n v="528902"/>
    <n v="172500"/>
    <s v="South Balham"/>
    <m/>
    <m/>
    <n v="0"/>
    <n v="2"/>
    <n v="2"/>
    <n v="2"/>
    <n v="2"/>
    <m/>
    <s v="Alterations including erection of roof extension and roof terraces to provide 2 x 2-bedroom flats within extended roof. Provision of associated refuse and cycle storage for existing and proposed dwellings."/>
    <s v="PF"/>
    <d v="2019-06-17T00:00:00"/>
    <d v="2019-08-30T00:00:00"/>
    <m/>
    <s v="Nil"/>
    <m/>
    <s v="BF"/>
    <s v="EXT"/>
    <x v="2"/>
    <x v="7"/>
    <n v="1.2999999999999999E-2"/>
    <m/>
    <x v="0"/>
    <m/>
    <s v="Open Market"/>
    <s v="M"/>
    <s v=""/>
    <m/>
    <m/>
    <m/>
    <m/>
    <m/>
    <n v="0"/>
    <n v="0"/>
    <n v="2"/>
    <n v="0"/>
    <n v="0"/>
    <n v="0"/>
    <n v="0"/>
    <n v="0"/>
    <n v="0"/>
    <n v="2"/>
    <n v="0"/>
    <n v="0"/>
    <n v="0"/>
    <n v="0"/>
    <n v="0"/>
    <n v="0"/>
    <n v="0"/>
    <n v="0"/>
    <n v="0"/>
    <n v="0"/>
    <n v="0"/>
    <n v="0"/>
    <n v="0"/>
    <n v="0"/>
    <n v="0"/>
    <n v="0"/>
    <n v="0"/>
    <n v="0"/>
    <m/>
    <m/>
    <s v="Rest of Borough"/>
    <n v="15"/>
    <m/>
    <n v="0.5"/>
    <n v="0.5"/>
    <n v="0.5"/>
    <n v="0.5"/>
    <m/>
    <m/>
    <m/>
    <m/>
    <m/>
    <m/>
    <m/>
    <m/>
    <m/>
    <m/>
    <m/>
    <m/>
    <m/>
    <m/>
    <m/>
    <n v="2"/>
    <n v="2"/>
  </r>
  <r>
    <n v="5607"/>
    <x v="2"/>
    <s v="2019/1825"/>
    <s v="Rayne House, Sudbrooke Road"/>
    <s v=""/>
    <n v="528038"/>
    <n v="174028"/>
    <s v="Balham"/>
    <m/>
    <m/>
    <n v="1"/>
    <n v="2"/>
    <n v="1"/>
    <n v="2"/>
    <n v="-1"/>
    <m/>
    <s v="Erection of replacement single storey rear extension to create 7 classrooms and staff room (use Class D1 (school)) in association with Broomwood Hall School. Use of part of basement to enlarge existing flat and roof extension with terrace to create a one-bedroom flat. Alterations and enlargement of rear lightwell and balustrade to roof."/>
    <s v="PF"/>
    <d v="2019-04-25T00:00:00"/>
    <d v="2019-10-29T00:00:00"/>
    <m/>
    <s v="Nil"/>
    <m/>
    <s v="BF"/>
    <s v="MIX"/>
    <x v="2"/>
    <x v="7"/>
    <n v="1.03E-2"/>
    <m/>
    <x v="0"/>
    <m/>
    <s v="Open Market"/>
    <s v="M"/>
    <s v=""/>
    <m/>
    <m/>
    <m/>
    <m/>
    <m/>
    <n v="0"/>
    <n v="0"/>
    <n v="1"/>
    <n v="0"/>
    <n v="0"/>
    <n v="0"/>
    <n v="0"/>
    <n v="0"/>
    <n v="0"/>
    <n v="1"/>
    <n v="0"/>
    <n v="0"/>
    <n v="0"/>
    <n v="0"/>
    <n v="0"/>
    <n v="0"/>
    <n v="0"/>
    <n v="0"/>
    <n v="0"/>
    <n v="0"/>
    <n v="0"/>
    <n v="0"/>
    <n v="0"/>
    <n v="0"/>
    <n v="0"/>
    <n v="0"/>
    <n v="0"/>
    <n v="0"/>
    <m/>
    <m/>
    <s v="Rest of Borough"/>
    <n v="15"/>
    <m/>
    <n v="0.25"/>
    <n v="0.25"/>
    <n v="0.25"/>
    <n v="0.25"/>
    <m/>
    <m/>
    <m/>
    <m/>
    <m/>
    <m/>
    <m/>
    <m/>
    <m/>
    <m/>
    <m/>
    <m/>
    <m/>
    <m/>
    <m/>
    <n v="1"/>
    <n v="1"/>
  </r>
  <r>
    <n v="5607"/>
    <x v="2"/>
    <s v="2019/1825"/>
    <s v="Rayne House, Sudbrooke Road"/>
    <s v=""/>
    <n v="528038"/>
    <n v="174028"/>
    <s v="Balham"/>
    <m/>
    <m/>
    <n v="2"/>
    <n v="0"/>
    <n v="-2"/>
    <n v="2"/>
    <n v="-1"/>
    <m/>
    <s v="Erection of replacement single storey rear extension to create 7 classrooms and staff room (use Class D1 (school)) in association with Broomwood Hall School. Use of part of basement to enlarge existing flat and roof extension with terrace to create a one-bedroom flat. Alterations and enlargement of rear lightwell and balustrade to roof."/>
    <s v="PF"/>
    <d v="2019-04-25T00:00:00"/>
    <d v="2019-10-29T00:00:00"/>
    <m/>
    <s v="Nil"/>
    <m/>
    <s v="BF"/>
    <s v="MIX"/>
    <x v="2"/>
    <x v="9"/>
    <n v="0"/>
    <m/>
    <x v="0"/>
    <m/>
    <s v="Open Market"/>
    <s v="M"/>
    <s v=""/>
    <m/>
    <m/>
    <m/>
    <m/>
    <m/>
    <n v="0"/>
    <n v="-1"/>
    <n v="0"/>
    <n v="-1"/>
    <n v="0"/>
    <n v="0"/>
    <n v="0"/>
    <n v="0"/>
    <n v="-1"/>
    <n v="0"/>
    <n v="-1"/>
    <n v="0"/>
    <n v="0"/>
    <n v="0"/>
    <n v="0"/>
    <n v="0"/>
    <n v="0"/>
    <n v="0"/>
    <n v="0"/>
    <n v="0"/>
    <n v="0"/>
    <n v="0"/>
    <n v="0"/>
    <n v="0"/>
    <n v="0"/>
    <n v="0"/>
    <n v="0"/>
    <n v="0"/>
    <m/>
    <m/>
    <s v="Rest of Borough"/>
    <n v="15"/>
    <m/>
    <n v="-0.5"/>
    <n v="-0.5"/>
    <n v="-0.5"/>
    <n v="-0.5"/>
    <m/>
    <m/>
    <m/>
    <m/>
    <m/>
    <m/>
    <m/>
    <m/>
    <m/>
    <m/>
    <m/>
    <m/>
    <m/>
    <m/>
    <m/>
    <n v="-2"/>
    <n v="-2"/>
  </r>
  <r>
    <n v="7182"/>
    <x v="2"/>
    <s v="2019/1945"/>
    <s v="Burdwood Court, 46 Putney Hill"/>
    <s v=""/>
    <n v="523838"/>
    <n v="174742"/>
    <s v="West Putney"/>
    <m/>
    <m/>
    <n v="0"/>
    <n v="4"/>
    <n v="4"/>
    <n v="4"/>
    <n v="4"/>
    <m/>
    <s v="Erection of additional storey of at fourth floor level to provide 4 x 1-bedroom flats including two roof terraces;  installation of replacement fenestration to all elevations."/>
    <s v="PF"/>
    <d v="2019-05-03T00:00:00"/>
    <d v="2019-11-28T00:00:00"/>
    <m/>
    <s v="Nil"/>
    <m/>
    <s v="BF"/>
    <s v="MIX"/>
    <x v="2"/>
    <x v="8"/>
    <n v="1.7999999999999999E-2"/>
    <m/>
    <x v="0"/>
    <m/>
    <s v="Open Market"/>
    <s v="M"/>
    <s v=""/>
    <m/>
    <m/>
    <m/>
    <m/>
    <m/>
    <n v="0"/>
    <n v="4"/>
    <n v="0"/>
    <n v="0"/>
    <n v="0"/>
    <n v="0"/>
    <n v="0"/>
    <n v="0"/>
    <n v="4"/>
    <n v="0"/>
    <n v="0"/>
    <n v="0"/>
    <n v="0"/>
    <n v="0"/>
    <n v="0"/>
    <n v="0"/>
    <n v="0"/>
    <n v="0"/>
    <n v="0"/>
    <n v="0"/>
    <n v="0"/>
    <n v="0"/>
    <n v="0"/>
    <n v="0"/>
    <n v="0"/>
    <n v="0"/>
    <n v="0"/>
    <n v="0"/>
    <m/>
    <m/>
    <s v="Rest of Borough"/>
    <n v="15"/>
    <m/>
    <n v="1"/>
    <n v="1"/>
    <n v="1"/>
    <n v="1"/>
    <m/>
    <m/>
    <m/>
    <m/>
    <m/>
    <m/>
    <m/>
    <m/>
    <m/>
    <m/>
    <m/>
    <m/>
    <m/>
    <m/>
    <m/>
    <n v="4"/>
    <n v="4"/>
  </r>
  <r>
    <n v="7167"/>
    <x v="2"/>
    <s v="2019/2033"/>
    <s v="11 Barmouth Road"/>
    <s v=""/>
    <n v="526267"/>
    <n v="174208"/>
    <s v="Wandle"/>
    <m/>
    <m/>
    <n v="0"/>
    <n v="1"/>
    <n v="1"/>
    <n v="1"/>
    <n v="1"/>
    <m/>
    <s v="Alterations including changes to front elevation fenestration and erection of single-storey rear/side extension in connection with change of use from office (Class B1) to residential (Class C3) to create 1 x 2-bedroom flat."/>
    <s v="PF"/>
    <d v="2019-05-10T00:00:00"/>
    <d v="2019-10-03T00:00:00"/>
    <m/>
    <s v="Nil"/>
    <m/>
    <s v="BF"/>
    <s v="MIX"/>
    <x v="2"/>
    <x v="6"/>
    <n v="5.0000000000000001E-3"/>
    <m/>
    <x v="0"/>
    <m/>
    <s v="Open Market"/>
    <s v="M"/>
    <s v=""/>
    <m/>
    <m/>
    <m/>
    <m/>
    <m/>
    <n v="0"/>
    <n v="0"/>
    <n v="1"/>
    <n v="0"/>
    <n v="0"/>
    <n v="0"/>
    <n v="0"/>
    <n v="0"/>
    <n v="0"/>
    <n v="1"/>
    <n v="0"/>
    <n v="0"/>
    <n v="0"/>
    <n v="0"/>
    <n v="0"/>
    <n v="0"/>
    <n v="0"/>
    <n v="0"/>
    <n v="0"/>
    <n v="0"/>
    <n v="0"/>
    <n v="0"/>
    <n v="0"/>
    <n v="0"/>
    <n v="0"/>
    <n v="0"/>
    <n v="0"/>
    <n v="0"/>
    <m/>
    <m/>
    <s v="Rest of Borough"/>
    <n v="15"/>
    <m/>
    <n v="0.25"/>
    <n v="0.25"/>
    <n v="0.25"/>
    <n v="0.25"/>
    <m/>
    <m/>
    <m/>
    <m/>
    <m/>
    <m/>
    <m/>
    <m/>
    <m/>
    <m/>
    <m/>
    <m/>
    <m/>
    <m/>
    <m/>
    <n v="1"/>
    <n v="1"/>
  </r>
  <r>
    <n v="6088"/>
    <x v="2"/>
    <s v="2019/2116"/>
    <s v="118 Upper Tooting Road"/>
    <s v=""/>
    <n v="527736"/>
    <n v="172067"/>
    <s v="Tooting Bec"/>
    <m/>
    <m/>
    <n v="0"/>
    <n v="1"/>
    <n v="1"/>
    <n v="1"/>
    <n v="1"/>
    <m/>
    <s v="Alterations in connection with change of use of part of ground floor from retail (Class A1) to residential (Class C3) to provide 1 x studio flat with associated cycle and refuse storage."/>
    <s v="PF"/>
    <d v="2019-05-15T00:00:00"/>
    <d v="2019-11-19T00:00:00"/>
    <m/>
    <s v="Nil"/>
    <m/>
    <s v="BF"/>
    <s v="COU"/>
    <x v="2"/>
    <x v="4"/>
    <n v="3.0000000000000001E-3"/>
    <m/>
    <x v="0"/>
    <m/>
    <s v="Open Market"/>
    <s v="M"/>
    <s v=""/>
    <m/>
    <m/>
    <m/>
    <m/>
    <m/>
    <n v="1"/>
    <n v="0"/>
    <n v="0"/>
    <n v="0"/>
    <n v="0"/>
    <n v="0"/>
    <n v="0"/>
    <n v="1"/>
    <n v="0"/>
    <n v="0"/>
    <n v="0"/>
    <n v="0"/>
    <n v="0"/>
    <n v="0"/>
    <n v="0"/>
    <n v="0"/>
    <n v="0"/>
    <n v="0"/>
    <n v="0"/>
    <n v="0"/>
    <n v="0"/>
    <n v="0"/>
    <n v="0"/>
    <n v="0"/>
    <n v="0"/>
    <n v="0"/>
    <n v="0"/>
    <n v="0"/>
    <m/>
    <m/>
    <s v="Rest of Borough"/>
    <n v="15"/>
    <m/>
    <n v="0.25"/>
    <n v="0.25"/>
    <n v="0.25"/>
    <n v="0.25"/>
    <m/>
    <m/>
    <m/>
    <m/>
    <m/>
    <m/>
    <m/>
    <m/>
    <m/>
    <m/>
    <m/>
    <m/>
    <m/>
    <m/>
    <m/>
    <n v="1"/>
    <n v="1"/>
  </r>
  <r>
    <n v="3518"/>
    <x v="2"/>
    <s v="2012/5286"/>
    <s v="Ram Brewery, Capital Studios &amp; Duvall Works, Ram Street/Armoury Way/Wandsworth High Street (The Ram Quarter)"/>
    <s v="Building 05"/>
    <n v="525666"/>
    <n v="174804"/>
    <s v="Wandsworth Town"/>
    <d v="2015-04-01T00:00:00"/>
    <m/>
    <n v="0"/>
    <n v="166"/>
    <n v="166"/>
    <n v="663"/>
    <n v="662"/>
    <s v="Y"/>
    <s v="A mixed use development comprising alterations and change of use of retained former brewery buildings, demolition of non-Listed Buildings and the construction of new buildings 2-12 storeys in height and a tower of 36 storeys in height. Provision of 10114sqm of retail (Class A1-A4), 661 residential units, continued small scale brewery use (Class B2), museum (Class D1), ancillary gym. The creation of public areas and river walkway; new and repositioned vehicular and pedestrian access points and provision of servicing areas, energy centre and basement car and cycle parking."/>
    <s v="POLA"/>
    <d v="2012-11-21T00:00:00"/>
    <d v="2013-12-06T00:00:00"/>
    <m/>
    <s v="Nil"/>
    <m/>
    <s v="BF"/>
    <s v="NB"/>
    <x v="1"/>
    <x v="0"/>
    <n v="4.4396999999999999E-2"/>
    <m/>
    <x v="0"/>
    <m/>
    <s v="Open Market"/>
    <s v="M"/>
    <s v="3.1.2"/>
    <m/>
    <m/>
    <m/>
    <n v="10"/>
    <m/>
    <n v="23"/>
    <n v="23"/>
    <n v="70"/>
    <n v="44"/>
    <n v="6"/>
    <n v="0"/>
    <n v="0"/>
    <n v="23"/>
    <n v="23"/>
    <n v="70"/>
    <n v="44"/>
    <n v="6"/>
    <n v="0"/>
    <n v="0"/>
    <n v="0"/>
    <n v="0"/>
    <n v="0"/>
    <n v="0"/>
    <n v="0"/>
    <n v="0"/>
    <n v="0"/>
    <n v="0"/>
    <n v="0"/>
    <n v="0"/>
    <n v="0"/>
    <n v="0"/>
    <n v="0"/>
    <n v="0"/>
    <s v="Wandsworth"/>
    <m/>
    <s v="Wandsworth Town, including the Wandle Delta Masterplan Area"/>
    <n v="8"/>
    <m/>
    <m/>
    <m/>
    <m/>
    <n v="166"/>
    <m/>
    <m/>
    <m/>
    <m/>
    <m/>
    <m/>
    <m/>
    <m/>
    <m/>
    <m/>
    <m/>
    <m/>
    <m/>
    <m/>
    <m/>
    <n v="166"/>
    <n v="166"/>
  </r>
  <r>
    <n v="2274"/>
    <x v="2"/>
    <s v="2019/2196"/>
    <s v="Land adj. 206, 206 Franciscan Road (204)"/>
    <s v=""/>
    <n v="527891"/>
    <n v="171427"/>
    <s v="Tooting Bec"/>
    <m/>
    <m/>
    <n v="0"/>
    <n v="1"/>
    <n v="1"/>
    <n v="1"/>
    <n v="1"/>
    <m/>
    <s v="Erection of two-storey dwellinghouse with roof level accommodation."/>
    <s v="PF"/>
    <d v="2019-05-21T00:00:00"/>
    <d v="2019-07-16T00:00:00"/>
    <m/>
    <s v="Nil"/>
    <m/>
    <s v="BF"/>
    <s v="NB"/>
    <x v="2"/>
    <x v="3"/>
    <n v="1.7999999999999999E-2"/>
    <m/>
    <x v="0"/>
    <m/>
    <s v="Open Market"/>
    <s v="M"/>
    <s v=""/>
    <m/>
    <m/>
    <m/>
    <m/>
    <m/>
    <n v="0"/>
    <n v="0"/>
    <n v="0"/>
    <n v="1"/>
    <n v="0"/>
    <n v="0"/>
    <n v="0"/>
    <n v="0"/>
    <n v="0"/>
    <n v="0"/>
    <n v="0"/>
    <n v="0"/>
    <n v="0"/>
    <n v="0"/>
    <n v="0"/>
    <n v="0"/>
    <n v="0"/>
    <n v="1"/>
    <n v="0"/>
    <n v="0"/>
    <n v="0"/>
    <n v="0"/>
    <n v="0"/>
    <n v="0"/>
    <n v="0"/>
    <n v="0"/>
    <n v="0"/>
    <n v="0"/>
    <m/>
    <m/>
    <s v="Rest of Borough"/>
    <n v="7"/>
    <m/>
    <m/>
    <n v="0.25"/>
    <n v="0.25"/>
    <n v="0.25"/>
    <n v="0.25"/>
    <m/>
    <m/>
    <m/>
    <m/>
    <m/>
    <m/>
    <m/>
    <m/>
    <m/>
    <m/>
    <m/>
    <m/>
    <m/>
    <m/>
    <n v="1"/>
    <n v="1"/>
  </r>
  <r>
    <n v="7161"/>
    <x v="2"/>
    <s v="2019/2233"/>
    <s v="43 Sisters Avenue"/>
    <s v=""/>
    <n v="528016"/>
    <n v="175405"/>
    <s v="Lavender"/>
    <m/>
    <m/>
    <n v="1"/>
    <n v="4"/>
    <n v="3"/>
    <n v="4"/>
    <n v="3"/>
    <m/>
    <s v="Creation of a rear courtyard in connection with conversion from a single dwelling to 3 x 3-bed and 1 x 1-bed flats, with associated cycle and refuse storage to front garden"/>
    <s v="PF"/>
    <d v="2019-05-22T00:00:00"/>
    <d v="2019-07-17T00:00:00"/>
    <m/>
    <s v="Nil"/>
    <m/>
    <s v="BF"/>
    <s v="CON"/>
    <x v="2"/>
    <x v="10"/>
    <n v="2.5000000000000001E-2"/>
    <m/>
    <x v="0"/>
    <m/>
    <s v="Open Market"/>
    <s v="M"/>
    <s v=""/>
    <m/>
    <m/>
    <m/>
    <m/>
    <m/>
    <n v="0"/>
    <n v="1"/>
    <n v="0"/>
    <n v="3"/>
    <n v="-1"/>
    <n v="0"/>
    <n v="0"/>
    <n v="0"/>
    <n v="1"/>
    <n v="0"/>
    <n v="3"/>
    <n v="0"/>
    <n v="0"/>
    <n v="0"/>
    <n v="0"/>
    <n v="0"/>
    <n v="0"/>
    <n v="0"/>
    <n v="-1"/>
    <n v="0"/>
    <n v="0"/>
    <n v="0"/>
    <n v="0"/>
    <n v="0"/>
    <n v="0"/>
    <n v="0"/>
    <n v="0"/>
    <n v="0"/>
    <m/>
    <m/>
    <s v="Rest of Borough"/>
    <n v="15"/>
    <m/>
    <n v="0.75"/>
    <n v="0.75"/>
    <n v="0.75"/>
    <n v="0.75"/>
    <m/>
    <m/>
    <m/>
    <m/>
    <m/>
    <m/>
    <m/>
    <m/>
    <m/>
    <m/>
    <m/>
    <m/>
    <m/>
    <m/>
    <m/>
    <n v="3"/>
    <n v="3"/>
  </r>
  <r>
    <n v="7213"/>
    <x v="2"/>
    <s v="2019/2315"/>
    <s v="94 Balham High Road"/>
    <s v=""/>
    <n v="528646"/>
    <n v="173527"/>
    <s v="Balham"/>
    <m/>
    <m/>
    <n v="0"/>
    <n v="1"/>
    <n v="1"/>
    <n v="2"/>
    <n v="2"/>
    <m/>
    <s v="Alterations including erection of mansard roof extension to main rear roof; excavation works to enlarge lower ground floor and part single, part two, part three storey rear and side extensions; formation of rear roof terrace at second floor level with 1.7m high obscured glazed screening in connection with reconfiguration and enlargement of social club (Class D1) and change of use of second floor from D1 to C3 in connection with creation of 2 x 1-bedroom and 1 x studio flats."/>
    <s v="PF"/>
    <d v="2019-08-02T00:00:00"/>
    <d v="2019-10-18T00:00:00"/>
    <m/>
    <s v="Nil"/>
    <m/>
    <s v="BF"/>
    <s v="MIX"/>
    <x v="2"/>
    <x v="8"/>
    <n v="2E-3"/>
    <m/>
    <x v="0"/>
    <m/>
    <s v="Open Market"/>
    <s v="M"/>
    <s v=""/>
    <m/>
    <m/>
    <m/>
    <m/>
    <m/>
    <n v="0"/>
    <n v="1"/>
    <n v="0"/>
    <n v="0"/>
    <n v="0"/>
    <n v="0"/>
    <n v="0"/>
    <n v="0"/>
    <n v="1"/>
    <n v="0"/>
    <n v="0"/>
    <n v="0"/>
    <n v="0"/>
    <n v="0"/>
    <n v="0"/>
    <n v="0"/>
    <n v="0"/>
    <n v="0"/>
    <n v="0"/>
    <n v="0"/>
    <n v="0"/>
    <n v="0"/>
    <n v="0"/>
    <n v="0"/>
    <n v="0"/>
    <n v="0"/>
    <n v="0"/>
    <n v="0"/>
    <s v="Balham"/>
    <m/>
    <s v="Balham"/>
    <n v="15"/>
    <m/>
    <n v="0.25"/>
    <n v="0.25"/>
    <n v="0.25"/>
    <n v="0.25"/>
    <m/>
    <m/>
    <m/>
    <m/>
    <m/>
    <m/>
    <m/>
    <m/>
    <m/>
    <m/>
    <m/>
    <m/>
    <m/>
    <m/>
    <m/>
    <n v="1"/>
    <n v="1"/>
  </r>
  <r>
    <n v="7213"/>
    <x v="2"/>
    <s v="2019/2315"/>
    <s v="94 Balham High Road"/>
    <s v=""/>
    <n v="528646"/>
    <n v="173527"/>
    <s v="Balham"/>
    <m/>
    <m/>
    <n v="0"/>
    <n v="1"/>
    <n v="1"/>
    <n v="2"/>
    <n v="2"/>
    <m/>
    <s v="Alterations including erection of mansard roof extension to main rear roof; excavation works to enlarge lower ground floor and part single, part two, part three storey rear and side extensions; formation of rear roof terrace at second floor level with 1.7m high obscured glazed screening in connection with reconfiguration and enlargement of social club (Class D1) and change of use of second floor from D1 to C3 in connection with creation of 2 x 1-bedroom and 1 x studio flats."/>
    <s v="PF"/>
    <d v="2019-08-02T00:00:00"/>
    <d v="2019-10-18T00:00:00"/>
    <m/>
    <s v="Nil"/>
    <m/>
    <s v="BF"/>
    <s v="MIX"/>
    <x v="2"/>
    <x v="7"/>
    <n v="1E-3"/>
    <m/>
    <x v="0"/>
    <m/>
    <s v="Open Market"/>
    <s v="M"/>
    <s v=""/>
    <m/>
    <m/>
    <m/>
    <m/>
    <m/>
    <n v="1"/>
    <n v="0"/>
    <n v="0"/>
    <n v="0"/>
    <n v="0"/>
    <n v="0"/>
    <n v="0"/>
    <n v="1"/>
    <n v="0"/>
    <n v="0"/>
    <n v="0"/>
    <n v="0"/>
    <n v="0"/>
    <n v="0"/>
    <n v="0"/>
    <n v="0"/>
    <n v="0"/>
    <n v="0"/>
    <n v="0"/>
    <n v="0"/>
    <n v="0"/>
    <n v="0"/>
    <n v="0"/>
    <n v="0"/>
    <n v="0"/>
    <n v="0"/>
    <n v="0"/>
    <n v="0"/>
    <s v="Balham"/>
    <m/>
    <s v="Balham"/>
    <n v="15"/>
    <m/>
    <n v="0.25"/>
    <n v="0.25"/>
    <n v="0.25"/>
    <n v="0.25"/>
    <m/>
    <m/>
    <m/>
    <m/>
    <m/>
    <m/>
    <m/>
    <m/>
    <m/>
    <m/>
    <m/>
    <m/>
    <m/>
    <m/>
    <m/>
    <n v="1"/>
    <n v="1"/>
  </r>
  <r>
    <n v="3518"/>
    <x v="2"/>
    <s v="2016/6029"/>
    <s v="Ram Brewery, Capital Studios &amp; Duvall Works, Ram Street/Armoury Way/Wandsworth High Street (The Ram Quarter)"/>
    <s v="Building 09"/>
    <n v="525666"/>
    <n v="174804"/>
    <s v="Wandsworth Town"/>
    <d v="2015-04-01T00:00:00"/>
    <m/>
    <n v="0"/>
    <n v="66"/>
    <n v="66"/>
    <n v="66"/>
    <n v="66"/>
    <s v="Y"/>
    <s v="Non-material amendment to planning permission dated 06/12/82013 ref 2012/5286 [A mixed use development comprising alterations and change of use of retained former brewery buildings, demolition of non-Listed Buildings and the construction of new buildings 2-12 storeys in height and a tower of 36 storeys in height. Provision of 10114sqm of retail (Class A1-A4), 661 residential units, continued small scale brewery use (Class B2), museum (Class D1), ancillary gym. The creation of public areas and river walkway; new and repositioned vehicular and pedestrian access points and provision of servicing areas, energy centre and basement car and cycle parking.] to allow addition of substation with louvred façade access to ground floor, second residential entrance under residential balcony facing Armoury Way removed, plantroom introduced to façade facing ramp, waste store moved to external façade adjacent to residential entrance, apartment layouts revised and mix changed from:_x000a_36 x 1bed, 12 x 2bed and 18 x 3bed to 36 x 1bed, 24 x 2bed and 6 x 3bed, Unit sizes have been reduced to better relate to London Plan guidelines, Private amenity: Recessed balconies &amp; winter gardens added, minor adjustment of window positions to allow removal of transfer structure by introducing continuous facade columns, plant room added to west side of level 01,  roof plant incorporated to one half of level and screening added and consented balconies changed to metal railings on levels 1-4."/>
    <s v="S73"/>
    <d v="2016-10-28T00:00:00"/>
    <d v="2016-12-02T00:00:00"/>
    <m/>
    <s v="Nil"/>
    <m/>
    <s v="BF"/>
    <s v="NB"/>
    <x v="1"/>
    <x v="0"/>
    <n v="4.5183300000000003E-2"/>
    <m/>
    <x v="0"/>
    <m/>
    <s v="Intermediate"/>
    <s v="ISO"/>
    <s v="3.1.2"/>
    <m/>
    <n v="10"/>
    <m/>
    <n v="10"/>
    <m/>
    <n v="0"/>
    <n v="36"/>
    <n v="24"/>
    <n v="6"/>
    <n v="0"/>
    <n v="0"/>
    <n v="0"/>
    <n v="0"/>
    <n v="36"/>
    <n v="24"/>
    <n v="6"/>
    <n v="0"/>
    <n v="0"/>
    <n v="0"/>
    <n v="0"/>
    <n v="0"/>
    <n v="0"/>
    <n v="0"/>
    <n v="0"/>
    <n v="0"/>
    <n v="0"/>
    <n v="0"/>
    <n v="0"/>
    <n v="0"/>
    <n v="0"/>
    <n v="0"/>
    <n v="0"/>
    <n v="0"/>
    <s v="Wandsworth"/>
    <m/>
    <s v="Wandsworth Town, including the Wandle Delta Masterplan Area"/>
    <n v="8"/>
    <m/>
    <m/>
    <m/>
    <m/>
    <n v="66"/>
    <m/>
    <m/>
    <m/>
    <m/>
    <m/>
    <m/>
    <m/>
    <m/>
    <m/>
    <m/>
    <m/>
    <m/>
    <m/>
    <m/>
    <m/>
    <n v="66"/>
    <n v="66"/>
  </r>
  <r>
    <n v="4775"/>
    <x v="2"/>
    <s v="2019/2498"/>
    <s v="Templeton, 118 Priory Lane"/>
    <s v=""/>
    <n v="521333"/>
    <n v="174425"/>
    <s v="Roehampton"/>
    <m/>
    <m/>
    <n v="0"/>
    <n v="3"/>
    <n v="3"/>
    <n v="3"/>
    <n v="3"/>
    <m/>
    <s v="Alterations in connection with conversion of part ground and first floor of garage building to 3 x 1 bedroom  flats ancilliary to the main house."/>
    <s v="PF"/>
    <d v="2019-06-27T00:00:00"/>
    <d v="2019-07-31T00:00:00"/>
    <m/>
    <s v="Nil"/>
    <m/>
    <s v="BF"/>
    <s v="COU"/>
    <x v="2"/>
    <x v="8"/>
    <n v="1.4999999999999999E-2"/>
    <m/>
    <x v="0"/>
    <m/>
    <s v="Open Market"/>
    <s v="M"/>
    <s v=""/>
    <m/>
    <m/>
    <m/>
    <m/>
    <m/>
    <n v="0"/>
    <n v="3"/>
    <n v="0"/>
    <n v="0"/>
    <n v="0"/>
    <n v="0"/>
    <n v="0"/>
    <n v="0"/>
    <n v="3"/>
    <n v="0"/>
    <n v="0"/>
    <n v="0"/>
    <n v="0"/>
    <n v="0"/>
    <n v="0"/>
    <n v="0"/>
    <n v="0"/>
    <n v="0"/>
    <n v="0"/>
    <n v="0"/>
    <n v="0"/>
    <n v="0"/>
    <n v="0"/>
    <n v="0"/>
    <n v="0"/>
    <n v="0"/>
    <n v="0"/>
    <n v="0"/>
    <m/>
    <m/>
    <s v="Rest of Borough"/>
    <n v="15"/>
    <m/>
    <n v="0.75"/>
    <n v="0.75"/>
    <n v="0.75"/>
    <n v="0.75"/>
    <m/>
    <m/>
    <m/>
    <m/>
    <m/>
    <m/>
    <m/>
    <m/>
    <m/>
    <m/>
    <m/>
    <m/>
    <m/>
    <m/>
    <m/>
    <n v="3"/>
    <n v="3"/>
  </r>
  <r>
    <n v="7148"/>
    <x v="2"/>
    <s v="2019/2504"/>
    <s v="91 St Johns Road"/>
    <s v=""/>
    <n v="527437"/>
    <n v="175150"/>
    <s v="Lavender"/>
    <m/>
    <m/>
    <n v="0"/>
    <n v="1"/>
    <n v="1"/>
    <n v="1"/>
    <n v="1"/>
    <m/>
    <s v="Alterations including erection of a two storey extension (top floor mansard roof); new shopfront; in connection with the change of use of part of the ground floor and the whole of the first floor from retail (Class A1) to create a 1 x 1-bedroom flat (Class C3)."/>
    <s v="PF"/>
    <d v="2019-07-02T00:00:00"/>
    <d v="2019-08-02T00:00:00"/>
    <m/>
    <s v="Nil"/>
    <m/>
    <s v="BF"/>
    <s v="MIX"/>
    <x v="2"/>
    <x v="7"/>
    <n v="1E-3"/>
    <m/>
    <x v="0"/>
    <m/>
    <s v="Open Market"/>
    <s v="M"/>
    <s v=""/>
    <m/>
    <m/>
    <m/>
    <m/>
    <m/>
    <n v="0"/>
    <n v="1"/>
    <n v="0"/>
    <n v="0"/>
    <n v="0"/>
    <n v="0"/>
    <n v="0"/>
    <n v="0"/>
    <n v="1"/>
    <n v="0"/>
    <n v="0"/>
    <n v="0"/>
    <n v="0"/>
    <n v="0"/>
    <n v="0"/>
    <n v="0"/>
    <n v="0"/>
    <n v="0"/>
    <n v="0"/>
    <n v="0"/>
    <n v="0"/>
    <n v="0"/>
    <n v="0"/>
    <n v="0"/>
    <n v="0"/>
    <n v="0"/>
    <n v="0"/>
    <n v="0"/>
    <s v="Clapham Junction"/>
    <m/>
    <s v="Clapham Junction and York Road / Winstanley Regeneration Area"/>
    <n v="15"/>
    <m/>
    <n v="0.25"/>
    <n v="0.25"/>
    <n v="0.25"/>
    <n v="0.25"/>
    <m/>
    <m/>
    <m/>
    <m/>
    <m/>
    <m/>
    <m/>
    <m/>
    <m/>
    <m/>
    <m/>
    <m/>
    <m/>
    <m/>
    <m/>
    <n v="1"/>
    <n v="1"/>
  </r>
  <r>
    <n v="7304"/>
    <x v="2"/>
    <s v="2019/2516"/>
    <s v="Development Site of Alton Estate, Danebury Avenue (Alton Estate)"/>
    <s v="Block K"/>
    <n v="522152"/>
    <n v="173834"/>
    <s v="Roehampton"/>
    <m/>
    <m/>
    <n v="0"/>
    <n v="230"/>
    <n v="230"/>
    <n v="1068"/>
    <n v="780"/>
    <s v="Y"/>
    <s v="The application is for a part outline and a part detailed planning permission for the following proposed development._x000a__x000a_(a) Phased demolition of existing buildings and structures (except Alton Activity Centre community building);_x000a_(b) Mixed-use phased development ranging from 1-9 storeys above ground level comprising 1,103 residential units and up to 9,572 sqm (GIA) of non-residential uses comprising new and replacement community facilities (including library and healthcare facilities, youth facilities, community hall, children's nursery &amp; children's centre) (Class D1); flexible commercial floorspace (comprising retail (Class A1), financial and professional services (Class A2), café/restaurants (Class A3), hot-food takeaways (Class A5), business (Class B1), and community uses (Class D1); landscaping; removal and replacement of trees; public realm improvements; access improvements; relocation of bus turnaround area; improvements to children's play facilities; provision of energy centre; car &amp; cycle parking; and other highway works incidental to the development. All matters reserved except for Blocks A, K, M, N, O, Q, Portswood Place Nursery and Community Centre and highway/landscape/public realm improvements_x000a__x000a_An Environmental Statement has been submitted with the application under the Town and Country Planning (Environmental Impact Assessment) Regulations 2017."/>
    <s v="PFLA"/>
    <d v="2019-06-07T00:00:00"/>
    <d v="2022-03-23T00:00:00"/>
    <m/>
    <s v="Nil"/>
    <m/>
    <s v="BF"/>
    <s v="NB"/>
    <x v="1"/>
    <x v="0"/>
    <n v="0.83599999999999997"/>
    <m/>
    <x v="0"/>
    <m/>
    <s v="Open Market"/>
    <s v="M"/>
    <s v="8.1.1"/>
    <m/>
    <m/>
    <n v="207"/>
    <m/>
    <n v="23"/>
    <n v="0"/>
    <n v="57"/>
    <n v="159"/>
    <n v="14"/>
    <n v="0"/>
    <n v="0"/>
    <n v="0"/>
    <n v="0"/>
    <n v="57"/>
    <n v="159"/>
    <n v="14"/>
    <n v="0"/>
    <n v="0"/>
    <n v="0"/>
    <n v="0"/>
    <n v="0"/>
    <n v="0"/>
    <n v="0"/>
    <n v="0"/>
    <n v="0"/>
    <n v="0"/>
    <n v="0"/>
    <n v="0"/>
    <n v="0"/>
    <n v="0"/>
    <n v="0"/>
    <n v="0"/>
    <n v="0"/>
    <m/>
    <m/>
    <s v="Roehampton and Alton Estate Regeneration Areea"/>
    <n v="10"/>
    <m/>
    <m/>
    <m/>
    <m/>
    <n v="76.666666666666671"/>
    <n v="76.666666666666671"/>
    <n v="76.666666666666671"/>
    <m/>
    <m/>
    <m/>
    <m/>
    <m/>
    <m/>
    <m/>
    <m/>
    <m/>
    <m/>
    <m/>
    <m/>
    <m/>
    <n v="153.33333333333334"/>
    <n v="230"/>
  </r>
  <r>
    <n v="7304"/>
    <x v="2"/>
    <s v="2019/2516"/>
    <s v="Development Site of Alton Estate, Danebury Avenue (Alton Estate)"/>
    <s v="Block M"/>
    <n v="522152"/>
    <n v="173834"/>
    <s v="Roehampton"/>
    <m/>
    <m/>
    <n v="0"/>
    <n v="107"/>
    <n v="107"/>
    <n v="1068"/>
    <n v="780"/>
    <s v="Y"/>
    <s v="The application is for a part outline and a part detailed planning permission for the following proposed development._x000a__x000a_(a) Phased demolition of existing buildings and structures (except Alton Activity Centre community building);_x000a_(b) Mixed-use phased development ranging from 1-9 storeys above ground level comprising 1,103 residential units and up to 9,572 sqm (GIA) of non-residential uses comprising new and replacement community facilities (including library and healthcare facilities, youth facilities, community hall, children's nursery &amp; children's centre) (Class D1); flexible commercial floorspace (comprising retail (Class A1), financial and professional services (Class A2), café/restaurants (Class A3), hot-food takeaways (Class A5), business (Class B1), and community uses (Class D1); landscaping; removal and replacement of trees; public realm improvements; access improvements; relocation of bus turnaround area; improvements to children's play facilities; provision of energy centre; car &amp; cycle parking; and other highway works incidental to the development. All matters reserved except for Blocks A, K, M, N, O, Q, Portswood Place Nursery and Community Centre and highway/landscape/public realm improvements_x000a__x000a_An Environmental Statement has been submitted with the application under the Town and Country Planning (Environmental Impact Assessment) Regulations 2017."/>
    <s v="PFLA"/>
    <d v="2019-06-07T00:00:00"/>
    <d v="2022-03-23T00:00:00"/>
    <m/>
    <s v="Nil"/>
    <m/>
    <s v="BF"/>
    <s v="NB"/>
    <x v="1"/>
    <x v="0"/>
    <n v="0.38900000000000001"/>
    <m/>
    <x v="0"/>
    <m/>
    <s v="Open Market"/>
    <s v="M"/>
    <s v="8.1.1"/>
    <m/>
    <m/>
    <n v="96"/>
    <m/>
    <n v="11"/>
    <n v="0"/>
    <n v="33"/>
    <n v="74"/>
    <n v="0"/>
    <n v="0"/>
    <n v="0"/>
    <n v="0"/>
    <n v="0"/>
    <n v="33"/>
    <n v="74"/>
    <n v="0"/>
    <n v="0"/>
    <n v="0"/>
    <n v="0"/>
    <n v="0"/>
    <n v="0"/>
    <n v="0"/>
    <n v="0"/>
    <n v="0"/>
    <n v="0"/>
    <n v="0"/>
    <n v="0"/>
    <n v="0"/>
    <n v="0"/>
    <n v="0"/>
    <n v="0"/>
    <n v="0"/>
    <n v="0"/>
    <m/>
    <m/>
    <s v="Roehampton and Alton Estate Regeneration Areea"/>
    <n v="10"/>
    <m/>
    <m/>
    <m/>
    <m/>
    <n v="35.666666666666664"/>
    <n v="35.666666666666664"/>
    <n v="35.666666666666664"/>
    <m/>
    <m/>
    <m/>
    <m/>
    <m/>
    <m/>
    <m/>
    <m/>
    <m/>
    <m/>
    <m/>
    <m/>
    <m/>
    <n v="71.333333333333329"/>
    <n v="107"/>
  </r>
  <r>
    <n v="7304"/>
    <x v="2"/>
    <s v="2019/2516"/>
    <s v="Development Site of Alton Estate, Danebury Avenue (Alton Estate)"/>
    <s v="Block N"/>
    <n v="522152"/>
    <n v="173834"/>
    <s v="Roehampton"/>
    <m/>
    <m/>
    <n v="0"/>
    <n v="121"/>
    <n v="121"/>
    <n v="1068"/>
    <n v="780"/>
    <s v="Y"/>
    <s v="The application is for a part outline and a part detailed planning permission for the following proposed development._x000a__x000a_(a) Phased demolition of existing buildings and structures (except Alton Activity Centre community building);_x000a_(b) Mixed-use phased development ranging from 1-9 storeys above ground level comprising 1,103 residential units and up to 9,572 sqm (GIA) of non-residential uses comprising new and replacement community facilities (including library and healthcare facilities, youth facilities, community hall, children's nursery &amp; children's centre) (Class D1); flexible commercial floorspace (comprising retail (Class A1), financial and professional services (Class A2), café/restaurants (Class A3), hot-food takeaways (Class A5), business (Class B1), and community uses (Class D1); landscaping; removal and replacement of trees; public realm improvements; access improvements; relocation of bus turnaround area; improvements to children's play facilities; provision of energy centre; car &amp; cycle parking; and other highway works incidental to the development. All matters reserved except for Blocks A, K, M, N, O, Q, Portswood Place Nursery and Community Centre and highway/landscape/public realm improvements_x000a__x000a_An Environmental Statement has been submitted with the application under the Town and Country Planning (Environmental Impact Assessment) Regulations 2017."/>
    <s v="PFLA"/>
    <d v="2019-06-07T00:00:00"/>
    <d v="2022-03-23T00:00:00"/>
    <m/>
    <s v="Nil"/>
    <m/>
    <s v="BF"/>
    <s v="NB"/>
    <x v="1"/>
    <x v="0"/>
    <n v="0.44"/>
    <m/>
    <x v="0"/>
    <m/>
    <s v="Open Market"/>
    <s v="M"/>
    <s v="8.1.1"/>
    <m/>
    <m/>
    <n v="110"/>
    <m/>
    <n v="11"/>
    <n v="0"/>
    <n v="38"/>
    <n v="83"/>
    <n v="0"/>
    <n v="0"/>
    <n v="0"/>
    <n v="0"/>
    <n v="0"/>
    <n v="38"/>
    <n v="83"/>
    <n v="0"/>
    <n v="0"/>
    <n v="0"/>
    <n v="0"/>
    <n v="0"/>
    <n v="0"/>
    <n v="0"/>
    <n v="0"/>
    <n v="0"/>
    <n v="0"/>
    <n v="0"/>
    <n v="0"/>
    <n v="0"/>
    <n v="0"/>
    <n v="0"/>
    <n v="0"/>
    <n v="0"/>
    <n v="0"/>
    <m/>
    <m/>
    <s v="Roehampton and Alton Estate Regeneration Areea"/>
    <n v="10"/>
    <m/>
    <m/>
    <m/>
    <m/>
    <n v="40.333333333333336"/>
    <n v="40.333333333333336"/>
    <n v="40.333333333333336"/>
    <m/>
    <m/>
    <m/>
    <m/>
    <m/>
    <m/>
    <m/>
    <m/>
    <m/>
    <m/>
    <m/>
    <m/>
    <m/>
    <n v="80.666666666666671"/>
    <n v="121"/>
  </r>
  <r>
    <n v="7304"/>
    <x v="2"/>
    <s v="2019/2516"/>
    <s v="Development Site of Alton Estate, Danebury Avenue (Alton Estate)"/>
    <s v="Block O"/>
    <n v="522152"/>
    <n v="173834"/>
    <s v="Roehampton"/>
    <m/>
    <m/>
    <n v="0"/>
    <n v="6"/>
    <n v="6"/>
    <n v="1068"/>
    <n v="780"/>
    <s v="Y"/>
    <s v="The application is for a part outline and a part detailed planning permission for the following proposed development._x000a__x000a_(a) Phased demolition of existing buildings and structures (except Alton Activity Centre community building);_x000a_(b) Mixed-use phased development ranging from 1-9 storeys above ground level comprising 1,103 residential units and up to 9,572 sqm (GIA) of non-residential uses comprising new and replacement community facilities (including library and healthcare facilities, youth facilities, community hall, children's nursery &amp; children's centre) (Class D1); flexible commercial floorspace (comprising retail (Class A1), financial and professional services (Class A2), café/restaurants (Class A3), hot-food takeaways (Class A5), business (Class B1), and community uses (Class D1); landscaping; removal and replacement of trees; public realm improvements; access improvements; relocation of bus turnaround area; improvements to children's play facilities; provision of energy centre; car &amp; cycle parking; and other highway works incidental to the development. All matters reserved except for Blocks A, K, M, N, O, Q, Portswood Place Nursery and Community Centre and highway/landscape/public realm improvements_x000a__x000a_An Environmental Statement has been submitted with the application under the Town and Country Planning (Environmental Impact Assessment) Regulations 2017."/>
    <s v="PFLA"/>
    <d v="2019-06-07T00:00:00"/>
    <d v="2022-03-23T00:00:00"/>
    <m/>
    <s v="Nil"/>
    <m/>
    <s v="BF"/>
    <s v="NB"/>
    <x v="1"/>
    <x v="0"/>
    <n v="2.1780000000000001E-2"/>
    <m/>
    <x v="0"/>
    <m/>
    <s v="Intermediate"/>
    <s v="ISE"/>
    <s v="8.1.1"/>
    <m/>
    <m/>
    <n v="5"/>
    <m/>
    <n v="1"/>
    <n v="0"/>
    <n v="0"/>
    <n v="2"/>
    <n v="2"/>
    <n v="2"/>
    <n v="0"/>
    <n v="0"/>
    <n v="0"/>
    <n v="0"/>
    <n v="2"/>
    <n v="2"/>
    <n v="2"/>
    <n v="0"/>
    <n v="0"/>
    <n v="0"/>
    <n v="0"/>
    <n v="0"/>
    <n v="0"/>
    <n v="0"/>
    <n v="0"/>
    <n v="0"/>
    <n v="0"/>
    <n v="0"/>
    <n v="0"/>
    <n v="0"/>
    <n v="0"/>
    <n v="0"/>
    <n v="0"/>
    <m/>
    <m/>
    <s v="Roehampton and Alton Estate Regeneration Areea"/>
    <n v="10"/>
    <m/>
    <m/>
    <m/>
    <m/>
    <n v="2"/>
    <n v="2"/>
    <n v="2"/>
    <m/>
    <m/>
    <m/>
    <m/>
    <m/>
    <m/>
    <m/>
    <m/>
    <m/>
    <m/>
    <m/>
    <m/>
    <m/>
    <n v="4"/>
    <n v="6"/>
  </r>
  <r>
    <n v="7304"/>
    <x v="2"/>
    <s v="2019/2516"/>
    <s v="Development Site of Alton Estate, Danebury Avenue (Alton Estate)"/>
    <s v="Block O"/>
    <n v="522152"/>
    <n v="173834"/>
    <s v="Roehampton"/>
    <m/>
    <m/>
    <n v="0"/>
    <n v="29"/>
    <n v="29"/>
    <n v="1068"/>
    <n v="780"/>
    <s v="Y"/>
    <s v="The application is for a part outline and a part detailed planning permission for the following proposed development._x000a__x000a_(a) Phased demolition of existing buildings and structures (except Alton Activity Centre community building);_x000a_(b) Mixed-use phased development ranging from 1-9 storeys above ground level comprising 1,103 residential units and up to 9,572 sqm (GIA) of non-residential uses comprising new and replacement community facilities (including library and healthcare facilities, youth facilities, community hall, children's nursery &amp; children's centre) (Class D1); flexible commercial floorspace (comprising retail (Class A1), financial and professional services (Class A2), café/restaurants (Class A3), hot-food takeaways (Class A5), business (Class B1), and community uses (Class D1); landscaping; removal and replacement of trees; public realm improvements; access improvements; relocation of bus turnaround area; improvements to children's play facilities; provision of energy centre; car &amp; cycle parking; and other highway works incidental to the development. All matters reserved except for Blocks A, K, M, N, O, Q, Portswood Place Nursery and Community Centre and highway/landscape/public realm improvements_x000a__x000a_An Environmental Statement has been submitted with the application under the Town and Country Planning (Environmental Impact Assessment) Regulations 2017."/>
    <s v="PFLA"/>
    <d v="2019-06-07T00:00:00"/>
    <d v="2022-03-23T00:00:00"/>
    <m/>
    <s v="Nil"/>
    <m/>
    <s v="BF"/>
    <s v="NB"/>
    <x v="1"/>
    <x v="0"/>
    <n v="0.14499999999999999"/>
    <m/>
    <x v="0"/>
    <m/>
    <s v="Social/Affordable Rent"/>
    <s v="AS"/>
    <s v="8.1.1"/>
    <m/>
    <m/>
    <n v="26"/>
    <m/>
    <n v="3"/>
    <n v="0"/>
    <n v="12"/>
    <n v="14"/>
    <n v="3"/>
    <n v="0"/>
    <n v="0"/>
    <n v="0"/>
    <n v="0"/>
    <n v="12"/>
    <n v="14"/>
    <n v="3"/>
    <n v="0"/>
    <n v="0"/>
    <n v="0"/>
    <n v="0"/>
    <n v="0"/>
    <n v="0"/>
    <n v="0"/>
    <n v="0"/>
    <n v="0"/>
    <n v="0"/>
    <n v="0"/>
    <n v="0"/>
    <n v="0"/>
    <n v="0"/>
    <n v="0"/>
    <n v="0"/>
    <n v="0"/>
    <m/>
    <m/>
    <s v="Roehampton and Alton Estate Regeneration Areea"/>
    <n v="10"/>
    <m/>
    <m/>
    <m/>
    <m/>
    <n v="9.6666666666666661"/>
    <n v="9.6666666666666661"/>
    <n v="9.6666666666666661"/>
    <m/>
    <m/>
    <m/>
    <m/>
    <m/>
    <m/>
    <m/>
    <m/>
    <m/>
    <m/>
    <m/>
    <m/>
    <m/>
    <n v="19.333333333333332"/>
    <n v="29"/>
  </r>
  <r>
    <n v="7304"/>
    <x v="2"/>
    <s v="2019/2516"/>
    <s v="Development Site of Alton Estate, Danebury Avenue (Alton Estate)"/>
    <s v="Block Q"/>
    <n v="522152"/>
    <n v="173834"/>
    <s v="Roehampton"/>
    <m/>
    <m/>
    <n v="0"/>
    <n v="31"/>
    <n v="31"/>
    <n v="1068"/>
    <n v="780"/>
    <s v="Y"/>
    <s v="The application is for a part outline and a part detailed planning permission for the following proposed development._x000a__x000a_(a) Phased demolition of existing buildings and structures (except Alton Activity Centre community building);_x000a_(b) Mixed-use phased development ranging from 1-9 storeys above ground level comprising 1,103 residential units and up to 9,572 sqm (GIA) of non-residential uses comprising new and replacement community facilities (including library and healthcare facilities, youth facilities, community hall, children's nursery &amp; children's centre) (Class D1); flexible commercial floorspace (comprising retail (Class A1), financial and professional services (Class A2), café/restaurants (Class A3), hot-food takeaways (Class A5), business (Class B1), and community uses (Class D1); landscaping; removal and replacement of trees; public realm improvements; access improvements; relocation of bus turnaround area; improvements to children's play facilities; provision of energy centre; car &amp; cycle parking; and other highway works incidental to the development. All matters reserved except for Blocks A, K, M, N, O, Q, Portswood Place Nursery and Community Centre and highway/landscape/public realm improvements_x000a__x000a_An Environmental Statement has been submitted with the application under the Town and Country Planning (Environmental Impact Assessment) Regulations 2017."/>
    <s v="PFLA"/>
    <d v="2019-06-07T00:00:00"/>
    <d v="2022-03-23T00:00:00"/>
    <m/>
    <s v="Nil"/>
    <m/>
    <s v="BF"/>
    <s v="NB"/>
    <x v="1"/>
    <x v="0"/>
    <n v="0.11253000000000001"/>
    <m/>
    <x v="0"/>
    <m/>
    <s v="Intermediate"/>
    <s v="ISL"/>
    <s v="8.1.1"/>
    <m/>
    <m/>
    <n v="28"/>
    <m/>
    <n v="3"/>
    <n v="0"/>
    <n v="12"/>
    <n v="14"/>
    <n v="5"/>
    <n v="0"/>
    <n v="0"/>
    <n v="0"/>
    <n v="0"/>
    <n v="12"/>
    <n v="14"/>
    <n v="5"/>
    <n v="0"/>
    <n v="0"/>
    <n v="0"/>
    <n v="0"/>
    <n v="0"/>
    <n v="0"/>
    <n v="0"/>
    <n v="0"/>
    <n v="0"/>
    <n v="0"/>
    <n v="0"/>
    <n v="0"/>
    <n v="0"/>
    <n v="0"/>
    <n v="0"/>
    <n v="0"/>
    <n v="0"/>
    <m/>
    <m/>
    <s v="Roehampton and Alton Estate Regeneration Areea"/>
    <n v="10"/>
    <m/>
    <m/>
    <m/>
    <m/>
    <n v="10.333333333333334"/>
    <n v="10.333333333333334"/>
    <n v="10.333333333333334"/>
    <m/>
    <m/>
    <m/>
    <m/>
    <m/>
    <m/>
    <m/>
    <m/>
    <m/>
    <m/>
    <m/>
    <m/>
    <m/>
    <n v="20.666666666666668"/>
    <n v="31"/>
  </r>
  <r>
    <n v="7304"/>
    <x v="2"/>
    <s v="2019/2516"/>
    <s v="Development Site of Alton Estate, Danebury Avenue (Alton Estate)"/>
    <s v="Blocks A and Q"/>
    <n v="522152"/>
    <n v="173834"/>
    <s v="Roehampton"/>
    <m/>
    <m/>
    <n v="0"/>
    <n v="107"/>
    <n v="107"/>
    <n v="1068"/>
    <n v="780"/>
    <s v="Y"/>
    <s v="The application is for a part outline and a part detailed planning permission for the following proposed development._x000a__x000a_(a) Phased demolition of existing buildings and structures (except Alton Activity Centre community building);_x000a_(b) Mixed-use phased development ranging from 1-9 storeys above ground level comprising 1,103 residential units and up to 9,572 sqm (GIA) of non-residential uses comprising new and replacement community facilities (including library and healthcare facilities, youth facilities, community hall, children's nursery &amp; children's centre) (Class D1); flexible commercial floorspace (comprising retail (Class A1), financial and professional services (Class A2), café/restaurants (Class A3), hot-food takeaways (Class A5), business (Class B1), and community uses (Class D1); landscaping; removal and replacement of trees; public realm improvements; access improvements; relocation of bus turnaround area; improvements to children's play facilities; provision of energy centre; car &amp; cycle parking; and other highway works incidental to the development. All matters reserved except for Blocks A, K, M, N, O, Q, Portswood Place Nursery and Community Centre and highway/landscape/public realm improvements_x000a__x000a_An Environmental Statement has been submitted with the application under the Town and Country Planning (Environmental Impact Assessment) Regulations 2017."/>
    <s v="PFLA"/>
    <d v="2019-06-07T00:00:00"/>
    <d v="2022-03-23T00:00:00"/>
    <m/>
    <s v="Nil"/>
    <m/>
    <s v="BF"/>
    <s v="NB"/>
    <x v="1"/>
    <x v="0"/>
    <n v="0.40300000000000002"/>
    <m/>
    <x v="0"/>
    <m/>
    <s v="Social/Affordable Rent"/>
    <s v="AS"/>
    <s v="8.1.1"/>
    <m/>
    <m/>
    <n v="96"/>
    <m/>
    <n v="11"/>
    <n v="0"/>
    <n v="21"/>
    <n v="27"/>
    <n v="40"/>
    <n v="19"/>
    <n v="0"/>
    <n v="0"/>
    <n v="0"/>
    <n v="21"/>
    <n v="27"/>
    <n v="40"/>
    <n v="19"/>
    <n v="0"/>
    <n v="0"/>
    <n v="0"/>
    <n v="0"/>
    <n v="0"/>
    <n v="0"/>
    <n v="0"/>
    <n v="0"/>
    <n v="0"/>
    <n v="0"/>
    <n v="0"/>
    <n v="0"/>
    <n v="0"/>
    <n v="0"/>
    <n v="0"/>
    <n v="0"/>
    <m/>
    <m/>
    <s v="Roehampton and Alton Estate Regeneration Areea"/>
    <n v="10"/>
    <m/>
    <m/>
    <m/>
    <m/>
    <n v="35.666666666666664"/>
    <n v="35.666666666666664"/>
    <n v="35.666666666666664"/>
    <m/>
    <m/>
    <m/>
    <m/>
    <m/>
    <m/>
    <m/>
    <m/>
    <m/>
    <m/>
    <m/>
    <m/>
    <m/>
    <n v="71.333333333333329"/>
    <n v="107"/>
  </r>
  <r>
    <n v="7304"/>
    <x v="2"/>
    <s v="2019/2516"/>
    <s v="Development Site of Alton Estate, Danebury Avenue (Alton Estate)"/>
    <s v="Blocks A and Q"/>
    <n v="522152"/>
    <n v="173834"/>
    <s v="Roehampton"/>
    <m/>
    <m/>
    <n v="0"/>
    <n v="23"/>
    <n v="23"/>
    <n v="1068"/>
    <n v="780"/>
    <s v="Y"/>
    <s v="The application is for a part outline and a part detailed planning permission for the following proposed development._x000a__x000a_(a) Phased demolition of existing buildings and structures (except Alton Activity Centre community building);_x000a_(b) Mixed-use phased development ranging from 1-9 storeys above ground level comprising 1,103 residential units and up to 9,572 sqm (GIA) of non-residential uses comprising new and replacement community facilities (including library and healthcare facilities, youth facilities, community hall, children's nursery &amp; children's centre) (Class D1); flexible commercial floorspace (comprising retail (Class A1), financial and professional services (Class A2), café/restaurants (Class A3), hot-food takeaways (Class A5), business (Class B1), and community uses (Class D1); landscaping; removal and replacement of trees; public realm improvements; access improvements; relocation of bus turnaround area; improvements to children's play facilities; provision of energy centre; car &amp; cycle parking; and other highway works incidental to the development. All matters reserved except for Blocks A, K, M, N, O, Q, Portswood Place Nursery and Community Centre and highway/landscape/public realm improvements_x000a__x000a_An Environmental Statement has been submitted with the application under the Town and Country Planning (Environmental Impact Assessment) Regulations 2017."/>
    <s v="PFLA"/>
    <d v="2019-06-07T00:00:00"/>
    <d v="2022-03-23T00:00:00"/>
    <m/>
    <s v="Nil"/>
    <m/>
    <s v="BF"/>
    <s v="NB"/>
    <x v="1"/>
    <x v="0"/>
    <n v="0.16400000000000001"/>
    <m/>
    <x v="0"/>
    <m/>
    <s v="Intermediate"/>
    <s v="ISE"/>
    <s v="8.1.1"/>
    <m/>
    <m/>
    <n v="21"/>
    <m/>
    <n v="2"/>
    <n v="0"/>
    <n v="0"/>
    <n v="3"/>
    <n v="20"/>
    <n v="0"/>
    <n v="0"/>
    <n v="0"/>
    <n v="0"/>
    <n v="0"/>
    <n v="3"/>
    <n v="20"/>
    <n v="0"/>
    <n v="0"/>
    <n v="0"/>
    <n v="0"/>
    <n v="0"/>
    <n v="0"/>
    <n v="0"/>
    <n v="0"/>
    <n v="0"/>
    <n v="0"/>
    <n v="0"/>
    <n v="0"/>
    <n v="0"/>
    <n v="0"/>
    <n v="0"/>
    <n v="0"/>
    <n v="0"/>
    <m/>
    <m/>
    <s v="Roehampton and Alton Estate Regeneration Areea"/>
    <n v="10"/>
    <m/>
    <m/>
    <m/>
    <m/>
    <n v="7.666666666666667"/>
    <n v="7.666666666666667"/>
    <n v="7.666666666666667"/>
    <m/>
    <m/>
    <m/>
    <m/>
    <m/>
    <m/>
    <m/>
    <m/>
    <m/>
    <m/>
    <m/>
    <m/>
    <m/>
    <n v="15.333333333333334"/>
    <n v="23"/>
  </r>
  <r>
    <n v="7304"/>
    <x v="2"/>
    <s v="2019/2516"/>
    <s v="Development Site of Alton Estate, Danebury Avenue (Alton Estate)"/>
    <s v="Blocks D-J"/>
    <n v="522152"/>
    <n v="173834"/>
    <s v="Roehampton"/>
    <m/>
    <m/>
    <n v="0"/>
    <n v="349"/>
    <n v="349"/>
    <n v="1068"/>
    <n v="780"/>
    <s v="Y"/>
    <s v="The application is for a part outline and a part detailed planning permission for the following proposed development._x000a__x000a_(a) Phased demolition of existing buildings and structures (except Alton Activity Centre community building);_x000a_(b) Mixed-use phased development ranging from 1-9 storeys above ground level comprising 1,103 residential units and up to 9,572 sqm (GIA) of non-residential uses comprising new and replacement community facilities (including library and healthcare facilities, youth facilities, community hall, children's nursery &amp; children's centre) (Class D1); flexible commercial floorspace (comprising retail (Class A1), financial and professional services (Class A2), café/restaurants (Class A3), hot-food takeaways (Class A5), business (Class B1), and community uses (Class D1); landscaping; removal and replacement of trees; public realm improvements; access improvements; relocation of bus turnaround area; improvements to children's play facilities; provision of energy centre; car &amp; cycle parking; and other highway works incidental to the development. All matters reserved except for Blocks A, K, M, N, O, Q, Portswood Place Nursery and Community Centre and highway/landscape/public realm improvements_x000a__x000a_An Environmental Statement has been submitted with the application under the Town and Country Planning (Environmental Impact Assessment) Regulations 2017."/>
    <s v="PFLA"/>
    <d v="2019-06-07T00:00:00"/>
    <d v="2022-03-23T00:00:00"/>
    <m/>
    <s v="Nil"/>
    <m/>
    <s v="BF"/>
    <s v="NB"/>
    <x v="1"/>
    <x v="0"/>
    <n v="1.268"/>
    <m/>
    <x v="0"/>
    <m/>
    <s v="Open Market"/>
    <s v="M"/>
    <s v="8.1.1"/>
    <m/>
    <m/>
    <n v="314"/>
    <m/>
    <n v="35"/>
    <n v="0"/>
    <n v="0"/>
    <n v="0"/>
    <n v="0"/>
    <n v="0"/>
    <n v="0"/>
    <n v="349"/>
    <n v="0"/>
    <n v="0"/>
    <n v="0"/>
    <n v="0"/>
    <n v="0"/>
    <n v="0"/>
    <n v="349"/>
    <n v="0"/>
    <n v="0"/>
    <n v="0"/>
    <n v="0"/>
    <n v="0"/>
    <n v="0"/>
    <n v="0"/>
    <n v="0"/>
    <n v="0"/>
    <n v="0"/>
    <n v="0"/>
    <n v="0"/>
    <n v="0"/>
    <n v="0"/>
    <m/>
    <m/>
    <s v="Roehampton and Alton Estate Regeneration Areea"/>
    <n v="10"/>
    <m/>
    <m/>
    <m/>
    <m/>
    <n v="116.33333333333333"/>
    <n v="116.33333333333333"/>
    <n v="116.33333333333333"/>
    <m/>
    <m/>
    <m/>
    <m/>
    <m/>
    <m/>
    <m/>
    <m/>
    <m/>
    <m/>
    <m/>
    <m/>
    <m/>
    <n v="232.66666666666666"/>
    <n v="349"/>
  </r>
  <r>
    <n v="7304"/>
    <x v="2"/>
    <s v="2019/2516"/>
    <s v="Development Site of Alton Estate, Danebury Avenue (Alton Estate)"/>
    <s v="Existing"/>
    <n v="522152"/>
    <n v="173834"/>
    <s v="Roehampton"/>
    <m/>
    <m/>
    <n v="130"/>
    <n v="0"/>
    <n v="-130"/>
    <n v="1068"/>
    <n v="780"/>
    <s v="Y"/>
    <s v="The application is for a part outline and a part detailed planning permission for the following proposed development._x000a__x000a_(a) Phased demolition of existing buildings and structures (except Alton Activity Centre community building);_x000a_(b) Mixed-use phased development ranging from 1-9 storeys above ground level comprising 1,103 residential units and up to 9,572 sqm (GIA) of non-residential uses comprising new and replacement community facilities (including library and healthcare facilities, youth facilities, community hall, children's nursery &amp; children's centre) (Class D1); flexible commercial floorspace (comprising retail (Class A1), financial and professional services (Class A2), café/restaurants (Class A3), hot-food takeaways (Class A5), business (Class B1), and community uses (Class D1); landscaping; removal and replacement of trees; public realm improvements; access improvements; relocation of bus turnaround area; improvements to children's play facilities; provision of energy centre; car &amp; cycle parking; and other highway works incidental to the development. All matters reserved except for Blocks A, K, M, N, O, Q, Portswood Place Nursery and Community Centre and highway/landscape/public realm improvements_x000a__x000a_An Environmental Statement has been submitted with the application under the Town and Country Planning (Environmental Impact Assessment) Regulations 2017."/>
    <s v="PFLA"/>
    <d v="2019-06-07T00:00:00"/>
    <d v="2022-03-23T00:00:00"/>
    <m/>
    <s v="Nil"/>
    <m/>
    <s v="BF"/>
    <s v="NB"/>
    <x v="1"/>
    <x v="0"/>
    <n v="0"/>
    <m/>
    <x v="0"/>
    <m/>
    <s v="Open Market"/>
    <s v="M"/>
    <s v="8.1.1"/>
    <m/>
    <m/>
    <m/>
    <m/>
    <m/>
    <n v="0"/>
    <n v="-4"/>
    <n v="-8"/>
    <n v="-118"/>
    <n v="0"/>
    <n v="0"/>
    <n v="0"/>
    <n v="0"/>
    <n v="-4"/>
    <n v="-8"/>
    <n v="-118"/>
    <n v="0"/>
    <n v="0"/>
    <n v="0"/>
    <n v="0"/>
    <n v="0"/>
    <n v="0"/>
    <n v="0"/>
    <n v="0"/>
    <n v="0"/>
    <n v="0"/>
    <n v="0"/>
    <n v="0"/>
    <n v="0"/>
    <n v="0"/>
    <n v="0"/>
    <n v="0"/>
    <n v="0"/>
    <m/>
    <m/>
    <s v="Roehampton and Alton Estate Regeneration Areea"/>
    <n v="10"/>
    <m/>
    <m/>
    <m/>
    <m/>
    <n v="-43.333333333333336"/>
    <n v="-43.333333333333336"/>
    <n v="-43.333333333333336"/>
    <m/>
    <m/>
    <m/>
    <m/>
    <m/>
    <m/>
    <m/>
    <m/>
    <m/>
    <m/>
    <m/>
    <m/>
    <m/>
    <n v="-86.666666666666671"/>
    <n v="-130"/>
  </r>
  <r>
    <n v="7304"/>
    <x v="2"/>
    <s v="2019/2516"/>
    <s v="Development Site of Alton Estate, Danebury Avenue (Alton Estate)"/>
    <s v="Existing"/>
    <n v="522152"/>
    <n v="173834"/>
    <s v="Roehampton"/>
    <m/>
    <m/>
    <n v="158"/>
    <n v="0"/>
    <n v="-158"/>
    <n v="1068"/>
    <n v="780"/>
    <s v="Y"/>
    <s v="The application is for a part outline and a part detailed planning permission for the following proposed development._x000a__x000a_(a) Phased demolition of existing buildings and structures (except Alton Activity Centre community building);_x000a_(b) Mixed-use phased development ranging from 1-9 storeys above ground level comprising 1,103 residential units and up to 9,572 sqm (GIA) of non-residential uses comprising new and replacement community facilities (including library and healthcare facilities, youth facilities, community hall, children's nursery &amp; children's centre) (Class D1); flexible commercial floorspace (comprising retail (Class A1), financial and professional services (Class A2), café/restaurants (Class A3), hot-food takeaways (Class A5), business (Class B1), and community uses (Class D1); landscaping; removal and replacement of trees; public realm improvements; access improvements; relocation of bus turnaround area; improvements to children's play facilities; provision of energy centre; car &amp; cycle parking; and other highway works incidental to the development. All matters reserved except for Blocks A, K, M, N, O, Q, Portswood Place Nursery and Community Centre and highway/landscape/public realm improvements_x000a__x000a_An Environmental Statement has been submitted with the application under the Town and Country Planning (Environmental Impact Assessment) Regulations 2017."/>
    <s v="PFLA"/>
    <d v="2019-06-07T00:00:00"/>
    <d v="2022-03-23T00:00:00"/>
    <m/>
    <s v="Nil"/>
    <m/>
    <s v="BF"/>
    <s v="NB"/>
    <x v="1"/>
    <x v="0"/>
    <n v="0"/>
    <m/>
    <x v="0"/>
    <m/>
    <s v="Social/Affordable Rent"/>
    <s v="AC"/>
    <s v="8.1.1"/>
    <m/>
    <m/>
    <m/>
    <m/>
    <m/>
    <n v="0"/>
    <n v="-20"/>
    <n v="-34"/>
    <n v="-103"/>
    <n v="0"/>
    <n v="-1"/>
    <n v="0"/>
    <n v="0"/>
    <n v="-20"/>
    <n v="-34"/>
    <n v="-103"/>
    <n v="0"/>
    <n v="-1"/>
    <n v="0"/>
    <n v="0"/>
    <n v="0"/>
    <n v="0"/>
    <n v="0"/>
    <n v="0"/>
    <n v="0"/>
    <n v="0"/>
    <n v="0"/>
    <n v="0"/>
    <n v="0"/>
    <n v="0"/>
    <n v="0"/>
    <n v="0"/>
    <n v="0"/>
    <m/>
    <m/>
    <s v="Roehampton and Alton Estate Regeneration Areea"/>
    <n v="10"/>
    <m/>
    <m/>
    <m/>
    <m/>
    <n v="-52.666666666666664"/>
    <n v="-52.666666666666664"/>
    <n v="-52.666666666666664"/>
    <m/>
    <m/>
    <m/>
    <m/>
    <m/>
    <m/>
    <m/>
    <m/>
    <m/>
    <m/>
    <m/>
    <m/>
    <m/>
    <n v="-105.33333333333333"/>
    <n v="-158"/>
  </r>
  <r>
    <n v="7304"/>
    <x v="2"/>
    <s v="2019/2516"/>
    <s v="Development Site of Alton Estate, Danebury Avenue (Alton Estate)"/>
    <s v="Outline Affordable Housing Units (65 Units)"/>
    <n v="522152"/>
    <n v="173834"/>
    <s v="Roehampton"/>
    <m/>
    <m/>
    <n v="0"/>
    <n v="65"/>
    <n v="65"/>
    <n v="1068"/>
    <n v="780"/>
    <s v="Y"/>
    <s v="The application is for a part outline and a part detailed planning permission for the following proposed development._x000a__x000a_(a) Phased demolition of existing buildings and structures (except Alton Activity Centre community building);_x000a_(b) Mixed-use phased development ranging from 1-9 storeys above ground level comprising 1,103 residential units and up to 9,572 sqm (GIA) of non-residential uses comprising new and replacement community facilities (including library and healthcare facilities, youth facilities, community hall, children's nursery &amp; children's centre) (Class D1); flexible commercial floorspace (comprising retail (Class A1), financial and professional services (Class A2), café/restaurants (Class A3), hot-food takeaways (Class A5), business (Class B1), and community uses (Class D1); landscaping; removal and replacement of trees; public realm improvements; access improvements; relocation of bus turnaround area; improvements to children's play facilities; provision of energy centre; car &amp; cycle parking; and other highway works incidental to the development. All matters reserved except for Blocks A, K, M, N, O, Q, Portswood Place Nursery and Community Centre and highway/landscape/public realm improvements_x000a__x000a_An Environmental Statement has been submitted with the application under the Town and Country Planning (Environmental Impact Assessment) Regulations 2017."/>
    <s v="PFLA"/>
    <d v="2019-06-07T00:00:00"/>
    <d v="2022-03-23T00:00:00"/>
    <m/>
    <s v="Nil"/>
    <m/>
    <s v="BF"/>
    <s v="NB"/>
    <x v="1"/>
    <x v="0"/>
    <n v="0.23594999999999999"/>
    <m/>
    <x v="0"/>
    <m/>
    <s v="Social/Affordable Rent"/>
    <s v="AA"/>
    <s v="8.1.1"/>
    <m/>
    <m/>
    <n v="59"/>
    <m/>
    <n v="6"/>
    <n v="0"/>
    <n v="0"/>
    <n v="0"/>
    <n v="0"/>
    <n v="0"/>
    <n v="0"/>
    <n v="65"/>
    <n v="0"/>
    <n v="0"/>
    <n v="0"/>
    <n v="0"/>
    <n v="0"/>
    <n v="0"/>
    <n v="65"/>
    <n v="0"/>
    <n v="0"/>
    <n v="0"/>
    <n v="0"/>
    <n v="0"/>
    <n v="0"/>
    <n v="0"/>
    <n v="0"/>
    <n v="0"/>
    <n v="0"/>
    <n v="0"/>
    <n v="0"/>
    <n v="0"/>
    <n v="0"/>
    <m/>
    <m/>
    <s v="Roehampton and Alton Estate Regeneration Areea"/>
    <n v="10"/>
    <m/>
    <m/>
    <m/>
    <m/>
    <n v="21.666666666666668"/>
    <n v="21.666666666666668"/>
    <n v="21.666666666666668"/>
    <m/>
    <m/>
    <m/>
    <m/>
    <m/>
    <m/>
    <m/>
    <m/>
    <m/>
    <m/>
    <m/>
    <m/>
    <m/>
    <n v="43.333333333333336"/>
    <n v="65"/>
  </r>
  <r>
    <n v="7191"/>
    <x v="2"/>
    <s v="2019/2583"/>
    <s v="245a Wimbledon Park Road"/>
    <s v=""/>
    <n v="524767"/>
    <n v="173302"/>
    <s v="Southfields"/>
    <m/>
    <m/>
    <n v="0"/>
    <n v="1"/>
    <n v="1"/>
    <n v="1"/>
    <n v="1"/>
    <m/>
    <s v="Determination as to whether prior approval is required for change of use of lower ground floor from Estate agents(Class A2) to 1 x 1-bedroom flat (Class C3)."/>
    <s v="PANR"/>
    <d v="2019-06-27T00:00:00"/>
    <d v="2019-08-16T00:00:00"/>
    <m/>
    <s v="Nil"/>
    <m/>
    <s v="BF"/>
    <s v="COU"/>
    <x v="2"/>
    <x v="6"/>
    <n v="2E-3"/>
    <m/>
    <x v="0"/>
    <m/>
    <s v="Open Market"/>
    <s v="M"/>
    <s v=""/>
    <m/>
    <m/>
    <m/>
    <m/>
    <m/>
    <n v="0"/>
    <n v="1"/>
    <n v="0"/>
    <n v="0"/>
    <n v="0"/>
    <n v="0"/>
    <n v="0"/>
    <n v="0"/>
    <n v="1"/>
    <n v="0"/>
    <n v="0"/>
    <n v="0"/>
    <n v="0"/>
    <n v="0"/>
    <n v="0"/>
    <n v="0"/>
    <n v="0"/>
    <n v="0"/>
    <n v="0"/>
    <n v="0"/>
    <n v="0"/>
    <n v="0"/>
    <n v="0"/>
    <n v="0"/>
    <n v="0"/>
    <n v="0"/>
    <n v="0"/>
    <n v="0"/>
    <m/>
    <m/>
    <s v="Rest of Borough"/>
    <n v="15"/>
    <m/>
    <n v="0.25"/>
    <n v="0.25"/>
    <n v="0.25"/>
    <n v="0.25"/>
    <m/>
    <m/>
    <m/>
    <m/>
    <m/>
    <m/>
    <m/>
    <m/>
    <m/>
    <m/>
    <m/>
    <m/>
    <m/>
    <m/>
    <m/>
    <n v="1"/>
    <n v="1"/>
  </r>
  <r>
    <n v="7190"/>
    <x v="2"/>
    <s v="2019/2585"/>
    <s v="Wildcroft Manor, Wildcroft Road"/>
    <s v=""/>
    <n v="523349"/>
    <n v="173599"/>
    <s v="West Putney"/>
    <m/>
    <m/>
    <n v="0"/>
    <n v="9"/>
    <n v="9"/>
    <n v="9"/>
    <n v="9"/>
    <m/>
    <s v="Alterations including erection of front and rear dormer roof extensions to all blocks to provide to 6 x 2-bedroom and 3 x 3-bedroom flats; 18 cycle storage spaces ."/>
    <s v="PF"/>
    <d v="2019-06-27T00:00:00"/>
    <d v="2019-09-18T00:00:00"/>
    <m/>
    <s v="Nil"/>
    <m/>
    <s v="BF"/>
    <s v="EXT"/>
    <x v="2"/>
    <x v="7"/>
    <n v="3.5999999999999997E-2"/>
    <m/>
    <x v="0"/>
    <m/>
    <s v="Open Market"/>
    <s v="M"/>
    <s v=""/>
    <m/>
    <m/>
    <m/>
    <m/>
    <m/>
    <n v="0"/>
    <n v="0"/>
    <n v="6"/>
    <n v="3"/>
    <n v="0"/>
    <n v="0"/>
    <n v="0"/>
    <n v="0"/>
    <n v="0"/>
    <n v="6"/>
    <n v="3"/>
    <n v="0"/>
    <n v="0"/>
    <n v="0"/>
    <n v="0"/>
    <n v="0"/>
    <n v="0"/>
    <n v="0"/>
    <n v="0"/>
    <n v="0"/>
    <n v="0"/>
    <n v="0"/>
    <n v="0"/>
    <n v="0"/>
    <n v="0"/>
    <n v="0"/>
    <n v="0"/>
    <n v="0"/>
    <m/>
    <m/>
    <s v="Rest of Borough"/>
    <n v="18"/>
    <m/>
    <n v="2.25"/>
    <n v="2.25"/>
    <n v="2.25"/>
    <n v="2.25"/>
    <m/>
    <m/>
    <m/>
    <m/>
    <m/>
    <m/>
    <m/>
    <m/>
    <m/>
    <m/>
    <m/>
    <m/>
    <m/>
    <m/>
    <m/>
    <n v="9"/>
    <n v="9"/>
  </r>
  <r>
    <n v="340"/>
    <x v="2"/>
    <s v="2019/2689"/>
    <s v="76 a &amp; b, 76 Moyser Road"/>
    <s v=""/>
    <n v="528898"/>
    <n v="171088"/>
    <s v="Furzedown"/>
    <m/>
    <m/>
    <n v="0"/>
    <n v="2"/>
    <n v="2"/>
    <n v="2"/>
    <n v="2"/>
    <m/>
    <s v="Determination as to whether prior approval is required for change of use from business (Class B1) to 2 x 1-bedroom flat (Class C3)."/>
    <s v="PAG"/>
    <d v="2019-07-05T00:00:00"/>
    <d v="2019-08-16T00:00:00"/>
    <m/>
    <s v="Nil"/>
    <m/>
    <s v="BF"/>
    <s v="COU"/>
    <x v="2"/>
    <x v="6"/>
    <n v="5.0000000000000001E-3"/>
    <m/>
    <x v="0"/>
    <m/>
    <s v="Open Market"/>
    <s v="M"/>
    <s v=""/>
    <m/>
    <m/>
    <m/>
    <m/>
    <m/>
    <n v="0"/>
    <n v="2"/>
    <n v="0"/>
    <n v="0"/>
    <n v="0"/>
    <n v="0"/>
    <n v="0"/>
    <n v="0"/>
    <n v="2"/>
    <n v="0"/>
    <n v="0"/>
    <n v="0"/>
    <n v="0"/>
    <n v="0"/>
    <n v="0"/>
    <n v="0"/>
    <n v="0"/>
    <n v="0"/>
    <n v="0"/>
    <n v="0"/>
    <n v="0"/>
    <n v="0"/>
    <n v="0"/>
    <n v="0"/>
    <n v="0"/>
    <n v="0"/>
    <n v="0"/>
    <n v="0"/>
    <m/>
    <m/>
    <s v="Rest of Borough"/>
    <n v="15"/>
    <m/>
    <n v="0.5"/>
    <n v="0.5"/>
    <n v="0.5"/>
    <n v="0.5"/>
    <m/>
    <m/>
    <m/>
    <m/>
    <m/>
    <m/>
    <m/>
    <m/>
    <m/>
    <m/>
    <m/>
    <m/>
    <m/>
    <m/>
    <m/>
    <n v="2"/>
    <n v="2"/>
  </r>
  <r>
    <n v="5699"/>
    <x v="2"/>
    <s v="2019/2929"/>
    <s v="Land Adjacent, 33 Vandyke Close"/>
    <s v=""/>
    <n v="523902"/>
    <n v="174030"/>
    <s v="East Putney"/>
    <m/>
    <m/>
    <n v="0"/>
    <n v="1"/>
    <n v="1"/>
    <n v="1"/>
    <n v="1"/>
    <m/>
    <s v="Erection of two storey 2-bedroom house with first floor level rear terrace, associated cycle and bin storage."/>
    <s v="PF"/>
    <d v="2019-07-17T00:00:00"/>
    <d v="2019-10-04T00:00:00"/>
    <m/>
    <s v="Nil"/>
    <m/>
    <s v="BF"/>
    <s v="NB"/>
    <x v="2"/>
    <x v="3"/>
    <n v="1.0999999999999999E-2"/>
    <m/>
    <x v="0"/>
    <m/>
    <s v="Open Market"/>
    <s v="M"/>
    <s v=""/>
    <m/>
    <m/>
    <m/>
    <m/>
    <m/>
    <n v="0"/>
    <n v="0"/>
    <n v="1"/>
    <n v="0"/>
    <n v="0"/>
    <n v="0"/>
    <n v="0"/>
    <n v="0"/>
    <n v="0"/>
    <n v="0"/>
    <n v="0"/>
    <n v="0"/>
    <n v="0"/>
    <n v="0"/>
    <n v="0"/>
    <n v="0"/>
    <n v="1"/>
    <n v="0"/>
    <n v="0"/>
    <n v="0"/>
    <n v="0"/>
    <n v="0"/>
    <n v="0"/>
    <n v="0"/>
    <n v="0"/>
    <n v="0"/>
    <n v="0"/>
    <n v="0"/>
    <m/>
    <m/>
    <s v="Rest of Borough"/>
    <n v="7"/>
    <m/>
    <m/>
    <n v="0.25"/>
    <n v="0.25"/>
    <n v="0.25"/>
    <n v="0.25"/>
    <m/>
    <m/>
    <m/>
    <m/>
    <m/>
    <m/>
    <m/>
    <m/>
    <m/>
    <m/>
    <m/>
    <m/>
    <m/>
    <m/>
    <n v="1"/>
    <n v="1"/>
  </r>
  <r>
    <n v="7232"/>
    <x v="2"/>
    <s v="2019/3241"/>
    <s v="87 Nightingale Lane"/>
    <s v=""/>
    <n v="528139"/>
    <n v="173962"/>
    <s v="Balham"/>
    <m/>
    <m/>
    <n v="1"/>
    <n v="2"/>
    <n v="1"/>
    <n v="2"/>
    <n v="1"/>
    <m/>
    <s v="Conversion of first and second floors to 2 x 1-bedroom flats."/>
    <s v="PF"/>
    <d v="2019-08-20T00:00:00"/>
    <d v="2019-10-02T00:00:00"/>
    <m/>
    <s v="Nil"/>
    <m/>
    <s v="BF"/>
    <s v="CON"/>
    <x v="2"/>
    <x v="5"/>
    <n v="8.9999999999999993E-3"/>
    <m/>
    <x v="0"/>
    <m/>
    <s v="Open Market"/>
    <s v="M"/>
    <s v=""/>
    <m/>
    <m/>
    <m/>
    <m/>
    <m/>
    <n v="0"/>
    <n v="2"/>
    <n v="0"/>
    <n v="-1"/>
    <n v="0"/>
    <n v="0"/>
    <n v="0"/>
    <n v="0"/>
    <n v="2"/>
    <n v="0"/>
    <n v="-1"/>
    <n v="0"/>
    <n v="0"/>
    <n v="0"/>
    <n v="0"/>
    <n v="0"/>
    <n v="0"/>
    <n v="0"/>
    <n v="0"/>
    <n v="0"/>
    <n v="0"/>
    <n v="0"/>
    <n v="0"/>
    <n v="0"/>
    <n v="0"/>
    <n v="0"/>
    <n v="0"/>
    <n v="0"/>
    <m/>
    <m/>
    <s v="Rest of Borough"/>
    <n v="15"/>
    <m/>
    <n v="0.25"/>
    <n v="0.25"/>
    <n v="0.25"/>
    <n v="0.25"/>
    <m/>
    <m/>
    <m/>
    <m/>
    <m/>
    <m/>
    <m/>
    <m/>
    <m/>
    <m/>
    <m/>
    <m/>
    <m/>
    <m/>
    <m/>
    <n v="1"/>
    <n v="1"/>
  </r>
  <r>
    <n v="7248"/>
    <x v="2"/>
    <s v="2019/3459"/>
    <s v="Flat First Floor, 36a Putney High Street"/>
    <s v=""/>
    <n v="524095"/>
    <n v="175524"/>
    <s v="Thamesfield"/>
    <m/>
    <m/>
    <n v="1"/>
    <n v="2"/>
    <n v="1"/>
    <n v="2"/>
    <n v="1"/>
    <m/>
    <s v="Alterations in connection with conversion of flat into 2 x 1-bedroom flats. (description incorrect as per email confirmation)"/>
    <s v="PF"/>
    <d v="2019-09-12T00:00:00"/>
    <d v="2020-06-01T00:00:00"/>
    <m/>
    <s v="Nil"/>
    <m/>
    <s v="BF"/>
    <s v="CON"/>
    <x v="2"/>
    <x v="7"/>
    <n v="7.0000000000000001E-3"/>
    <m/>
    <x v="0"/>
    <m/>
    <s v="Open Market"/>
    <s v="M"/>
    <s v=""/>
    <m/>
    <m/>
    <m/>
    <m/>
    <m/>
    <n v="0"/>
    <n v="1"/>
    <n v="0"/>
    <n v="0"/>
    <n v="0"/>
    <n v="0"/>
    <n v="0"/>
    <n v="0"/>
    <n v="1"/>
    <n v="0"/>
    <n v="0"/>
    <n v="0"/>
    <n v="0"/>
    <n v="0"/>
    <n v="0"/>
    <n v="0"/>
    <n v="0"/>
    <n v="0"/>
    <n v="0"/>
    <n v="0"/>
    <n v="0"/>
    <n v="0"/>
    <n v="0"/>
    <n v="0"/>
    <n v="0"/>
    <n v="0"/>
    <n v="0"/>
    <n v="0"/>
    <s v="Putney"/>
    <m/>
    <s v="Putney"/>
    <n v="15"/>
    <m/>
    <n v="0.25"/>
    <n v="0.25"/>
    <n v="0.25"/>
    <n v="0.25"/>
    <m/>
    <m/>
    <m/>
    <m/>
    <m/>
    <m/>
    <m/>
    <m/>
    <m/>
    <m/>
    <m/>
    <m/>
    <m/>
    <m/>
    <m/>
    <n v="1"/>
    <n v="1"/>
  </r>
  <r>
    <n v="7294"/>
    <x v="2"/>
    <s v="2019/3492"/>
    <s v="9-11 Delia Street"/>
    <s v=""/>
    <n v="525948"/>
    <n v="173961"/>
    <s v="Wandle"/>
    <m/>
    <m/>
    <n v="0"/>
    <n v="2"/>
    <n v="2"/>
    <n v="2"/>
    <n v="2"/>
    <m/>
    <s v="Alterations including erection of mansard roof extensions to main rear roofs and extension above part of two-storey back additions; including raising the ridges by 230mm  Formation of roof terraces above two-storey back additions with 1.7m high screen surrounds in connection with creation of 2 x 2 bed flats with associated cycle and refuse storage."/>
    <s v="PF"/>
    <d v="2019-10-25T00:00:00"/>
    <d v="2020-02-21T00:00:00"/>
    <m/>
    <s v="Nil"/>
    <m/>
    <s v="BF"/>
    <s v="EXT"/>
    <x v="2"/>
    <x v="7"/>
    <n v="4.0000000000000001E-3"/>
    <m/>
    <x v="0"/>
    <m/>
    <s v="Open Market"/>
    <s v="M"/>
    <s v=""/>
    <m/>
    <m/>
    <m/>
    <m/>
    <m/>
    <n v="0"/>
    <n v="0"/>
    <n v="2"/>
    <n v="0"/>
    <n v="0"/>
    <n v="0"/>
    <n v="0"/>
    <n v="0"/>
    <n v="0"/>
    <n v="2"/>
    <n v="0"/>
    <n v="0"/>
    <n v="0"/>
    <n v="0"/>
    <n v="0"/>
    <n v="0"/>
    <n v="0"/>
    <n v="0"/>
    <n v="0"/>
    <n v="0"/>
    <n v="0"/>
    <n v="0"/>
    <n v="0"/>
    <n v="0"/>
    <n v="0"/>
    <n v="0"/>
    <n v="0"/>
    <n v="0"/>
    <m/>
    <m/>
    <s v="Rest of Borough"/>
    <n v="15"/>
    <m/>
    <n v="0.5"/>
    <n v="0.5"/>
    <n v="0.5"/>
    <n v="0.5"/>
    <m/>
    <m/>
    <m/>
    <m/>
    <m/>
    <m/>
    <m/>
    <m/>
    <m/>
    <m/>
    <m/>
    <m/>
    <m/>
    <m/>
    <m/>
    <n v="2"/>
    <n v="2"/>
  </r>
  <r>
    <n v="7245"/>
    <x v="2"/>
    <s v="2019/3563"/>
    <s v="58a Gosberton Road"/>
    <s v=""/>
    <n v="528090"/>
    <n v="173486"/>
    <s v="Balham"/>
    <m/>
    <m/>
    <n v="0"/>
    <n v="2"/>
    <n v="2"/>
    <n v="2"/>
    <n v="2"/>
    <m/>
    <s v="Determination as to whether prior approval is required for change of use from retail (Class A1) to 2 x studio flats (Class C3) with associated external alterations to front and side elevations."/>
    <s v="PANR"/>
    <d v="2019-09-12T00:00:00"/>
    <d v="2019-11-04T00:00:00"/>
    <m/>
    <s v="Nil"/>
    <m/>
    <s v="BF"/>
    <s v="COU"/>
    <x v="2"/>
    <x v="4"/>
    <n v="7.0000000000000001E-3"/>
    <m/>
    <x v="0"/>
    <m/>
    <s v="Open Market"/>
    <s v="M"/>
    <s v=""/>
    <m/>
    <m/>
    <m/>
    <m/>
    <m/>
    <n v="2"/>
    <n v="0"/>
    <n v="0"/>
    <n v="0"/>
    <n v="0"/>
    <n v="0"/>
    <n v="0"/>
    <n v="2"/>
    <n v="0"/>
    <n v="0"/>
    <n v="0"/>
    <n v="0"/>
    <n v="0"/>
    <n v="0"/>
    <n v="0"/>
    <n v="0"/>
    <n v="0"/>
    <n v="0"/>
    <n v="0"/>
    <n v="0"/>
    <n v="0"/>
    <n v="0"/>
    <n v="0"/>
    <n v="0"/>
    <n v="0"/>
    <n v="0"/>
    <n v="0"/>
    <n v="0"/>
    <m/>
    <m/>
    <s v="Rest of Borough"/>
    <n v="15"/>
    <m/>
    <n v="0.5"/>
    <n v="0.5"/>
    <n v="0.5"/>
    <n v="0.5"/>
    <m/>
    <m/>
    <m/>
    <m/>
    <m/>
    <m/>
    <m/>
    <m/>
    <m/>
    <m/>
    <m/>
    <m/>
    <m/>
    <m/>
    <m/>
    <n v="2"/>
    <n v="2"/>
  </r>
  <r>
    <n v="7266"/>
    <x v="2"/>
    <s v="2019/3870"/>
    <s v="32 Latchmere Road"/>
    <s v=""/>
    <n v="527567"/>
    <n v="176185"/>
    <s v="Shaftesbury &amp; Queenstown"/>
    <m/>
    <m/>
    <n v="0"/>
    <n v="1"/>
    <n v="1"/>
    <n v="3"/>
    <n v="2"/>
    <m/>
    <s v="Alterations including erection of extension to provide an additional floor of accomodation, including formation of rear roof terrace; Rebuilding existing front bay window and insertion of two additional bay windows and formation of two balconies at first and second floor levels; Installation of rear access stair with screening to first and second floors; Erection of first floor rear extension in connection with conversion to 1 x 2-bedroom and 2 x 3-bedroom flats, with associated refuse and cycle storage."/>
    <s v="PF"/>
    <d v="2019-10-04T00:00:00"/>
    <d v="2020-01-07T00:00:00"/>
    <m/>
    <s v="Nil"/>
    <m/>
    <s v="BF"/>
    <s v="MIX"/>
    <x v="2"/>
    <x v="7"/>
    <n v="8.0000000000000002E-3"/>
    <m/>
    <x v="0"/>
    <m/>
    <s v="Open Market"/>
    <s v="M"/>
    <s v=""/>
    <m/>
    <m/>
    <m/>
    <m/>
    <m/>
    <n v="0"/>
    <n v="0"/>
    <n v="0"/>
    <n v="1"/>
    <n v="0"/>
    <n v="0"/>
    <n v="0"/>
    <n v="0"/>
    <n v="0"/>
    <n v="0"/>
    <n v="1"/>
    <n v="0"/>
    <n v="0"/>
    <n v="0"/>
    <n v="0"/>
    <n v="0"/>
    <n v="0"/>
    <n v="0"/>
    <n v="0"/>
    <n v="0"/>
    <n v="0"/>
    <n v="0"/>
    <n v="0"/>
    <n v="0"/>
    <n v="0"/>
    <n v="0"/>
    <n v="0"/>
    <n v="0"/>
    <m/>
    <m/>
    <s v="Rest of Borough"/>
    <n v="15"/>
    <m/>
    <n v="0.25"/>
    <n v="0.25"/>
    <n v="0.25"/>
    <n v="0.25"/>
    <m/>
    <m/>
    <m/>
    <m/>
    <m/>
    <m/>
    <m/>
    <m/>
    <m/>
    <m/>
    <m/>
    <m/>
    <m/>
    <m/>
    <m/>
    <n v="1"/>
    <n v="1"/>
  </r>
  <r>
    <n v="7266"/>
    <x v="2"/>
    <s v="2019/3870"/>
    <s v="32 Latchmere Road"/>
    <s v=""/>
    <n v="527567"/>
    <n v="176185"/>
    <s v="Shaftesbury &amp; Queenstown"/>
    <m/>
    <m/>
    <n v="1"/>
    <n v="2"/>
    <n v="1"/>
    <n v="3"/>
    <n v="2"/>
    <m/>
    <s v="Alterations including erection of extension to provide an additional floor of accomodation, including formation of rear roof terrace; Rebuilding existing front bay window and insertion of two additional bay windows and formation of two balconies at first and second floor levels; Installation of rear access stair with screening to first and second floors; Erection of first floor rear extension in connection with conversion to 1 x 2-bedroom and 2 x 3-bedroom flats, with associated refuse and cycle storage."/>
    <s v="PF"/>
    <d v="2019-10-04T00:00:00"/>
    <d v="2020-01-07T00:00:00"/>
    <m/>
    <s v="Nil"/>
    <m/>
    <s v="BF"/>
    <s v="MIX"/>
    <x v="2"/>
    <x v="10"/>
    <n v="1.4E-2"/>
    <m/>
    <x v="0"/>
    <m/>
    <s v="Open Market"/>
    <s v="M"/>
    <s v=""/>
    <m/>
    <m/>
    <m/>
    <m/>
    <m/>
    <n v="0"/>
    <n v="0"/>
    <n v="1"/>
    <n v="0"/>
    <n v="0"/>
    <n v="0"/>
    <n v="0"/>
    <n v="0"/>
    <n v="0"/>
    <n v="1"/>
    <n v="1"/>
    <n v="0"/>
    <n v="0"/>
    <n v="0"/>
    <n v="0"/>
    <n v="0"/>
    <n v="0"/>
    <n v="-1"/>
    <n v="0"/>
    <n v="0"/>
    <n v="0"/>
    <n v="0"/>
    <n v="0"/>
    <n v="0"/>
    <n v="0"/>
    <n v="0"/>
    <n v="0"/>
    <n v="0"/>
    <m/>
    <m/>
    <s v="Rest of Borough"/>
    <n v="15"/>
    <m/>
    <n v="0.25"/>
    <n v="0.25"/>
    <n v="0.25"/>
    <n v="0.25"/>
    <m/>
    <m/>
    <m/>
    <m/>
    <m/>
    <m/>
    <m/>
    <m/>
    <m/>
    <m/>
    <m/>
    <m/>
    <m/>
    <m/>
    <m/>
    <n v="1"/>
    <n v="1"/>
  </r>
  <r>
    <n v="7245"/>
    <x v="2"/>
    <s v="2019/4316"/>
    <s v="58a Gosberton Road"/>
    <s v=""/>
    <n v="528090"/>
    <n v="173486"/>
    <s v="Balham"/>
    <m/>
    <m/>
    <n v="0"/>
    <n v="1"/>
    <n v="1"/>
    <n v="1"/>
    <n v="1"/>
    <m/>
    <s v="Alterations including dormer extension to main rear roof and erection of part-single, part-two storey rear/side extension in connection with conversion to 1 x 2-bed and 1 x studio flat."/>
    <s v="PF"/>
    <d v="2019-12-10T00:00:00"/>
    <d v="2020-08-19T00:00:00"/>
    <m/>
    <s v="Nil"/>
    <m/>
    <s v="BF"/>
    <s v="EXT"/>
    <x v="2"/>
    <x v="7"/>
    <n v="4.0000000000000001E-3"/>
    <m/>
    <x v="0"/>
    <m/>
    <s v="Open Market"/>
    <s v="M"/>
    <s v=""/>
    <m/>
    <m/>
    <m/>
    <m/>
    <m/>
    <n v="1"/>
    <n v="0"/>
    <n v="0"/>
    <n v="0"/>
    <n v="0"/>
    <n v="0"/>
    <n v="0"/>
    <n v="1"/>
    <n v="0"/>
    <n v="0"/>
    <n v="0"/>
    <n v="0"/>
    <n v="0"/>
    <n v="0"/>
    <n v="0"/>
    <n v="0"/>
    <n v="0"/>
    <n v="0"/>
    <n v="0"/>
    <n v="0"/>
    <n v="0"/>
    <n v="0"/>
    <n v="0"/>
    <n v="0"/>
    <n v="0"/>
    <n v="0"/>
    <n v="0"/>
    <n v="0"/>
    <m/>
    <m/>
    <s v="Rest of Borough"/>
    <n v="15"/>
    <m/>
    <n v="0.25"/>
    <n v="0.25"/>
    <n v="0.25"/>
    <n v="0.25"/>
    <m/>
    <m/>
    <m/>
    <m/>
    <m/>
    <m/>
    <m/>
    <m/>
    <m/>
    <m/>
    <m/>
    <m/>
    <m/>
    <m/>
    <m/>
    <n v="1"/>
    <n v="1"/>
  </r>
  <r>
    <n v="6979"/>
    <x v="2"/>
    <s v="2019/4409"/>
    <s v="99-105 Moyser Road"/>
    <s v=""/>
    <n v="528847"/>
    <n v="171190"/>
    <s v="Furzedown"/>
    <m/>
    <m/>
    <n v="0"/>
    <n v="4"/>
    <n v="4"/>
    <n v="4"/>
    <n v="4"/>
    <m/>
    <s v="Alterations including erection of roof extension to provide additional floor of accommodation and creation of 3 x 1-bedroom and a studio flats."/>
    <s v="PF"/>
    <d v="2019-10-31T00:00:00"/>
    <d v="2020-07-07T00:00:00"/>
    <m/>
    <s v="Nil"/>
    <m/>
    <s v="BF"/>
    <s v="EXT"/>
    <x v="2"/>
    <x v="7"/>
    <n v="7.0000000000000001E-3"/>
    <m/>
    <x v="0"/>
    <m/>
    <s v="Open Market"/>
    <s v="M"/>
    <s v=""/>
    <m/>
    <m/>
    <m/>
    <m/>
    <m/>
    <n v="1"/>
    <n v="3"/>
    <n v="0"/>
    <n v="0"/>
    <n v="0"/>
    <n v="0"/>
    <n v="0"/>
    <n v="1"/>
    <n v="3"/>
    <n v="0"/>
    <n v="0"/>
    <n v="0"/>
    <n v="0"/>
    <n v="0"/>
    <n v="0"/>
    <n v="0"/>
    <n v="0"/>
    <n v="0"/>
    <n v="0"/>
    <n v="0"/>
    <n v="0"/>
    <n v="0"/>
    <n v="0"/>
    <n v="0"/>
    <n v="0"/>
    <n v="0"/>
    <n v="0"/>
    <n v="0"/>
    <m/>
    <m/>
    <s v="Rest of Borough"/>
    <n v="15"/>
    <m/>
    <n v="1"/>
    <n v="1"/>
    <n v="1"/>
    <n v="1"/>
    <m/>
    <m/>
    <m/>
    <m/>
    <m/>
    <m/>
    <m/>
    <m/>
    <m/>
    <m/>
    <m/>
    <m/>
    <m/>
    <m/>
    <m/>
    <n v="4"/>
    <n v="4"/>
  </r>
  <r>
    <n v="7298"/>
    <x v="2"/>
    <s v="2019/4666"/>
    <s v="206 Mitcham Road"/>
    <s v="Flats x 8"/>
    <n v="527967"/>
    <n v="170922"/>
    <s v="Tooting Broadway"/>
    <m/>
    <m/>
    <n v="4"/>
    <n v="8"/>
    <n v="4"/>
    <n v="9"/>
    <n v="5"/>
    <m/>
    <s v="Demolition of the existing building and the erection of a four-storey building (plus basement) to provide 8 No. flats 1 x studio, 3 x 1-bedroom; 2 x 2-bedroom and 2 x 3-bedroom) and the erection of a single-storey building (plus basement) to provide a 1 x 3-bedroom dwellinghhouse in the rear courtyard with associated cycle parking, refuse storage and landscaping."/>
    <s v="PF"/>
    <d v="2019-11-19T00:00:00"/>
    <d v="2020-12-22T00:00:00"/>
    <m/>
    <s v="Nil"/>
    <m/>
    <s v="BF"/>
    <s v="NB"/>
    <x v="2"/>
    <x v="3"/>
    <n v="4.2999999999999997E-2"/>
    <m/>
    <x v="0"/>
    <m/>
    <s v="Open Market"/>
    <s v="M"/>
    <s v=""/>
    <m/>
    <m/>
    <m/>
    <m/>
    <m/>
    <n v="-3"/>
    <n v="3"/>
    <n v="2"/>
    <n v="2"/>
    <n v="0"/>
    <n v="0"/>
    <n v="0"/>
    <n v="-3"/>
    <n v="3"/>
    <n v="2"/>
    <n v="2"/>
    <n v="0"/>
    <n v="0"/>
    <n v="0"/>
    <n v="0"/>
    <n v="0"/>
    <n v="0"/>
    <n v="0"/>
    <n v="0"/>
    <n v="0"/>
    <n v="0"/>
    <n v="0"/>
    <n v="0"/>
    <n v="0"/>
    <n v="0"/>
    <n v="0"/>
    <n v="0"/>
    <n v="0"/>
    <m/>
    <m/>
    <s v="Rest of Borough"/>
    <n v="10"/>
    <m/>
    <m/>
    <m/>
    <m/>
    <n v="1.3333333333333333"/>
    <n v="1.3333333333333333"/>
    <n v="1.3333333333333333"/>
    <m/>
    <m/>
    <m/>
    <m/>
    <m/>
    <m/>
    <m/>
    <m/>
    <m/>
    <m/>
    <m/>
    <m/>
    <m/>
    <n v="2.6666666666666665"/>
    <n v="4"/>
  </r>
  <r>
    <n v="7298"/>
    <x v="2"/>
    <s v="2019/4666"/>
    <s v="206 Mitcham Road"/>
    <s v="House"/>
    <n v="527967"/>
    <n v="170922"/>
    <s v="Tooting Broadway"/>
    <m/>
    <m/>
    <n v="0"/>
    <n v="1"/>
    <n v="1"/>
    <n v="9"/>
    <n v="5"/>
    <m/>
    <s v="Demolition of the existing building and the erection of a four-storey building (plus basement) to provide 8 No. flats 1 x studio, 3 x 1-bedroom; 2 x 2-bedroom and 2 x 3-bedroom) and the erection of a single-storey building (plus basement) to provide a 1 x 3-bedroom dwellinghhouse in the rear courtyard with associated cycle parking, refuse storage and landscaping."/>
    <s v="PF"/>
    <d v="2019-11-19T00:00:00"/>
    <d v="2020-12-22T00:00:00"/>
    <m/>
    <s v="Nil"/>
    <m/>
    <s v="BF"/>
    <s v="NB"/>
    <x v="2"/>
    <x v="3"/>
    <n v="1.0999999999999999E-2"/>
    <m/>
    <x v="0"/>
    <m/>
    <s v="Open Market"/>
    <s v="M"/>
    <s v=""/>
    <m/>
    <m/>
    <m/>
    <m/>
    <m/>
    <n v="0"/>
    <n v="0"/>
    <n v="0"/>
    <n v="1"/>
    <n v="0"/>
    <n v="0"/>
    <n v="0"/>
    <n v="0"/>
    <n v="0"/>
    <n v="0"/>
    <n v="0"/>
    <n v="0"/>
    <n v="0"/>
    <n v="0"/>
    <n v="0"/>
    <n v="0"/>
    <n v="0"/>
    <n v="1"/>
    <n v="0"/>
    <n v="0"/>
    <n v="0"/>
    <n v="0"/>
    <n v="0"/>
    <n v="0"/>
    <n v="0"/>
    <n v="0"/>
    <n v="0"/>
    <n v="0"/>
    <m/>
    <m/>
    <s v="Rest of Borough"/>
    <n v="10"/>
    <m/>
    <m/>
    <m/>
    <m/>
    <n v="0.33333333333333331"/>
    <n v="0.33333333333333331"/>
    <n v="0.33333333333333331"/>
    <m/>
    <m/>
    <m/>
    <m/>
    <m/>
    <m/>
    <m/>
    <m/>
    <m/>
    <m/>
    <m/>
    <m/>
    <m/>
    <n v="0.66666666666666663"/>
    <n v="1"/>
  </r>
  <r>
    <n v="6709"/>
    <x v="2"/>
    <s v="2019/4846"/>
    <s v="21 Lavender Hill"/>
    <s v=""/>
    <n v="528478"/>
    <n v="175737"/>
    <s v="Lavender"/>
    <m/>
    <m/>
    <n v="0"/>
    <n v="2"/>
    <n v="2"/>
    <n v="2"/>
    <n v="2"/>
    <m/>
    <s v="Determination as to whether prior approval is required for change of use from hot food takeaway (Class A5) to residential (Class C3) to provide 2 x 1-bedroom flats with associated external alteration side elevation."/>
    <s v="PAG"/>
    <d v="2019-11-15T00:00:00"/>
    <d v="2020-01-02T00:00:00"/>
    <m/>
    <s v="Nil"/>
    <m/>
    <s v="BF"/>
    <s v="COU"/>
    <x v="2"/>
    <x v="8"/>
    <n v="7.0000000000000001E-3"/>
    <m/>
    <x v="0"/>
    <m/>
    <s v="Open Market"/>
    <s v="M"/>
    <s v=""/>
    <m/>
    <m/>
    <m/>
    <m/>
    <m/>
    <n v="0"/>
    <n v="2"/>
    <n v="0"/>
    <n v="0"/>
    <n v="0"/>
    <n v="0"/>
    <n v="0"/>
    <n v="0"/>
    <n v="2"/>
    <n v="0"/>
    <n v="0"/>
    <n v="0"/>
    <n v="0"/>
    <n v="0"/>
    <n v="0"/>
    <n v="0"/>
    <n v="0"/>
    <n v="0"/>
    <n v="0"/>
    <n v="0"/>
    <n v="0"/>
    <n v="0"/>
    <n v="0"/>
    <n v="0"/>
    <n v="0"/>
    <n v="0"/>
    <n v="0"/>
    <n v="0"/>
    <m/>
    <m/>
    <s v="Rest of Borough"/>
    <n v="15"/>
    <m/>
    <n v="0.5"/>
    <n v="0.5"/>
    <n v="0.5"/>
    <n v="0.5"/>
    <m/>
    <m/>
    <m/>
    <m/>
    <m/>
    <m/>
    <m/>
    <m/>
    <m/>
    <m/>
    <m/>
    <m/>
    <m/>
    <m/>
    <m/>
    <n v="2"/>
    <n v="2"/>
  </r>
  <r>
    <n v="6953"/>
    <x v="2"/>
    <s v="2019/4849"/>
    <s v="890 Garratt Lane"/>
    <s v="CoU"/>
    <n v="527131"/>
    <n v="171625"/>
    <s v="Tooting Broadway"/>
    <d v="2019-03-31T00:00:00"/>
    <m/>
    <n v="0"/>
    <n v="1"/>
    <n v="1"/>
    <n v="3"/>
    <n v="2"/>
    <m/>
    <s v="Change of use part ground floor form Financial and Professional Services (Class A2) to residential (Class C3). Alterations including erection of single-storey side/rear extension in connection with provision of one self-contained 1 bedroom flat. Erection of first floor rear extension. Erection of mansard roof extension to main rear roof (raising the ridge by 200mm) and erection of extension above part of two-storey rear addition with formation of roof terrace including 1.7m high obscured glazing in connection with the conversion of the first floor flat into 2 x 1 bedroom flats."/>
    <s v="PF"/>
    <d v="2019-12-04T00:00:00"/>
    <d v="2020-03-15T00:00:00"/>
    <m/>
    <s v="Nil"/>
    <m/>
    <s v="BF"/>
    <s v="MIX"/>
    <x v="2"/>
    <x v="6"/>
    <n v="5.0000000000000001E-3"/>
    <m/>
    <x v="0"/>
    <m/>
    <s v="Open Market"/>
    <s v="M"/>
    <s v=""/>
    <m/>
    <m/>
    <m/>
    <m/>
    <m/>
    <n v="0"/>
    <n v="1"/>
    <n v="0"/>
    <n v="0"/>
    <n v="0"/>
    <n v="0"/>
    <n v="0"/>
    <n v="0"/>
    <n v="1"/>
    <n v="0"/>
    <n v="0"/>
    <n v="0"/>
    <n v="0"/>
    <n v="0"/>
    <n v="0"/>
    <n v="0"/>
    <n v="0"/>
    <n v="0"/>
    <n v="0"/>
    <n v="0"/>
    <n v="0"/>
    <n v="0"/>
    <n v="0"/>
    <n v="0"/>
    <n v="0"/>
    <n v="0"/>
    <n v="0"/>
    <n v="0"/>
    <m/>
    <m/>
    <s v="Rest of Borough"/>
    <n v="15"/>
    <m/>
    <n v="0.25"/>
    <n v="0.25"/>
    <n v="0.25"/>
    <n v="0.25"/>
    <m/>
    <m/>
    <m/>
    <m/>
    <m/>
    <m/>
    <m/>
    <m/>
    <m/>
    <m/>
    <m/>
    <m/>
    <m/>
    <m/>
    <m/>
    <n v="1"/>
    <n v="1"/>
  </r>
  <r>
    <n v="7118"/>
    <x v="2"/>
    <s v="2019/4906"/>
    <s v="36 Graveney Road"/>
    <s v=""/>
    <n v="527344"/>
    <n v="171674"/>
    <s v="Tooting Broadway"/>
    <m/>
    <m/>
    <n v="1"/>
    <n v="0"/>
    <n v="-1"/>
    <n v="0"/>
    <n v="-1"/>
    <m/>
    <s v="Alterations in connection with change of use from House in Multiple Occupation (Class C4) to a large House in Multiple Occupation (Sui Generis) for 7 persons."/>
    <s v="PF"/>
    <d v="2019-02-20T00:00:00"/>
    <d v="2020-10-28T00:00:00"/>
    <m/>
    <s v="Nil"/>
    <m/>
    <s v="BF"/>
    <s v="COU"/>
    <x v="2"/>
    <x v="9"/>
    <n v="6.4000000000000001E-2"/>
    <m/>
    <x v="0"/>
    <m/>
    <s v="Open Market"/>
    <s v="M"/>
    <s v=""/>
    <m/>
    <m/>
    <m/>
    <m/>
    <m/>
    <n v="0"/>
    <n v="0"/>
    <n v="0"/>
    <n v="0"/>
    <n v="0"/>
    <n v="-1"/>
    <n v="0"/>
    <n v="0"/>
    <n v="0"/>
    <n v="0"/>
    <n v="0"/>
    <n v="0"/>
    <n v="-1"/>
    <n v="0"/>
    <n v="0"/>
    <n v="0"/>
    <n v="0"/>
    <n v="0"/>
    <n v="0"/>
    <n v="0"/>
    <n v="0"/>
    <n v="0"/>
    <n v="0"/>
    <n v="0"/>
    <n v="0"/>
    <n v="0"/>
    <n v="0"/>
    <n v="0"/>
    <m/>
    <m/>
    <s v="Rest of Borough"/>
    <n v="15"/>
    <m/>
    <n v="-0.25"/>
    <n v="-0.25"/>
    <n v="-0.25"/>
    <n v="-0.25"/>
    <m/>
    <m/>
    <m/>
    <m/>
    <m/>
    <m/>
    <m/>
    <m/>
    <m/>
    <m/>
    <m/>
    <m/>
    <m/>
    <m/>
    <m/>
    <n v="-1"/>
    <n v="-1"/>
  </r>
  <r>
    <n v="211"/>
    <x v="2"/>
    <s v="2019/4916"/>
    <s v="Land front of, 1-3 Candahar Road"/>
    <s v=""/>
    <n v="527282"/>
    <n v="176235"/>
    <s v="Falconbrook"/>
    <m/>
    <m/>
    <n v="0"/>
    <n v="1"/>
    <n v="1"/>
    <n v="1"/>
    <n v="1"/>
    <m/>
    <s v="Erection of three-storey three bedroom house with associated bin and cycle storage."/>
    <s v="PF"/>
    <d v="2019-12-05T00:00:00"/>
    <d v="2020-01-07T00:00:00"/>
    <m/>
    <s v="Nil"/>
    <m/>
    <s v="BF"/>
    <s v="NB"/>
    <x v="2"/>
    <x v="3"/>
    <n v="0.107"/>
    <m/>
    <x v="0"/>
    <m/>
    <s v="Open Market"/>
    <s v="M"/>
    <s v=""/>
    <m/>
    <m/>
    <m/>
    <m/>
    <m/>
    <n v="0"/>
    <n v="0"/>
    <n v="0"/>
    <n v="1"/>
    <n v="0"/>
    <n v="0"/>
    <n v="0"/>
    <n v="0"/>
    <n v="0"/>
    <n v="0"/>
    <n v="0"/>
    <n v="0"/>
    <n v="0"/>
    <n v="0"/>
    <n v="0"/>
    <n v="0"/>
    <n v="0"/>
    <n v="1"/>
    <n v="0"/>
    <n v="0"/>
    <n v="0"/>
    <n v="0"/>
    <n v="0"/>
    <n v="0"/>
    <n v="0"/>
    <n v="0"/>
    <n v="0"/>
    <n v="0"/>
    <m/>
    <m/>
    <s v="Rest of Borough"/>
    <n v="7"/>
    <m/>
    <m/>
    <n v="0.25"/>
    <n v="0.25"/>
    <n v="0.25"/>
    <n v="0.25"/>
    <m/>
    <m/>
    <m/>
    <m/>
    <m/>
    <m/>
    <m/>
    <m/>
    <m/>
    <m/>
    <m/>
    <m/>
    <m/>
    <m/>
    <n v="1"/>
    <n v="1"/>
  </r>
  <r>
    <n v="6280"/>
    <x v="2"/>
    <s v="2019/5092"/>
    <s v="Belvedere Court, 372-374 Upper Richmond Road"/>
    <s v=""/>
    <n v="523210"/>
    <n v="175380"/>
    <s v="West Putney"/>
    <m/>
    <m/>
    <n v="0"/>
    <n v="9"/>
    <n v="9"/>
    <n v="9"/>
    <n v="9"/>
    <m/>
    <s v="Alterations including extension to main roof for the creation of 6 X 2 bedroom, 2 X 1 bedroom and 1 X 3 bedroom flats at 6th and 7th floor level.. Associated landscaping and refuse provision. Formation of additional 9 parking spaces."/>
    <s v="PF"/>
    <d v="2019-12-16T00:00:00"/>
    <d v="2020-06-18T00:00:00"/>
    <m/>
    <s v="Nil"/>
    <m/>
    <s v="BF"/>
    <s v="EXT"/>
    <x v="2"/>
    <x v="7"/>
    <n v="3.9E-2"/>
    <m/>
    <x v="0"/>
    <m/>
    <s v="Open Market"/>
    <s v="M"/>
    <s v=""/>
    <m/>
    <m/>
    <m/>
    <m/>
    <m/>
    <n v="0"/>
    <n v="2"/>
    <n v="6"/>
    <n v="1"/>
    <n v="0"/>
    <n v="0"/>
    <n v="0"/>
    <n v="0"/>
    <n v="2"/>
    <n v="6"/>
    <n v="1"/>
    <n v="0"/>
    <n v="0"/>
    <n v="0"/>
    <n v="0"/>
    <n v="0"/>
    <n v="0"/>
    <n v="0"/>
    <n v="0"/>
    <n v="0"/>
    <n v="0"/>
    <n v="0"/>
    <n v="0"/>
    <n v="0"/>
    <n v="0"/>
    <n v="0"/>
    <n v="0"/>
    <n v="0"/>
    <m/>
    <m/>
    <s v="Rest of Borough"/>
    <n v="18"/>
    <m/>
    <n v="2.25"/>
    <n v="2.25"/>
    <n v="2.25"/>
    <n v="2.25"/>
    <m/>
    <m/>
    <m/>
    <m/>
    <m/>
    <m/>
    <m/>
    <m/>
    <m/>
    <m/>
    <m/>
    <m/>
    <m/>
    <m/>
    <m/>
    <n v="9"/>
    <n v="9"/>
  </r>
  <r>
    <n v="7036"/>
    <x v="2"/>
    <s v="2019/5259"/>
    <s v="2 Worcester Gardens"/>
    <s v=""/>
    <n v="527828"/>
    <n v="175000"/>
    <s v="Northcote"/>
    <m/>
    <m/>
    <n v="1"/>
    <n v="3"/>
    <n v="2"/>
    <n v="3"/>
    <n v="2"/>
    <m/>
    <s v="Alterations including erection of a rear roof extension and extension above part of  back addition; formation of a roof terrace with screen surround; erection first and second floor rear extensions; erection of a ground floor rear/side extension; excavation to enlarge existing basement and formation of front and rear lightwells, in connection with conversion to 1 x 2 bed and 2 x 3 bed self-contained flats."/>
    <s v="PF"/>
    <d v="2020-01-09T00:00:00"/>
    <d v="2020-04-28T00:00:00"/>
    <m/>
    <s v="Nil"/>
    <m/>
    <s v="BF"/>
    <s v="MIX"/>
    <x v="2"/>
    <x v="10"/>
    <n v="1.4E-2"/>
    <m/>
    <x v="0"/>
    <m/>
    <s v="Open Market"/>
    <s v="M"/>
    <s v=""/>
    <m/>
    <m/>
    <m/>
    <m/>
    <m/>
    <n v="0"/>
    <n v="0"/>
    <n v="1"/>
    <n v="2"/>
    <n v="-1"/>
    <n v="0"/>
    <n v="0"/>
    <n v="0"/>
    <n v="0"/>
    <n v="1"/>
    <n v="2"/>
    <n v="0"/>
    <n v="0"/>
    <n v="0"/>
    <n v="0"/>
    <n v="0"/>
    <n v="0"/>
    <n v="0"/>
    <n v="-1"/>
    <n v="0"/>
    <n v="0"/>
    <n v="0"/>
    <n v="0"/>
    <n v="0"/>
    <n v="0"/>
    <n v="0"/>
    <n v="0"/>
    <n v="0"/>
    <m/>
    <m/>
    <s v="Rest of Borough"/>
    <n v="15"/>
    <m/>
    <n v="0.5"/>
    <n v="0.5"/>
    <n v="0.5"/>
    <n v="0.5"/>
    <m/>
    <m/>
    <m/>
    <m/>
    <m/>
    <m/>
    <m/>
    <m/>
    <m/>
    <m/>
    <m/>
    <m/>
    <m/>
    <m/>
    <m/>
    <n v="2"/>
    <n v="2"/>
  </r>
  <r>
    <n v="1813"/>
    <x v="2"/>
    <s v="2019/5337"/>
    <s v="Electricity substation, Tilford Gardens"/>
    <s v="Dwelling 1 (2-storey)"/>
    <n v="523804"/>
    <n v="173079"/>
    <s v="West Hill"/>
    <m/>
    <m/>
    <n v="0"/>
    <n v="1"/>
    <n v="1"/>
    <n v="2"/>
    <n v="2"/>
    <m/>
    <s v="Alterations including relocation of electricity substation in connection with erection of 1 x two storey 3-bedroom and 1 x three-storey 3-bedroom houses with first floor level terrace, associated parking and refuse/cycle storage."/>
    <s v="PF"/>
    <d v="2020-01-14T00:00:00"/>
    <d v="2020-04-02T00:00:00"/>
    <m/>
    <s v="Nil"/>
    <m/>
    <s v="BF"/>
    <s v="NB"/>
    <x v="2"/>
    <x v="3"/>
    <n v="3.7999999999999999E-2"/>
    <m/>
    <x v="0"/>
    <m/>
    <s v="Open Market"/>
    <s v="M"/>
    <s v=""/>
    <m/>
    <m/>
    <m/>
    <m/>
    <m/>
    <n v="0"/>
    <n v="0"/>
    <n v="0"/>
    <n v="1"/>
    <n v="0"/>
    <n v="0"/>
    <n v="0"/>
    <n v="0"/>
    <n v="0"/>
    <n v="0"/>
    <n v="0"/>
    <n v="0"/>
    <n v="0"/>
    <n v="0"/>
    <n v="0"/>
    <n v="0"/>
    <n v="0"/>
    <n v="1"/>
    <n v="0"/>
    <n v="0"/>
    <n v="0"/>
    <n v="0"/>
    <n v="0"/>
    <n v="0"/>
    <n v="0"/>
    <n v="0"/>
    <n v="0"/>
    <n v="0"/>
    <m/>
    <m/>
    <s v="Rest of Borough"/>
    <n v="7"/>
    <m/>
    <m/>
    <n v="0.25"/>
    <n v="0.25"/>
    <n v="0.25"/>
    <n v="0.25"/>
    <m/>
    <m/>
    <m/>
    <m/>
    <m/>
    <m/>
    <m/>
    <m/>
    <m/>
    <m/>
    <m/>
    <m/>
    <m/>
    <m/>
    <n v="1"/>
    <n v="1"/>
  </r>
  <r>
    <n v="1813"/>
    <x v="2"/>
    <s v="2019/5337"/>
    <s v="Electricity substation, Tilford Gardens"/>
    <s v="Dwelling 2 (3-storey)"/>
    <n v="523804"/>
    <n v="173079"/>
    <s v="West Hill"/>
    <m/>
    <m/>
    <n v="0"/>
    <n v="1"/>
    <n v="1"/>
    <n v="2"/>
    <n v="2"/>
    <m/>
    <s v="Alterations including relocation of electricity substation in connection with erection of 1 x two storey 3-bedroom and 1 x three-storey 3-bedroom houses with first floor level terrace, associated parking and refuse/cycle storage."/>
    <s v="PF"/>
    <d v="2020-01-14T00:00:00"/>
    <d v="2020-04-02T00:00:00"/>
    <m/>
    <s v="Nil"/>
    <m/>
    <s v="BF"/>
    <s v="NB"/>
    <x v="2"/>
    <x v="3"/>
    <n v="3.2000000000000001E-2"/>
    <m/>
    <x v="0"/>
    <m/>
    <s v="Open Market"/>
    <s v="M"/>
    <s v=""/>
    <m/>
    <m/>
    <m/>
    <m/>
    <m/>
    <n v="0"/>
    <n v="0"/>
    <n v="0"/>
    <n v="1"/>
    <n v="0"/>
    <n v="0"/>
    <n v="0"/>
    <n v="0"/>
    <n v="0"/>
    <n v="0"/>
    <n v="0"/>
    <n v="0"/>
    <n v="0"/>
    <n v="0"/>
    <n v="0"/>
    <n v="0"/>
    <n v="0"/>
    <n v="1"/>
    <n v="0"/>
    <n v="0"/>
    <n v="0"/>
    <n v="0"/>
    <n v="0"/>
    <n v="0"/>
    <n v="0"/>
    <n v="0"/>
    <n v="0"/>
    <n v="0"/>
    <m/>
    <m/>
    <s v="Rest of Borough"/>
    <n v="7"/>
    <m/>
    <m/>
    <n v="0.25"/>
    <n v="0.25"/>
    <n v="0.25"/>
    <n v="0.25"/>
    <m/>
    <m/>
    <m/>
    <m/>
    <m/>
    <m/>
    <m/>
    <m/>
    <m/>
    <m/>
    <m/>
    <m/>
    <m/>
    <m/>
    <n v="1"/>
    <n v="1"/>
  </r>
  <r>
    <n v="3268"/>
    <x v="2"/>
    <s v="2019/5429"/>
    <s v="Land adjoining 37, Gracedale Road"/>
    <s v=""/>
    <n v="528819"/>
    <n v="171232"/>
    <s v="Furzedown"/>
    <m/>
    <m/>
    <n v="0"/>
    <n v="1"/>
    <n v="1"/>
    <n v="1"/>
    <n v="1"/>
    <m/>
    <s v="Erection of a single-storey 2-bedroom dwelling house with basement."/>
    <s v="PF"/>
    <d v="2020-01-15T00:00:00"/>
    <d v="2020-02-10T00:00:00"/>
    <m/>
    <s v="Nil"/>
    <m/>
    <s v="BF"/>
    <s v="NB"/>
    <x v="2"/>
    <x v="3"/>
    <n v="8.0000000000000002E-3"/>
    <m/>
    <x v="0"/>
    <m/>
    <s v="Open Market"/>
    <s v="M"/>
    <s v=""/>
    <m/>
    <m/>
    <m/>
    <m/>
    <m/>
    <n v="0"/>
    <n v="0"/>
    <n v="1"/>
    <n v="0"/>
    <n v="0"/>
    <n v="0"/>
    <n v="0"/>
    <n v="0"/>
    <n v="0"/>
    <n v="0"/>
    <n v="0"/>
    <n v="0"/>
    <n v="0"/>
    <n v="0"/>
    <n v="0"/>
    <n v="0"/>
    <n v="1"/>
    <n v="0"/>
    <n v="0"/>
    <n v="0"/>
    <n v="0"/>
    <n v="0"/>
    <n v="0"/>
    <n v="0"/>
    <n v="0"/>
    <n v="0"/>
    <n v="0"/>
    <n v="0"/>
    <m/>
    <m/>
    <s v="Rest of Borough"/>
    <n v="7"/>
    <m/>
    <m/>
    <n v="0.25"/>
    <n v="0.25"/>
    <n v="0.25"/>
    <n v="0.25"/>
    <m/>
    <m/>
    <m/>
    <m/>
    <m/>
    <m/>
    <m/>
    <m/>
    <m/>
    <m/>
    <m/>
    <m/>
    <m/>
    <m/>
    <n v="1"/>
    <n v="1"/>
  </r>
  <r>
    <n v="5684"/>
    <x v="2"/>
    <s v="2019/5524"/>
    <s v="20 Routh Road"/>
    <s v=""/>
    <n v="527218"/>
    <n v="173669"/>
    <s v="Wandsworth Common"/>
    <m/>
    <m/>
    <n v="1"/>
    <n v="1"/>
    <n v="0"/>
    <n v="1"/>
    <n v="0"/>
    <m/>
    <s v="Demolition of existing property; erection of replacement two-storey house with accommodation at roof level."/>
    <s v="PF"/>
    <d v="2020-01-21T00:00:00"/>
    <d v="2020-02-27T00:00:00"/>
    <m/>
    <s v="Nil"/>
    <m/>
    <s v="BF"/>
    <s v="NB"/>
    <x v="2"/>
    <x v="3"/>
    <n v="4.7E-2"/>
    <m/>
    <x v="0"/>
    <m/>
    <s v="Open Market"/>
    <s v="M"/>
    <s v=""/>
    <m/>
    <m/>
    <m/>
    <m/>
    <m/>
    <n v="0"/>
    <n v="0"/>
    <n v="0"/>
    <n v="-1"/>
    <n v="1"/>
    <n v="0"/>
    <n v="0"/>
    <n v="0"/>
    <n v="0"/>
    <n v="0"/>
    <n v="0"/>
    <n v="0"/>
    <n v="0"/>
    <n v="0"/>
    <n v="0"/>
    <n v="0"/>
    <n v="0"/>
    <n v="-1"/>
    <n v="1"/>
    <n v="0"/>
    <n v="0"/>
    <n v="0"/>
    <n v="0"/>
    <n v="0"/>
    <n v="0"/>
    <n v="0"/>
    <n v="0"/>
    <n v="0"/>
    <m/>
    <m/>
    <s v="Rest of Borough"/>
    <n v="7"/>
    <m/>
    <m/>
    <n v="0"/>
    <n v="0"/>
    <n v="0"/>
    <n v="0"/>
    <m/>
    <m/>
    <m/>
    <m/>
    <m/>
    <m/>
    <m/>
    <m/>
    <m/>
    <m/>
    <m/>
    <m/>
    <m/>
    <m/>
    <n v="0"/>
    <n v="0"/>
  </r>
  <r>
    <n v="2552"/>
    <x v="2"/>
    <s v="2020/0107"/>
    <s v="14-16 Tooting High Street (Flats 1-9 &amp; 12-15)"/>
    <s v=""/>
    <n v="527504"/>
    <n v="171615"/>
    <s v="Tooting Broadway"/>
    <m/>
    <m/>
    <n v="0"/>
    <n v="1"/>
    <n v="1"/>
    <n v="1"/>
    <n v="1"/>
    <m/>
    <s v="Alterations including erection of rear roof extension and formation of roof terrace with 1.8m high screen surround in connection with creation of studio flat on third floor."/>
    <s v="PF"/>
    <d v="2020-02-20T00:00:00"/>
    <d v="2020-04-13T00:00:00"/>
    <m/>
    <s v="Nil"/>
    <m/>
    <s v="BF"/>
    <s v="EXT"/>
    <x v="2"/>
    <x v="7"/>
    <n v="1E-3"/>
    <m/>
    <x v="0"/>
    <m/>
    <s v="Open Market"/>
    <s v="M"/>
    <s v=""/>
    <m/>
    <m/>
    <m/>
    <m/>
    <m/>
    <n v="1"/>
    <n v="0"/>
    <n v="0"/>
    <n v="0"/>
    <n v="0"/>
    <n v="0"/>
    <n v="0"/>
    <n v="1"/>
    <n v="0"/>
    <n v="0"/>
    <n v="0"/>
    <n v="0"/>
    <n v="0"/>
    <n v="0"/>
    <n v="0"/>
    <n v="0"/>
    <n v="0"/>
    <n v="0"/>
    <n v="0"/>
    <n v="0"/>
    <n v="0"/>
    <n v="0"/>
    <n v="0"/>
    <n v="0"/>
    <n v="0"/>
    <n v="0"/>
    <n v="0"/>
    <n v="0"/>
    <s v="Tooting"/>
    <m/>
    <s v="Tooting"/>
    <n v="15"/>
    <m/>
    <n v="0.25"/>
    <n v="0.25"/>
    <n v="0.25"/>
    <n v="0.25"/>
    <m/>
    <m/>
    <m/>
    <m/>
    <m/>
    <m/>
    <m/>
    <m/>
    <m/>
    <m/>
    <m/>
    <m/>
    <m/>
    <m/>
    <m/>
    <n v="1"/>
    <n v="1"/>
  </r>
  <r>
    <n v="5123"/>
    <x v="2"/>
    <s v="2020/0258"/>
    <s v="48 Disraeli Road"/>
    <s v=""/>
    <n v="524195"/>
    <n v="175062"/>
    <s v="Thamesfield"/>
    <m/>
    <m/>
    <n v="2"/>
    <n v="1"/>
    <n v="-1"/>
    <n v="1"/>
    <n v="-1"/>
    <m/>
    <s v="Alterations including erection of a mansard roof extension above part of rear two-storey addition, single-storey rear extension and installation of front and rear rooflights to main roof; associated with the conversion to one dwelling from two flats."/>
    <s v="PF"/>
    <d v="2020-02-04T00:00:00"/>
    <d v="2020-03-26T00:00:00"/>
    <m/>
    <s v="Nil"/>
    <m/>
    <s v="BF"/>
    <s v="CON"/>
    <x v="2"/>
    <x v="11"/>
    <n v="1.9E-2"/>
    <m/>
    <x v="0"/>
    <m/>
    <s v="Open Market"/>
    <s v="M"/>
    <s v=""/>
    <m/>
    <m/>
    <m/>
    <m/>
    <m/>
    <n v="0"/>
    <n v="-1"/>
    <n v="0"/>
    <n v="-1"/>
    <n v="0"/>
    <n v="1"/>
    <n v="0"/>
    <n v="0"/>
    <n v="-1"/>
    <n v="0"/>
    <n v="-1"/>
    <n v="0"/>
    <n v="0"/>
    <n v="0"/>
    <n v="0"/>
    <n v="0"/>
    <n v="0"/>
    <n v="0"/>
    <n v="0"/>
    <n v="1"/>
    <n v="0"/>
    <n v="0"/>
    <n v="0"/>
    <n v="0"/>
    <n v="0"/>
    <n v="0"/>
    <n v="0"/>
    <n v="0"/>
    <m/>
    <m/>
    <s v="Putney"/>
    <n v="15"/>
    <m/>
    <n v="-0.25"/>
    <n v="-0.25"/>
    <n v="-0.25"/>
    <n v="-0.25"/>
    <m/>
    <m/>
    <m/>
    <m/>
    <m/>
    <m/>
    <m/>
    <m/>
    <m/>
    <m/>
    <m/>
    <m/>
    <m/>
    <m/>
    <m/>
    <n v="-1"/>
    <n v="-1"/>
  </r>
  <r>
    <n v="7342"/>
    <x v="2"/>
    <s v="2020/0301"/>
    <s v="Unit 1, Ivory House, Clove Hitch Quay (Plantation Wharf)"/>
    <s v=""/>
    <n v="526368"/>
    <n v="175721"/>
    <s v="St Mary's"/>
    <m/>
    <m/>
    <n v="0"/>
    <n v="3"/>
    <n v="3"/>
    <n v="3"/>
    <n v="3"/>
    <m/>
    <s v="Determination as to whether prior approval is required for change of use of office at ground floor level from (Class B1a) to residential (Class C3) to provide 1 x 2-bedroom flat and 2 x 1bedroom flats."/>
    <s v="PAG"/>
    <d v="2020-02-12T00:00:00"/>
    <d v="2020-03-16T00:00:00"/>
    <m/>
    <s v="Nil"/>
    <m/>
    <s v="BF"/>
    <s v="COU"/>
    <x v="2"/>
    <x v="6"/>
    <n v="8.0000000000000002E-3"/>
    <m/>
    <x v="0"/>
    <m/>
    <s v="Open Market"/>
    <s v="M"/>
    <s v=""/>
    <m/>
    <m/>
    <m/>
    <m/>
    <m/>
    <n v="0"/>
    <n v="2"/>
    <n v="1"/>
    <n v="0"/>
    <n v="0"/>
    <n v="0"/>
    <n v="0"/>
    <n v="0"/>
    <n v="2"/>
    <n v="1"/>
    <n v="0"/>
    <n v="0"/>
    <n v="0"/>
    <n v="0"/>
    <n v="0"/>
    <n v="0"/>
    <n v="0"/>
    <n v="0"/>
    <n v="0"/>
    <n v="0"/>
    <n v="0"/>
    <n v="0"/>
    <n v="0"/>
    <n v="0"/>
    <n v="0"/>
    <n v="0"/>
    <n v="0"/>
    <n v="0"/>
    <m/>
    <m/>
    <s v="Wandsworth riverside"/>
    <n v="15"/>
    <m/>
    <n v="0.75"/>
    <n v="0.75"/>
    <n v="0.75"/>
    <n v="0.75"/>
    <m/>
    <m/>
    <m/>
    <m/>
    <m/>
    <m/>
    <m/>
    <m/>
    <m/>
    <m/>
    <m/>
    <m/>
    <m/>
    <m/>
    <m/>
    <n v="3"/>
    <n v="3"/>
  </r>
  <r>
    <n v="7340"/>
    <x v="2"/>
    <s v="2020/0412"/>
    <s v="62 Lavender Hill"/>
    <s v=""/>
    <n v="528330"/>
    <n v="175742"/>
    <s v="Shaftesbury &amp; Queenstown"/>
    <m/>
    <m/>
    <n v="0"/>
    <n v="1"/>
    <n v="1"/>
    <n v="1"/>
    <n v="1"/>
    <m/>
    <s v="Alterations including part change of use of exisitng restaurant (Class A3) at ground and lower ground levels to create a one-bedroom flat (Class C3). Erection of dwarf wall and glass pavement lenses to front forecourt. Alteration to shop front entrance"/>
    <s v="PF"/>
    <d v="2020-02-13T00:00:00"/>
    <d v="2020-04-23T00:00:00"/>
    <m/>
    <s v="Nil"/>
    <m/>
    <s v="BF"/>
    <s v="MIX"/>
    <x v="2"/>
    <x v="8"/>
    <n v="7.0000000000000001E-3"/>
    <m/>
    <x v="0"/>
    <m/>
    <s v="Open Market"/>
    <s v="M"/>
    <s v=""/>
    <m/>
    <m/>
    <m/>
    <m/>
    <m/>
    <n v="0"/>
    <n v="1"/>
    <n v="0"/>
    <n v="0"/>
    <n v="0"/>
    <n v="0"/>
    <n v="0"/>
    <n v="0"/>
    <n v="1"/>
    <n v="0"/>
    <n v="0"/>
    <n v="0"/>
    <n v="0"/>
    <n v="0"/>
    <n v="0"/>
    <n v="0"/>
    <n v="0"/>
    <n v="0"/>
    <n v="0"/>
    <n v="0"/>
    <n v="0"/>
    <n v="0"/>
    <n v="0"/>
    <n v="0"/>
    <n v="0"/>
    <n v="0"/>
    <n v="0"/>
    <n v="0"/>
    <m/>
    <m/>
    <s v="Rest of Borough"/>
    <n v="15"/>
    <m/>
    <n v="0.25"/>
    <n v="0.25"/>
    <n v="0.25"/>
    <n v="0.25"/>
    <m/>
    <m/>
    <m/>
    <m/>
    <m/>
    <m/>
    <m/>
    <m/>
    <m/>
    <m/>
    <m/>
    <m/>
    <m/>
    <m/>
    <m/>
    <n v="1"/>
    <n v="1"/>
  </r>
  <r>
    <n v="7367"/>
    <x v="2"/>
    <s v="2020/0530"/>
    <s v="Coleman Court, Kimber Road"/>
    <s v="Extension"/>
    <n v="525438"/>
    <n v="173644"/>
    <s v="Southfields"/>
    <m/>
    <m/>
    <n v="0"/>
    <n v="20"/>
    <n v="20"/>
    <n v="23"/>
    <n v="22"/>
    <s v="Y"/>
    <s v="Erection of a fourth floor level  roof extension to provide 20 x 1-bedroomed flats; demolition of an existing single-storey courtyard dwelling and the erection of a replacement 3-storey block of 3 x 2 bedroomed flats.  Provision of associated bicycle and bin stores."/>
    <s v="PFLA"/>
    <d v="2020-03-25T00:00:00"/>
    <d v="2022-02-11T00:00:00"/>
    <m/>
    <s v="Nil"/>
    <m/>
    <s v="BF"/>
    <s v="MIX"/>
    <x v="6"/>
    <x v="0"/>
    <n v="0.11799999999999999"/>
    <m/>
    <x v="0"/>
    <m/>
    <s v="Open Market"/>
    <s v="M"/>
    <s v=""/>
    <m/>
    <m/>
    <m/>
    <m/>
    <m/>
    <n v="5"/>
    <n v="15"/>
    <n v="0"/>
    <n v="0"/>
    <n v="0"/>
    <n v="0"/>
    <n v="0"/>
    <n v="5"/>
    <n v="15"/>
    <n v="0"/>
    <n v="0"/>
    <n v="0"/>
    <n v="0"/>
    <n v="0"/>
    <n v="0"/>
    <n v="0"/>
    <n v="0"/>
    <n v="0"/>
    <n v="0"/>
    <n v="0"/>
    <n v="0"/>
    <n v="0"/>
    <n v="0"/>
    <n v="0"/>
    <n v="0"/>
    <n v="0"/>
    <n v="0"/>
    <n v="0"/>
    <m/>
    <m/>
    <s v="Wandle Valley"/>
    <n v="18"/>
    <m/>
    <n v="5"/>
    <n v="5"/>
    <n v="5"/>
    <n v="5"/>
    <m/>
    <m/>
    <m/>
    <m/>
    <m/>
    <m/>
    <m/>
    <m/>
    <m/>
    <m/>
    <m/>
    <m/>
    <m/>
    <m/>
    <m/>
    <n v="20"/>
    <n v="20"/>
  </r>
  <r>
    <n v="7367"/>
    <x v="2"/>
    <s v="2020/0530"/>
    <s v="Coleman Court, Kimber Road"/>
    <s v="New build"/>
    <n v="525438"/>
    <n v="173644"/>
    <s v="Southfields"/>
    <m/>
    <m/>
    <n v="1"/>
    <n v="3"/>
    <n v="2"/>
    <n v="23"/>
    <n v="22"/>
    <s v="Y"/>
    <s v="Erection of a fourth floor level  roof extension to provide 20 x 1-bedroomed flats; demolition of an existing single-storey courtyard dwelling and the erection of a replacement 3-storey block of 3 x 2 bedroomed flats.  Provision of associated bicycle and bin stores."/>
    <s v="PFLA"/>
    <d v="2020-03-25T00:00:00"/>
    <d v="2022-02-11T00:00:00"/>
    <m/>
    <s v="Nil"/>
    <m/>
    <s v="BF"/>
    <s v="MIX"/>
    <x v="1"/>
    <x v="0"/>
    <n v="2.1999999999999999E-2"/>
    <m/>
    <x v="0"/>
    <m/>
    <s v="Open Market"/>
    <s v="M"/>
    <s v=""/>
    <m/>
    <m/>
    <n v="3"/>
    <m/>
    <m/>
    <n v="0"/>
    <n v="0"/>
    <n v="2"/>
    <n v="0"/>
    <n v="0"/>
    <n v="0"/>
    <n v="0"/>
    <n v="0"/>
    <n v="0"/>
    <n v="3"/>
    <n v="0"/>
    <n v="0"/>
    <n v="0"/>
    <n v="0"/>
    <n v="0"/>
    <n v="0"/>
    <n v="-1"/>
    <n v="0"/>
    <n v="0"/>
    <n v="0"/>
    <n v="0"/>
    <n v="0"/>
    <n v="0"/>
    <n v="0"/>
    <n v="0"/>
    <n v="0"/>
    <n v="0"/>
    <n v="0"/>
    <m/>
    <m/>
    <s v="Wandle Valley"/>
    <n v="18"/>
    <m/>
    <n v="0.5"/>
    <n v="0.5"/>
    <n v="0.5"/>
    <n v="0.5"/>
    <m/>
    <m/>
    <m/>
    <m/>
    <m/>
    <m/>
    <m/>
    <m/>
    <m/>
    <m/>
    <m/>
    <m/>
    <m/>
    <m/>
    <m/>
    <n v="2"/>
    <n v="2"/>
  </r>
  <r>
    <n v="4043"/>
    <x v="2"/>
    <s v="2020/0599"/>
    <s v="184 Northcote Road"/>
    <s v=""/>
    <n v="527663"/>
    <n v="174334"/>
    <s v="Northcote"/>
    <m/>
    <m/>
    <n v="0"/>
    <n v="1"/>
    <n v="1"/>
    <n v="1"/>
    <n v="1"/>
    <m/>
    <s v="Determination as to whether prior approval is required for change of use of rear part of ground and first floors from retail (Class A1) to 1 x 2-bedroom flat (Class C3), with associated external alterations including installation of windows."/>
    <s v="PANR"/>
    <d v="2020-02-26T00:00:00"/>
    <d v="2020-04-09T00:00:00"/>
    <m/>
    <s v="Nil"/>
    <m/>
    <s v="BF"/>
    <s v="COU"/>
    <x v="2"/>
    <x v="4"/>
    <n v="4.0000000000000001E-3"/>
    <m/>
    <x v="0"/>
    <m/>
    <s v="Open Market"/>
    <s v="M"/>
    <s v=""/>
    <m/>
    <m/>
    <m/>
    <m/>
    <m/>
    <n v="0"/>
    <n v="0"/>
    <n v="1"/>
    <n v="0"/>
    <n v="0"/>
    <n v="0"/>
    <n v="0"/>
    <n v="0"/>
    <n v="0"/>
    <n v="1"/>
    <n v="0"/>
    <n v="0"/>
    <n v="0"/>
    <n v="0"/>
    <n v="0"/>
    <n v="0"/>
    <n v="0"/>
    <n v="0"/>
    <n v="0"/>
    <n v="0"/>
    <n v="0"/>
    <n v="0"/>
    <n v="0"/>
    <n v="0"/>
    <n v="0"/>
    <n v="0"/>
    <n v="0"/>
    <n v="0"/>
    <m/>
    <m/>
    <s v="Rest of Borough"/>
    <n v="15"/>
    <m/>
    <n v="0.25"/>
    <n v="0.25"/>
    <n v="0.25"/>
    <n v="0.25"/>
    <m/>
    <m/>
    <m/>
    <m/>
    <m/>
    <m/>
    <m/>
    <m/>
    <m/>
    <m/>
    <m/>
    <m/>
    <m/>
    <m/>
    <m/>
    <n v="1"/>
    <n v="1"/>
  </r>
  <r>
    <n v="7358"/>
    <x v="2"/>
    <s v="2020/0679"/>
    <s v="Units 3 to 8 Windward House, Square Rigger Row"/>
    <s v=""/>
    <n v="526467"/>
    <n v="175725"/>
    <s v="St Mary's"/>
    <m/>
    <m/>
    <n v="0"/>
    <n v="6"/>
    <n v="6"/>
    <n v="6"/>
    <n v="6"/>
    <m/>
    <s v="Determination as to whether prior approval is required for change of use from office (Class B1a) to 3 x 2-bedroom flats and 3 x 1-bedroom flats (Class C3)."/>
    <s v="PAG"/>
    <d v="2020-03-05T00:00:00"/>
    <d v="2020-04-17T00:00:00"/>
    <m/>
    <s v="Nil"/>
    <m/>
    <s v="BF"/>
    <s v="COU"/>
    <x v="2"/>
    <x v="6"/>
    <n v="1.4999999999999999E-2"/>
    <m/>
    <x v="0"/>
    <m/>
    <s v="Open Market"/>
    <s v="M"/>
    <s v=""/>
    <m/>
    <m/>
    <m/>
    <m/>
    <m/>
    <n v="0"/>
    <n v="3"/>
    <n v="3"/>
    <n v="0"/>
    <n v="0"/>
    <n v="0"/>
    <n v="0"/>
    <n v="0"/>
    <n v="3"/>
    <n v="3"/>
    <n v="0"/>
    <n v="0"/>
    <n v="0"/>
    <n v="0"/>
    <n v="0"/>
    <n v="0"/>
    <n v="0"/>
    <n v="0"/>
    <n v="0"/>
    <n v="0"/>
    <n v="0"/>
    <n v="0"/>
    <n v="0"/>
    <n v="0"/>
    <n v="0"/>
    <n v="0"/>
    <n v="0"/>
    <n v="0"/>
    <m/>
    <m/>
    <s v="Wandsworth riverside"/>
    <n v="18"/>
    <m/>
    <n v="1.5"/>
    <n v="1.5"/>
    <n v="1.5"/>
    <n v="1.5"/>
    <m/>
    <m/>
    <m/>
    <m/>
    <m/>
    <m/>
    <m/>
    <m/>
    <m/>
    <m/>
    <m/>
    <m/>
    <m/>
    <m/>
    <m/>
    <n v="6"/>
    <n v="6"/>
  </r>
  <r>
    <n v="5802"/>
    <x v="2"/>
    <s v="2020/0680"/>
    <s v="Units 2-8 &amp; 11-14 Port House, Square Rigger Row (Plantation Wharf)"/>
    <s v=""/>
    <n v="526505"/>
    <n v="175773"/>
    <s v="St Mary's"/>
    <m/>
    <m/>
    <n v="0"/>
    <n v="11"/>
    <n v="11"/>
    <n v="11"/>
    <n v="11"/>
    <s v="Y"/>
    <s v="Determination as to whether prior approval is required for change of use of office at ground to first floor from (Class B1) to residential (Class C3) to provide 7 x 1-bedroom flats and 4 x 2-bedroom flats."/>
    <s v="PAG"/>
    <d v="2020-02-26T00:00:00"/>
    <d v="2020-04-17T00:00:00"/>
    <m/>
    <s v="Nil"/>
    <m/>
    <s v="BF"/>
    <s v="COU"/>
    <x v="4"/>
    <x v="0"/>
    <n v="1.2999999999999999E-2"/>
    <m/>
    <x v="0"/>
    <m/>
    <s v="Open Market"/>
    <s v="M"/>
    <s v="10.15"/>
    <m/>
    <m/>
    <m/>
    <m/>
    <m/>
    <n v="0"/>
    <n v="7"/>
    <n v="4"/>
    <n v="0"/>
    <n v="0"/>
    <n v="0"/>
    <n v="0"/>
    <n v="0"/>
    <n v="7"/>
    <n v="4"/>
    <n v="0"/>
    <n v="0"/>
    <n v="0"/>
    <n v="0"/>
    <n v="0"/>
    <n v="0"/>
    <n v="0"/>
    <n v="0"/>
    <n v="0"/>
    <n v="0"/>
    <n v="0"/>
    <n v="0"/>
    <n v="0"/>
    <n v="0"/>
    <n v="0"/>
    <n v="0"/>
    <n v="0"/>
    <n v="0"/>
    <m/>
    <m/>
    <s v="Wandsworth riverside"/>
    <n v="18"/>
    <m/>
    <n v="2.75"/>
    <n v="2.75"/>
    <n v="2.75"/>
    <n v="2.75"/>
    <m/>
    <m/>
    <m/>
    <m/>
    <m/>
    <m/>
    <m/>
    <m/>
    <m/>
    <m/>
    <m/>
    <m/>
    <m/>
    <m/>
    <m/>
    <n v="11"/>
    <n v="11"/>
  </r>
  <r>
    <n v="5801"/>
    <x v="2"/>
    <s v="2020/0682"/>
    <s v="1 Leeward House, Square Rigger Row (Plantation Wharf)"/>
    <s v=""/>
    <n v="526534"/>
    <n v="175822"/>
    <s v="St Mary's"/>
    <m/>
    <m/>
    <n v="0"/>
    <n v="1"/>
    <n v="1"/>
    <n v="1"/>
    <n v="1"/>
    <m/>
    <s v="Determination as to whether prior approval is required for change of use from Office (Class B1) to 1 x 1-bedroom flat (Class C3)."/>
    <s v="PAG"/>
    <d v="2020-03-02T00:00:00"/>
    <d v="2020-04-17T00:00:00"/>
    <m/>
    <s v="Nil"/>
    <m/>
    <s v="BF"/>
    <s v="COU"/>
    <x v="2"/>
    <x v="6"/>
    <n v="4.0000000000000001E-3"/>
    <m/>
    <x v="0"/>
    <m/>
    <s v="Intermediate"/>
    <s v="IU"/>
    <s v="10.15"/>
    <m/>
    <m/>
    <m/>
    <m/>
    <m/>
    <n v="0"/>
    <n v="1"/>
    <n v="0"/>
    <n v="0"/>
    <n v="0"/>
    <n v="0"/>
    <n v="0"/>
    <n v="0"/>
    <n v="1"/>
    <n v="0"/>
    <n v="0"/>
    <n v="0"/>
    <n v="0"/>
    <n v="0"/>
    <n v="0"/>
    <n v="0"/>
    <n v="0"/>
    <n v="0"/>
    <n v="0"/>
    <n v="0"/>
    <n v="0"/>
    <n v="0"/>
    <n v="0"/>
    <n v="0"/>
    <n v="0"/>
    <n v="0"/>
    <n v="0"/>
    <n v="0"/>
    <m/>
    <m/>
    <s v="Wandsworth riverside"/>
    <n v="15"/>
    <m/>
    <n v="0.25"/>
    <n v="0.25"/>
    <n v="0.25"/>
    <n v="0.25"/>
    <m/>
    <m/>
    <m/>
    <m/>
    <m/>
    <m/>
    <m/>
    <m/>
    <m/>
    <m/>
    <m/>
    <m/>
    <m/>
    <m/>
    <m/>
    <n v="1"/>
    <n v="1"/>
  </r>
  <r>
    <n v="5605"/>
    <x v="2"/>
    <s v="2020/0683"/>
    <s v="Unit 2 Windward House, Square Rigger Row (Plantation Wharf)"/>
    <s v=""/>
    <n v="526468"/>
    <n v="175725"/>
    <s v="St Mary's"/>
    <m/>
    <m/>
    <n v="0"/>
    <n v="1"/>
    <n v="1"/>
    <n v="1"/>
    <n v="1"/>
    <m/>
    <s v="Determination as to whether prior approval is required for change of use from Office (Class B1a) to 1 x 2-bedroom flat (Class C3)."/>
    <s v="PAG"/>
    <d v="2020-03-05T00:00:00"/>
    <d v="2020-04-17T00:00:00"/>
    <m/>
    <s v="Nil"/>
    <m/>
    <s v="BF"/>
    <s v="COU"/>
    <x v="2"/>
    <x v="6"/>
    <n v="6.0000000000000001E-3"/>
    <m/>
    <x v="0"/>
    <m/>
    <s v="Open Market"/>
    <s v="M"/>
    <s v="10.15"/>
    <m/>
    <m/>
    <m/>
    <m/>
    <m/>
    <n v="0"/>
    <n v="0"/>
    <n v="1"/>
    <n v="0"/>
    <n v="0"/>
    <n v="0"/>
    <n v="0"/>
    <n v="0"/>
    <n v="0"/>
    <n v="1"/>
    <n v="0"/>
    <n v="0"/>
    <n v="0"/>
    <n v="0"/>
    <n v="0"/>
    <n v="0"/>
    <n v="0"/>
    <n v="0"/>
    <n v="0"/>
    <n v="0"/>
    <n v="0"/>
    <n v="0"/>
    <n v="0"/>
    <n v="0"/>
    <n v="0"/>
    <n v="0"/>
    <n v="0"/>
    <n v="0"/>
    <m/>
    <m/>
    <s v="Wandsworth riverside"/>
    <n v="15"/>
    <m/>
    <n v="0.25"/>
    <n v="0.25"/>
    <n v="0.25"/>
    <n v="0.25"/>
    <m/>
    <m/>
    <m/>
    <m/>
    <m/>
    <m/>
    <m/>
    <m/>
    <m/>
    <m/>
    <m/>
    <m/>
    <m/>
    <m/>
    <m/>
    <n v="1"/>
    <n v="1"/>
  </r>
  <r>
    <n v="5800"/>
    <x v="2"/>
    <s v="2020/0684"/>
    <s v="Units 1, 9 &amp; 10 Port House, Square Rigger Row (Plantation Wharf)"/>
    <s v=""/>
    <n v="526505"/>
    <n v="175773"/>
    <s v="St Mary's"/>
    <m/>
    <m/>
    <n v="0"/>
    <n v="3"/>
    <n v="3"/>
    <n v="3"/>
    <n v="3"/>
    <m/>
    <s v="Determination as to whether prior approval is required for change of use from office (Class B1a) to 3 x 1-bedroom flats (Class C3)."/>
    <s v="PAG"/>
    <d v="2020-03-05T00:00:00"/>
    <d v="2020-04-17T00:00:00"/>
    <m/>
    <s v="Nil"/>
    <m/>
    <s v="BF"/>
    <s v="COU"/>
    <x v="2"/>
    <x v="6"/>
    <n v="1.2999999999999999E-2"/>
    <m/>
    <x v="0"/>
    <m/>
    <s v="Open Market"/>
    <s v="M"/>
    <s v="10.15"/>
    <m/>
    <m/>
    <m/>
    <m/>
    <m/>
    <n v="0"/>
    <n v="3"/>
    <n v="0"/>
    <n v="0"/>
    <n v="0"/>
    <n v="0"/>
    <n v="0"/>
    <n v="0"/>
    <n v="3"/>
    <n v="0"/>
    <n v="0"/>
    <n v="0"/>
    <n v="0"/>
    <n v="0"/>
    <n v="0"/>
    <n v="0"/>
    <n v="0"/>
    <n v="0"/>
    <n v="0"/>
    <n v="0"/>
    <n v="0"/>
    <n v="0"/>
    <n v="0"/>
    <n v="0"/>
    <n v="0"/>
    <n v="0"/>
    <n v="0"/>
    <n v="0"/>
    <m/>
    <m/>
    <s v="Wandsworth riverside"/>
    <n v="15"/>
    <m/>
    <n v="0.75"/>
    <n v="0.75"/>
    <n v="0.75"/>
    <n v="0.75"/>
    <m/>
    <m/>
    <m/>
    <m/>
    <m/>
    <m/>
    <m/>
    <m/>
    <m/>
    <m/>
    <m/>
    <m/>
    <m/>
    <m/>
    <m/>
    <n v="3"/>
    <n v="3"/>
  </r>
  <r>
    <n v="5803"/>
    <x v="2"/>
    <s v="2020/0685"/>
    <s v="Units 2, 3, 4, 5, 6, &amp; 7 Leeward House, Square Rigger Row (Plantation Wharf)"/>
    <s v=""/>
    <n v="526534"/>
    <n v="175822"/>
    <s v="St Mary's"/>
    <m/>
    <m/>
    <n v="0"/>
    <n v="6"/>
    <n v="6"/>
    <n v="6"/>
    <n v="6"/>
    <m/>
    <s v="Determination as to whether prior approval is required for change of use from office (Class B1) to 6 x 1-bedroom flats (Class C3)."/>
    <s v="PAG"/>
    <d v="2020-03-02T00:00:00"/>
    <d v="2020-04-17T00:00:00"/>
    <m/>
    <s v="Nil"/>
    <m/>
    <s v="BF"/>
    <s v="COU"/>
    <x v="2"/>
    <x v="6"/>
    <n v="8.0000000000000002E-3"/>
    <m/>
    <x v="0"/>
    <m/>
    <s v="Open Market"/>
    <s v="M"/>
    <s v="10.15"/>
    <m/>
    <m/>
    <m/>
    <m/>
    <m/>
    <n v="0"/>
    <n v="6"/>
    <n v="0"/>
    <n v="0"/>
    <n v="0"/>
    <n v="0"/>
    <n v="0"/>
    <n v="0"/>
    <n v="6"/>
    <n v="0"/>
    <n v="0"/>
    <n v="0"/>
    <n v="0"/>
    <n v="0"/>
    <n v="0"/>
    <n v="0"/>
    <n v="0"/>
    <n v="0"/>
    <n v="0"/>
    <n v="0"/>
    <n v="0"/>
    <n v="0"/>
    <n v="0"/>
    <n v="0"/>
    <n v="0"/>
    <n v="0"/>
    <n v="0"/>
    <n v="0"/>
    <m/>
    <m/>
    <s v="Wandsworth riverside"/>
    <n v="18"/>
    <m/>
    <n v="1.5"/>
    <n v="1.5"/>
    <n v="1.5"/>
    <n v="1.5"/>
    <m/>
    <m/>
    <m/>
    <m/>
    <m/>
    <m/>
    <m/>
    <m/>
    <m/>
    <m/>
    <m/>
    <m/>
    <m/>
    <m/>
    <m/>
    <n v="6"/>
    <n v="6"/>
  </r>
  <r>
    <n v="5804"/>
    <x v="2"/>
    <s v="2020/0686"/>
    <s v="East &amp; West 1,2,3,4, &amp; 8, Square Rigger Row (Plantation Wharf)"/>
    <s v=""/>
    <n v="526485"/>
    <n v="175743"/>
    <s v="St Mary's"/>
    <m/>
    <m/>
    <n v="0"/>
    <n v="5"/>
    <n v="5"/>
    <n v="5"/>
    <n v="5"/>
    <m/>
    <s v="Determination as to whether prior approval is required for change of use from office (Class B1a) to 5 x 3-bedroom flats (Class C3)."/>
    <s v="PAG"/>
    <d v="2020-03-05T00:00:00"/>
    <d v="2020-04-17T00:00:00"/>
    <m/>
    <s v="Nil"/>
    <m/>
    <s v="BF"/>
    <s v="COU"/>
    <x v="2"/>
    <x v="6"/>
    <n v="3.5999999999999997E-2"/>
    <m/>
    <x v="0"/>
    <m/>
    <s v="Open Market"/>
    <s v="M"/>
    <s v="10.15"/>
    <m/>
    <m/>
    <m/>
    <m/>
    <m/>
    <n v="0"/>
    <n v="0"/>
    <n v="0"/>
    <n v="5"/>
    <n v="0"/>
    <n v="0"/>
    <n v="0"/>
    <n v="0"/>
    <n v="0"/>
    <n v="0"/>
    <n v="5"/>
    <n v="0"/>
    <n v="0"/>
    <n v="0"/>
    <n v="0"/>
    <n v="0"/>
    <n v="0"/>
    <n v="0"/>
    <n v="0"/>
    <n v="0"/>
    <n v="0"/>
    <n v="0"/>
    <n v="0"/>
    <n v="0"/>
    <n v="0"/>
    <n v="0"/>
    <n v="0"/>
    <n v="0"/>
    <m/>
    <m/>
    <s v="Wandsworth riverside"/>
    <n v="15"/>
    <m/>
    <n v="1.25"/>
    <n v="1.25"/>
    <n v="1.25"/>
    <n v="1.25"/>
    <m/>
    <m/>
    <m/>
    <m/>
    <m/>
    <m/>
    <m/>
    <m/>
    <m/>
    <m/>
    <m/>
    <m/>
    <m/>
    <m/>
    <m/>
    <n v="5"/>
    <n v="5"/>
  </r>
  <r>
    <n v="518"/>
    <x v="2"/>
    <s v="2020/0877"/>
    <s v="6-10 Mitcham Road"/>
    <s v="Block A"/>
    <n v="527485"/>
    <n v="171424"/>
    <s v="Tooting Broadway"/>
    <m/>
    <m/>
    <n v="4"/>
    <n v="5"/>
    <n v="1"/>
    <n v="9"/>
    <n v="5"/>
    <m/>
    <s v="Extension of the ground floor area for retail use. Extension of existing residential block of four dwellings at front of site to create additional storey (for 1 x 3-bed flat), with alterations to frontage and replacement shopfront. Construction of 4 x 2-bed flats to the rear of the site in a two-storey extension set above the extended ground floor retail unit, with associated roof terraces/balconies, communal courtyard, cycle storage and refuse storage."/>
    <s v="PF"/>
    <d v="2020-03-06T00:00:00"/>
    <d v="2020-07-01T00:00:00"/>
    <m/>
    <s v="Nil"/>
    <m/>
    <s v="BF"/>
    <s v="MIX"/>
    <x v="2"/>
    <x v="5"/>
    <n v="1.2E-2"/>
    <m/>
    <x v="0"/>
    <m/>
    <s v="Open Market"/>
    <s v="M"/>
    <s v=""/>
    <m/>
    <m/>
    <m/>
    <m/>
    <m/>
    <n v="0"/>
    <n v="2"/>
    <n v="-2"/>
    <n v="1"/>
    <n v="0"/>
    <n v="0"/>
    <n v="0"/>
    <n v="0"/>
    <n v="2"/>
    <n v="-2"/>
    <n v="1"/>
    <n v="0"/>
    <n v="0"/>
    <n v="0"/>
    <n v="0"/>
    <n v="0"/>
    <n v="0"/>
    <n v="0"/>
    <n v="0"/>
    <n v="0"/>
    <n v="0"/>
    <n v="0"/>
    <n v="0"/>
    <n v="0"/>
    <n v="0"/>
    <n v="0"/>
    <n v="0"/>
    <n v="0"/>
    <s v="Tooting"/>
    <m/>
    <s v="Tooting"/>
    <n v="18"/>
    <m/>
    <n v="0.25"/>
    <n v="0.25"/>
    <n v="0.25"/>
    <n v="0.25"/>
    <m/>
    <m/>
    <m/>
    <m/>
    <m/>
    <m/>
    <m/>
    <m/>
    <m/>
    <m/>
    <m/>
    <m/>
    <m/>
    <m/>
    <m/>
    <n v="1"/>
    <n v="1"/>
  </r>
  <r>
    <n v="518"/>
    <x v="2"/>
    <s v="2020/0877"/>
    <s v="6-10 Mitcham Road"/>
    <s v="Block B"/>
    <n v="527485"/>
    <n v="171424"/>
    <s v="Tooting Broadway"/>
    <m/>
    <m/>
    <n v="0"/>
    <n v="4"/>
    <n v="4"/>
    <n v="9"/>
    <n v="5"/>
    <m/>
    <s v="Extension of the ground floor area for retail use. Extension of existing residential block of four dwellings at front of site to create additional storey (for 1 x 3-bed flat), with alterations to frontage and replacement shopfront. Construction of 4 x 2-bed flats to the rear of the site in a two-storey extension set above the extended ground floor retail unit, with associated roof terraces/balconies, communal courtyard, cycle storage and refuse storage."/>
    <s v="PF"/>
    <d v="2020-03-06T00:00:00"/>
    <d v="2020-07-01T00:00:00"/>
    <m/>
    <s v="Nil"/>
    <m/>
    <s v="BF"/>
    <s v="MIX"/>
    <x v="2"/>
    <x v="7"/>
    <n v="8.9999999999999993E-3"/>
    <m/>
    <x v="0"/>
    <m/>
    <s v="Open Market"/>
    <s v="M"/>
    <s v=""/>
    <m/>
    <m/>
    <m/>
    <m/>
    <m/>
    <n v="0"/>
    <n v="0"/>
    <n v="4"/>
    <n v="0"/>
    <n v="0"/>
    <n v="0"/>
    <n v="0"/>
    <n v="0"/>
    <n v="0"/>
    <n v="4"/>
    <n v="0"/>
    <n v="0"/>
    <n v="0"/>
    <n v="0"/>
    <n v="0"/>
    <n v="0"/>
    <n v="0"/>
    <n v="0"/>
    <n v="0"/>
    <n v="0"/>
    <n v="0"/>
    <n v="0"/>
    <n v="0"/>
    <n v="0"/>
    <n v="0"/>
    <n v="0"/>
    <n v="0"/>
    <n v="0"/>
    <s v="Tooting"/>
    <m/>
    <s v="Tooting"/>
    <n v="18"/>
    <m/>
    <n v="1"/>
    <n v="1"/>
    <n v="1"/>
    <n v="1"/>
    <m/>
    <m/>
    <m/>
    <m/>
    <m/>
    <m/>
    <m/>
    <m/>
    <m/>
    <m/>
    <m/>
    <m/>
    <m/>
    <m/>
    <m/>
    <n v="4"/>
    <n v="4"/>
  </r>
  <r>
    <n v="6022"/>
    <x v="2"/>
    <s v="2020/1076"/>
    <s v="Land rear of 240, 240 Battersea Bridge Road"/>
    <s v=""/>
    <n v="527477"/>
    <n v="176443"/>
    <s v="St Mary's"/>
    <m/>
    <m/>
    <n v="0"/>
    <n v="1"/>
    <n v="1"/>
    <n v="1"/>
    <n v="1"/>
    <m/>
    <s v="Demolition of single storey garage and erection of a two storey (with basement) 1 x 1 bed house. Re-consultation- updated drawings and reports received."/>
    <s v="PF"/>
    <d v="2020-04-09T00:00:00"/>
    <d v="2021-05-28T00:00:00"/>
    <m/>
    <s v="Nil"/>
    <m/>
    <s v="BF"/>
    <s v="NB"/>
    <x v="2"/>
    <x v="3"/>
    <n v="1.4E-2"/>
    <m/>
    <x v="0"/>
    <m/>
    <s v="Open Market"/>
    <s v="M"/>
    <s v=""/>
    <m/>
    <m/>
    <m/>
    <m/>
    <m/>
    <n v="0"/>
    <n v="1"/>
    <n v="0"/>
    <n v="0"/>
    <n v="0"/>
    <n v="0"/>
    <n v="0"/>
    <n v="0"/>
    <n v="0"/>
    <n v="0"/>
    <n v="0"/>
    <n v="0"/>
    <n v="0"/>
    <n v="0"/>
    <n v="0"/>
    <n v="1"/>
    <n v="0"/>
    <n v="0"/>
    <n v="0"/>
    <n v="0"/>
    <n v="0"/>
    <n v="0"/>
    <n v="0"/>
    <n v="0"/>
    <n v="0"/>
    <n v="0"/>
    <n v="0"/>
    <n v="0"/>
    <m/>
    <m/>
    <s v="Rest of Borough"/>
    <n v="7"/>
    <m/>
    <m/>
    <n v="0.25"/>
    <n v="0.25"/>
    <n v="0.25"/>
    <n v="0.25"/>
    <m/>
    <m/>
    <m/>
    <m/>
    <m/>
    <m/>
    <m/>
    <m/>
    <m/>
    <m/>
    <m/>
    <m/>
    <m/>
    <m/>
    <n v="1"/>
    <n v="1"/>
  </r>
  <r>
    <n v="7143"/>
    <x v="2"/>
    <s v="2020/1262"/>
    <s v="Land rear of, 94 Bolingbroke Grove"/>
    <s v=""/>
    <n v="527274"/>
    <n v="174744"/>
    <s v="Northcote"/>
    <m/>
    <m/>
    <n v="0"/>
    <n v="1"/>
    <n v="1"/>
    <n v="1"/>
    <n v="1"/>
    <m/>
    <s v="Demolition of existing garage and erection of two-storey (plus basement) 1-bedroom dwellinghouse."/>
    <s v="PF"/>
    <d v="2020-04-03T00:00:00"/>
    <d v="2020-08-13T00:00:00"/>
    <m/>
    <s v="Nil"/>
    <m/>
    <s v="BF"/>
    <s v="NB"/>
    <x v="2"/>
    <x v="3"/>
    <n v="2.8000000000000001E-2"/>
    <m/>
    <x v="0"/>
    <m/>
    <s v="Open Market"/>
    <s v="M"/>
    <s v=""/>
    <m/>
    <m/>
    <m/>
    <m/>
    <m/>
    <n v="0"/>
    <n v="1"/>
    <n v="0"/>
    <n v="0"/>
    <n v="0"/>
    <n v="0"/>
    <n v="0"/>
    <n v="0"/>
    <n v="0"/>
    <n v="0"/>
    <n v="0"/>
    <n v="0"/>
    <n v="0"/>
    <n v="0"/>
    <n v="0"/>
    <n v="1"/>
    <n v="0"/>
    <n v="0"/>
    <n v="0"/>
    <n v="0"/>
    <n v="0"/>
    <n v="0"/>
    <n v="0"/>
    <n v="0"/>
    <n v="0"/>
    <n v="0"/>
    <n v="0"/>
    <n v="0"/>
    <m/>
    <m/>
    <s v="Rest of Borough"/>
    <n v="7"/>
    <m/>
    <m/>
    <n v="0.25"/>
    <n v="0.25"/>
    <n v="0.25"/>
    <n v="0.25"/>
    <m/>
    <m/>
    <m/>
    <m/>
    <m/>
    <m/>
    <m/>
    <m/>
    <m/>
    <m/>
    <m/>
    <m/>
    <m/>
    <m/>
    <n v="1"/>
    <n v="1"/>
  </r>
  <r>
    <n v="3246"/>
    <x v="2"/>
    <s v="2020/1286"/>
    <s v="157 Lower Richmond Road"/>
    <s v=""/>
    <n v="523446"/>
    <n v="175860"/>
    <s v="Thamesfield"/>
    <m/>
    <m/>
    <n v="0"/>
    <n v="1"/>
    <n v="1"/>
    <n v="2"/>
    <n v="1"/>
    <m/>
    <s v="Alterations in connection with conversion of existing mansard roof extension to main rear roof and roof extension above part of two storey back addition into 1 x 1-bedroom flat."/>
    <s v="PF"/>
    <d v="2020-04-07T00:00:00"/>
    <d v="2020-06-01T00:00:00"/>
    <m/>
    <s v="Nil"/>
    <m/>
    <s v="BF"/>
    <s v="MIX"/>
    <x v="2"/>
    <x v="7"/>
    <n v="5.0000000000000001E-3"/>
    <m/>
    <x v="0"/>
    <m/>
    <s v="Open Market"/>
    <s v="M"/>
    <s v=""/>
    <m/>
    <m/>
    <m/>
    <m/>
    <m/>
    <n v="0"/>
    <n v="1"/>
    <n v="0"/>
    <n v="0"/>
    <n v="0"/>
    <n v="0"/>
    <n v="0"/>
    <n v="0"/>
    <n v="1"/>
    <n v="0"/>
    <n v="0"/>
    <n v="0"/>
    <n v="0"/>
    <n v="0"/>
    <n v="0"/>
    <n v="0"/>
    <n v="0"/>
    <n v="0"/>
    <n v="0"/>
    <n v="0"/>
    <n v="0"/>
    <n v="0"/>
    <n v="0"/>
    <n v="0"/>
    <n v="0"/>
    <n v="0"/>
    <n v="0"/>
    <n v="0"/>
    <m/>
    <m/>
    <s v="Rest of Borough"/>
    <n v="15"/>
    <m/>
    <n v="0.25"/>
    <n v="0.25"/>
    <n v="0.25"/>
    <n v="0.25"/>
    <m/>
    <m/>
    <m/>
    <m/>
    <m/>
    <m/>
    <m/>
    <m/>
    <m/>
    <m/>
    <m/>
    <m/>
    <m/>
    <m/>
    <m/>
    <n v="1"/>
    <n v="1"/>
  </r>
  <r>
    <n v="3246"/>
    <x v="2"/>
    <s v="2020/1286"/>
    <s v="157 Lower Richmond Road"/>
    <s v=""/>
    <n v="523446"/>
    <n v="175860"/>
    <s v="Thamesfield"/>
    <m/>
    <m/>
    <n v="1"/>
    <n v="1"/>
    <n v="0"/>
    <n v="2"/>
    <n v="1"/>
    <m/>
    <s v="Alterations in connection with conversion of existing mansard roof extension to main rear roof and roof extension above part of two storey back addition into 1 x 1-bedroom flat."/>
    <s v="PF"/>
    <d v="2020-04-07T00:00:00"/>
    <d v="2020-06-01T00:00:00"/>
    <m/>
    <s v="Nil"/>
    <m/>
    <s v="BF"/>
    <s v="MIX"/>
    <x v="2"/>
    <x v="1"/>
    <n v="4.0000000000000001E-3"/>
    <m/>
    <x v="0"/>
    <m/>
    <s v="Open Market"/>
    <s v="M"/>
    <s v=""/>
    <m/>
    <m/>
    <m/>
    <m/>
    <m/>
    <n v="0"/>
    <n v="1"/>
    <n v="-1"/>
    <n v="0"/>
    <n v="0"/>
    <n v="0"/>
    <n v="0"/>
    <n v="0"/>
    <n v="1"/>
    <n v="-1"/>
    <n v="0"/>
    <n v="0"/>
    <n v="0"/>
    <n v="0"/>
    <n v="0"/>
    <n v="0"/>
    <n v="0"/>
    <n v="0"/>
    <n v="0"/>
    <n v="0"/>
    <n v="0"/>
    <n v="0"/>
    <n v="0"/>
    <n v="0"/>
    <n v="0"/>
    <n v="0"/>
    <n v="0"/>
    <n v="0"/>
    <m/>
    <m/>
    <s v="Rest of Borough"/>
    <n v="15"/>
    <m/>
    <n v="0"/>
    <n v="0"/>
    <n v="0"/>
    <n v="0"/>
    <m/>
    <m/>
    <m/>
    <m/>
    <m/>
    <m/>
    <m/>
    <m/>
    <m/>
    <m/>
    <m/>
    <m/>
    <m/>
    <m/>
    <m/>
    <n v="0"/>
    <n v="0"/>
  </r>
  <r>
    <n v="5044"/>
    <x v="2"/>
    <s v="2020/1615"/>
    <s v="329-339 &amp; 45-53 Putney Bridge Road &amp; Putney High Street, Putney Bridge Road (The Blades)"/>
    <s v="Levellers Court (ISO)"/>
    <n v="524136"/>
    <n v="175435"/>
    <s v="Thamesfield"/>
    <d v="2022-07-06T00:00:00"/>
    <m/>
    <n v="0"/>
    <n v="33"/>
    <n v="33"/>
    <n v="123"/>
    <n v="121"/>
    <s v="Y"/>
    <s v="Variation of conditions 2 (In Accordance With Approved Drawings), 9 (External Plant) and 26 (Energy Statement) pursuant to planning permission dated 29/07/2019 ref 2017/1874 (Demolition of existing buildings and redevelopment of the site to provide a mixed use development in buildings ranging in height between 2 and 10 storeys plus basement, to provide 1158 sq.m. of retail use (Class A1), 64 sq.m. of cafe/restaurant use (Class A3), 1519 sq.m. of office use (Class B1), and 146 sq.m. of community floorspace (Class D1) use, together with 123 residential units of private and affordable tenure, comprising 115 flats and 8 mews houses, with 27 associated parking spaces (21 residential and 6 commercial) with access from Putney Bridge Road, cycle parking spaces, associated amenity space including balconies, terraces and first floor publicly accessible courtyard amenity area; landscaping and other associated works.) to allow a revised location for car lift, fire escape stairs and UKPN substations; increase in height to the central public square and first floor level of the main building; reconfiguration of retail units fronting Putney Bridge Road and relocation of residential entrance courtyard stair and public square access; minor adjustment to footprint of main building, and alterations to the location of NE and NW cores; alterations to flat layouts; revision to plan as part of revised energy strategy and associated elevational changes."/>
    <s v="S73"/>
    <d v="2020-05-11T00:00:00"/>
    <d v="2020-10-27T00:00:00"/>
    <m/>
    <s v="Nil"/>
    <m/>
    <s v="BF"/>
    <s v="NB"/>
    <x v="1"/>
    <x v="0"/>
    <n v="8.1000000000000003E-2"/>
    <m/>
    <x v="0"/>
    <m/>
    <s v="Intermediate"/>
    <s v="ISO"/>
    <s v="6.1.3"/>
    <m/>
    <m/>
    <m/>
    <m/>
    <n v="4"/>
    <n v="0"/>
    <n v="13"/>
    <n v="20"/>
    <n v="0"/>
    <n v="0"/>
    <n v="0"/>
    <n v="0"/>
    <n v="0"/>
    <n v="13"/>
    <n v="20"/>
    <n v="0"/>
    <n v="0"/>
    <n v="0"/>
    <n v="0"/>
    <n v="0"/>
    <n v="0"/>
    <n v="0"/>
    <n v="0"/>
    <n v="0"/>
    <n v="0"/>
    <n v="0"/>
    <n v="0"/>
    <n v="0"/>
    <n v="0"/>
    <n v="0"/>
    <n v="0"/>
    <n v="0"/>
    <n v="0"/>
    <s v="Putney"/>
    <m/>
    <s v="Putney"/>
    <n v="10"/>
    <m/>
    <m/>
    <m/>
    <m/>
    <n v="11"/>
    <n v="11"/>
    <n v="11"/>
    <m/>
    <m/>
    <m/>
    <m/>
    <m/>
    <m/>
    <m/>
    <m/>
    <m/>
    <m/>
    <m/>
    <m/>
    <m/>
    <n v="22"/>
    <n v="33"/>
  </r>
  <r>
    <n v="5044"/>
    <x v="2"/>
    <s v="2020/1615"/>
    <s v="329-339 &amp; 45-53 Putney Bridge Road &amp; Putney High Street, Putney Bridge Road (The Blades)"/>
    <s v="Levellers Court (private)"/>
    <n v="524136"/>
    <n v="175435"/>
    <s v="Thamesfield"/>
    <d v="2022-07-06T00:00:00"/>
    <m/>
    <n v="2"/>
    <n v="82"/>
    <n v="80"/>
    <n v="123"/>
    <n v="121"/>
    <s v="Y"/>
    <s v="Variation of conditions 2 (In Accordance With Approved Drawings), 9 (External Plant) and 26 (Energy Statement) pursuant to planning permission dated 29/07/2019 ref 2017/1874 (Demolition of existing buildings and redevelopment of the site to provide a mixed use development in buildings ranging in height between 2 and 10 storeys plus basement, to provide 1158 sq.m. of retail use (Class A1), 64 sq.m. of cafe/restaurant use (Class A3), 1519 sq.m. of office use (Class B1), and 146 sq.m. of community floorspace (Class D1) use, together with 123 residential units of private and affordable tenure, comprising 115 flats and 8 mews houses, with 27 associated parking spaces (21 residential and 6 commercial) with access from Putney Bridge Road, cycle parking spaces, associated amenity space including balconies, terraces and first floor publicly accessible courtyard amenity area; landscaping and other associated works.) to allow a revised location for car lift, fire escape stairs and UKPN substations; increase in height to the central public square and first floor level of the main building; reconfiguration of retail units fronting Putney Bridge Road and relocation of residential entrance courtyard stair and public square access; minor adjustment to footprint of main building, and alterations to the location of NE and NW cores; alterations to flat layouts; revision to plan as part of revised energy strategy and associated elevational changes."/>
    <s v="S73"/>
    <d v="2020-05-11T00:00:00"/>
    <d v="2020-10-27T00:00:00"/>
    <m/>
    <s v="Nil"/>
    <m/>
    <s v="BF"/>
    <s v="NB"/>
    <x v="1"/>
    <x v="0"/>
    <n v="0.19600000000000001"/>
    <m/>
    <x v="0"/>
    <m/>
    <s v="Open Market"/>
    <s v="M"/>
    <s v="6.1.3"/>
    <m/>
    <m/>
    <m/>
    <m/>
    <n v="8"/>
    <n v="0"/>
    <n v="23"/>
    <n v="29"/>
    <n v="28"/>
    <n v="0"/>
    <n v="0"/>
    <n v="0"/>
    <n v="0"/>
    <n v="23"/>
    <n v="29"/>
    <n v="28"/>
    <n v="0"/>
    <n v="0"/>
    <n v="0"/>
    <n v="0"/>
    <n v="0"/>
    <n v="0"/>
    <n v="0"/>
    <n v="0"/>
    <n v="0"/>
    <n v="0"/>
    <n v="0"/>
    <n v="0"/>
    <n v="0"/>
    <n v="0"/>
    <n v="0"/>
    <n v="0"/>
    <n v="0"/>
    <s v="Putney"/>
    <m/>
    <s v="Putney"/>
    <n v="10"/>
    <m/>
    <m/>
    <m/>
    <m/>
    <n v="26.666666666666668"/>
    <n v="26.666666666666668"/>
    <n v="26.666666666666668"/>
    <m/>
    <m/>
    <m/>
    <m/>
    <m/>
    <m/>
    <m/>
    <m/>
    <m/>
    <m/>
    <m/>
    <m/>
    <m/>
    <n v="53.333333333333336"/>
    <n v="80"/>
  </r>
  <r>
    <n v="5044"/>
    <x v="2"/>
    <s v="2020/1615"/>
    <s v="329-339 &amp; 45-53 Putney Bridge Road &amp; Putney High Street, Putney Bridge Road (The Blades)"/>
    <s v="Levellers Mews"/>
    <n v="524136"/>
    <n v="175435"/>
    <s v="Thamesfield"/>
    <d v="2022-07-06T00:00:00"/>
    <m/>
    <n v="0"/>
    <n v="8"/>
    <n v="8"/>
    <n v="123"/>
    <n v="121"/>
    <s v="Y"/>
    <s v="Variation of conditions 2 (In Accordance With Approved Drawings), 9 (External Plant) and 26 (Energy Statement) pursuant to planning permission dated 29/07/2019 ref 2017/1874 (Demolition of existing buildings and redevelopment of the site to provide a mixed use development in buildings ranging in height between 2 and 10 storeys plus basement, to provide 1158 sq.m. of retail use (Class A1), 64 sq.m. of cafe/restaurant use (Class A3), 1519 sq.m. of office use (Class B1), and 146 sq.m. of community floorspace (Class D1) use, together with 123 residential units of private and affordable tenure, comprising 115 flats and 8 mews houses, with 27 associated parking spaces (21 residential and 6 commercial) with access from Putney Bridge Road, cycle parking spaces, associated amenity space including balconies, terraces and first floor publicly accessible courtyard amenity area; landscaping and other associated works.) to allow a revised location for car lift, fire escape stairs and UKPN substations; increase in height to the central public square and first floor level of the main building; reconfiguration of retail units fronting Putney Bridge Road and relocation of residential entrance courtyard stair and public square access; minor adjustment to footprint of main building, and alterations to the location of NE and NW cores; alterations to flat layouts; revision to plan as part of revised energy strategy and associated elevational changes."/>
    <s v="S73"/>
    <d v="2020-05-11T00:00:00"/>
    <d v="2020-10-27T00:00:00"/>
    <m/>
    <s v="Nil"/>
    <m/>
    <s v="BF"/>
    <s v="NB"/>
    <x v="1"/>
    <x v="0"/>
    <n v="6.6000000000000003E-2"/>
    <m/>
    <x v="0"/>
    <m/>
    <s v="Open Market"/>
    <s v="M"/>
    <s v="6.1.3"/>
    <m/>
    <m/>
    <m/>
    <m/>
    <m/>
    <n v="0"/>
    <n v="0"/>
    <n v="8"/>
    <n v="0"/>
    <n v="0"/>
    <n v="0"/>
    <n v="0"/>
    <n v="0"/>
    <n v="0"/>
    <n v="0"/>
    <n v="0"/>
    <n v="0"/>
    <n v="0"/>
    <n v="0"/>
    <n v="0"/>
    <n v="0"/>
    <n v="8"/>
    <n v="0"/>
    <n v="0"/>
    <n v="0"/>
    <n v="0"/>
    <n v="0"/>
    <n v="0"/>
    <n v="0"/>
    <n v="0"/>
    <n v="0"/>
    <n v="0"/>
    <n v="0"/>
    <s v="Putney"/>
    <m/>
    <s v="Putney"/>
    <n v="10"/>
    <m/>
    <m/>
    <m/>
    <m/>
    <n v="2.6666666666666665"/>
    <n v="2.6666666666666665"/>
    <n v="2.6666666666666665"/>
    <m/>
    <m/>
    <m/>
    <m/>
    <m/>
    <m/>
    <m/>
    <m/>
    <m/>
    <m/>
    <m/>
    <m/>
    <m/>
    <n v="5.333333333333333"/>
    <n v="8"/>
  </r>
  <r>
    <n v="7396"/>
    <x v="2"/>
    <s v="2020/1910"/>
    <s v="161 Battersea High Street"/>
    <s v=""/>
    <n v="527053"/>
    <n v="176220"/>
    <s v="St Mary's"/>
    <m/>
    <m/>
    <n v="1"/>
    <n v="1"/>
    <n v="0"/>
    <n v="1"/>
    <n v="0"/>
    <m/>
    <s v="Erection of ground and first floor rear extensions following demolition of existing. Change of use of rear of ground floor from (Class A1) to (Class C3) to form an enlarged 4-bedroom maisonette. Including new communal access to residential flats and bike store along with a new shopfront for the retained A1 unit onto Battersea High Street."/>
    <s v="PF"/>
    <d v="2020-06-15T00:00:00"/>
    <d v="2020-08-19T00:00:00"/>
    <m/>
    <s v="Nil"/>
    <m/>
    <s v="BF"/>
    <s v="EXT"/>
    <x v="2"/>
    <x v="4"/>
    <n v="5.0000000000000001E-3"/>
    <m/>
    <x v="0"/>
    <m/>
    <s v="Open Market"/>
    <s v="M"/>
    <s v=""/>
    <m/>
    <m/>
    <m/>
    <m/>
    <m/>
    <n v="0"/>
    <n v="0"/>
    <n v="-1"/>
    <n v="0"/>
    <n v="1"/>
    <n v="0"/>
    <n v="0"/>
    <n v="0"/>
    <n v="0"/>
    <n v="-1"/>
    <n v="0"/>
    <n v="1"/>
    <n v="0"/>
    <n v="0"/>
    <n v="0"/>
    <n v="0"/>
    <n v="0"/>
    <n v="0"/>
    <n v="0"/>
    <n v="0"/>
    <n v="0"/>
    <n v="0"/>
    <n v="0"/>
    <n v="0"/>
    <n v="0"/>
    <n v="0"/>
    <n v="0"/>
    <n v="0"/>
    <m/>
    <m/>
    <s v="Rest of Borough"/>
    <n v="15"/>
    <m/>
    <n v="0"/>
    <n v="0"/>
    <n v="0"/>
    <n v="0"/>
    <m/>
    <m/>
    <m/>
    <m/>
    <m/>
    <m/>
    <m/>
    <m/>
    <m/>
    <m/>
    <m/>
    <m/>
    <m/>
    <m/>
    <m/>
    <n v="0"/>
    <n v="0"/>
  </r>
  <r>
    <n v="7396"/>
    <x v="2"/>
    <s v="2020/1999"/>
    <s v="161 Battersea High Street"/>
    <s v=""/>
    <n v="527053"/>
    <n v="176220"/>
    <s v="St Mary's"/>
    <m/>
    <m/>
    <n v="0"/>
    <n v="1"/>
    <n v="1"/>
    <n v="1"/>
    <n v="1"/>
    <m/>
    <s v="Alterations including extension to main rear roof to create additional storey of accommodation to provide a 1 x 1-bedroom flat."/>
    <s v="PF"/>
    <d v="2020-06-08T00:00:00"/>
    <d v="2020-07-30T00:00:00"/>
    <m/>
    <s v="Nil"/>
    <m/>
    <s v="BF"/>
    <s v="EXT"/>
    <x v="2"/>
    <x v="7"/>
    <n v="5.0000000000000001E-3"/>
    <m/>
    <x v="0"/>
    <m/>
    <s v="Open Market"/>
    <s v="M"/>
    <s v=""/>
    <m/>
    <m/>
    <m/>
    <m/>
    <m/>
    <n v="0"/>
    <n v="1"/>
    <n v="0"/>
    <n v="0"/>
    <n v="0"/>
    <n v="0"/>
    <n v="0"/>
    <n v="0"/>
    <n v="1"/>
    <n v="0"/>
    <n v="0"/>
    <n v="0"/>
    <n v="0"/>
    <n v="0"/>
    <n v="0"/>
    <n v="0"/>
    <n v="0"/>
    <n v="0"/>
    <n v="0"/>
    <n v="0"/>
    <n v="0"/>
    <n v="0"/>
    <n v="0"/>
    <n v="0"/>
    <n v="0"/>
    <n v="0"/>
    <n v="0"/>
    <n v="0"/>
    <m/>
    <m/>
    <s v="Rest of Borough"/>
    <n v="15"/>
    <m/>
    <n v="0.25"/>
    <n v="0.25"/>
    <n v="0.25"/>
    <n v="0.25"/>
    <m/>
    <m/>
    <m/>
    <m/>
    <m/>
    <m/>
    <m/>
    <m/>
    <m/>
    <m/>
    <m/>
    <m/>
    <m/>
    <m/>
    <m/>
    <n v="1"/>
    <n v="1"/>
  </r>
  <r>
    <n v="7055"/>
    <x v="2"/>
    <s v="2020/2038"/>
    <s v="89 Ramsden Road"/>
    <s v=""/>
    <n v="528371"/>
    <n v="173680"/>
    <s v="Balham"/>
    <m/>
    <m/>
    <n v="5"/>
    <n v="4"/>
    <n v="-1"/>
    <n v="5"/>
    <n v="0"/>
    <m/>
    <s v="Alterations including erection of dormer roof extension to main rear roof; erection of single-storey rear extension; enlargement of existing basement and formation of side and rear lightwells in connection with conversion of property from 5 x 1-bedroom flats to 1 x studio, 2 x 1-bedroom, 1 x 2-bedroom and 1 x 3-bedroom flats."/>
    <s v="PF"/>
    <d v="2020-08-21T00:00:00"/>
    <d v="2020-10-16T00:00:00"/>
    <m/>
    <s v="Nil"/>
    <m/>
    <s v="BF"/>
    <s v="MIX"/>
    <x v="2"/>
    <x v="5"/>
    <n v="3.6999999999999998E-2"/>
    <m/>
    <x v="0"/>
    <m/>
    <s v="Open Market"/>
    <s v="M"/>
    <s v=""/>
    <m/>
    <m/>
    <m/>
    <m/>
    <m/>
    <n v="-2"/>
    <n v="-1"/>
    <n v="1"/>
    <n v="1"/>
    <n v="0"/>
    <n v="0"/>
    <n v="0"/>
    <n v="-2"/>
    <n v="-1"/>
    <n v="1"/>
    <n v="1"/>
    <n v="0"/>
    <n v="0"/>
    <n v="0"/>
    <n v="0"/>
    <n v="0"/>
    <n v="0"/>
    <n v="0"/>
    <n v="0"/>
    <n v="0"/>
    <n v="0"/>
    <n v="0"/>
    <n v="0"/>
    <n v="0"/>
    <n v="0"/>
    <n v="0"/>
    <n v="0"/>
    <n v="0"/>
    <m/>
    <m/>
    <s v="Rest of Borough"/>
    <n v="15"/>
    <m/>
    <n v="-0.25"/>
    <n v="-0.25"/>
    <n v="-0.25"/>
    <n v="-0.25"/>
    <m/>
    <m/>
    <m/>
    <m/>
    <m/>
    <m/>
    <m/>
    <m/>
    <m/>
    <m/>
    <m/>
    <m/>
    <m/>
    <m/>
    <m/>
    <n v="-1"/>
    <n v="-1"/>
  </r>
  <r>
    <n v="7055"/>
    <x v="2"/>
    <s v="2020/2038"/>
    <s v="89 Ramsden Road"/>
    <s v=""/>
    <n v="528371"/>
    <n v="173680"/>
    <s v="Balham"/>
    <m/>
    <m/>
    <n v="0"/>
    <n v="1"/>
    <n v="1"/>
    <n v="5"/>
    <n v="0"/>
    <m/>
    <s v="Alterations including erection of dormer roof extension to main rear roof; erection of single-storey rear extension; enlargement of existing basement and formation of side and rear lightwells in connection with conversion of property from 5 x 1-bedroom flats to 1 x studio, 2 x 1-bedroom, 1 x 2-bedroom and 1 x 3-bedroom flats."/>
    <s v="PF"/>
    <d v="2020-08-21T00:00:00"/>
    <d v="2020-10-16T00:00:00"/>
    <m/>
    <s v="Nil"/>
    <m/>
    <s v="BF"/>
    <s v="MIX"/>
    <x v="2"/>
    <x v="7"/>
    <n v="4.0000000000000001E-3"/>
    <m/>
    <x v="0"/>
    <m/>
    <s v="Open Market"/>
    <s v="M"/>
    <s v=""/>
    <m/>
    <m/>
    <m/>
    <m/>
    <m/>
    <n v="1"/>
    <n v="0"/>
    <n v="0"/>
    <n v="0"/>
    <n v="0"/>
    <n v="0"/>
    <n v="0"/>
    <n v="1"/>
    <n v="0"/>
    <n v="0"/>
    <n v="0"/>
    <n v="0"/>
    <n v="0"/>
    <n v="0"/>
    <n v="0"/>
    <n v="0"/>
    <n v="0"/>
    <n v="0"/>
    <n v="0"/>
    <n v="0"/>
    <n v="0"/>
    <n v="0"/>
    <n v="0"/>
    <n v="0"/>
    <n v="0"/>
    <n v="0"/>
    <n v="0"/>
    <n v="0"/>
    <m/>
    <m/>
    <s v="Rest of Borough"/>
    <n v="15"/>
    <m/>
    <n v="0.25"/>
    <n v="0.25"/>
    <n v="0.25"/>
    <n v="0.25"/>
    <m/>
    <m/>
    <m/>
    <m/>
    <m/>
    <m/>
    <m/>
    <m/>
    <m/>
    <m/>
    <m/>
    <m/>
    <m/>
    <m/>
    <m/>
    <n v="1"/>
    <n v="1"/>
  </r>
  <r>
    <n v="4386"/>
    <x v="2"/>
    <s v="2020/2048"/>
    <s v="317 Battersea Park Road"/>
    <s v=""/>
    <n v="528177"/>
    <n v="176638"/>
    <s v="Battersea Park"/>
    <m/>
    <m/>
    <n v="0"/>
    <n v="1"/>
    <n v="1"/>
    <n v="1"/>
    <n v="1"/>
    <m/>
    <s v="Alterations including erection of roof extension to create an additional floor of accomodation in connection with creation of 1 x 1-bed flat."/>
    <s v="PF"/>
    <d v="2020-06-10T00:00:00"/>
    <d v="2020-09-28T00:00:00"/>
    <m/>
    <s v="Nil"/>
    <m/>
    <s v="BF"/>
    <s v="EXT"/>
    <x v="2"/>
    <x v="7"/>
    <n v="3.0000000000000001E-3"/>
    <m/>
    <x v="0"/>
    <m/>
    <s v="Open Market"/>
    <s v="M"/>
    <s v=""/>
    <m/>
    <m/>
    <m/>
    <m/>
    <m/>
    <n v="0"/>
    <n v="1"/>
    <n v="0"/>
    <n v="0"/>
    <n v="0"/>
    <n v="0"/>
    <n v="0"/>
    <n v="0"/>
    <n v="1"/>
    <n v="0"/>
    <n v="0"/>
    <n v="0"/>
    <n v="0"/>
    <n v="0"/>
    <n v="0"/>
    <n v="0"/>
    <n v="0"/>
    <n v="0"/>
    <n v="0"/>
    <n v="0"/>
    <n v="0"/>
    <n v="0"/>
    <n v="0"/>
    <n v="0"/>
    <n v="0"/>
    <n v="0"/>
    <n v="0"/>
    <n v="0"/>
    <m/>
    <m/>
    <s v="Rest of Borough"/>
    <n v="15"/>
    <m/>
    <n v="0.25"/>
    <n v="0.25"/>
    <n v="0.25"/>
    <n v="0.25"/>
    <m/>
    <m/>
    <m/>
    <m/>
    <m/>
    <m/>
    <m/>
    <m/>
    <m/>
    <m/>
    <m/>
    <m/>
    <m/>
    <m/>
    <m/>
    <n v="1"/>
    <n v="1"/>
  </r>
  <r>
    <n v="4316"/>
    <x v="2"/>
    <s v="2020/0457"/>
    <s v="25-29 Tooting High Street"/>
    <s v=""/>
    <n v="527567"/>
    <n v="171576"/>
    <s v="Tooting Broadway"/>
    <d v="2024-03-31T00:00:00"/>
    <m/>
    <n v="0"/>
    <n v="23"/>
    <n v="23"/>
    <n v="29"/>
    <n v="29"/>
    <s v="Y"/>
    <s v="Alterations and erection of extensions to front and side of building at first and second floor levels with the creation of additional third floor level; erection of a rear part four, part five storey extension to provide retail unit (Class A1) on ground floor and 29 residential units (Class C3) above with private balconies and communal roof terrace. Provision of waste and cycle storage and landscaping."/>
    <s v="PFLA"/>
    <d v="2020-04-02T00:00:00"/>
    <d v="2022-01-05T00:00:00"/>
    <m/>
    <s v="Nil"/>
    <m/>
    <s v="BF"/>
    <s v="MIX"/>
    <x v="1"/>
    <x v="0"/>
    <n v="0.08"/>
    <m/>
    <x v="0"/>
    <m/>
    <s v="Open Market"/>
    <s v="M"/>
    <s v="5.2"/>
    <m/>
    <m/>
    <n v="2"/>
    <m/>
    <m/>
    <n v="0"/>
    <n v="10"/>
    <n v="8"/>
    <n v="5"/>
    <n v="0"/>
    <n v="0"/>
    <n v="0"/>
    <n v="0"/>
    <n v="10"/>
    <n v="8"/>
    <n v="5"/>
    <n v="0"/>
    <n v="0"/>
    <n v="0"/>
    <n v="0"/>
    <n v="0"/>
    <n v="0"/>
    <n v="0"/>
    <n v="0"/>
    <n v="0"/>
    <n v="0"/>
    <n v="0"/>
    <n v="0"/>
    <n v="0"/>
    <n v="0"/>
    <n v="0"/>
    <n v="0"/>
    <n v="0"/>
    <s v="Tooting"/>
    <m/>
    <s v="Tooting"/>
    <n v="16"/>
    <m/>
    <n v="5.75"/>
    <n v="5.75"/>
    <n v="5.75"/>
    <n v="5.75"/>
    <m/>
    <m/>
    <m/>
    <m/>
    <m/>
    <m/>
    <m/>
    <m/>
    <m/>
    <m/>
    <m/>
    <m/>
    <m/>
    <m/>
    <m/>
    <n v="23"/>
    <n v="23"/>
  </r>
  <r>
    <n v="3577"/>
    <x v="2"/>
    <s v="2020/2249"/>
    <s v="74 St Rule Street"/>
    <s v=""/>
    <n v="529035"/>
    <n v="176328"/>
    <s v="Shaftesbury &amp; Queenstown"/>
    <m/>
    <m/>
    <n v="0"/>
    <n v="2"/>
    <n v="2"/>
    <n v="2"/>
    <n v="2"/>
    <m/>
    <s v="Change of use of ground floor from 2 x Class A1 and 1 x Class A3 units to C3 residential, and internal reconfiguration and fenestration alterations to ground and first floor to create a total of 2 no. additional dwellings."/>
    <s v="PF"/>
    <d v="2020-06-25T00:00:00"/>
    <d v="2020-09-23T00:00:00"/>
    <m/>
    <s v="Nil"/>
    <m/>
    <s v="BF"/>
    <s v="COU"/>
    <x v="2"/>
    <x v="4"/>
    <n v="1.7000000000000001E-2"/>
    <m/>
    <x v="0"/>
    <m/>
    <s v="Open Market"/>
    <s v="M"/>
    <s v=""/>
    <m/>
    <m/>
    <m/>
    <m/>
    <m/>
    <n v="0"/>
    <n v="2"/>
    <n v="0"/>
    <n v="0"/>
    <n v="0"/>
    <n v="0"/>
    <n v="0"/>
    <n v="0"/>
    <n v="2"/>
    <n v="0"/>
    <n v="0"/>
    <n v="0"/>
    <n v="0"/>
    <n v="0"/>
    <n v="0"/>
    <n v="0"/>
    <n v="0"/>
    <n v="0"/>
    <n v="0"/>
    <n v="0"/>
    <n v="0"/>
    <n v="0"/>
    <n v="0"/>
    <n v="0"/>
    <n v="0"/>
    <n v="0"/>
    <n v="0"/>
    <n v="0"/>
    <m/>
    <s v="Y"/>
    <s v="Nine Elms"/>
    <n v="15"/>
    <m/>
    <n v="0.5"/>
    <n v="0.5"/>
    <n v="0.5"/>
    <n v="0.5"/>
    <m/>
    <m/>
    <m/>
    <m/>
    <m/>
    <m/>
    <m/>
    <m/>
    <m/>
    <m/>
    <m/>
    <m/>
    <m/>
    <m/>
    <m/>
    <n v="2"/>
    <n v="2"/>
  </r>
  <r>
    <n v="7399"/>
    <x v="2"/>
    <s v="2020/2360"/>
    <s v="69 Webbs Road"/>
    <s v=""/>
    <n v="527815"/>
    <n v="174573"/>
    <s v="Northcote"/>
    <m/>
    <m/>
    <n v="0"/>
    <n v="1"/>
    <n v="1"/>
    <n v="1"/>
    <n v="1"/>
    <m/>
    <s v="Determination as to whether prior approval is required for change of use from Ground Floor Shop (Class A1) to 1 x 1-bedroom flat (Class C3) with associated external alterations to front elevation."/>
    <s v="PAG"/>
    <d v="2020-07-03T00:00:00"/>
    <d v="2020-08-28T00:00:00"/>
    <m/>
    <s v="Nil"/>
    <m/>
    <s v="BF"/>
    <s v="COU"/>
    <x v="2"/>
    <x v="4"/>
    <n v="5.0000000000000001E-3"/>
    <m/>
    <x v="0"/>
    <m/>
    <s v="Open Market"/>
    <s v="M"/>
    <s v=""/>
    <m/>
    <m/>
    <m/>
    <m/>
    <m/>
    <n v="0"/>
    <n v="1"/>
    <n v="0"/>
    <n v="0"/>
    <n v="0"/>
    <n v="0"/>
    <n v="0"/>
    <n v="0"/>
    <n v="1"/>
    <n v="0"/>
    <n v="0"/>
    <n v="0"/>
    <n v="0"/>
    <n v="0"/>
    <n v="0"/>
    <n v="0"/>
    <n v="0"/>
    <n v="0"/>
    <n v="0"/>
    <n v="0"/>
    <n v="0"/>
    <n v="0"/>
    <n v="0"/>
    <n v="0"/>
    <n v="0"/>
    <n v="0"/>
    <n v="0"/>
    <n v="0"/>
    <m/>
    <m/>
    <s v="Rest of Borough"/>
    <n v="15"/>
    <m/>
    <n v="0.25"/>
    <n v="0.25"/>
    <n v="0.25"/>
    <n v="0.25"/>
    <m/>
    <m/>
    <m/>
    <m/>
    <m/>
    <m/>
    <m/>
    <m/>
    <m/>
    <m/>
    <m/>
    <m/>
    <m/>
    <m/>
    <m/>
    <n v="1"/>
    <n v="1"/>
  </r>
  <r>
    <n v="7455"/>
    <x v="2"/>
    <s v="2020/2945"/>
    <s v="First and Second Floor, 162 Battersea Park Road"/>
    <s v=""/>
    <n v="527895"/>
    <n v="176598"/>
    <s v="Battersea Park"/>
    <m/>
    <m/>
    <n v="1"/>
    <n v="2"/>
    <n v="1"/>
    <n v="2"/>
    <n v="1"/>
    <m/>
    <s v="Alterations including erection of mansard roof extension to main rear roof and erection of infill to first floor extension in connection with the conversion of 1 x 4 bedroom flat into 2 x 1 bedroom flats."/>
    <s v="PF"/>
    <d v="2020-08-10T00:00:00"/>
    <d v="2021-03-16T00:00:00"/>
    <m/>
    <s v="Nil"/>
    <m/>
    <s v="BF"/>
    <s v="CON"/>
    <x v="2"/>
    <x v="5"/>
    <n v="7.0000000000000001E-3"/>
    <m/>
    <x v="0"/>
    <m/>
    <s v="Open Market"/>
    <s v="M"/>
    <s v=""/>
    <m/>
    <m/>
    <m/>
    <m/>
    <m/>
    <n v="0"/>
    <n v="2"/>
    <n v="0"/>
    <n v="0"/>
    <n v="-1"/>
    <n v="0"/>
    <n v="0"/>
    <n v="0"/>
    <n v="2"/>
    <n v="0"/>
    <n v="0"/>
    <n v="-1"/>
    <n v="0"/>
    <n v="0"/>
    <n v="0"/>
    <n v="0"/>
    <n v="0"/>
    <n v="0"/>
    <n v="0"/>
    <n v="0"/>
    <n v="0"/>
    <n v="0"/>
    <n v="0"/>
    <n v="0"/>
    <n v="0"/>
    <n v="0"/>
    <n v="0"/>
    <n v="0"/>
    <m/>
    <m/>
    <s v="Rest of Borough"/>
    <n v="15"/>
    <m/>
    <n v="0.25"/>
    <n v="0.25"/>
    <n v="0.25"/>
    <n v="0.25"/>
    <m/>
    <m/>
    <m/>
    <m/>
    <m/>
    <m/>
    <m/>
    <m/>
    <m/>
    <m/>
    <m/>
    <m/>
    <m/>
    <m/>
    <m/>
    <n v="1"/>
    <n v="1"/>
  </r>
  <r>
    <n v="7437"/>
    <x v="2"/>
    <s v="2020/2954"/>
    <s v="133 Wandsworth High Street"/>
    <s v=""/>
    <n v="525471"/>
    <n v="174681"/>
    <s v="Wandsworth Town"/>
    <m/>
    <m/>
    <n v="0"/>
    <n v="2"/>
    <n v="2"/>
    <n v="2"/>
    <n v="2"/>
    <m/>
    <s v="Change of use of ground floor to use class A2 and alterations including erection of roof extension to main rear roof, erection of first storey rear extension and excavation of rear lightwells in connection with the creation of 1 x 1 -bedroom and 1 x 2-bedroom flat"/>
    <s v="PF"/>
    <d v="2020-08-11T00:00:00"/>
    <d v="2021-03-17T00:00:00"/>
    <m/>
    <s v="Nil"/>
    <m/>
    <s v="BF"/>
    <s v="MIX"/>
    <x v="2"/>
    <x v="7"/>
    <n v="2E-3"/>
    <m/>
    <x v="0"/>
    <m/>
    <s v="Open Market"/>
    <s v="M"/>
    <s v=""/>
    <m/>
    <m/>
    <m/>
    <m/>
    <m/>
    <n v="0"/>
    <n v="1"/>
    <n v="1"/>
    <n v="0"/>
    <n v="0"/>
    <n v="0"/>
    <n v="0"/>
    <n v="0"/>
    <n v="1"/>
    <n v="1"/>
    <n v="0"/>
    <n v="0"/>
    <n v="0"/>
    <n v="0"/>
    <n v="0"/>
    <n v="0"/>
    <n v="0"/>
    <n v="0"/>
    <n v="0"/>
    <n v="0"/>
    <n v="0"/>
    <n v="0"/>
    <n v="0"/>
    <n v="0"/>
    <n v="0"/>
    <n v="0"/>
    <n v="0"/>
    <n v="0"/>
    <s v="Wandsworth"/>
    <m/>
    <s v="Wandsworth Town, including the Wandle Delta Masterplan Area"/>
    <n v="15"/>
    <m/>
    <n v="0.5"/>
    <n v="0.5"/>
    <n v="0.5"/>
    <n v="0.5"/>
    <m/>
    <m/>
    <m/>
    <m/>
    <m/>
    <m/>
    <m/>
    <m/>
    <m/>
    <m/>
    <m/>
    <m/>
    <m/>
    <m/>
    <m/>
    <n v="2"/>
    <n v="2"/>
  </r>
  <r>
    <n v="6634"/>
    <x v="2"/>
    <s v="2020/3029"/>
    <s v="321 Merton Road"/>
    <s v=""/>
    <n v="525319"/>
    <n v="173419"/>
    <s v="Southfields"/>
    <m/>
    <m/>
    <n v="1"/>
    <n v="2"/>
    <n v="1"/>
    <n v="2"/>
    <n v="1"/>
    <m/>
    <s v="Erection of roof extension to provide second floor to front part of building; three-storey rear/side extension; insertion of windows and doors in side elevation in connection with conversion of upper floors into 1x 1 bedroom flat and 1 x studio flats with cycle and refuse stores at ground floor level.(amendments to planning application 2018/3983)"/>
    <s v="PF"/>
    <d v="2020-10-13T00:00:00"/>
    <d v="2020-10-14T00:00:00"/>
    <m/>
    <s v="Nil"/>
    <m/>
    <s v="BF"/>
    <s v="CON"/>
    <x v="2"/>
    <x v="5"/>
    <n v="8.0000000000000002E-3"/>
    <m/>
    <x v="0"/>
    <m/>
    <s v="Open Market"/>
    <s v="M"/>
    <s v=""/>
    <m/>
    <m/>
    <m/>
    <m/>
    <m/>
    <n v="1"/>
    <n v="1"/>
    <n v="-1"/>
    <n v="0"/>
    <n v="0"/>
    <n v="0"/>
    <n v="0"/>
    <n v="1"/>
    <n v="1"/>
    <n v="-1"/>
    <n v="0"/>
    <n v="0"/>
    <n v="0"/>
    <n v="0"/>
    <n v="0"/>
    <n v="0"/>
    <n v="0"/>
    <n v="0"/>
    <n v="0"/>
    <n v="0"/>
    <n v="0"/>
    <n v="0"/>
    <n v="0"/>
    <n v="0"/>
    <n v="0"/>
    <n v="0"/>
    <n v="0"/>
    <n v="0"/>
    <m/>
    <m/>
    <s v="Wandle Valley"/>
    <n v="15"/>
    <m/>
    <n v="0.25"/>
    <n v="0.25"/>
    <n v="0.25"/>
    <n v="0.25"/>
    <m/>
    <m/>
    <m/>
    <m/>
    <m/>
    <m/>
    <m/>
    <m/>
    <m/>
    <m/>
    <m/>
    <m/>
    <m/>
    <m/>
    <m/>
    <n v="1"/>
    <n v="1"/>
  </r>
  <r>
    <n v="6277"/>
    <x v="2"/>
    <s v="2020/3102"/>
    <s v="130 Longley Road"/>
    <s v=""/>
    <n v="527645"/>
    <n v="170659"/>
    <s v="Tooting Broadway"/>
    <m/>
    <m/>
    <n v="1"/>
    <n v="3"/>
    <n v="2"/>
    <n v="4"/>
    <n v="3"/>
    <m/>
    <s v="Alterations including excavation to create basement including formation of front and rear lightwells will grille over; erection of part single/part two storey rear extension in connection with conversion of property into 2 x 3-bedroom, 1 x 2-bedroom and 1 x studio flats."/>
    <s v="PF"/>
    <d v="2020-08-20T00:00:00"/>
    <d v="2020-12-22T00:00:00"/>
    <m/>
    <s v="Nil"/>
    <m/>
    <s v="BF"/>
    <s v="MIX"/>
    <x v="2"/>
    <x v="10"/>
    <n v="8.9999999999999993E-3"/>
    <m/>
    <x v="0"/>
    <m/>
    <s v="Open Market"/>
    <s v="M"/>
    <s v=""/>
    <m/>
    <m/>
    <m/>
    <m/>
    <m/>
    <n v="0"/>
    <n v="0"/>
    <n v="1"/>
    <n v="2"/>
    <n v="0"/>
    <n v="-1"/>
    <n v="0"/>
    <n v="0"/>
    <n v="0"/>
    <n v="1"/>
    <n v="2"/>
    <n v="0"/>
    <n v="0"/>
    <n v="0"/>
    <n v="0"/>
    <n v="0"/>
    <n v="0"/>
    <n v="0"/>
    <n v="0"/>
    <n v="-1"/>
    <n v="0"/>
    <n v="0"/>
    <n v="0"/>
    <n v="0"/>
    <n v="0"/>
    <n v="0"/>
    <n v="0"/>
    <n v="0"/>
    <m/>
    <m/>
    <s v="Rest of Borough"/>
    <n v="15"/>
    <m/>
    <n v="0.5"/>
    <n v="0.5"/>
    <n v="0.5"/>
    <n v="0.5"/>
    <m/>
    <m/>
    <m/>
    <m/>
    <m/>
    <m/>
    <m/>
    <m/>
    <m/>
    <m/>
    <m/>
    <m/>
    <m/>
    <m/>
    <m/>
    <n v="2"/>
    <n v="2"/>
  </r>
  <r>
    <n v="6277"/>
    <x v="2"/>
    <s v="2020/3102"/>
    <s v="130 Longley Road"/>
    <s v=""/>
    <n v="527645"/>
    <n v="170659"/>
    <s v="Tooting Broadway"/>
    <m/>
    <m/>
    <n v="0"/>
    <n v="1"/>
    <n v="1"/>
    <n v="4"/>
    <n v="3"/>
    <m/>
    <s v="Alterations including excavation to create basement including formation of front and rear lightwells will grille over; erection of part single/part two storey rear extension in connection with conversion of property into 2 x 3-bedroom, 1 x 2-bedroom and 1 x studio flats."/>
    <s v="PF"/>
    <d v="2020-08-20T00:00:00"/>
    <d v="2020-12-22T00:00:00"/>
    <m/>
    <s v="Nil"/>
    <m/>
    <s v="BF"/>
    <s v="MIX"/>
    <x v="2"/>
    <x v="7"/>
    <n v="2.7E-2"/>
    <m/>
    <x v="0"/>
    <m/>
    <s v="Open Market"/>
    <s v="M"/>
    <s v=""/>
    <m/>
    <m/>
    <m/>
    <m/>
    <m/>
    <n v="1"/>
    <n v="0"/>
    <n v="0"/>
    <n v="0"/>
    <n v="0"/>
    <n v="0"/>
    <n v="0"/>
    <n v="1"/>
    <n v="0"/>
    <n v="0"/>
    <n v="0"/>
    <n v="0"/>
    <n v="0"/>
    <n v="0"/>
    <n v="0"/>
    <n v="0"/>
    <n v="0"/>
    <n v="0"/>
    <n v="0"/>
    <n v="0"/>
    <n v="0"/>
    <n v="0"/>
    <n v="0"/>
    <n v="0"/>
    <n v="0"/>
    <n v="0"/>
    <n v="0"/>
    <n v="0"/>
    <m/>
    <m/>
    <s v="Rest of Borough"/>
    <n v="15"/>
    <m/>
    <n v="0.25"/>
    <n v="0.25"/>
    <n v="0.25"/>
    <n v="0.25"/>
    <m/>
    <m/>
    <m/>
    <m/>
    <m/>
    <m/>
    <m/>
    <m/>
    <m/>
    <m/>
    <m/>
    <m/>
    <m/>
    <m/>
    <m/>
    <n v="1"/>
    <n v="1"/>
  </r>
  <r>
    <n v="7468"/>
    <x v="2"/>
    <s v="2020/3111"/>
    <s v="Garages at, 169-183 Elsenham Street"/>
    <s v=""/>
    <n v="524935"/>
    <n v="172719"/>
    <s v="Southfields"/>
    <d v="2022-07-01T00:00:00"/>
    <m/>
    <n v="0"/>
    <n v="1"/>
    <n v="1"/>
    <n v="1"/>
    <n v="1"/>
    <m/>
    <s v="Demolition of existing garages and erection of a two-storey (plus accommodation at roof level) 5-bedroom house."/>
    <s v="PF"/>
    <d v="2020-09-09T00:00:00"/>
    <d v="2020-12-16T00:00:00"/>
    <m/>
    <s v="Nil"/>
    <m/>
    <s v="BF"/>
    <s v="NB"/>
    <x v="2"/>
    <x v="3"/>
    <n v="1.7999999999999999E-2"/>
    <m/>
    <x v="0"/>
    <m/>
    <s v="Open Market"/>
    <s v="M"/>
    <s v=""/>
    <m/>
    <m/>
    <m/>
    <m/>
    <m/>
    <n v="0"/>
    <n v="0"/>
    <n v="0"/>
    <n v="0"/>
    <n v="0"/>
    <n v="1"/>
    <n v="0"/>
    <n v="0"/>
    <n v="0"/>
    <n v="0"/>
    <n v="0"/>
    <n v="0"/>
    <n v="0"/>
    <n v="0"/>
    <n v="0"/>
    <n v="0"/>
    <n v="0"/>
    <n v="0"/>
    <n v="0"/>
    <n v="1"/>
    <n v="0"/>
    <n v="0"/>
    <n v="0"/>
    <n v="0"/>
    <n v="0"/>
    <n v="0"/>
    <n v="0"/>
    <n v="0"/>
    <m/>
    <m/>
    <s v="Rest of Borough"/>
    <n v="7"/>
    <m/>
    <m/>
    <n v="0.25"/>
    <n v="0.25"/>
    <n v="0.25"/>
    <n v="0.25"/>
    <m/>
    <m/>
    <m/>
    <m/>
    <m/>
    <m/>
    <m/>
    <m/>
    <m/>
    <m/>
    <m/>
    <m/>
    <m/>
    <m/>
    <n v="1"/>
    <n v="1"/>
  </r>
  <r>
    <n v="7471"/>
    <x v="2"/>
    <s v="2020/3193"/>
    <s v="175 Tooting High Street"/>
    <s v=""/>
    <n v="527285"/>
    <n v="171122"/>
    <s v="Tooting Broadway"/>
    <m/>
    <m/>
    <n v="0"/>
    <n v="1"/>
    <n v="1"/>
    <n v="1"/>
    <n v="1"/>
    <m/>
    <s v="Alterations including erection of a single storey rear/side extension and change of use of part of the shop (Class A1) into a studio flat (Class C3), with associated refuse and cycle storage to rear."/>
    <s v="PF"/>
    <d v="2020-09-11T00:00:00"/>
    <d v="2020-11-06T00:00:00"/>
    <m/>
    <s v="Nil"/>
    <m/>
    <s v="BF"/>
    <s v="COU"/>
    <x v="2"/>
    <x v="4"/>
    <n v="4.0000000000000001E-3"/>
    <m/>
    <x v="0"/>
    <m/>
    <s v="Open Market"/>
    <s v="M"/>
    <s v=""/>
    <m/>
    <m/>
    <m/>
    <m/>
    <m/>
    <n v="1"/>
    <n v="0"/>
    <n v="0"/>
    <n v="0"/>
    <n v="0"/>
    <n v="0"/>
    <n v="0"/>
    <n v="1"/>
    <n v="0"/>
    <n v="0"/>
    <n v="0"/>
    <n v="0"/>
    <n v="0"/>
    <n v="0"/>
    <n v="0"/>
    <n v="0"/>
    <n v="0"/>
    <n v="0"/>
    <n v="0"/>
    <n v="0"/>
    <n v="0"/>
    <n v="0"/>
    <n v="0"/>
    <n v="0"/>
    <n v="0"/>
    <n v="0"/>
    <n v="0"/>
    <n v="0"/>
    <m/>
    <m/>
    <s v="Tooting"/>
    <n v="15"/>
    <m/>
    <n v="0.25"/>
    <n v="0.25"/>
    <n v="0.25"/>
    <n v="0.25"/>
    <m/>
    <m/>
    <m/>
    <m/>
    <m/>
    <m/>
    <m/>
    <m/>
    <m/>
    <m/>
    <m/>
    <m/>
    <m/>
    <m/>
    <m/>
    <n v="1"/>
    <n v="1"/>
  </r>
  <r>
    <n v="7531"/>
    <x v="2"/>
    <s v="2020/3741"/>
    <s v="253 Franciscan Road"/>
    <s v=""/>
    <n v="527917"/>
    <n v="171390"/>
    <s v="Tooting Bec"/>
    <m/>
    <m/>
    <n v="4"/>
    <n v="3"/>
    <n v="-1"/>
    <n v="3"/>
    <n v="-1"/>
    <m/>
    <s v="Change of use of the ground floor shop from retail (Class E) to a 1-bedroom flat (Class C3) and alterations and replacement of existing flats, alterations including replacement shopfront and windows, erection of front and side boundary wall and associated landscaping and bin and bike storage to front."/>
    <s v="PF"/>
    <d v="2020-10-06T00:00:00"/>
    <d v="2020-12-01T00:00:00"/>
    <m/>
    <s v="Nil"/>
    <m/>
    <s v="BF"/>
    <s v="CON"/>
    <x v="2"/>
    <x v="4"/>
    <n v="1.2E-2"/>
    <m/>
    <x v="0"/>
    <m/>
    <s v="Open Market"/>
    <s v="M"/>
    <s v=""/>
    <m/>
    <m/>
    <m/>
    <m/>
    <m/>
    <n v="-1"/>
    <n v="1"/>
    <n v="-1"/>
    <n v="0"/>
    <n v="0"/>
    <n v="0"/>
    <n v="0"/>
    <n v="-1"/>
    <n v="1"/>
    <n v="-1"/>
    <n v="0"/>
    <n v="0"/>
    <n v="0"/>
    <n v="0"/>
    <n v="0"/>
    <n v="0"/>
    <n v="0"/>
    <n v="0"/>
    <n v="0"/>
    <n v="0"/>
    <n v="0"/>
    <n v="0"/>
    <n v="0"/>
    <n v="0"/>
    <n v="0"/>
    <n v="0"/>
    <n v="0"/>
    <n v="0"/>
    <m/>
    <m/>
    <s v="Rest of Borough"/>
    <n v="15"/>
    <m/>
    <n v="-0.25"/>
    <n v="-0.25"/>
    <n v="-0.25"/>
    <n v="-0.25"/>
    <m/>
    <m/>
    <m/>
    <m/>
    <m/>
    <m/>
    <m/>
    <m/>
    <m/>
    <m/>
    <m/>
    <m/>
    <m/>
    <m/>
    <m/>
    <n v="-1"/>
    <n v="-1"/>
  </r>
  <r>
    <n v="3722"/>
    <x v="2"/>
    <s v="2020/3876"/>
    <s v="178 Upper Tooting Road"/>
    <s v=""/>
    <n v="527697"/>
    <n v="171916"/>
    <s v="Tooting Bec"/>
    <m/>
    <m/>
    <n v="0"/>
    <n v="3"/>
    <n v="3"/>
    <n v="3"/>
    <n v="3"/>
    <m/>
    <s v="Alterations including erection of a three-storey rear extension and mansard roof extension to create an additional floor of accommodation to form three x 1-bedroom flats."/>
    <s v="PF"/>
    <d v="2020-10-14T00:00:00"/>
    <d v="2021-10-19T00:00:00"/>
    <m/>
    <s v="Nil"/>
    <m/>
    <s v="BF"/>
    <s v="EXT"/>
    <x v="2"/>
    <x v="7"/>
    <n v="7.0000000000000001E-3"/>
    <m/>
    <x v="0"/>
    <m/>
    <s v="Open Market"/>
    <s v="M"/>
    <s v=""/>
    <m/>
    <m/>
    <m/>
    <m/>
    <m/>
    <n v="0"/>
    <n v="3"/>
    <n v="0"/>
    <n v="0"/>
    <n v="0"/>
    <n v="0"/>
    <n v="0"/>
    <n v="0"/>
    <n v="3"/>
    <n v="0"/>
    <n v="0"/>
    <n v="0"/>
    <n v="0"/>
    <n v="0"/>
    <n v="0"/>
    <n v="0"/>
    <n v="0"/>
    <n v="0"/>
    <n v="0"/>
    <n v="0"/>
    <n v="0"/>
    <n v="0"/>
    <n v="0"/>
    <n v="0"/>
    <n v="0"/>
    <n v="0"/>
    <n v="0"/>
    <n v="0"/>
    <s v="Tooting"/>
    <m/>
    <s v="Tooting"/>
    <n v="15"/>
    <m/>
    <n v="0.75"/>
    <n v="0.75"/>
    <n v="0.75"/>
    <n v="0.75"/>
    <m/>
    <m/>
    <m/>
    <m/>
    <m/>
    <m/>
    <m/>
    <m/>
    <m/>
    <m/>
    <m/>
    <m/>
    <m/>
    <m/>
    <m/>
    <n v="3"/>
    <n v="3"/>
  </r>
  <r>
    <n v="7494"/>
    <x v="2"/>
    <s v="2020/4047"/>
    <s v="140a and142a, Putney High Street"/>
    <s v=""/>
    <n v="523975"/>
    <n v="175188"/>
    <s v="Thamesfield"/>
    <m/>
    <m/>
    <n v="2"/>
    <n v="6"/>
    <n v="4"/>
    <n v="6"/>
    <n v="4"/>
    <m/>
    <s v="Alterations including erection of roof extension to provide additional floor of accommodation, erection of part single/part three storey rear extensions in connection with creation of 2 x 2-bedroom and 4 x 1- bedroom flats."/>
    <s v="PF"/>
    <d v="2020-11-23T00:00:00"/>
    <d v="2021-04-22T00:00:00"/>
    <m/>
    <s v="Nil"/>
    <m/>
    <s v="BF"/>
    <s v="MIX"/>
    <x v="2"/>
    <x v="7"/>
    <n v="8.9999999999999993E-3"/>
    <m/>
    <x v="0"/>
    <m/>
    <s v="Open Market"/>
    <s v="M"/>
    <s v=""/>
    <m/>
    <m/>
    <m/>
    <m/>
    <m/>
    <n v="0"/>
    <n v="4"/>
    <n v="1"/>
    <n v="-1"/>
    <n v="0"/>
    <n v="0"/>
    <n v="0"/>
    <n v="0"/>
    <n v="4"/>
    <n v="1"/>
    <n v="-1"/>
    <n v="0"/>
    <n v="0"/>
    <n v="0"/>
    <n v="0"/>
    <n v="0"/>
    <n v="0"/>
    <n v="0"/>
    <n v="0"/>
    <n v="0"/>
    <n v="0"/>
    <n v="0"/>
    <n v="0"/>
    <n v="0"/>
    <n v="0"/>
    <n v="0"/>
    <n v="0"/>
    <n v="0"/>
    <s v="Putney"/>
    <m/>
    <s v="Putney"/>
    <n v="18"/>
    <m/>
    <n v="1"/>
    <n v="1"/>
    <n v="1"/>
    <n v="1"/>
    <m/>
    <m/>
    <m/>
    <m/>
    <m/>
    <m/>
    <m/>
    <m/>
    <m/>
    <m/>
    <m/>
    <m/>
    <m/>
    <m/>
    <m/>
    <n v="4"/>
    <n v="4"/>
  </r>
  <r>
    <n v="7483"/>
    <x v="2"/>
    <s v="2020/4072"/>
    <s v="509 Merton Road"/>
    <s v=""/>
    <n v="525448"/>
    <n v="172822"/>
    <s v="Southfields"/>
    <m/>
    <m/>
    <n v="0"/>
    <n v="1"/>
    <n v="1"/>
    <n v="1"/>
    <n v="1"/>
    <m/>
    <s v="Alterations including erection of hip to gable and rear mansard roof extensions including raising ridge by 210mm; erection of roof extension and creation of roof terrace with 1.7m glazed safety surround above two storey back addition; enlargement of window openings on rear elevation and installation of French doors with safety railing; works in connection with creation of 1 x 1-bedroom flat with associated refuse and cycle storage."/>
    <s v="PF"/>
    <d v="2020-10-27T00:00:00"/>
    <d v="2020-12-18T00:00:00"/>
    <m/>
    <s v="Nil"/>
    <m/>
    <s v="BF"/>
    <s v="EXT"/>
    <x v="2"/>
    <x v="7"/>
    <n v="3.0000000000000001E-3"/>
    <m/>
    <x v="0"/>
    <m/>
    <s v="Open Market"/>
    <s v="M"/>
    <s v=""/>
    <m/>
    <m/>
    <m/>
    <m/>
    <m/>
    <n v="0"/>
    <n v="1"/>
    <n v="0"/>
    <n v="0"/>
    <n v="0"/>
    <n v="0"/>
    <n v="0"/>
    <n v="0"/>
    <n v="1"/>
    <n v="0"/>
    <n v="0"/>
    <n v="0"/>
    <n v="0"/>
    <n v="0"/>
    <n v="0"/>
    <n v="0"/>
    <n v="0"/>
    <n v="0"/>
    <n v="0"/>
    <n v="0"/>
    <n v="0"/>
    <n v="0"/>
    <n v="0"/>
    <n v="0"/>
    <n v="0"/>
    <n v="0"/>
    <n v="0"/>
    <n v="0"/>
    <m/>
    <m/>
    <s v="Wandle Valley"/>
    <n v="15"/>
    <m/>
    <n v="0.25"/>
    <n v="0.25"/>
    <n v="0.25"/>
    <n v="0.25"/>
    <m/>
    <m/>
    <m/>
    <m/>
    <m/>
    <m/>
    <m/>
    <m/>
    <m/>
    <m/>
    <m/>
    <m/>
    <m/>
    <m/>
    <m/>
    <n v="1"/>
    <n v="1"/>
  </r>
  <r>
    <n v="7484"/>
    <x v="2"/>
    <s v="2020/4074"/>
    <s v="St. Mary-Le-Park Court, 52 Parkgate Road"/>
    <s v=""/>
    <n v="527470"/>
    <n v="177172"/>
    <s v="Battersea Park"/>
    <m/>
    <m/>
    <n v="0"/>
    <n v="1"/>
    <n v="1"/>
    <n v="1"/>
    <n v="1"/>
    <m/>
    <s v="Alterations including enlargement of 7th floor and erection of two-storey roof extension (to create 10-storey building) in connection with creation of 2 x 3-bedroom and 2 x 2-bedroom flats with terraces and associated car parking and cycle storage facilities. Replacement windows and panels and changes to ground floor doors and boundary."/>
    <s v="PF"/>
    <d v="2020-10-27T00:00:00"/>
    <d v="2021-08-06T00:00:00"/>
    <m/>
    <s v="Nil"/>
    <m/>
    <s v="BF"/>
    <s v="EXT"/>
    <x v="2"/>
    <x v="3"/>
    <n v="0.02"/>
    <m/>
    <x v="0"/>
    <m/>
    <s v="Open Market"/>
    <s v="M"/>
    <s v=""/>
    <m/>
    <m/>
    <m/>
    <m/>
    <m/>
    <n v="0"/>
    <n v="0"/>
    <n v="0"/>
    <n v="1"/>
    <n v="0"/>
    <n v="0"/>
    <n v="0"/>
    <n v="0"/>
    <n v="0"/>
    <n v="0"/>
    <n v="1"/>
    <n v="0"/>
    <n v="0"/>
    <n v="0"/>
    <n v="0"/>
    <n v="0"/>
    <n v="0"/>
    <n v="0"/>
    <n v="0"/>
    <n v="0"/>
    <n v="0"/>
    <n v="0"/>
    <n v="0"/>
    <n v="0"/>
    <n v="0"/>
    <n v="0"/>
    <n v="0"/>
    <n v="0"/>
    <m/>
    <m/>
    <s v="Wandsworth riverside"/>
    <n v="15"/>
    <m/>
    <n v="0.25"/>
    <n v="0.25"/>
    <n v="0.25"/>
    <n v="0.25"/>
    <m/>
    <m/>
    <m/>
    <m/>
    <m/>
    <m/>
    <m/>
    <m/>
    <m/>
    <m/>
    <m/>
    <m/>
    <m/>
    <m/>
    <m/>
    <n v="1"/>
    <n v="1"/>
  </r>
  <r>
    <n v="7533"/>
    <x v="2"/>
    <s v="2020/4264"/>
    <s v="373 Upper Richmond Road"/>
    <s v=""/>
    <n v="522503"/>
    <n v="175408"/>
    <s v="West Putney"/>
    <m/>
    <m/>
    <n v="1"/>
    <n v="1"/>
    <n v="0"/>
    <n v="1"/>
    <n v="0"/>
    <m/>
    <s v="Alterations including erection of dormer extension to main rear roof, Erection of single storey outbuilding for storage and office use. Relocation of external staircase."/>
    <s v="PF"/>
    <d v="2020-11-10T00:00:00"/>
    <d v="2021-01-04T00:00:00"/>
    <m/>
    <s v="Nil"/>
    <m/>
    <s v="BF"/>
    <s v="EXT"/>
    <x v="2"/>
    <x v="2"/>
    <n v="3.0000000000000001E-3"/>
    <m/>
    <x v="0"/>
    <m/>
    <s v="Open Market"/>
    <s v="M"/>
    <s v=""/>
    <m/>
    <m/>
    <m/>
    <m/>
    <m/>
    <n v="0"/>
    <n v="-1"/>
    <n v="0"/>
    <n v="1"/>
    <n v="0"/>
    <n v="0"/>
    <n v="0"/>
    <n v="0"/>
    <n v="-1"/>
    <n v="0"/>
    <n v="1"/>
    <n v="0"/>
    <n v="0"/>
    <n v="0"/>
    <n v="0"/>
    <n v="0"/>
    <n v="0"/>
    <n v="0"/>
    <n v="0"/>
    <n v="0"/>
    <n v="0"/>
    <n v="0"/>
    <n v="0"/>
    <n v="0"/>
    <n v="0"/>
    <n v="0"/>
    <n v="0"/>
    <n v="0"/>
    <m/>
    <m/>
    <s v="Rest of Borough"/>
    <n v="15"/>
    <m/>
    <n v="0"/>
    <n v="0"/>
    <n v="0"/>
    <n v="0"/>
    <m/>
    <m/>
    <m/>
    <m/>
    <m/>
    <m/>
    <m/>
    <m/>
    <m/>
    <m/>
    <m/>
    <m/>
    <m/>
    <m/>
    <m/>
    <n v="0"/>
    <n v="0"/>
  </r>
  <r>
    <n v="886"/>
    <x v="2"/>
    <s v="2020/4390"/>
    <s v="39 Selkirk Road"/>
    <s v=""/>
    <n v="527401"/>
    <n v="171675"/>
    <s v="Tooting Broadway"/>
    <m/>
    <m/>
    <n v="2"/>
    <n v="1"/>
    <n v="-1"/>
    <n v="1"/>
    <n v="-1"/>
    <m/>
    <s v="Erection of single storey side/rear extension and installation of single front entrance door in connection with conversion of property from 2 x 2 bedroom flats to single dwelling."/>
    <s v="PF"/>
    <d v="2020-12-18T00:00:00"/>
    <d v="2021-02-12T00:00:00"/>
    <m/>
    <s v="Nil"/>
    <m/>
    <s v="BF"/>
    <s v="CON"/>
    <x v="2"/>
    <x v="11"/>
    <n v="0.06"/>
    <m/>
    <x v="0"/>
    <m/>
    <s v="Open Market"/>
    <s v="M"/>
    <s v=""/>
    <m/>
    <m/>
    <m/>
    <m/>
    <m/>
    <n v="0"/>
    <n v="0"/>
    <n v="-2"/>
    <n v="1"/>
    <n v="0"/>
    <n v="0"/>
    <n v="0"/>
    <n v="0"/>
    <n v="0"/>
    <n v="-2"/>
    <n v="0"/>
    <n v="0"/>
    <n v="0"/>
    <n v="0"/>
    <n v="0"/>
    <n v="0"/>
    <n v="0"/>
    <n v="1"/>
    <n v="0"/>
    <n v="0"/>
    <n v="0"/>
    <n v="0"/>
    <n v="0"/>
    <n v="0"/>
    <n v="0"/>
    <n v="0"/>
    <n v="0"/>
    <n v="0"/>
    <m/>
    <m/>
    <s v="Rest of Borough"/>
    <n v="15"/>
    <m/>
    <n v="-0.25"/>
    <n v="-0.25"/>
    <n v="-0.25"/>
    <n v="-0.25"/>
    <m/>
    <m/>
    <m/>
    <m/>
    <m/>
    <m/>
    <m/>
    <m/>
    <m/>
    <m/>
    <m/>
    <m/>
    <m/>
    <m/>
    <m/>
    <n v="-1"/>
    <n v="-1"/>
  </r>
  <r>
    <n v="7487"/>
    <x v="2"/>
    <s v="2020/4441"/>
    <s v="54c Charlmont Road"/>
    <s v=""/>
    <n v="527564"/>
    <n v="170910"/>
    <s v="Tooting Broadway"/>
    <m/>
    <m/>
    <n v="0"/>
    <n v="1"/>
    <n v="1"/>
    <n v="2"/>
    <n v="1"/>
    <m/>
    <s v="Alterations including erection of mansard roof extension to main rear roof (with 0.7m ridge raise, French doors and safety railings), alterations to front roof pitch and raising existing gable in connection with the creation of  1 x1 bedroom flat."/>
    <s v="PF"/>
    <d v="2020-11-20T00:00:00"/>
    <d v="2021-04-14T00:00:00"/>
    <m/>
    <s v="Nil"/>
    <m/>
    <s v="BF"/>
    <s v="MIX"/>
    <x v="2"/>
    <x v="7"/>
    <n v="5.0000000000000001E-3"/>
    <m/>
    <x v="0"/>
    <m/>
    <s v="Open Market"/>
    <s v="M"/>
    <s v=""/>
    <m/>
    <m/>
    <m/>
    <m/>
    <m/>
    <n v="0"/>
    <n v="1"/>
    <n v="0"/>
    <n v="0"/>
    <n v="0"/>
    <n v="0"/>
    <n v="0"/>
    <n v="0"/>
    <n v="1"/>
    <n v="0"/>
    <n v="0"/>
    <n v="0"/>
    <n v="0"/>
    <n v="0"/>
    <n v="0"/>
    <n v="0"/>
    <n v="0"/>
    <n v="0"/>
    <n v="0"/>
    <n v="0"/>
    <n v="0"/>
    <n v="0"/>
    <n v="0"/>
    <n v="0"/>
    <n v="0"/>
    <n v="0"/>
    <n v="0"/>
    <n v="0"/>
    <m/>
    <m/>
    <s v="Rest of Borough"/>
    <n v="15"/>
    <m/>
    <n v="0.25"/>
    <n v="0.25"/>
    <n v="0.25"/>
    <n v="0.25"/>
    <m/>
    <m/>
    <m/>
    <m/>
    <m/>
    <m/>
    <m/>
    <m/>
    <m/>
    <m/>
    <m/>
    <m/>
    <m/>
    <m/>
    <m/>
    <n v="1"/>
    <n v="1"/>
  </r>
  <r>
    <n v="7487"/>
    <x v="2"/>
    <s v="2020/4441"/>
    <s v="54c Charlmont Road"/>
    <s v=""/>
    <n v="527564"/>
    <n v="170910"/>
    <s v="Tooting Broadway"/>
    <m/>
    <m/>
    <n v="1"/>
    <n v="1"/>
    <n v="0"/>
    <n v="2"/>
    <n v="1"/>
    <m/>
    <s v="Alterations including erection of mansard roof extension to main rear roof (with 0.7m ridge raise, French doors and safety railings), alterations to front roof pitch and raising existing gable in connection with the creation of  1 x1 bedroom flat."/>
    <s v="PF"/>
    <d v="2020-11-20T00:00:00"/>
    <d v="2021-04-14T00:00:00"/>
    <m/>
    <s v="Nil"/>
    <m/>
    <s v="BF"/>
    <s v="MIX"/>
    <x v="2"/>
    <x v="5"/>
    <n v="8.0000000000000002E-3"/>
    <m/>
    <x v="0"/>
    <m/>
    <s v="Open Market"/>
    <s v="M"/>
    <s v=""/>
    <m/>
    <m/>
    <m/>
    <m/>
    <m/>
    <n v="0"/>
    <n v="0"/>
    <n v="1"/>
    <n v="-1"/>
    <n v="0"/>
    <n v="0"/>
    <n v="0"/>
    <n v="0"/>
    <n v="0"/>
    <n v="1"/>
    <n v="-1"/>
    <n v="0"/>
    <n v="0"/>
    <n v="0"/>
    <n v="0"/>
    <n v="0"/>
    <n v="0"/>
    <n v="0"/>
    <n v="0"/>
    <n v="0"/>
    <n v="0"/>
    <n v="0"/>
    <n v="0"/>
    <n v="0"/>
    <n v="0"/>
    <n v="0"/>
    <n v="0"/>
    <n v="0"/>
    <m/>
    <m/>
    <s v="Rest of Borough"/>
    <n v="15"/>
    <m/>
    <n v="0"/>
    <n v="0"/>
    <n v="0"/>
    <n v="0"/>
    <m/>
    <m/>
    <m/>
    <m/>
    <m/>
    <m/>
    <m/>
    <m/>
    <m/>
    <m/>
    <m/>
    <m/>
    <m/>
    <m/>
    <m/>
    <n v="0"/>
    <n v="0"/>
  </r>
  <r>
    <n v="7802"/>
    <x v="2"/>
    <s v="2020/4574"/>
    <s v="199A Wandsworth High Street"/>
    <s v=""/>
    <n v="525309"/>
    <n v="174646"/>
    <s v="Wandsworth Town"/>
    <m/>
    <m/>
    <n v="0"/>
    <n v="1"/>
    <n v="1"/>
    <n v="1"/>
    <n v="1"/>
    <m/>
    <s v="Alterations including erection of front and rear mansard roof extension to provide  1 x 1-bedroom flat (Class C3) at second floor level."/>
    <s v="PF"/>
    <d v="2020-11-27T00:00:00"/>
    <d v="2021-01-22T00:00:00"/>
    <m/>
    <s v="Nil"/>
    <m/>
    <s v="BF"/>
    <s v="EXT"/>
    <x v="2"/>
    <x v="7"/>
    <n v="5.4000000000000003E-3"/>
    <m/>
    <x v="0"/>
    <m/>
    <s v="Open Market"/>
    <s v="M"/>
    <s v=""/>
    <m/>
    <m/>
    <m/>
    <m/>
    <m/>
    <n v="0"/>
    <n v="1"/>
    <n v="0"/>
    <n v="0"/>
    <n v="0"/>
    <n v="0"/>
    <n v="0"/>
    <n v="0"/>
    <n v="1"/>
    <n v="0"/>
    <n v="0"/>
    <n v="0"/>
    <n v="0"/>
    <n v="0"/>
    <n v="0"/>
    <n v="0"/>
    <n v="0"/>
    <n v="0"/>
    <n v="0"/>
    <n v="0"/>
    <n v="0"/>
    <n v="0"/>
    <n v="0"/>
    <n v="0"/>
    <n v="0"/>
    <n v="0"/>
    <n v="0"/>
    <n v="0"/>
    <s v="Wandsworth"/>
    <m/>
    <s v="Wandsworth Town, including the Wandle Delta Masterplan Area"/>
    <n v="15"/>
    <m/>
    <n v="0.25"/>
    <n v="0.25"/>
    <n v="0.25"/>
    <n v="0.25"/>
    <m/>
    <m/>
    <m/>
    <m/>
    <m/>
    <m/>
    <m/>
    <m/>
    <m/>
    <m/>
    <m/>
    <m/>
    <m/>
    <m/>
    <m/>
    <n v="1"/>
    <n v="1"/>
  </r>
  <r>
    <n v="7501"/>
    <x v="2"/>
    <s v="2020/4875"/>
    <s v="40a Oakmead Road"/>
    <s v=""/>
    <n v="528574"/>
    <n v="173102"/>
    <s v="South Balham"/>
    <m/>
    <m/>
    <n v="0"/>
    <n v="1"/>
    <n v="1"/>
    <n v="1"/>
    <n v="1"/>
    <m/>
    <s v="Alterations including erection of a mansard roof extension to main rear roof and extension above part of two-storey back addition; Formation of roof terrace with 1.7m high screen above two-storey back addition; Removal of 2 x chimney stacks; Installation of bi-fold doors to first floor rear roof terrace in connection with creation of 1 x 1-bed flat."/>
    <s v="PF"/>
    <d v="2020-12-15T00:00:00"/>
    <d v="2021-02-09T00:00:00"/>
    <m/>
    <s v="Nil"/>
    <m/>
    <s v="BF"/>
    <s v="EXT"/>
    <x v="2"/>
    <x v="7"/>
    <n v="2E-3"/>
    <m/>
    <x v="0"/>
    <m/>
    <s v="Open Market"/>
    <s v="M"/>
    <s v=""/>
    <m/>
    <m/>
    <m/>
    <m/>
    <m/>
    <n v="0"/>
    <n v="1"/>
    <n v="0"/>
    <n v="0"/>
    <n v="0"/>
    <n v="0"/>
    <n v="0"/>
    <n v="0"/>
    <n v="1"/>
    <n v="0"/>
    <n v="0"/>
    <n v="0"/>
    <n v="0"/>
    <n v="0"/>
    <n v="0"/>
    <n v="0"/>
    <n v="0"/>
    <n v="0"/>
    <n v="0"/>
    <n v="0"/>
    <n v="0"/>
    <n v="0"/>
    <n v="0"/>
    <n v="0"/>
    <n v="0"/>
    <n v="0"/>
    <n v="0"/>
    <n v="0"/>
    <m/>
    <m/>
    <s v="Balham"/>
    <n v="15"/>
    <m/>
    <n v="0.25"/>
    <n v="0.25"/>
    <n v="0.25"/>
    <n v="0.25"/>
    <m/>
    <m/>
    <m/>
    <m/>
    <m/>
    <m/>
    <m/>
    <m/>
    <m/>
    <m/>
    <m/>
    <m/>
    <m/>
    <m/>
    <m/>
    <n v="1"/>
    <n v="1"/>
  </r>
  <r>
    <n v="4316"/>
    <x v="2"/>
    <s v="2020/0457"/>
    <s v="25-29 Tooting High Street"/>
    <s v=""/>
    <n v="527567"/>
    <n v="171576"/>
    <s v="Tooting Broadway"/>
    <d v="2024-03-31T00:00:00"/>
    <m/>
    <n v="0"/>
    <n v="6"/>
    <n v="6"/>
    <n v="29"/>
    <n v="29"/>
    <s v="Y"/>
    <s v="Alterations and erection of extensions to front and side of building at first and second floor levels with the creation of additional third floor level; erection of a rear part four, part five storey extension to provide retail unit (Class A1) on ground floor and 29 residential units (Class C3) above with private balconies and communal roof terrace. Provision of waste and cycle storage and landscaping."/>
    <s v="PFLA"/>
    <d v="2020-04-02T00:00:00"/>
    <d v="2022-01-05T00:00:00"/>
    <m/>
    <s v="Nil"/>
    <m/>
    <s v="BF"/>
    <s v="MIX"/>
    <x v="1"/>
    <x v="0"/>
    <n v="0.01"/>
    <m/>
    <x v="0"/>
    <m/>
    <s v="Intermediate"/>
    <s v="ISL"/>
    <s v="5.2"/>
    <m/>
    <m/>
    <n v="1"/>
    <m/>
    <m/>
    <n v="0"/>
    <n v="3"/>
    <n v="2"/>
    <n v="1"/>
    <n v="0"/>
    <n v="0"/>
    <n v="0"/>
    <n v="0"/>
    <n v="3"/>
    <n v="2"/>
    <n v="1"/>
    <n v="0"/>
    <n v="0"/>
    <n v="0"/>
    <n v="0"/>
    <n v="0"/>
    <n v="0"/>
    <n v="0"/>
    <n v="0"/>
    <n v="0"/>
    <n v="0"/>
    <n v="0"/>
    <n v="0"/>
    <n v="0"/>
    <n v="0"/>
    <n v="0"/>
    <n v="0"/>
    <n v="0"/>
    <s v="Tooting"/>
    <m/>
    <s v="Tooting"/>
    <n v="16"/>
    <m/>
    <n v="1.5"/>
    <n v="1.5"/>
    <n v="1.5"/>
    <n v="1.5"/>
    <m/>
    <m/>
    <m/>
    <m/>
    <m/>
    <m/>
    <m/>
    <m/>
    <m/>
    <m/>
    <m/>
    <m/>
    <m/>
    <m/>
    <m/>
    <n v="6"/>
    <n v="6"/>
  </r>
  <r>
    <n v="6284"/>
    <x v="2"/>
    <s v="2017/1458"/>
    <s v="1-9 Church Row (part of Phase 3 Ram Brewery), Wandsworth Plain (The Ram Quarter)"/>
    <s v=""/>
    <n v="525537"/>
    <n v="174739"/>
    <s v="Wandsworth Town"/>
    <d v="2024-02-19T00:00:00"/>
    <m/>
    <n v="0"/>
    <n v="34"/>
    <n v="34"/>
    <n v="50"/>
    <n v="50"/>
    <s v="Y"/>
    <s v="Demolition of existing warehouse buildings and erection of a 2 - 6 storey building comprising 34 x residential (Class C3) units, flexible commercial floorspace (Class A1/A2/A3/A4) and office space (Class B1a) at ground floor; restoration works, alterations and rear extensions to existing 1-9 Church Row Listed Buildings to enable the change of use from office (Class B1) to residential (Class C3) comprising 1 x dwellinghouse and 15 x flats; provision of associated landscaping, refuse storage and cycle parking; and public access to the River Wandle from Wandsworth Plain._x000a__x000a_For Listed Building Consent refer to planning application reference number: 2017/1847."/>
    <s v="PFLA"/>
    <d v="2017-03-10T00:00:00"/>
    <d v="2017-11-30T00:00:00"/>
    <m/>
    <s v="Nil"/>
    <m/>
    <s v="BF"/>
    <s v="NB"/>
    <x v="1"/>
    <x v="0"/>
    <n v="0.17499999999999999"/>
    <m/>
    <x v="0"/>
    <m/>
    <s v="Open Market"/>
    <s v="M"/>
    <s v="3.1.2"/>
    <m/>
    <n v="50"/>
    <n v="27"/>
    <n v="5"/>
    <n v="5"/>
    <n v="8"/>
    <n v="26"/>
    <n v="0"/>
    <n v="0"/>
    <n v="0"/>
    <n v="0"/>
    <n v="0"/>
    <n v="6"/>
    <n v="26"/>
    <n v="0"/>
    <n v="0"/>
    <n v="0"/>
    <n v="0"/>
    <n v="0"/>
    <n v="0"/>
    <n v="0"/>
    <n v="0"/>
    <n v="0"/>
    <n v="0"/>
    <n v="0"/>
    <n v="0"/>
    <n v="2"/>
    <n v="0"/>
    <n v="0"/>
    <n v="0"/>
    <n v="0"/>
    <n v="0"/>
    <n v="0"/>
    <s v="Wandsworth"/>
    <m/>
    <s v="Wandsworth Town, including the Wandle Delta Masterplan Area"/>
    <n v="8"/>
    <m/>
    <m/>
    <m/>
    <m/>
    <m/>
    <n v="34"/>
    <m/>
    <m/>
    <m/>
    <m/>
    <m/>
    <m/>
    <m/>
    <m/>
    <m/>
    <m/>
    <m/>
    <m/>
    <m/>
    <m/>
    <n v="34"/>
    <n v="34"/>
  </r>
  <r>
    <n v="7803"/>
    <x v="2"/>
    <s v="2020/5019"/>
    <s v="Mews House, 2A Chelverton Road"/>
    <s v=""/>
    <n v="523970"/>
    <n v="175247"/>
    <s v="Thamesfield"/>
    <m/>
    <m/>
    <n v="0"/>
    <n v="1"/>
    <n v="1"/>
    <n v="1"/>
    <n v="1"/>
    <m/>
    <s v="Demolition of existing workshop and erection of a 3-bedroom single dwelling house."/>
    <s v="PF"/>
    <d v="2022-04-25T00:00:00"/>
    <d v="2022-06-20T00:00:00"/>
    <m/>
    <s v="Nil"/>
    <m/>
    <s v="BF"/>
    <s v="NB"/>
    <x v="2"/>
    <x v="8"/>
    <n v="5.0000000000000001E-3"/>
    <m/>
    <x v="0"/>
    <m/>
    <s v="Open Market"/>
    <s v="M"/>
    <s v=""/>
    <m/>
    <m/>
    <m/>
    <m/>
    <m/>
    <n v="0"/>
    <n v="0"/>
    <n v="0"/>
    <n v="1"/>
    <n v="0"/>
    <n v="0"/>
    <n v="0"/>
    <n v="0"/>
    <n v="0"/>
    <n v="0"/>
    <n v="0"/>
    <n v="0"/>
    <n v="0"/>
    <n v="0"/>
    <n v="0"/>
    <n v="0"/>
    <n v="0"/>
    <n v="1"/>
    <n v="0"/>
    <n v="0"/>
    <n v="0"/>
    <n v="0"/>
    <n v="0"/>
    <n v="0"/>
    <n v="0"/>
    <n v="0"/>
    <n v="0"/>
    <n v="0"/>
    <s v="Putney"/>
    <m/>
    <s v="Putney"/>
    <n v="7"/>
    <m/>
    <m/>
    <n v="0.25"/>
    <n v="0.25"/>
    <n v="0.25"/>
    <n v="0.25"/>
    <m/>
    <m/>
    <m/>
    <m/>
    <m/>
    <m/>
    <m/>
    <m/>
    <m/>
    <m/>
    <m/>
    <m/>
    <m/>
    <m/>
    <n v="1"/>
    <n v="1"/>
  </r>
  <r>
    <n v="6284"/>
    <x v="2"/>
    <s v="2017/1458"/>
    <s v="1-9 Church Row (part of Phase 3 Ram Brewery), Wandsworth Plain (The Ram Quarter)"/>
    <s v=""/>
    <n v="525537"/>
    <n v="174739"/>
    <s v="Wandsworth Town"/>
    <d v="2024-02-19T00:00:00"/>
    <m/>
    <n v="0"/>
    <n v="16"/>
    <n v="16"/>
    <n v="50"/>
    <n v="50"/>
    <s v="Y"/>
    <s v="Demolition of existing warehouse buildings and erection of a 2 - 6 storey building comprising 34 x residential (Class C3) units, flexible commercial floorspace (Class A1/A2/A3/A4) and office space (Class B1a) at ground floor; restoration works, alterations and rear extensions to existing 1-9 Church Row Listed Buildings to enable the change of use from office (Class B1) to residential (Class C3) comprising 1 x dwellinghouse and 15 x flats; provision of associated landscaping, refuse storage and cycle parking; and public access to the River Wandle from Wandsworth Plain._x000a__x000a_For Listed Building Consent refer to planning application reference number: 2017/1847."/>
    <s v="PFLA"/>
    <d v="2017-03-10T00:00:00"/>
    <d v="2017-11-30T00:00:00"/>
    <m/>
    <s v="Nil"/>
    <m/>
    <s v="BF"/>
    <s v="NB"/>
    <x v="4"/>
    <x v="0"/>
    <n v="8.3000000000000004E-2"/>
    <m/>
    <x v="0"/>
    <m/>
    <s v="Open Market"/>
    <s v="M"/>
    <s v="3.1.2"/>
    <m/>
    <m/>
    <n v="16"/>
    <m/>
    <m/>
    <n v="0"/>
    <n v="0"/>
    <n v="12"/>
    <n v="4"/>
    <n v="0"/>
    <n v="0"/>
    <n v="0"/>
    <n v="0"/>
    <n v="0"/>
    <n v="12"/>
    <n v="3"/>
    <n v="0"/>
    <n v="0"/>
    <n v="0"/>
    <n v="0"/>
    <n v="0"/>
    <n v="0"/>
    <n v="1"/>
    <n v="0"/>
    <n v="0"/>
    <n v="0"/>
    <n v="0"/>
    <n v="0"/>
    <n v="0"/>
    <n v="0"/>
    <n v="0"/>
    <n v="0"/>
    <n v="0"/>
    <s v="Wandsworth"/>
    <m/>
    <s v="Wandsworth Town, including the Wandle Delta Masterplan Area"/>
    <n v="8"/>
    <m/>
    <m/>
    <m/>
    <m/>
    <m/>
    <n v="16"/>
    <m/>
    <m/>
    <m/>
    <m/>
    <m/>
    <m/>
    <m/>
    <m/>
    <m/>
    <m/>
    <m/>
    <m/>
    <m/>
    <m/>
    <n v="16"/>
    <n v="16"/>
  </r>
  <r>
    <n v="2411"/>
    <x v="2"/>
    <s v="2021/0138"/>
    <s v="South Lambeth Goods Depot, Cringle St./Battersea Park Rd., Kirtling Street (Battersea Power Station)"/>
    <s v="Phase 4 (RS-5)"/>
    <n v="528934"/>
    <n v="177496"/>
    <s v="Nine Elms"/>
    <d v="2016-05-16T00:00:00"/>
    <m/>
    <n v="0"/>
    <n v="883"/>
    <n v="883"/>
    <n v="2027"/>
    <n v="2027"/>
    <s v="Y"/>
    <s v="Application under Section 96a of the Town and Country Planning Act 1990 (as amended) for non-material amendments to planning permission 2014/2837 dated 05/12/2015 (&quot;Application for Amendments to the planning permission dated the 29/04/14 (ref: 2013/6639) for the restoration, extension, alterations and conversion of the Power Station building to provide retail, residential flats, business, cultural, hotel and conference facilities, event space and incidental accommodation; the demolition of other buildings and development of the land surrounding the Power Station and adjacent/nearby sites to provide retail, restaurants bars and cafes, offices, hotel, residential, community and cultural space, assembly and leisure space, student housing, serviced apartments, an energy centre and basement plant; parking for cars, coaches, motorcycles and bicycles; new access and internal road system and servicing; 'off-site' highway works; works to the jetty and riverwall to facilitate river transport and fuel delivery; provision of open space and landscaping.&quot;) The submitted details relate to the residential layouts of building O1 within phase 3A of the Battersea Power Station development."/>
    <s v="S96A"/>
    <d v="2021-01-14T00:00:00"/>
    <d v="2021-03-09T00:00:00"/>
    <m/>
    <s v="Nil"/>
    <m/>
    <s v="BF"/>
    <s v="NB"/>
    <x v="1"/>
    <x v="0"/>
    <n v="0.79500000000000004"/>
    <m/>
    <x v="0"/>
    <m/>
    <s v="Open Market"/>
    <s v="M"/>
    <s v="2.1.1"/>
    <m/>
    <m/>
    <m/>
    <m/>
    <m/>
    <n v="20"/>
    <n v="390"/>
    <n v="307"/>
    <n v="129"/>
    <n v="11"/>
    <n v="26"/>
    <n v="0"/>
    <n v="20"/>
    <n v="390"/>
    <n v="307"/>
    <n v="129"/>
    <n v="11"/>
    <n v="26"/>
    <n v="0"/>
    <n v="0"/>
    <n v="0"/>
    <n v="0"/>
    <n v="0"/>
    <n v="0"/>
    <n v="0"/>
    <n v="0"/>
    <n v="0"/>
    <n v="0"/>
    <n v="0"/>
    <n v="0"/>
    <n v="0"/>
    <n v="0"/>
    <n v="0"/>
    <m/>
    <s v="Y"/>
    <s v="Nine Elms"/>
    <n v="10"/>
    <m/>
    <m/>
    <m/>
    <m/>
    <n v="294.33333333333331"/>
    <n v="294.33333333333331"/>
    <n v="294.33333333333331"/>
    <m/>
    <m/>
    <m/>
    <m/>
    <m/>
    <m/>
    <m/>
    <m/>
    <m/>
    <m/>
    <m/>
    <m/>
    <m/>
    <n v="588.66666666666663"/>
    <n v="883"/>
  </r>
  <r>
    <n v="6612"/>
    <x v="2"/>
    <s v="2021/0297"/>
    <s v="122 Upper Richmond Road"/>
    <s v=""/>
    <n v="524304"/>
    <n v="174961"/>
    <s v="East Putney"/>
    <m/>
    <m/>
    <n v="1"/>
    <n v="2"/>
    <n v="1"/>
    <n v="2"/>
    <n v="1"/>
    <m/>
    <s v="Alterations including erection of front and rear main roof extension, two-storey rear extension at second and third floor levels with formation of rear balconies in connection with conversion of existing flat into 1 x 2-bedroom and 1 x 1-bedroom flats."/>
    <s v="PF"/>
    <d v="2021-01-25T00:00:00"/>
    <d v="2021-03-22T00:00:00"/>
    <m/>
    <s v="Nil"/>
    <m/>
    <s v="BF"/>
    <s v="CON"/>
    <x v="2"/>
    <x v="5"/>
    <n v="1.0999999999999999E-2"/>
    <m/>
    <x v="0"/>
    <m/>
    <s v="Open Market"/>
    <s v="M"/>
    <s v=""/>
    <m/>
    <m/>
    <m/>
    <m/>
    <m/>
    <n v="0"/>
    <n v="1"/>
    <n v="1"/>
    <n v="0"/>
    <n v="-1"/>
    <n v="0"/>
    <n v="0"/>
    <n v="0"/>
    <n v="1"/>
    <n v="1"/>
    <n v="0"/>
    <n v="-1"/>
    <n v="0"/>
    <n v="0"/>
    <n v="0"/>
    <n v="0"/>
    <n v="0"/>
    <n v="0"/>
    <n v="0"/>
    <n v="0"/>
    <n v="0"/>
    <n v="0"/>
    <n v="0"/>
    <n v="0"/>
    <n v="0"/>
    <n v="0"/>
    <n v="0"/>
    <n v="0"/>
    <s v="Putney"/>
    <m/>
    <s v="Putney"/>
    <n v="15"/>
    <m/>
    <n v="0.25"/>
    <n v="0.25"/>
    <n v="0.25"/>
    <n v="0.25"/>
    <m/>
    <m/>
    <m/>
    <m/>
    <m/>
    <m/>
    <m/>
    <m/>
    <m/>
    <m/>
    <m/>
    <m/>
    <m/>
    <m/>
    <m/>
    <n v="1"/>
    <n v="1"/>
  </r>
  <r>
    <n v="4326"/>
    <x v="2"/>
    <s v="2021/0376"/>
    <s v="480 Garratt Lane"/>
    <s v=""/>
    <n v="526105"/>
    <n v="172589"/>
    <s v="Wandsworth Common"/>
    <m/>
    <m/>
    <n v="1"/>
    <n v="3"/>
    <n v="2"/>
    <n v="3"/>
    <n v="2"/>
    <m/>
    <s v="Alterations including excavation to enlarge basement including formation of front lightwell; erection of replacement single storey extension at rear and erection of single-storey side extension in connection with conversion of lower ground and ground floors into 1 x 2-bedroom and 1 x 1-bedroom flats."/>
    <s v="PF"/>
    <d v="2021-01-28T00:00:00"/>
    <d v="2021-07-08T00:00:00"/>
    <m/>
    <s v="Nil"/>
    <m/>
    <s v="BF"/>
    <s v="NB"/>
    <x v="2"/>
    <x v="8"/>
    <n v="1.2999999999999999E-2"/>
    <m/>
    <x v="0"/>
    <m/>
    <s v="Open Market"/>
    <s v="M"/>
    <s v=""/>
    <m/>
    <m/>
    <m/>
    <m/>
    <m/>
    <n v="0"/>
    <n v="0"/>
    <n v="2"/>
    <n v="0"/>
    <n v="0"/>
    <n v="0"/>
    <n v="0"/>
    <n v="0"/>
    <n v="0"/>
    <n v="2"/>
    <n v="0"/>
    <n v="0"/>
    <n v="0"/>
    <n v="0"/>
    <n v="0"/>
    <n v="0"/>
    <n v="0"/>
    <n v="0"/>
    <n v="0"/>
    <n v="0"/>
    <n v="0"/>
    <n v="0"/>
    <n v="0"/>
    <n v="0"/>
    <n v="0"/>
    <n v="0"/>
    <n v="0"/>
    <n v="0"/>
    <m/>
    <m/>
    <s v="Wandle Valley"/>
    <n v="7"/>
    <m/>
    <m/>
    <n v="0.5"/>
    <n v="0.5"/>
    <n v="0.5"/>
    <n v="0.5"/>
    <m/>
    <m/>
    <m/>
    <m/>
    <m/>
    <m/>
    <m/>
    <m/>
    <m/>
    <m/>
    <m/>
    <m/>
    <m/>
    <m/>
    <n v="2"/>
    <n v="2"/>
  </r>
  <r>
    <n v="6600"/>
    <x v="2"/>
    <s v="2021/0438"/>
    <s v="107 Allfarthing Lane"/>
    <s v=""/>
    <n v="525959"/>
    <n v="174033"/>
    <s v="Wandle"/>
    <m/>
    <m/>
    <n v="0"/>
    <n v="2"/>
    <n v="2"/>
    <n v="2"/>
    <n v="2"/>
    <m/>
    <s v="Determination as to whether prior approval is required for change of use from retail (Class A1) to 1 x 1-bedroom flat and 1 studio flat (Class C3)."/>
    <s v="PANR"/>
    <d v="2021-01-26T00:00:00"/>
    <d v="2021-03-25T00:00:00"/>
    <m/>
    <s v="Nil"/>
    <m/>
    <s v="BF"/>
    <s v="COU"/>
    <x v="2"/>
    <x v="4"/>
    <n v="6.0000000000000001E-3"/>
    <m/>
    <x v="0"/>
    <m/>
    <s v="Open Market"/>
    <s v="M"/>
    <s v=""/>
    <m/>
    <m/>
    <m/>
    <m/>
    <m/>
    <n v="1"/>
    <n v="1"/>
    <n v="0"/>
    <n v="0"/>
    <n v="0"/>
    <n v="0"/>
    <n v="0"/>
    <n v="1"/>
    <n v="1"/>
    <n v="0"/>
    <n v="0"/>
    <n v="0"/>
    <n v="0"/>
    <n v="0"/>
    <n v="0"/>
    <n v="0"/>
    <n v="0"/>
    <n v="0"/>
    <n v="0"/>
    <n v="0"/>
    <n v="0"/>
    <n v="0"/>
    <n v="0"/>
    <n v="0"/>
    <n v="0"/>
    <n v="0"/>
    <n v="0"/>
    <n v="0"/>
    <m/>
    <m/>
    <s v="Rest of Borough"/>
    <n v="15"/>
    <m/>
    <n v="0.5"/>
    <n v="0.5"/>
    <n v="0.5"/>
    <n v="0.5"/>
    <m/>
    <m/>
    <m/>
    <m/>
    <m/>
    <m/>
    <m/>
    <m/>
    <m/>
    <m/>
    <m/>
    <m/>
    <m/>
    <m/>
    <m/>
    <n v="2"/>
    <n v="2"/>
  </r>
  <r>
    <n v="5748"/>
    <x v="2"/>
    <s v="2021/0457"/>
    <s v="Oyster Wharf Inlet, Oyster Wharf, 18 Lombard Road"/>
    <s v=""/>
    <n v="526622"/>
    <n v="176212"/>
    <s v="St Mary's"/>
    <m/>
    <m/>
    <n v="0"/>
    <n v="1"/>
    <n v="1"/>
    <n v="1"/>
    <n v="1"/>
    <m/>
    <s v="Construction of a floating residential vessel in the dock known as Oyster Wharf inlet."/>
    <s v="PF"/>
    <d v="2021-02-03T00:00:00"/>
    <d v="2021-06-29T00:00:00"/>
    <m/>
    <s v="Nil"/>
    <m/>
    <s v="BF"/>
    <s v="NB"/>
    <x v="2"/>
    <x v="3"/>
    <n v="0.26300000000000001"/>
    <m/>
    <x v="0"/>
    <m/>
    <s v="Open Market"/>
    <s v="M"/>
    <s v=""/>
    <m/>
    <m/>
    <m/>
    <m/>
    <m/>
    <n v="0"/>
    <n v="0"/>
    <n v="0"/>
    <n v="1"/>
    <n v="0"/>
    <n v="0"/>
    <n v="0"/>
    <n v="0"/>
    <n v="0"/>
    <n v="0"/>
    <n v="0"/>
    <n v="0"/>
    <n v="0"/>
    <n v="0"/>
    <n v="0"/>
    <n v="0"/>
    <n v="0"/>
    <n v="1"/>
    <n v="0"/>
    <n v="0"/>
    <n v="0"/>
    <n v="0"/>
    <n v="0"/>
    <n v="0"/>
    <n v="0"/>
    <n v="0"/>
    <n v="0"/>
    <n v="0"/>
    <m/>
    <m/>
    <s v="Wandsworth riverside"/>
    <n v="7"/>
    <m/>
    <m/>
    <n v="0.25"/>
    <n v="0.25"/>
    <n v="0.25"/>
    <n v="0.25"/>
    <m/>
    <m/>
    <m/>
    <m/>
    <m/>
    <m/>
    <m/>
    <m/>
    <m/>
    <m/>
    <m/>
    <m/>
    <m/>
    <m/>
    <n v="1"/>
    <n v="1"/>
  </r>
  <r>
    <n v="6789"/>
    <x v="2"/>
    <s v="2021/0546"/>
    <s v="47-51 Lavender Hill"/>
    <s v=""/>
    <n v="528385"/>
    <n v="175721"/>
    <s v="Lavender"/>
    <m/>
    <m/>
    <n v="0"/>
    <n v="3"/>
    <n v="3"/>
    <n v="3"/>
    <n v="3"/>
    <m/>
    <s v="Erection of a new storey of accommodation to main roof, extensions above back additions, formation of roof terraces above back additions with obscured glazed screen surround, extension and re-configuration of internal staircase, in connection with creation of 2 x 1 bedroom flats and 1 studio flat."/>
    <s v="PF"/>
    <d v="2021-02-08T00:00:00"/>
    <d v="2021-04-22T00:00:00"/>
    <m/>
    <s v="Nil"/>
    <m/>
    <s v="BF"/>
    <s v="EXT"/>
    <x v="2"/>
    <x v="7"/>
    <n v="5.0000000000000001E-3"/>
    <m/>
    <x v="0"/>
    <m/>
    <s v="Open Market"/>
    <s v="M"/>
    <s v=""/>
    <m/>
    <m/>
    <m/>
    <m/>
    <m/>
    <n v="1"/>
    <n v="2"/>
    <n v="0"/>
    <n v="0"/>
    <n v="0"/>
    <n v="0"/>
    <n v="0"/>
    <n v="1"/>
    <n v="2"/>
    <n v="0"/>
    <n v="0"/>
    <n v="0"/>
    <n v="0"/>
    <n v="0"/>
    <n v="0"/>
    <n v="0"/>
    <n v="0"/>
    <n v="0"/>
    <n v="0"/>
    <n v="0"/>
    <n v="0"/>
    <n v="0"/>
    <n v="0"/>
    <n v="0"/>
    <n v="0"/>
    <n v="0"/>
    <n v="0"/>
    <n v="0"/>
    <m/>
    <m/>
    <s v="Rest of Borough"/>
    <n v="15"/>
    <m/>
    <n v="0.75"/>
    <n v="0.75"/>
    <n v="0.75"/>
    <n v="0.75"/>
    <m/>
    <m/>
    <m/>
    <m/>
    <m/>
    <m/>
    <m/>
    <m/>
    <m/>
    <m/>
    <m/>
    <m/>
    <m/>
    <m/>
    <m/>
    <n v="3"/>
    <n v="3"/>
  </r>
  <r>
    <n v="2032"/>
    <x v="2"/>
    <s v="2021/0659"/>
    <s v="297-301 Balham High Road (1-9 Belgravia House, 301)"/>
    <s v=""/>
    <n v="528095"/>
    <n v="172380"/>
    <s v="South Balham"/>
    <m/>
    <m/>
    <n v="0"/>
    <n v="2"/>
    <n v="2"/>
    <n v="2"/>
    <n v="2"/>
    <m/>
    <s v="Alterations including erection of front and rear roof extensions to main rear roof including raising the ridge, formation of roof terraces to the front and rear in connection with the creation of 2 x two-bedroom flats."/>
    <s v="PF"/>
    <d v="2021-02-12T00:00:00"/>
    <d v="2021-06-21T00:00:00"/>
    <m/>
    <s v="Nil"/>
    <m/>
    <s v="BF"/>
    <s v="EXT"/>
    <x v="2"/>
    <x v="7"/>
    <n v="8.9999999999999993E-3"/>
    <m/>
    <x v="0"/>
    <m/>
    <s v="Open Market"/>
    <s v="M"/>
    <s v=""/>
    <m/>
    <m/>
    <m/>
    <m/>
    <m/>
    <n v="0"/>
    <n v="0"/>
    <n v="2"/>
    <n v="0"/>
    <n v="0"/>
    <n v="0"/>
    <n v="0"/>
    <n v="0"/>
    <n v="0"/>
    <n v="2"/>
    <n v="0"/>
    <n v="0"/>
    <n v="0"/>
    <n v="0"/>
    <n v="0"/>
    <n v="0"/>
    <n v="0"/>
    <n v="0"/>
    <n v="0"/>
    <n v="0"/>
    <n v="0"/>
    <n v="0"/>
    <n v="0"/>
    <n v="0"/>
    <n v="0"/>
    <n v="0"/>
    <n v="0"/>
    <n v="0"/>
    <m/>
    <m/>
    <s v="Rest of Borough"/>
    <n v="15"/>
    <m/>
    <n v="0.5"/>
    <n v="0.5"/>
    <n v="0.5"/>
    <n v="0.5"/>
    <m/>
    <m/>
    <m/>
    <m/>
    <m/>
    <m/>
    <m/>
    <m/>
    <m/>
    <m/>
    <m/>
    <m/>
    <m/>
    <m/>
    <m/>
    <n v="2"/>
    <n v="2"/>
  </r>
  <r>
    <n v="7511"/>
    <x v="2"/>
    <s v="2021/0663"/>
    <s v="16 Briar Walk"/>
    <s v=""/>
    <n v="522721"/>
    <n v="175237"/>
    <s v="West Putney"/>
    <m/>
    <m/>
    <n v="0"/>
    <n v="1"/>
    <n v="1"/>
    <n v="1"/>
    <n v="1"/>
    <m/>
    <s v="Demolition of existing garage and erection of a 2-bedroom two-storey house with accommodation at basement level including off street parking, cycle and refuse storage."/>
    <s v="PF"/>
    <d v="2021-02-12T00:00:00"/>
    <d v="2021-07-14T00:00:00"/>
    <m/>
    <s v="Nil"/>
    <m/>
    <s v="BF"/>
    <s v="NB"/>
    <x v="2"/>
    <x v="3"/>
    <n v="5.3350000000000003E-3"/>
    <m/>
    <x v="0"/>
    <m/>
    <s v="Open Market"/>
    <s v="M"/>
    <s v=""/>
    <m/>
    <m/>
    <m/>
    <m/>
    <m/>
    <n v="0"/>
    <n v="0"/>
    <n v="1"/>
    <n v="0"/>
    <n v="0"/>
    <n v="0"/>
    <n v="0"/>
    <n v="0"/>
    <n v="0"/>
    <n v="0"/>
    <n v="0"/>
    <n v="0"/>
    <n v="0"/>
    <n v="0"/>
    <n v="0"/>
    <n v="0"/>
    <n v="1"/>
    <n v="0"/>
    <n v="0"/>
    <n v="0"/>
    <n v="0"/>
    <n v="0"/>
    <n v="0"/>
    <n v="0"/>
    <n v="0"/>
    <n v="0"/>
    <n v="0"/>
    <n v="0"/>
    <m/>
    <m/>
    <s v="Rest of Borough"/>
    <n v="7"/>
    <m/>
    <m/>
    <n v="0.25"/>
    <n v="0.25"/>
    <n v="0.25"/>
    <n v="0.25"/>
    <m/>
    <m/>
    <m/>
    <m/>
    <m/>
    <m/>
    <m/>
    <m/>
    <m/>
    <m/>
    <m/>
    <m/>
    <m/>
    <m/>
    <n v="1"/>
    <n v="1"/>
  </r>
  <r>
    <n v="6499"/>
    <x v="2"/>
    <s v="2021/0888"/>
    <s v="Albany House, Portslade Road"/>
    <s v=""/>
    <n v="529152"/>
    <n v="176426"/>
    <s v="Shaftesbury &amp; Queenstown"/>
    <m/>
    <m/>
    <n v="2"/>
    <n v="1"/>
    <n v="-1"/>
    <n v="1"/>
    <n v="-1"/>
    <m/>
    <s v="Outline consent for the demolition of Albany House and erection of a five-storey plus basement building containing business suites (Use Class E(g)) on ground to second floors and a three-bedroom residential unit on third and fourth floors with a private roof terrace and associated cycle parking and refuse storage facilities at ground floor, with all matters reserved except access and scale."/>
    <s v="PO"/>
    <d v="2021-04-16T00:00:00"/>
    <d v="2021-08-24T00:00:00"/>
    <m/>
    <s v="Nil"/>
    <m/>
    <s v="BF"/>
    <s v="NB"/>
    <x v="2"/>
    <x v="3"/>
    <n v="2E-3"/>
    <m/>
    <x v="0"/>
    <m/>
    <s v="Open Market"/>
    <s v="M"/>
    <s v=""/>
    <m/>
    <m/>
    <m/>
    <m/>
    <m/>
    <n v="-1"/>
    <n v="-1"/>
    <n v="0"/>
    <n v="1"/>
    <n v="0"/>
    <n v="0"/>
    <n v="0"/>
    <n v="-1"/>
    <n v="-1"/>
    <n v="0"/>
    <n v="1"/>
    <n v="0"/>
    <n v="0"/>
    <n v="0"/>
    <n v="0"/>
    <n v="0"/>
    <n v="0"/>
    <n v="0"/>
    <n v="0"/>
    <n v="0"/>
    <n v="0"/>
    <n v="0"/>
    <n v="0"/>
    <n v="0"/>
    <n v="0"/>
    <n v="0"/>
    <n v="0"/>
    <n v="0"/>
    <m/>
    <s v="Y"/>
    <s v="Nine Elms"/>
    <n v="7"/>
    <m/>
    <m/>
    <n v="-0.25"/>
    <n v="-0.25"/>
    <n v="-0.25"/>
    <n v="-0.25"/>
    <m/>
    <m/>
    <m/>
    <m/>
    <m/>
    <m/>
    <m/>
    <m/>
    <m/>
    <m/>
    <m/>
    <m/>
    <m/>
    <m/>
    <n v="-1"/>
    <n v="-1"/>
  </r>
  <r>
    <n v="4750"/>
    <x v="2"/>
    <s v="2021/0928"/>
    <s v="111-113 Wandsworth High Street"/>
    <s v=""/>
    <n v="525522"/>
    <n v="174660"/>
    <s v="Wandsworth Town"/>
    <m/>
    <m/>
    <n v="0"/>
    <n v="6"/>
    <n v="6"/>
    <n v="6"/>
    <n v="6"/>
    <m/>
    <s v="Alterations including erection of two storey roof extension including front and rear mansard and excavation to create basement in connection with provision of retail at ground floor level with ancillary office and storage floorspace on the basement and first floor levels (Class E), and 4 x 2-bedroom, 1 x 1-bedroom and 1 x studio flats with front and rear roof terraces and associated refuse storage accessed from the rear"/>
    <s v="PF"/>
    <d v="2021-02-26T00:00:00"/>
    <d v="2021-07-27T00:00:00"/>
    <m/>
    <s v="Nil"/>
    <m/>
    <s v="BF"/>
    <s v="MIX"/>
    <x v="2"/>
    <x v="8"/>
    <n v="2.9000000000000001E-2"/>
    <m/>
    <x v="0"/>
    <m/>
    <s v="Open Market"/>
    <s v="M"/>
    <s v=""/>
    <m/>
    <m/>
    <m/>
    <m/>
    <m/>
    <n v="1"/>
    <n v="1"/>
    <n v="4"/>
    <n v="0"/>
    <n v="0"/>
    <n v="0"/>
    <n v="0"/>
    <n v="1"/>
    <n v="1"/>
    <n v="4"/>
    <n v="0"/>
    <n v="0"/>
    <n v="0"/>
    <n v="0"/>
    <n v="0"/>
    <n v="0"/>
    <n v="0"/>
    <n v="0"/>
    <n v="0"/>
    <n v="0"/>
    <n v="0"/>
    <n v="0"/>
    <n v="0"/>
    <n v="0"/>
    <n v="0"/>
    <n v="0"/>
    <n v="0"/>
    <n v="0"/>
    <s v="Wandsworth"/>
    <m/>
    <s v="Wandsworth Town, including the Wandle Delta Masterplan Area"/>
    <n v="18"/>
    <m/>
    <n v="1.5"/>
    <n v="1.5"/>
    <n v="1.5"/>
    <n v="1.5"/>
    <m/>
    <m/>
    <m/>
    <m/>
    <m/>
    <m/>
    <m/>
    <m/>
    <m/>
    <m/>
    <m/>
    <m/>
    <m/>
    <m/>
    <m/>
    <n v="6"/>
    <n v="6"/>
  </r>
  <r>
    <n v="7518"/>
    <x v="2"/>
    <s v="2021/0951"/>
    <s v="23 Elspeth Road"/>
    <s v=""/>
    <n v="527807"/>
    <n v="175455"/>
    <s v="Lavender"/>
    <m/>
    <m/>
    <n v="1"/>
    <n v="0"/>
    <n v="-1"/>
    <n v="0"/>
    <n v="-1"/>
    <m/>
    <s v="Alterations including erection of single-storey rear/side extension and rear roof extension in connection with of change of use from 5-bedroom House of Multiple Occupation (Class C4) to 7-bedroom House of Multiple Occupation (Sui Generis)."/>
    <s v="PF"/>
    <d v="2021-03-18T00:00:00"/>
    <d v="2022-06-27T00:00:00"/>
    <m/>
    <s v="Nil"/>
    <m/>
    <s v="BF"/>
    <s v="COU"/>
    <x v="2"/>
    <x v="12"/>
    <n v="0"/>
    <m/>
    <x v="0"/>
    <m/>
    <s v="Open Market"/>
    <s v="MR"/>
    <s v=""/>
    <m/>
    <m/>
    <m/>
    <m/>
    <m/>
    <n v="0"/>
    <n v="0"/>
    <n v="0"/>
    <n v="0"/>
    <n v="0"/>
    <n v="-1"/>
    <n v="0"/>
    <n v="0"/>
    <n v="0"/>
    <n v="0"/>
    <n v="0"/>
    <n v="0"/>
    <n v="0"/>
    <n v="0"/>
    <n v="0"/>
    <n v="0"/>
    <n v="0"/>
    <n v="0"/>
    <n v="0"/>
    <n v="-1"/>
    <n v="0"/>
    <n v="0"/>
    <n v="0"/>
    <n v="0"/>
    <n v="0"/>
    <n v="0"/>
    <n v="0"/>
    <n v="0"/>
    <m/>
    <m/>
    <s v="Clapham Junction and York Road / Winstanley Regeneration Area"/>
    <n v="15"/>
    <m/>
    <n v="-0.25"/>
    <n v="-0.25"/>
    <n v="-0.25"/>
    <n v="-0.25"/>
    <m/>
    <m/>
    <m/>
    <m/>
    <m/>
    <m/>
    <m/>
    <m/>
    <m/>
    <m/>
    <m/>
    <m/>
    <m/>
    <m/>
    <m/>
    <n v="-1"/>
    <n v="-1"/>
  </r>
  <r>
    <n v="7519"/>
    <x v="2"/>
    <s v="2021/0952"/>
    <s v="56 Elspeth Road"/>
    <s v=""/>
    <n v="527864"/>
    <n v="175385"/>
    <s v="Lavender"/>
    <m/>
    <m/>
    <n v="1"/>
    <n v="0"/>
    <n v="-1"/>
    <n v="0"/>
    <n v="-1"/>
    <m/>
    <s v="Alterations including erection of single-storey rear/side extension and rear roof extension in connection with of change of use from 5-bedroom House of Multiple Occupation (Class C4) to 7-bedroom House of Multiple Occupation (Sui Generis)."/>
    <s v="PF"/>
    <d v="2021-03-18T00:00:00"/>
    <d v="2022-06-27T00:00:00"/>
    <m/>
    <s v="Nil"/>
    <m/>
    <s v="BF"/>
    <s v="COU"/>
    <x v="2"/>
    <x v="12"/>
    <n v="0"/>
    <m/>
    <x v="0"/>
    <m/>
    <s v="Open Market"/>
    <s v="MR"/>
    <s v=""/>
    <m/>
    <m/>
    <m/>
    <m/>
    <m/>
    <n v="0"/>
    <n v="0"/>
    <n v="0"/>
    <n v="0"/>
    <n v="0"/>
    <n v="-1"/>
    <n v="0"/>
    <n v="0"/>
    <n v="0"/>
    <n v="0"/>
    <n v="0"/>
    <n v="0"/>
    <n v="0"/>
    <n v="0"/>
    <n v="0"/>
    <n v="0"/>
    <n v="0"/>
    <n v="0"/>
    <n v="0"/>
    <n v="-1"/>
    <n v="0"/>
    <n v="0"/>
    <n v="0"/>
    <n v="0"/>
    <n v="0"/>
    <n v="0"/>
    <n v="0"/>
    <n v="0"/>
    <m/>
    <m/>
    <s v="Clapham Junction and York Road / Winstanley Regeneration Area"/>
    <n v="15"/>
    <m/>
    <n v="-0.25"/>
    <n v="-0.25"/>
    <n v="-0.25"/>
    <n v="-0.25"/>
    <m/>
    <m/>
    <m/>
    <m/>
    <m/>
    <m/>
    <m/>
    <m/>
    <m/>
    <m/>
    <m/>
    <m/>
    <m/>
    <m/>
    <m/>
    <n v="-1"/>
    <n v="-1"/>
  </r>
  <r>
    <n v="5479"/>
    <x v="2"/>
    <s v="2021/0988"/>
    <s v="Land rear of, 76-77 Stanley Grove (Land adjacent to 76a Stanley Grove)"/>
    <s v="The Orpheus House"/>
    <n v="528475"/>
    <n v="176217"/>
    <s v="Shaftesbury &amp; Queenstown"/>
    <m/>
    <m/>
    <n v="0"/>
    <n v="1"/>
    <n v="1"/>
    <n v="2"/>
    <n v="2"/>
    <m/>
    <s v="Erection of two-storey plus roof and basement three bedroom house adjoining no. 76 Stanley Grove and erection of two-storey four bedroom house to the rear of the terrace and associated cycle and refuse storage."/>
    <s v="PF"/>
    <d v="2021-03-03T00:00:00"/>
    <d v="2021-06-22T00:00:00"/>
    <m/>
    <s v="Nil"/>
    <m/>
    <s v="BF"/>
    <s v="NB"/>
    <x v="2"/>
    <x v="3"/>
    <n v="0.02"/>
    <m/>
    <x v="0"/>
    <m/>
    <s v="Open Market"/>
    <s v="M"/>
    <s v=""/>
    <m/>
    <m/>
    <m/>
    <m/>
    <m/>
    <n v="0"/>
    <n v="0"/>
    <n v="0"/>
    <n v="0"/>
    <n v="1"/>
    <n v="0"/>
    <n v="0"/>
    <n v="0"/>
    <n v="0"/>
    <n v="0"/>
    <n v="0"/>
    <n v="0"/>
    <n v="0"/>
    <n v="0"/>
    <n v="0"/>
    <n v="0"/>
    <n v="0"/>
    <n v="0"/>
    <n v="1"/>
    <n v="0"/>
    <n v="0"/>
    <n v="0"/>
    <n v="0"/>
    <n v="0"/>
    <n v="0"/>
    <n v="0"/>
    <n v="0"/>
    <n v="0"/>
    <m/>
    <m/>
    <s v="Rest of Borough"/>
    <n v="7"/>
    <m/>
    <m/>
    <n v="0.25"/>
    <n v="0.25"/>
    <n v="0.25"/>
    <n v="0.25"/>
    <m/>
    <m/>
    <m/>
    <m/>
    <m/>
    <m/>
    <m/>
    <m/>
    <m/>
    <m/>
    <m/>
    <m/>
    <m/>
    <m/>
    <n v="1"/>
    <n v="1"/>
  </r>
  <r>
    <n v="5479"/>
    <x v="2"/>
    <s v="2021/0988"/>
    <s v="Land rear of, 76-77 Stanley Grove (Land adjacent to 76a Stanley Grove)"/>
    <s v="The Terraced House"/>
    <n v="528475"/>
    <n v="176217"/>
    <s v="Shaftesbury &amp; Queenstown"/>
    <m/>
    <m/>
    <n v="0"/>
    <n v="1"/>
    <n v="1"/>
    <n v="2"/>
    <n v="2"/>
    <m/>
    <s v="Erection of two-storey plus roof and basement three bedroom house adjoining no. 76 Stanley Grove and erection of two-storey four bedroom house to the rear of the terrace and associated cycle and refuse storage."/>
    <s v="PF"/>
    <d v="2021-03-03T00:00:00"/>
    <d v="2021-06-22T00:00:00"/>
    <m/>
    <s v="Nil"/>
    <m/>
    <s v="BF"/>
    <s v="NB"/>
    <x v="2"/>
    <x v="3"/>
    <n v="1.2999999999999999E-2"/>
    <m/>
    <x v="0"/>
    <m/>
    <s v="Open Market"/>
    <s v="M"/>
    <s v=""/>
    <m/>
    <m/>
    <m/>
    <m/>
    <m/>
    <n v="0"/>
    <n v="0"/>
    <n v="0"/>
    <n v="1"/>
    <n v="0"/>
    <n v="0"/>
    <n v="0"/>
    <n v="0"/>
    <n v="0"/>
    <n v="0"/>
    <n v="0"/>
    <n v="0"/>
    <n v="0"/>
    <n v="0"/>
    <n v="0"/>
    <n v="0"/>
    <n v="0"/>
    <n v="1"/>
    <n v="0"/>
    <n v="0"/>
    <n v="0"/>
    <n v="0"/>
    <n v="0"/>
    <n v="0"/>
    <n v="0"/>
    <n v="0"/>
    <n v="0"/>
    <n v="0"/>
    <m/>
    <m/>
    <s v="Rest of Borough"/>
    <n v="7"/>
    <m/>
    <m/>
    <n v="0.25"/>
    <n v="0.25"/>
    <n v="0.25"/>
    <n v="0.25"/>
    <m/>
    <m/>
    <m/>
    <m/>
    <m/>
    <m/>
    <m/>
    <m/>
    <m/>
    <m/>
    <m/>
    <m/>
    <m/>
    <m/>
    <n v="1"/>
    <n v="1"/>
  </r>
  <r>
    <n v="5333"/>
    <x v="2"/>
    <s v="2021/1184"/>
    <s v="54 Gilbey Road"/>
    <s v=""/>
    <n v="527255"/>
    <n v="171509"/>
    <s v="Tooting Broadway"/>
    <m/>
    <m/>
    <n v="2"/>
    <n v="4"/>
    <n v="2"/>
    <n v="4"/>
    <n v="2"/>
    <m/>
    <s v="Alterations including erection of mansard roof extension to main rear roof (with french doors and safety railings) including raising ridge by 300mm and roof extension above two storey back addition, erection of single storey rear and side extension and formation of rear roof terrace with 1.7m glazed safety surround at second floor level in connection with creation of 1 x 3-bedroom, 1 x 2-bedroom and 2 x 1-bedroom flats"/>
    <s v="PF"/>
    <d v="2021-03-11T00:00:00"/>
    <d v="2021-06-10T00:00:00"/>
    <m/>
    <s v="Nil"/>
    <m/>
    <s v="BF"/>
    <s v="CON"/>
    <x v="2"/>
    <x v="5"/>
    <n v="1.4E-2"/>
    <m/>
    <x v="0"/>
    <m/>
    <s v="Open Market"/>
    <s v="M"/>
    <s v=""/>
    <m/>
    <m/>
    <m/>
    <m/>
    <m/>
    <n v="0"/>
    <n v="2"/>
    <n v="0"/>
    <n v="0"/>
    <n v="0"/>
    <n v="0"/>
    <n v="0"/>
    <n v="0"/>
    <n v="2"/>
    <n v="0"/>
    <n v="0"/>
    <n v="0"/>
    <n v="0"/>
    <n v="0"/>
    <n v="0"/>
    <n v="0"/>
    <n v="0"/>
    <n v="0"/>
    <n v="0"/>
    <n v="0"/>
    <n v="0"/>
    <n v="0"/>
    <n v="0"/>
    <n v="0"/>
    <n v="0"/>
    <n v="0"/>
    <n v="0"/>
    <n v="0"/>
    <m/>
    <m/>
    <s v="Tooting"/>
    <n v="15"/>
    <m/>
    <n v="0.5"/>
    <n v="0.5"/>
    <n v="0.5"/>
    <n v="0.5"/>
    <m/>
    <m/>
    <m/>
    <m/>
    <m/>
    <m/>
    <m/>
    <m/>
    <m/>
    <m/>
    <m/>
    <m/>
    <m/>
    <m/>
    <m/>
    <n v="2"/>
    <n v="2"/>
  </r>
  <r>
    <n v="7703"/>
    <x v="2"/>
    <s v="2021/1224"/>
    <s v="1A-1E Longley Road"/>
    <s v=""/>
    <n v="527214"/>
    <n v="170983"/>
    <s v="Tooting Broadway"/>
    <m/>
    <m/>
    <n v="0"/>
    <n v="8"/>
    <n v="8"/>
    <n v="8"/>
    <n v="8"/>
    <m/>
    <s v="Demolition of existing buildings and erection of three-storey building comprising 8 x self-contained flats with associated car parking, landscaping, and bin and cycle storage."/>
    <s v="PF"/>
    <d v="2021-10-11T00:00:00"/>
    <d v="2023-06-19T00:00:00"/>
    <s v="Y"/>
    <s v="Nil"/>
    <m/>
    <s v="BF"/>
    <s v="NB"/>
    <x v="2"/>
    <x v="3"/>
    <n v="1.7999999999999999E-2"/>
    <m/>
    <x v="0"/>
    <m/>
    <s v="Open Market"/>
    <s v="M"/>
    <s v=""/>
    <m/>
    <m/>
    <m/>
    <m/>
    <m/>
    <n v="1"/>
    <n v="2"/>
    <n v="4"/>
    <n v="1"/>
    <n v="0"/>
    <n v="0"/>
    <n v="0"/>
    <n v="1"/>
    <n v="2"/>
    <n v="4"/>
    <n v="1"/>
    <n v="0"/>
    <n v="0"/>
    <n v="0"/>
    <n v="0"/>
    <n v="0"/>
    <n v="0"/>
    <n v="0"/>
    <n v="0"/>
    <n v="0"/>
    <n v="0"/>
    <n v="0"/>
    <n v="0"/>
    <n v="0"/>
    <n v="0"/>
    <n v="0"/>
    <n v="0"/>
    <n v="0"/>
    <m/>
    <m/>
    <s v="Tooting"/>
    <n v="10"/>
    <m/>
    <m/>
    <m/>
    <m/>
    <n v="2.6666666666666665"/>
    <n v="2.6666666666666665"/>
    <n v="2.6666666666666665"/>
    <m/>
    <m/>
    <m/>
    <m/>
    <m/>
    <m/>
    <m/>
    <m/>
    <m/>
    <m/>
    <m/>
    <m/>
    <m/>
    <n v="5.333333333333333"/>
    <n v="8"/>
  </r>
  <r>
    <n v="5832"/>
    <x v="2"/>
    <s v="2021/1236"/>
    <s v="Garages in, Heathwall Street"/>
    <s v=""/>
    <n v="527798"/>
    <n v="175779"/>
    <s v="Shaftesbury &amp; Queenstown"/>
    <m/>
    <m/>
    <n v="0"/>
    <n v="1"/>
    <n v="1"/>
    <n v="1"/>
    <n v="1"/>
    <m/>
    <s v="Demolition of existing garages erection of one-storey (plus basement) 2-bedroom house"/>
    <s v="PF"/>
    <d v="2021-03-16T00:00:00"/>
    <d v="2022-07-29T00:00:00"/>
    <m/>
    <s v="Nil"/>
    <m/>
    <s v="BF"/>
    <s v="NB"/>
    <x v="2"/>
    <x v="3"/>
    <n v="1.0999999999999999E-2"/>
    <m/>
    <x v="0"/>
    <m/>
    <s v="Open Market"/>
    <s v="M"/>
    <s v=""/>
    <m/>
    <m/>
    <m/>
    <m/>
    <m/>
    <n v="0"/>
    <n v="0"/>
    <n v="1"/>
    <n v="0"/>
    <n v="0"/>
    <n v="0"/>
    <n v="0"/>
    <n v="0"/>
    <n v="0"/>
    <n v="0"/>
    <n v="0"/>
    <n v="0"/>
    <n v="0"/>
    <n v="0"/>
    <n v="0"/>
    <n v="0"/>
    <n v="1"/>
    <n v="0"/>
    <n v="0"/>
    <n v="0"/>
    <n v="0"/>
    <n v="0"/>
    <n v="0"/>
    <n v="0"/>
    <n v="0"/>
    <n v="0"/>
    <n v="0"/>
    <n v="0"/>
    <m/>
    <m/>
    <s v="Rest of Borough"/>
    <n v="7"/>
    <m/>
    <m/>
    <n v="0.25"/>
    <n v="0.25"/>
    <n v="0.25"/>
    <n v="0.25"/>
    <m/>
    <m/>
    <m/>
    <m/>
    <m/>
    <m/>
    <m/>
    <m/>
    <m/>
    <m/>
    <m/>
    <m/>
    <m/>
    <m/>
    <n v="1"/>
    <n v="1"/>
  </r>
  <r>
    <n v="7637"/>
    <x v="2"/>
    <s v="2021/1259"/>
    <s v="128 B Northcote Road"/>
    <s v=""/>
    <n v="527560"/>
    <n v="174587"/>
    <s v="Northcote"/>
    <m/>
    <m/>
    <n v="1"/>
    <n v="2"/>
    <n v="1"/>
    <n v="2"/>
    <n v="1"/>
    <m/>
    <s v="Alterations including erection of dormer roof extensions to side and rear of main roof and formation of rear roof terraces at first and third floor level, in connection with the conversion of first and second floor into 1 x1 bedroom and 1 x 2-bedroom flats."/>
    <s v="PF"/>
    <d v="2021-03-17T00:00:00"/>
    <d v="2021-07-02T00:00:00"/>
    <m/>
    <s v="Nil"/>
    <m/>
    <s v="BF"/>
    <s v="MIX"/>
    <x v="2"/>
    <x v="10"/>
    <n v="5.0000000000000001E-3"/>
    <m/>
    <x v="0"/>
    <m/>
    <s v="Open Market"/>
    <s v="M"/>
    <s v=""/>
    <m/>
    <m/>
    <m/>
    <m/>
    <m/>
    <n v="0"/>
    <n v="1"/>
    <n v="1"/>
    <n v="0"/>
    <n v="-1"/>
    <n v="0"/>
    <n v="0"/>
    <n v="0"/>
    <n v="1"/>
    <n v="1"/>
    <n v="0"/>
    <n v="0"/>
    <n v="0"/>
    <n v="0"/>
    <n v="0"/>
    <n v="0"/>
    <n v="0"/>
    <n v="0"/>
    <n v="-1"/>
    <n v="0"/>
    <n v="0"/>
    <n v="0"/>
    <n v="0"/>
    <n v="0"/>
    <n v="0"/>
    <n v="0"/>
    <n v="0"/>
    <n v="0"/>
    <m/>
    <m/>
    <s v="Rest of Borough"/>
    <n v="15"/>
    <m/>
    <n v="0.25"/>
    <n v="0.25"/>
    <n v="0.25"/>
    <n v="0.25"/>
    <m/>
    <m/>
    <m/>
    <m/>
    <m/>
    <m/>
    <m/>
    <m/>
    <m/>
    <m/>
    <m/>
    <m/>
    <m/>
    <m/>
    <m/>
    <n v="1"/>
    <n v="1"/>
  </r>
  <r>
    <n v="7704"/>
    <x v="2"/>
    <s v="2021/1285"/>
    <s v="153 Upper Tooting Road"/>
    <s v=""/>
    <n v="527741"/>
    <n v="171921"/>
    <s v="Tooting Bec"/>
    <m/>
    <m/>
    <n v="1"/>
    <n v="3"/>
    <n v="2"/>
    <n v="3"/>
    <n v="2"/>
    <m/>
    <s v="Alterations including erection of roof extension to main rear roof and two-storey rear extension above ground floor extension in connection with conversion of upper floor flat into 2 x 2 bedroom and 1 x studio flats."/>
    <s v="PF"/>
    <d v="2021-01-29T00:00:00"/>
    <d v="2022-03-09T00:00:00"/>
    <m/>
    <s v="Nil"/>
    <m/>
    <s v="BF"/>
    <s v="MIX"/>
    <x v="2"/>
    <x v="7"/>
    <n v="6.0000000000000001E-3"/>
    <m/>
    <x v="0"/>
    <m/>
    <s v="Open Market"/>
    <s v="M"/>
    <s v=""/>
    <m/>
    <m/>
    <m/>
    <m/>
    <m/>
    <n v="1"/>
    <n v="1"/>
    <n v="1"/>
    <n v="0"/>
    <n v="0"/>
    <n v="-1"/>
    <n v="0"/>
    <n v="1"/>
    <n v="1"/>
    <n v="1"/>
    <n v="0"/>
    <n v="0"/>
    <n v="-1"/>
    <n v="0"/>
    <n v="0"/>
    <n v="0"/>
    <n v="0"/>
    <n v="0"/>
    <n v="0"/>
    <n v="0"/>
    <n v="0"/>
    <n v="0"/>
    <n v="0"/>
    <n v="0"/>
    <n v="0"/>
    <n v="0"/>
    <n v="0"/>
    <n v="0"/>
    <s v="Tooting"/>
    <m/>
    <s v="Tooting"/>
    <n v="15"/>
    <m/>
    <n v="0.5"/>
    <n v="0.5"/>
    <n v="0.5"/>
    <n v="0.5"/>
    <m/>
    <m/>
    <m/>
    <m/>
    <m/>
    <m/>
    <m/>
    <m/>
    <m/>
    <m/>
    <m/>
    <m/>
    <m/>
    <m/>
    <m/>
    <n v="2"/>
    <n v="2"/>
  </r>
  <r>
    <n v="7377"/>
    <x v="2"/>
    <s v="2021/1324"/>
    <s v="35 Garratt Terrace"/>
    <s v=""/>
    <n v="527306"/>
    <n v="171495"/>
    <s v="Tooting Broadway"/>
    <m/>
    <m/>
    <n v="1"/>
    <n v="4"/>
    <n v="3"/>
    <n v="4"/>
    <n v="3"/>
    <m/>
    <s v="Erection of a mansard roof extension to rear roof slope and raising ridge 300mm. Erection of an extension above three-storey rear addition with French doors and safety railings. Erection of a single-storey rear/side extension at ground floor level. Alterations to include front fenestration and conversion of property into 4 self contained units ( 1 x 3-bedroom, 1 x 2-bedroom, 2 x 1-bedroom) with associated refuse and cycle storage"/>
    <s v="PF"/>
    <d v="2021-03-19T00:00:00"/>
    <d v="2021-05-12T00:00:00"/>
    <m/>
    <s v="Nil"/>
    <m/>
    <s v="BF"/>
    <s v="MIX"/>
    <x v="2"/>
    <x v="10"/>
    <n v="6.1749999999999999E-3"/>
    <m/>
    <x v="0"/>
    <m/>
    <s v="Open Market"/>
    <s v="M"/>
    <s v=""/>
    <m/>
    <m/>
    <m/>
    <m/>
    <m/>
    <n v="0"/>
    <n v="2"/>
    <n v="1"/>
    <n v="1"/>
    <n v="0"/>
    <n v="-1"/>
    <n v="0"/>
    <n v="0"/>
    <n v="2"/>
    <n v="1"/>
    <n v="1"/>
    <n v="0"/>
    <n v="0"/>
    <n v="0"/>
    <n v="0"/>
    <n v="0"/>
    <n v="0"/>
    <n v="0"/>
    <n v="0"/>
    <n v="-1"/>
    <n v="0"/>
    <n v="0"/>
    <n v="0"/>
    <n v="0"/>
    <n v="0"/>
    <n v="0"/>
    <n v="0"/>
    <n v="0"/>
    <m/>
    <m/>
    <s v="Tooting"/>
    <n v="15"/>
    <m/>
    <n v="0.75"/>
    <n v="0.75"/>
    <n v="0.75"/>
    <n v="0.75"/>
    <m/>
    <m/>
    <m/>
    <m/>
    <m/>
    <m/>
    <m/>
    <m/>
    <m/>
    <m/>
    <m/>
    <m/>
    <m/>
    <m/>
    <m/>
    <n v="3"/>
    <n v="3"/>
  </r>
  <r>
    <n v="7638"/>
    <x v="2"/>
    <s v="2021/1497"/>
    <s v="67 Putney Hill"/>
    <s v=""/>
    <n v="523723"/>
    <n v="174036"/>
    <s v="East Putney"/>
    <m/>
    <m/>
    <n v="0"/>
    <n v="1"/>
    <n v="1"/>
    <n v="1"/>
    <n v="1"/>
    <m/>
    <s v="Conversion of existing ground floorspace to provide a 1 X 1 bedroom flat including the relocation of waste storage for whole building."/>
    <s v="PF"/>
    <d v="2021-03-23T00:00:00"/>
    <d v="2021-10-19T00:00:00"/>
    <m/>
    <s v="Nil"/>
    <m/>
    <s v="BF"/>
    <s v="COU"/>
    <x v="2"/>
    <x v="8"/>
    <n v="1E-3"/>
    <m/>
    <x v="0"/>
    <m/>
    <s v="Open Market"/>
    <s v="M"/>
    <s v=""/>
    <m/>
    <m/>
    <m/>
    <m/>
    <m/>
    <n v="0"/>
    <n v="1"/>
    <n v="0"/>
    <n v="0"/>
    <n v="0"/>
    <n v="0"/>
    <n v="0"/>
    <n v="0"/>
    <n v="1"/>
    <n v="0"/>
    <n v="0"/>
    <n v="0"/>
    <n v="0"/>
    <n v="0"/>
    <n v="0"/>
    <n v="0"/>
    <n v="0"/>
    <n v="0"/>
    <n v="0"/>
    <n v="0"/>
    <n v="0"/>
    <n v="0"/>
    <n v="0"/>
    <n v="0"/>
    <n v="0"/>
    <n v="0"/>
    <n v="0"/>
    <n v="0"/>
    <m/>
    <m/>
    <s v="Rest of Borough"/>
    <n v="15"/>
    <m/>
    <n v="0.25"/>
    <n v="0.25"/>
    <n v="0.25"/>
    <n v="0.25"/>
    <m/>
    <m/>
    <m/>
    <m/>
    <m/>
    <m/>
    <m/>
    <m/>
    <m/>
    <m/>
    <m/>
    <m/>
    <m/>
    <m/>
    <m/>
    <n v="1"/>
    <n v="1"/>
  </r>
  <r>
    <n v="7610"/>
    <x v="2"/>
    <s v="2021/1858"/>
    <s v="172-174 Upper Richmond Road"/>
    <s v=""/>
    <n v="524107"/>
    <n v="175023"/>
    <s v="East Putney"/>
    <m/>
    <m/>
    <n v="0"/>
    <n v="8"/>
    <n v="8"/>
    <n v="8"/>
    <n v="8"/>
    <m/>
    <s v="Alterations including erection of first floor rear extension; extension to form three additional floors of accommodation at second, third and fourth floor levels; formation of front roof terrace at fourth floor level; formation of balconies at rear first, second and third floor levels; alterations to ground floor frontage. Works in connection with provision of 8 flats (7 x 2-bedroom and 1 x 1-bedroom) on the upper floors of the extended building, with ground and basement floors retained in commercial use, with associated cycle parking and refuse storage facilities."/>
    <s v="PF"/>
    <d v="2021-04-19T00:00:00"/>
    <d v="2022-01-25T00:00:00"/>
    <m/>
    <s v="Nil"/>
    <m/>
    <s v="BF"/>
    <s v="EXT"/>
    <x v="2"/>
    <x v="7"/>
    <n v="8.9999999999999993E-3"/>
    <m/>
    <x v="0"/>
    <m/>
    <s v="Open Market"/>
    <s v="M"/>
    <s v=""/>
    <m/>
    <m/>
    <m/>
    <m/>
    <m/>
    <n v="0"/>
    <n v="1"/>
    <n v="7"/>
    <n v="0"/>
    <n v="0"/>
    <n v="0"/>
    <n v="0"/>
    <n v="0"/>
    <n v="1"/>
    <n v="7"/>
    <n v="0"/>
    <n v="0"/>
    <n v="0"/>
    <n v="0"/>
    <n v="0"/>
    <n v="0"/>
    <n v="0"/>
    <n v="0"/>
    <n v="0"/>
    <n v="0"/>
    <n v="0"/>
    <n v="0"/>
    <n v="0"/>
    <n v="0"/>
    <n v="0"/>
    <n v="0"/>
    <n v="0"/>
    <n v="0"/>
    <s v="Putney"/>
    <m/>
    <s v="Putney"/>
    <n v="18"/>
    <m/>
    <n v="2"/>
    <n v="2"/>
    <n v="2"/>
    <n v="2"/>
    <m/>
    <m/>
    <m/>
    <m/>
    <m/>
    <m/>
    <m/>
    <m/>
    <m/>
    <m/>
    <m/>
    <m/>
    <m/>
    <m/>
    <m/>
    <n v="8"/>
    <n v="8"/>
  </r>
  <r>
    <n v="7633"/>
    <x v="2"/>
    <s v="2021/1938"/>
    <s v="34 Putney Hill"/>
    <s v=""/>
    <n v="523910"/>
    <n v="174891"/>
    <s v="West Putney"/>
    <m/>
    <m/>
    <n v="2"/>
    <n v="6"/>
    <n v="4"/>
    <n v="6"/>
    <n v="4"/>
    <m/>
    <s v="Alterations including erection of a two storey (including basement) rear extension; Erection of a single storey outbuilding to rear garden; Alterations to front entrance stair; Alterations to side boundary wall, installation of a metal side access gate and removal of roller shutter door, in connection with conversion to 2 x 3-bed, 3 x 2-bed and 1 x 1- bed flats, with associated refuse and cycle storage."/>
    <s v="PF"/>
    <d v="2021-05-20T00:00:00"/>
    <d v="2021-07-28T00:00:00"/>
    <m/>
    <s v="Nil"/>
    <m/>
    <s v="BF"/>
    <s v="MIX"/>
    <x v="2"/>
    <x v="5"/>
    <n v="9.7000000000000003E-3"/>
    <m/>
    <x v="0"/>
    <m/>
    <s v="Open Market"/>
    <s v="M"/>
    <s v=""/>
    <m/>
    <m/>
    <m/>
    <m/>
    <m/>
    <n v="0"/>
    <n v="1"/>
    <n v="2"/>
    <n v="2"/>
    <n v="0"/>
    <n v="-1"/>
    <n v="0"/>
    <n v="0"/>
    <n v="1"/>
    <n v="2"/>
    <n v="2"/>
    <n v="0"/>
    <n v="-1"/>
    <n v="0"/>
    <n v="0"/>
    <n v="0"/>
    <n v="0"/>
    <n v="0"/>
    <n v="0"/>
    <n v="0"/>
    <n v="0"/>
    <n v="0"/>
    <n v="0"/>
    <n v="0"/>
    <n v="0"/>
    <n v="0"/>
    <n v="0"/>
    <n v="0"/>
    <m/>
    <m/>
    <s v="Rest of Borough"/>
    <n v="18"/>
    <m/>
    <n v="1"/>
    <n v="1"/>
    <n v="1"/>
    <n v="1"/>
    <m/>
    <m/>
    <m/>
    <m/>
    <m/>
    <m/>
    <m/>
    <m/>
    <m/>
    <m/>
    <m/>
    <m/>
    <m/>
    <m/>
    <m/>
    <n v="4"/>
    <n v="4"/>
  </r>
  <r>
    <n v="7612"/>
    <x v="2"/>
    <s v="2021/1975"/>
    <s v="888 Garratt Lane"/>
    <s v=""/>
    <n v="527126"/>
    <n v="171628"/>
    <s v="Tooting Broadway"/>
    <m/>
    <m/>
    <n v="2"/>
    <n v="3"/>
    <n v="1"/>
    <n v="3"/>
    <n v="1"/>
    <m/>
    <s v="Alterations erection of mansard roof extension to main rear roof and above existing two storey back addition, erection of part single, part two-storey side/rear extension and installation of first floor rear French doors and safety railings in connection with conversion of the property into 1 x 2 bedroom, 1 x 1-bedroom and 1 x studio flats."/>
    <s v="PF"/>
    <d v="2021-05-17T00:00:00"/>
    <d v="2021-07-12T00:00:00"/>
    <m/>
    <s v="Nil"/>
    <m/>
    <s v="BF"/>
    <s v="EXT"/>
    <x v="2"/>
    <x v="7"/>
    <n v="5.2166599999999997E-3"/>
    <m/>
    <x v="0"/>
    <m/>
    <s v="Open Market"/>
    <s v="MR"/>
    <s v=""/>
    <m/>
    <m/>
    <m/>
    <m/>
    <m/>
    <n v="1"/>
    <n v="0"/>
    <n v="0"/>
    <n v="0"/>
    <n v="0"/>
    <n v="0"/>
    <n v="0"/>
    <n v="1"/>
    <n v="0"/>
    <n v="0"/>
    <n v="0"/>
    <n v="0"/>
    <n v="0"/>
    <n v="0"/>
    <n v="0"/>
    <n v="0"/>
    <n v="0"/>
    <n v="0"/>
    <n v="0"/>
    <n v="0"/>
    <n v="0"/>
    <n v="0"/>
    <n v="0"/>
    <n v="0"/>
    <n v="0"/>
    <n v="0"/>
    <n v="0"/>
    <n v="0"/>
    <m/>
    <m/>
    <s v="Rest of Borough"/>
    <n v="15"/>
    <m/>
    <n v="0.25"/>
    <n v="0.25"/>
    <n v="0.25"/>
    <n v="0.25"/>
    <m/>
    <m/>
    <m/>
    <m/>
    <m/>
    <m/>
    <m/>
    <m/>
    <m/>
    <m/>
    <m/>
    <m/>
    <m/>
    <m/>
    <m/>
    <n v="1"/>
    <n v="1"/>
  </r>
  <r>
    <n v="4718"/>
    <x v="2"/>
    <s v="2021/2031"/>
    <s v="Main Site, Ballymore, cent[?] (Embassy Gardens)"/>
    <s v="Block A"/>
    <n v="529643"/>
    <n v="177593"/>
    <s v="Nine Elms"/>
    <m/>
    <m/>
    <n v="0"/>
    <n v="72"/>
    <n v="72"/>
    <n v="247"/>
    <n v="247"/>
    <s v="Y"/>
    <s v="Details of Reserved Matters (scale, layout, access, external appearance and landscaping) in respect of Plot A01 (Residential Use) Phase 3,  pursuant to condition 3 of planning permission 2011/1815 dated 30th March 2012 (as amended) for demolition of all existing buildings and construction of a mixed use redevelopment to provide residential units, including affordable housing, retail, financial and professional services, café/restaurant, bar and hot food take-away uses, car showrooms, office floorspace and flexible workspace, a hotel, community uses and assembly and leisure uses, associated basement and ground level parking and servicing; energy centres; new vehicle and pedestrian access and circulation; and new public amenity space and landscaping including part of the 'Linear Park'."/>
    <s v="DT"/>
    <d v="2021-06-29T00:00:00"/>
    <d v="2024-03-15T00:00:00"/>
    <s v="Y"/>
    <s v="Nil"/>
    <m/>
    <s v="BF"/>
    <s v="NB"/>
    <x v="1"/>
    <x v="0"/>
    <n v="0.78900000000000003"/>
    <m/>
    <x v="0"/>
    <m/>
    <s v="Open Market"/>
    <s v="M"/>
    <s v="2.1.16"/>
    <m/>
    <m/>
    <m/>
    <m/>
    <m/>
    <n v="0"/>
    <n v="10"/>
    <n v="42"/>
    <n v="20"/>
    <n v="0"/>
    <n v="0"/>
    <n v="0"/>
    <n v="0"/>
    <n v="10"/>
    <n v="42"/>
    <n v="20"/>
    <n v="0"/>
    <n v="0"/>
    <n v="0"/>
    <n v="0"/>
    <n v="0"/>
    <n v="0"/>
    <n v="0"/>
    <n v="0"/>
    <n v="0"/>
    <n v="0"/>
    <n v="0"/>
    <n v="0"/>
    <n v="0"/>
    <n v="0"/>
    <n v="0"/>
    <n v="0"/>
    <n v="0"/>
    <m/>
    <s v="Y"/>
    <s v="Nine Elms"/>
    <n v="10"/>
    <m/>
    <m/>
    <m/>
    <m/>
    <n v="24"/>
    <n v="24"/>
    <n v="24"/>
    <m/>
    <m/>
    <m/>
    <m/>
    <m/>
    <m/>
    <m/>
    <m/>
    <m/>
    <m/>
    <m/>
    <m/>
    <m/>
    <n v="48"/>
    <n v="72"/>
  </r>
  <r>
    <n v="4718"/>
    <x v="2"/>
    <s v="2021/2031"/>
    <s v="Main Site, Ballymore, cent[?] (Embassy Gardens)"/>
    <s v="Block B"/>
    <n v="529643"/>
    <n v="177593"/>
    <s v="Nine Elms"/>
    <m/>
    <m/>
    <n v="0"/>
    <n v="175"/>
    <n v="175"/>
    <n v="247"/>
    <n v="247"/>
    <s v="Y"/>
    <s v="Details of Reserved Matters (scale, layout, access, external appearance and landscaping) in respect of Plot A01 (Residential Use) Phase 3,  pursuant to condition 3 of planning permission 2011/1815 dated 30th March 2012 (as amended) for demolition of all existing buildings and construction of a mixed use redevelopment to provide residential units, including affordable housing, retail, financial and professional services, café/restaurant, bar and hot food take-away uses, car showrooms, office floorspace and flexible workspace, a hotel, community uses and assembly and leisure uses, associated basement and ground level parking and servicing; energy centres; new vehicle and pedestrian access and circulation; and new public amenity space and landscaping including part of the 'Linear Park'."/>
    <s v="DT"/>
    <d v="2021-06-29T00:00:00"/>
    <d v="2024-03-15T00:00:00"/>
    <s v="Y"/>
    <s v="Nil"/>
    <m/>
    <s v="BF"/>
    <s v="NB"/>
    <x v="1"/>
    <x v="0"/>
    <n v="1.917419"/>
    <m/>
    <x v="0"/>
    <m/>
    <s v="Open Market"/>
    <s v="M"/>
    <s v="2.1.16"/>
    <m/>
    <m/>
    <m/>
    <m/>
    <m/>
    <n v="18"/>
    <n v="57"/>
    <n v="63"/>
    <n v="37"/>
    <n v="0"/>
    <n v="0"/>
    <n v="0"/>
    <n v="18"/>
    <n v="57"/>
    <n v="63"/>
    <n v="37"/>
    <n v="0"/>
    <n v="0"/>
    <n v="0"/>
    <n v="0"/>
    <n v="0"/>
    <n v="0"/>
    <n v="0"/>
    <n v="0"/>
    <n v="0"/>
    <n v="0"/>
    <n v="0"/>
    <n v="0"/>
    <n v="0"/>
    <n v="0"/>
    <n v="0"/>
    <n v="0"/>
    <n v="0"/>
    <m/>
    <s v="Y"/>
    <s v="Nine Elms"/>
    <n v="10"/>
    <m/>
    <m/>
    <m/>
    <m/>
    <n v="58.333333333333336"/>
    <n v="58.333333333333336"/>
    <n v="58.333333333333336"/>
    <m/>
    <m/>
    <m/>
    <m/>
    <m/>
    <m/>
    <m/>
    <m/>
    <m/>
    <m/>
    <m/>
    <m/>
    <m/>
    <n v="116.66666666666667"/>
    <n v="175"/>
  </r>
  <r>
    <n v="3307"/>
    <x v="2"/>
    <s v="2021/2079"/>
    <s v="St Augustine Vicarage, 99 Broadwater Road"/>
    <s v=""/>
    <n v="527098"/>
    <n v="171727"/>
    <s v="Tooting Broadway"/>
    <m/>
    <m/>
    <n v="1"/>
    <n v="0"/>
    <n v="-1"/>
    <n v="0"/>
    <n v="-1"/>
    <m/>
    <s v="Alterations in connection with change of use from residential dwelling (Class C3) to house of multiple occupation (Sui Generis)."/>
    <s v="PF"/>
    <d v="2021-06-14T00:00:00"/>
    <d v="2022-04-20T00:00:00"/>
    <m/>
    <s v="Nil"/>
    <m/>
    <s v="BF"/>
    <s v="COU"/>
    <x v="2"/>
    <x v="5"/>
    <n v="0"/>
    <m/>
    <x v="0"/>
    <m/>
    <s v="Open Market"/>
    <s v="MR"/>
    <s v=""/>
    <m/>
    <m/>
    <m/>
    <m/>
    <m/>
    <n v="0"/>
    <n v="0"/>
    <n v="0"/>
    <n v="0"/>
    <n v="0"/>
    <n v="-1"/>
    <n v="0"/>
    <n v="0"/>
    <n v="0"/>
    <n v="0"/>
    <n v="0"/>
    <n v="0"/>
    <n v="0"/>
    <n v="0"/>
    <n v="0"/>
    <n v="0"/>
    <n v="0"/>
    <n v="0"/>
    <n v="0"/>
    <n v="-1"/>
    <n v="0"/>
    <n v="0"/>
    <n v="0"/>
    <n v="0"/>
    <n v="0"/>
    <n v="0"/>
    <n v="0"/>
    <n v="0"/>
    <m/>
    <m/>
    <s v="Rest of Borough"/>
    <n v="15"/>
    <m/>
    <n v="-0.25"/>
    <n v="-0.25"/>
    <n v="-0.25"/>
    <n v="-0.25"/>
    <m/>
    <m/>
    <m/>
    <m/>
    <m/>
    <m/>
    <m/>
    <m/>
    <m/>
    <m/>
    <m/>
    <m/>
    <m/>
    <m/>
    <m/>
    <n v="-1"/>
    <n v="-1"/>
  </r>
  <r>
    <n v="5903"/>
    <x v="2"/>
    <s v="2021/2182"/>
    <s v="493 Garratt Lane"/>
    <s v=""/>
    <n v="525997"/>
    <n v="173088"/>
    <s v="Wandle"/>
    <m/>
    <m/>
    <n v="1"/>
    <n v="1"/>
    <n v="0"/>
    <n v="1"/>
    <n v="0"/>
    <m/>
    <s v="Alterations including change of use from residential (Class C3) to 4- bedroom HMO (Class C4)"/>
    <s v="LDC Prop"/>
    <d v="2021-05-21T00:00:00"/>
    <d v="2021-07-13T00:00:00"/>
    <m/>
    <s v="Nil"/>
    <m/>
    <s v="BF"/>
    <s v="COU"/>
    <x v="2"/>
    <x v="5"/>
    <n v="1.03E-2"/>
    <m/>
    <x v="0"/>
    <m/>
    <s v="Open Market"/>
    <s v="MR"/>
    <s v=""/>
    <m/>
    <m/>
    <m/>
    <m/>
    <m/>
    <n v="0"/>
    <n v="0"/>
    <n v="0"/>
    <n v="-1"/>
    <n v="1"/>
    <n v="0"/>
    <n v="0"/>
    <n v="0"/>
    <n v="0"/>
    <n v="0"/>
    <n v="-1"/>
    <n v="1"/>
    <n v="0"/>
    <n v="0"/>
    <n v="0"/>
    <n v="0"/>
    <n v="0"/>
    <n v="0"/>
    <n v="0"/>
    <n v="0"/>
    <n v="0"/>
    <n v="0"/>
    <n v="0"/>
    <n v="0"/>
    <n v="0"/>
    <n v="0"/>
    <n v="0"/>
    <n v="0"/>
    <m/>
    <m/>
    <s v="Wandle Valley"/>
    <n v="15"/>
    <m/>
    <n v="0"/>
    <n v="0"/>
    <n v="0"/>
    <n v="0"/>
    <m/>
    <m/>
    <m/>
    <m/>
    <m/>
    <m/>
    <m/>
    <m/>
    <m/>
    <m/>
    <m/>
    <m/>
    <m/>
    <m/>
    <m/>
    <n v="0"/>
    <n v="0"/>
  </r>
  <r>
    <n v="2482"/>
    <x v="2"/>
    <s v="2021/2183"/>
    <s v="1 Wadham Road"/>
    <s v=""/>
    <n v="524517"/>
    <n v="175256"/>
    <s v="Thamesfield"/>
    <m/>
    <m/>
    <n v="2"/>
    <n v="5"/>
    <n v="3"/>
    <n v="5"/>
    <n v="3"/>
    <m/>
    <s v="Alterations including erection of roof extension to provide an additional_x000a_floor of accommodation and side dormer (with French doors and safety_x000a_railings) and formation of roof terrace above three-storey addition in_x000a_connection change of use from retail (class A1) to residential (Class_x000a_C3) 3 x1 bedroom flats"/>
    <s v="PF"/>
    <d v="2021-05-27T00:00:00"/>
    <d v="2021-09-06T00:00:00"/>
    <m/>
    <s v="Nil"/>
    <m/>
    <s v="BF"/>
    <s v="MIX"/>
    <x v="2"/>
    <x v="4"/>
    <n v="7.7999999999999996E-3"/>
    <m/>
    <x v="0"/>
    <m/>
    <s v="Open Market"/>
    <s v="MR"/>
    <s v=""/>
    <m/>
    <m/>
    <m/>
    <m/>
    <m/>
    <n v="1"/>
    <n v="3"/>
    <n v="-1"/>
    <n v="0"/>
    <n v="0"/>
    <n v="0"/>
    <n v="0"/>
    <n v="1"/>
    <n v="3"/>
    <n v="-1"/>
    <n v="0"/>
    <n v="0"/>
    <n v="0"/>
    <n v="0"/>
    <n v="0"/>
    <n v="0"/>
    <n v="0"/>
    <n v="0"/>
    <n v="0"/>
    <n v="0"/>
    <n v="0"/>
    <n v="0"/>
    <n v="0"/>
    <n v="0"/>
    <n v="0"/>
    <n v="0"/>
    <n v="0"/>
    <n v="0"/>
    <m/>
    <m/>
    <s v="Rest of Borough"/>
    <n v="15"/>
    <m/>
    <n v="0.75"/>
    <n v="0.75"/>
    <n v="0.75"/>
    <n v="0.75"/>
    <m/>
    <m/>
    <m/>
    <m/>
    <m/>
    <m/>
    <m/>
    <m/>
    <m/>
    <m/>
    <m/>
    <m/>
    <m/>
    <m/>
    <m/>
    <n v="3"/>
    <n v="3"/>
  </r>
  <r>
    <n v="1242"/>
    <x v="2"/>
    <s v="2021/2207"/>
    <s v="296 Earlsfield Road"/>
    <s v=""/>
    <n v="526084"/>
    <n v="173269"/>
    <s v="Wandle"/>
    <m/>
    <m/>
    <n v="1"/>
    <n v="2"/>
    <n v="1"/>
    <n v="2"/>
    <n v="1"/>
    <m/>
    <s v="Determination as to whether prior approval is required for change of _x000a_use from retail (Class A1) to 1 x 1-bedroom flat (Class C3)."/>
    <s v="PAG"/>
    <d v="2021-07-05T00:00:00"/>
    <d v="2021-08-23T00:00:00"/>
    <m/>
    <s v="Nil"/>
    <m/>
    <s v="BF"/>
    <s v="COU"/>
    <x v="2"/>
    <x v="4"/>
    <n v="9.8665999999999997E-3"/>
    <m/>
    <x v="0"/>
    <m/>
    <s v="Open Market"/>
    <s v="M"/>
    <s v=""/>
    <m/>
    <m/>
    <m/>
    <m/>
    <m/>
    <n v="0"/>
    <n v="1"/>
    <n v="0"/>
    <n v="0"/>
    <n v="0"/>
    <n v="0"/>
    <n v="0"/>
    <n v="0"/>
    <n v="1"/>
    <n v="0"/>
    <n v="0"/>
    <n v="0"/>
    <n v="0"/>
    <n v="0"/>
    <n v="0"/>
    <n v="0"/>
    <n v="0"/>
    <n v="0"/>
    <n v="0"/>
    <n v="0"/>
    <n v="0"/>
    <n v="0"/>
    <n v="0"/>
    <n v="0"/>
    <n v="0"/>
    <n v="0"/>
    <n v="0"/>
    <n v="0"/>
    <m/>
    <m/>
    <s v="Rest of Borough"/>
    <n v="15"/>
    <m/>
    <n v="0.25"/>
    <n v="0.25"/>
    <n v="0.25"/>
    <n v="0.25"/>
    <m/>
    <m/>
    <m/>
    <m/>
    <m/>
    <m/>
    <m/>
    <m/>
    <m/>
    <m/>
    <m/>
    <m/>
    <m/>
    <m/>
    <m/>
    <n v="1"/>
    <n v="1"/>
  </r>
  <r>
    <n v="6995"/>
    <x v="2"/>
    <s v="2021/2255"/>
    <s v="64 Tooting High Street"/>
    <s v=""/>
    <n v="527398"/>
    <n v="171432"/>
    <s v="Tooting Broadway"/>
    <m/>
    <m/>
    <n v="1"/>
    <n v="4"/>
    <n v="3"/>
    <n v="4"/>
    <n v="3"/>
    <m/>
    <s v="Alterations including erection of an extension to provide an additional floor of accommodation, including a front roof terrace, and French doors with safety railing to rear; Erection of first and second floor rear extensions; Formation of rear roof terraces with 1.7m high screen surround at first and second floors; Change of use of part of ground floor commercial unit (Class E) to residential (Class C3) in connection with conversion into 1 x studio, 1 x 1-bedroom and 2 x 2-bedroom flats, with associated cycle and refuse storage"/>
    <s v="PF"/>
    <d v="2021-06-07T00:00:00"/>
    <d v="2021-09-24T00:00:00"/>
    <m/>
    <s v="Nil"/>
    <m/>
    <s v="BF"/>
    <s v="MIX"/>
    <x v="2"/>
    <x v="4"/>
    <n v="5.2750000000000002E-3"/>
    <m/>
    <x v="0"/>
    <m/>
    <s v="Open Market"/>
    <s v="M"/>
    <s v=""/>
    <m/>
    <m/>
    <m/>
    <m/>
    <m/>
    <n v="1"/>
    <n v="1"/>
    <n v="1"/>
    <n v="0"/>
    <n v="0"/>
    <n v="0"/>
    <n v="0"/>
    <n v="1"/>
    <n v="1"/>
    <n v="1"/>
    <n v="0"/>
    <n v="0"/>
    <n v="0"/>
    <n v="0"/>
    <n v="0"/>
    <n v="0"/>
    <n v="0"/>
    <n v="0"/>
    <n v="0"/>
    <n v="0"/>
    <n v="0"/>
    <n v="0"/>
    <n v="0"/>
    <n v="0"/>
    <n v="0"/>
    <n v="0"/>
    <n v="0"/>
    <n v="0"/>
    <s v="Tooting"/>
    <m/>
    <s v="Tooting"/>
    <n v="15"/>
    <m/>
    <n v="0.75"/>
    <n v="0.75"/>
    <n v="0.75"/>
    <n v="0.75"/>
    <m/>
    <m/>
    <m/>
    <m/>
    <m/>
    <m/>
    <m/>
    <m/>
    <m/>
    <m/>
    <m/>
    <m/>
    <m/>
    <m/>
    <m/>
    <n v="3"/>
    <n v="3"/>
  </r>
  <r>
    <n v="7233"/>
    <x v="2"/>
    <s v="2021/2260"/>
    <s v="77 Broomwood Road"/>
    <s v=""/>
    <n v="527787"/>
    <n v="174343"/>
    <s v="Northcote"/>
    <m/>
    <m/>
    <n v="0"/>
    <n v="1"/>
    <n v="1"/>
    <n v="1"/>
    <n v="1"/>
    <m/>
    <s v="Demolition of existing double garages and erection of a two storey plus basement two-bedroom dwelling house (Class C3)."/>
    <s v="PF"/>
    <d v="2021-06-03T00:00:00"/>
    <d v="2021-08-26T00:00:00"/>
    <m/>
    <s v="Nil"/>
    <m/>
    <s v="BF"/>
    <s v="NB"/>
    <x v="2"/>
    <x v="3"/>
    <n v="3.0000000000000001E-3"/>
    <m/>
    <x v="0"/>
    <m/>
    <s v="Open Market"/>
    <s v="M"/>
    <s v=""/>
    <m/>
    <m/>
    <m/>
    <m/>
    <m/>
    <n v="0"/>
    <n v="0"/>
    <n v="0"/>
    <n v="1"/>
    <n v="0"/>
    <n v="0"/>
    <n v="0"/>
    <n v="0"/>
    <n v="0"/>
    <n v="0"/>
    <n v="0"/>
    <n v="0"/>
    <n v="0"/>
    <n v="0"/>
    <n v="0"/>
    <n v="0"/>
    <n v="0"/>
    <n v="1"/>
    <n v="0"/>
    <n v="0"/>
    <n v="0"/>
    <n v="0"/>
    <n v="0"/>
    <n v="0"/>
    <n v="0"/>
    <n v="0"/>
    <n v="0"/>
    <n v="0"/>
    <m/>
    <m/>
    <s v="Rest of Borough"/>
    <n v="7"/>
    <m/>
    <m/>
    <n v="0.25"/>
    <n v="0.25"/>
    <n v="0.25"/>
    <n v="0.25"/>
    <m/>
    <m/>
    <m/>
    <m/>
    <m/>
    <m/>
    <m/>
    <m/>
    <m/>
    <m/>
    <m/>
    <m/>
    <m/>
    <m/>
    <n v="1"/>
    <n v="1"/>
  </r>
  <r>
    <n v="7514"/>
    <x v="2"/>
    <s v="2021/2263"/>
    <s v="12 Oberstein Road"/>
    <s v=""/>
    <n v="526762"/>
    <n v="175172"/>
    <s v="Wandsworth Town"/>
    <m/>
    <m/>
    <n v="0"/>
    <n v="1"/>
    <n v="1"/>
    <n v="1"/>
    <n v="1"/>
    <m/>
    <s v="Alterations including erection of front and rear mansard roof extension to main roof including front, rear and side dormers; formation of roof terrace at rear second floor level with 1.7m high screen surround; excavation to enlarge basement including formation of rear lightwell; in connection with the creation of 1 x 1- bedroom flat"/>
    <s v="PF"/>
    <d v="2021-06-04T00:00:00"/>
    <d v="2021-08-03T00:00:00"/>
    <m/>
    <s v="Nil"/>
    <m/>
    <s v="BF"/>
    <s v="EXT"/>
    <x v="2"/>
    <x v="7"/>
    <n v="6.0000000000000001E-3"/>
    <m/>
    <x v="0"/>
    <m/>
    <s v="Open Market"/>
    <s v="M"/>
    <s v=""/>
    <m/>
    <m/>
    <m/>
    <m/>
    <m/>
    <n v="0"/>
    <n v="1"/>
    <n v="0"/>
    <n v="0"/>
    <n v="0"/>
    <n v="0"/>
    <n v="0"/>
    <n v="0"/>
    <n v="1"/>
    <n v="0"/>
    <n v="0"/>
    <n v="0"/>
    <n v="0"/>
    <n v="0"/>
    <n v="0"/>
    <n v="0"/>
    <n v="0"/>
    <n v="0"/>
    <n v="0"/>
    <n v="0"/>
    <n v="0"/>
    <n v="0"/>
    <n v="0"/>
    <n v="0"/>
    <n v="0"/>
    <n v="0"/>
    <n v="0"/>
    <n v="0"/>
    <m/>
    <m/>
    <s v="Rest of Borough"/>
    <n v="15"/>
    <m/>
    <n v="0.25"/>
    <n v="0.25"/>
    <n v="0.25"/>
    <n v="0.25"/>
    <m/>
    <m/>
    <m/>
    <m/>
    <m/>
    <m/>
    <m/>
    <m/>
    <m/>
    <m/>
    <m/>
    <m/>
    <m/>
    <m/>
    <m/>
    <n v="1"/>
    <n v="1"/>
  </r>
  <r>
    <n v="7641"/>
    <x v="2"/>
    <s v="2021/2393"/>
    <s v="8a Replingham Road"/>
    <s v=""/>
    <n v="524772"/>
    <n v="173253"/>
    <s v="Southfields"/>
    <m/>
    <m/>
    <n v="0"/>
    <n v="1"/>
    <n v="1"/>
    <n v="1"/>
    <n v="1"/>
    <m/>
    <s v="Determination as to whether prior approval is required for change of use from office (Class B1) to 1 x 3 -bedroom house (Class C3)."/>
    <s v="PAG"/>
    <d v="2021-05-25T00:00:00"/>
    <d v="2021-07-15T00:00:00"/>
    <m/>
    <s v="Nil"/>
    <m/>
    <s v="BF"/>
    <s v="COU"/>
    <x v="2"/>
    <x v="6"/>
    <n v="5.0000000000000001E-3"/>
    <m/>
    <x v="0"/>
    <m/>
    <s v="Open Market"/>
    <s v="M"/>
    <s v=""/>
    <m/>
    <m/>
    <m/>
    <m/>
    <m/>
    <n v="0"/>
    <n v="0"/>
    <n v="0"/>
    <n v="1"/>
    <n v="0"/>
    <n v="0"/>
    <n v="0"/>
    <n v="0"/>
    <n v="0"/>
    <n v="0"/>
    <n v="0"/>
    <n v="0"/>
    <n v="0"/>
    <n v="0"/>
    <n v="0"/>
    <n v="0"/>
    <n v="0"/>
    <n v="1"/>
    <n v="0"/>
    <n v="0"/>
    <n v="0"/>
    <n v="0"/>
    <n v="0"/>
    <n v="0"/>
    <n v="0"/>
    <n v="0"/>
    <n v="0"/>
    <n v="0"/>
    <m/>
    <m/>
    <s v="Rest of Borough"/>
    <n v="15"/>
    <m/>
    <n v="0.25"/>
    <n v="0.25"/>
    <n v="0.25"/>
    <n v="0.25"/>
    <m/>
    <m/>
    <m/>
    <m/>
    <m/>
    <m/>
    <m/>
    <m/>
    <m/>
    <m/>
    <m/>
    <m/>
    <m/>
    <m/>
    <m/>
    <n v="1"/>
    <n v="1"/>
  </r>
  <r>
    <n v="7399"/>
    <x v="2"/>
    <s v="2021/2447"/>
    <s v="69 Webbs Road"/>
    <s v=""/>
    <n v="527815"/>
    <n v="174573"/>
    <s v="Northcote"/>
    <m/>
    <m/>
    <n v="1"/>
    <n v="2"/>
    <n v="1"/>
    <n v="2"/>
    <n v="1"/>
    <m/>
    <s v="Alterations including erection of roof extension and formation of roof terrace with 1.7m glazed safety screen surround above two storey back addition and erection of single storey rear extension in connection with conversion to 1 x 3-bedroom and 1 x 2-bedroom flats."/>
    <s v="PF"/>
    <d v="2021-06-23T00:00:00"/>
    <d v="2021-08-16T00:00:00"/>
    <m/>
    <s v="Nil"/>
    <m/>
    <s v="BF"/>
    <s v="MIX"/>
    <x v="2"/>
    <x v="7"/>
    <n v="4.0000000000000001E-3"/>
    <m/>
    <x v="0"/>
    <m/>
    <s v="Open Market"/>
    <s v="M"/>
    <s v=""/>
    <m/>
    <m/>
    <m/>
    <m/>
    <m/>
    <n v="0"/>
    <n v="0"/>
    <n v="1"/>
    <n v="0"/>
    <n v="0"/>
    <n v="0"/>
    <n v="0"/>
    <n v="0"/>
    <n v="0"/>
    <n v="1"/>
    <n v="0"/>
    <n v="0"/>
    <n v="0"/>
    <n v="0"/>
    <n v="0"/>
    <n v="0"/>
    <n v="0"/>
    <n v="0"/>
    <n v="0"/>
    <n v="0"/>
    <n v="0"/>
    <n v="0"/>
    <n v="0"/>
    <n v="0"/>
    <n v="0"/>
    <n v="0"/>
    <n v="0"/>
    <n v="0"/>
    <m/>
    <m/>
    <s v="Rest of Borough"/>
    <n v="15"/>
    <m/>
    <n v="0.25"/>
    <n v="0.25"/>
    <n v="0.25"/>
    <n v="0.25"/>
    <m/>
    <m/>
    <m/>
    <m/>
    <m/>
    <m/>
    <m/>
    <m/>
    <m/>
    <m/>
    <m/>
    <m/>
    <m/>
    <m/>
    <m/>
    <n v="1"/>
    <n v="1"/>
  </r>
  <r>
    <n v="4944"/>
    <x v="2"/>
    <s v="2021/2720"/>
    <s v="1A Dinsmore Road"/>
    <s v=""/>
    <n v="528817"/>
    <n v="173818"/>
    <s v="Balham"/>
    <m/>
    <m/>
    <n v="1"/>
    <n v="1"/>
    <n v="0"/>
    <n v="1"/>
    <n v="0"/>
    <m/>
    <s v="Alterations in connection with conversion of shop (Class E) to residential (Class C3) and amalgamation with first floor flat to provide 1 x 2-bedroom house. Alteration to ground floor frontage."/>
    <s v="PF"/>
    <d v="2021-06-21T00:00:00"/>
    <d v="2021-08-16T00:00:00"/>
    <m/>
    <s v="Nil"/>
    <m/>
    <s v="BF"/>
    <s v="MIX"/>
    <x v="2"/>
    <x v="4"/>
    <n v="3.0000000000000001E-3"/>
    <m/>
    <x v="0"/>
    <m/>
    <s v="Open Market"/>
    <s v="M"/>
    <s v=""/>
    <m/>
    <m/>
    <m/>
    <m/>
    <m/>
    <n v="0"/>
    <n v="-1"/>
    <n v="1"/>
    <n v="0"/>
    <n v="0"/>
    <n v="0"/>
    <n v="0"/>
    <n v="0"/>
    <n v="-1"/>
    <n v="1"/>
    <n v="0"/>
    <n v="0"/>
    <n v="0"/>
    <n v="0"/>
    <n v="0"/>
    <n v="0"/>
    <n v="0"/>
    <n v="0"/>
    <n v="0"/>
    <n v="0"/>
    <n v="0"/>
    <n v="0"/>
    <n v="0"/>
    <n v="0"/>
    <n v="0"/>
    <n v="0"/>
    <n v="0"/>
    <n v="0"/>
    <m/>
    <m/>
    <s v="Rest of Borough"/>
    <n v="15"/>
    <m/>
    <n v="0"/>
    <n v="0"/>
    <n v="0"/>
    <n v="0"/>
    <m/>
    <m/>
    <m/>
    <m/>
    <m/>
    <m/>
    <m/>
    <m/>
    <m/>
    <m/>
    <m/>
    <m/>
    <m/>
    <m/>
    <m/>
    <n v="0"/>
    <n v="0"/>
  </r>
  <r>
    <n v="7661"/>
    <x v="2"/>
    <s v="2021/3174"/>
    <s v="99 Lucien Road"/>
    <s v=""/>
    <n v="528399"/>
    <n v="171433"/>
    <s v="Tooting Bec"/>
    <m/>
    <m/>
    <n v="1"/>
    <n v="2"/>
    <n v="1"/>
    <n v="2"/>
    <n v="1"/>
    <m/>
    <s v="Alterations including erection of mansard roof extension to main rear roof (with French doors and safety railings) and extension above part of two-storey back addition; formation of roof terrace above two-storey back addition with 1.7m high screen surround to create 1x 1-bedroom flat"/>
    <s v="PF"/>
    <d v="2021-07-05T00:00:00"/>
    <d v="2021-09-03T00:00:00"/>
    <m/>
    <s v="Nil"/>
    <m/>
    <s v="BF"/>
    <s v="EXT"/>
    <x v="2"/>
    <x v="7"/>
    <n v="3.8333E-3"/>
    <m/>
    <x v="0"/>
    <m/>
    <s v="Open Market"/>
    <s v="M"/>
    <s v=""/>
    <m/>
    <m/>
    <m/>
    <m/>
    <m/>
    <n v="0"/>
    <n v="1"/>
    <n v="0"/>
    <n v="0"/>
    <n v="0"/>
    <n v="0"/>
    <n v="0"/>
    <n v="0"/>
    <n v="1"/>
    <n v="0"/>
    <n v="0"/>
    <n v="0"/>
    <n v="0"/>
    <n v="0"/>
    <n v="0"/>
    <n v="0"/>
    <n v="0"/>
    <n v="0"/>
    <n v="0"/>
    <n v="0"/>
    <n v="0"/>
    <n v="0"/>
    <n v="0"/>
    <n v="0"/>
    <n v="0"/>
    <n v="0"/>
    <n v="0"/>
    <n v="0"/>
    <m/>
    <m/>
    <s v="Rest of Borough"/>
    <n v="15"/>
    <m/>
    <n v="0.25"/>
    <n v="0.25"/>
    <n v="0.25"/>
    <n v="0.25"/>
    <m/>
    <m/>
    <m/>
    <m/>
    <m/>
    <m/>
    <m/>
    <m/>
    <m/>
    <m/>
    <m/>
    <m/>
    <m/>
    <m/>
    <m/>
    <n v="1"/>
    <n v="1"/>
  </r>
  <r>
    <n v="7664"/>
    <x v="2"/>
    <s v="2021/3248"/>
    <s v="Ground Floor, 63 Broomwood Road"/>
    <s v=""/>
    <n v="527706"/>
    <n v="174318"/>
    <s v="Northcote"/>
    <m/>
    <m/>
    <n v="0"/>
    <n v="1"/>
    <n v="1"/>
    <n v="1"/>
    <n v="1"/>
    <m/>
    <s v="Alterations including erection of replacement single-storey rear/side extensions, in connection with a change of use of the rear part of the ground floor from retail and  ancillary storage use (Class E) to a 1-bedroom residential flat (Class C3)."/>
    <s v="PF"/>
    <d v="2021-07-08T00:00:00"/>
    <d v="2021-11-23T00:00:00"/>
    <m/>
    <s v="Nil"/>
    <m/>
    <s v="BF"/>
    <s v="MIX"/>
    <x v="2"/>
    <x v="4"/>
    <n v="5.1999999999999998E-3"/>
    <m/>
    <x v="0"/>
    <m/>
    <s v="Open Market"/>
    <s v="M"/>
    <s v=""/>
    <m/>
    <m/>
    <m/>
    <m/>
    <m/>
    <n v="0"/>
    <n v="1"/>
    <n v="0"/>
    <n v="0"/>
    <n v="0"/>
    <n v="0"/>
    <n v="0"/>
    <n v="0"/>
    <n v="1"/>
    <n v="0"/>
    <n v="0"/>
    <n v="0"/>
    <n v="0"/>
    <n v="0"/>
    <n v="0"/>
    <n v="0"/>
    <n v="0"/>
    <n v="0"/>
    <n v="0"/>
    <n v="0"/>
    <n v="0"/>
    <n v="0"/>
    <n v="0"/>
    <n v="0"/>
    <n v="0"/>
    <n v="0"/>
    <n v="0"/>
    <n v="0"/>
    <m/>
    <m/>
    <s v="Rest of Borough"/>
    <n v="15"/>
    <m/>
    <n v="0.25"/>
    <n v="0.25"/>
    <n v="0.25"/>
    <n v="0.25"/>
    <m/>
    <m/>
    <m/>
    <m/>
    <m/>
    <m/>
    <m/>
    <m/>
    <m/>
    <m/>
    <m/>
    <m/>
    <m/>
    <m/>
    <m/>
    <n v="1"/>
    <n v="1"/>
  </r>
  <r>
    <n v="1183"/>
    <x v="2"/>
    <s v="2021/3311"/>
    <s v="66 West Hill"/>
    <s v=""/>
    <n v="524979"/>
    <n v="174628"/>
    <s v="East Putney"/>
    <m/>
    <m/>
    <n v="0"/>
    <n v="1"/>
    <n v="1"/>
    <n v="1"/>
    <n v="1"/>
    <m/>
    <s v="Determination as to whether prior approval is required for change of_x000a_use of front part of shop from retail (Class A1) to residential (Class _x000a_C3)"/>
    <s v="PAG"/>
    <d v="2021-07-13T00:00:00"/>
    <d v="2021-08-31T00:00:00"/>
    <m/>
    <s v="Nil"/>
    <m/>
    <s v="BF"/>
    <s v="COU"/>
    <x v="2"/>
    <x v="4"/>
    <n v="4.1999999999999997E-3"/>
    <m/>
    <x v="0"/>
    <m/>
    <s v="Open Market"/>
    <s v="MR"/>
    <s v=""/>
    <m/>
    <m/>
    <m/>
    <m/>
    <m/>
    <n v="1"/>
    <n v="0"/>
    <n v="0"/>
    <n v="0"/>
    <n v="0"/>
    <n v="0"/>
    <n v="0"/>
    <n v="1"/>
    <n v="0"/>
    <n v="0"/>
    <n v="0"/>
    <n v="0"/>
    <n v="0"/>
    <n v="0"/>
    <n v="0"/>
    <n v="0"/>
    <n v="0"/>
    <n v="0"/>
    <n v="0"/>
    <n v="0"/>
    <n v="0"/>
    <n v="0"/>
    <n v="0"/>
    <n v="0"/>
    <n v="0"/>
    <n v="0"/>
    <n v="0"/>
    <n v="0"/>
    <m/>
    <m/>
    <s v="Rest of Borough"/>
    <n v="15"/>
    <m/>
    <n v="0.25"/>
    <n v="0.25"/>
    <n v="0.25"/>
    <n v="0.25"/>
    <m/>
    <m/>
    <m/>
    <m/>
    <m/>
    <m/>
    <m/>
    <m/>
    <m/>
    <m/>
    <m/>
    <m/>
    <m/>
    <m/>
    <m/>
    <n v="1"/>
    <n v="1"/>
  </r>
  <r>
    <n v="7776"/>
    <x v="2"/>
    <s v="2021/3394"/>
    <s v="76A Pendle Road"/>
    <s v=""/>
    <n v="528980"/>
    <n v="171084"/>
    <s v="Furzedown"/>
    <m/>
    <m/>
    <n v="0"/>
    <n v="1"/>
    <n v="1"/>
    <n v="1"/>
    <n v="1"/>
    <m/>
    <s v="Alterations including changes to windows and doors in connection with conversion of existing workshop (Class SG) to 1 x 1 bedroom dwellinghouse (Class C3) with associated landscaping, cycle and refuse storage."/>
    <s v="PF"/>
    <d v="2021-08-06T00:00:00"/>
    <d v="2021-11-10T00:00:00"/>
    <m/>
    <s v="Nil"/>
    <m/>
    <s v="BF"/>
    <s v="CON"/>
    <x v="2"/>
    <x v="8"/>
    <n v="3.0000000000000001E-3"/>
    <m/>
    <x v="0"/>
    <m/>
    <s v="Social/Affordable Rent"/>
    <s v="AA"/>
    <s v=""/>
    <m/>
    <m/>
    <m/>
    <m/>
    <m/>
    <n v="0"/>
    <n v="1"/>
    <n v="0"/>
    <n v="0"/>
    <n v="0"/>
    <n v="0"/>
    <n v="0"/>
    <n v="0"/>
    <n v="1"/>
    <n v="0"/>
    <n v="0"/>
    <n v="0"/>
    <n v="0"/>
    <n v="0"/>
    <n v="0"/>
    <n v="0"/>
    <n v="0"/>
    <n v="0"/>
    <n v="0"/>
    <n v="0"/>
    <n v="0"/>
    <n v="0"/>
    <n v="0"/>
    <n v="0"/>
    <n v="0"/>
    <n v="0"/>
    <n v="0"/>
    <n v="0"/>
    <m/>
    <m/>
    <s v="Rest of Borough"/>
    <n v="15"/>
    <m/>
    <n v="0.25"/>
    <n v="0.25"/>
    <n v="0.25"/>
    <n v="0.25"/>
    <m/>
    <m/>
    <m/>
    <m/>
    <m/>
    <m/>
    <m/>
    <m/>
    <m/>
    <m/>
    <m/>
    <m/>
    <m/>
    <m/>
    <m/>
    <n v="1"/>
    <n v="1"/>
  </r>
  <r>
    <n v="7682"/>
    <x v="2"/>
    <s v="2021/3519"/>
    <s v="16 Lucien Road"/>
    <s v=""/>
    <n v="528225"/>
    <n v="171618"/>
    <s v="Tooting Bec"/>
    <m/>
    <m/>
    <n v="2"/>
    <n v="3"/>
    <n v="1"/>
    <n v="3"/>
    <n v="1"/>
    <m/>
    <s v="Alterations including erection of extension to main rear roof and extension above part of two-storey back addition; formation of roof terrace at second floor level with 1.7m high screen surround. Erection of single-storey rear and side extension in connection with the creation of an additional 1 x 1-bedroom/studio flat, with associated bin and bike storage at the front."/>
    <s v="PF"/>
    <d v="2021-09-20T00:00:00"/>
    <d v="2021-11-15T00:00:00"/>
    <m/>
    <s v="Nil"/>
    <m/>
    <s v="BF"/>
    <s v="EXT"/>
    <x v="2"/>
    <x v="7"/>
    <n v="8.0000000000000002E-3"/>
    <m/>
    <x v="0"/>
    <m/>
    <s v="Open Market"/>
    <s v="M"/>
    <s v=""/>
    <m/>
    <m/>
    <m/>
    <m/>
    <m/>
    <n v="1"/>
    <n v="0"/>
    <n v="0"/>
    <n v="0"/>
    <n v="0"/>
    <n v="0"/>
    <n v="0"/>
    <n v="1"/>
    <n v="0"/>
    <n v="0"/>
    <n v="0"/>
    <n v="0"/>
    <n v="0"/>
    <n v="0"/>
    <n v="0"/>
    <n v="0"/>
    <n v="0"/>
    <n v="0"/>
    <n v="0"/>
    <n v="0"/>
    <n v="0"/>
    <n v="0"/>
    <n v="0"/>
    <n v="0"/>
    <n v="0"/>
    <n v="0"/>
    <n v="0"/>
    <n v="0"/>
    <m/>
    <m/>
    <s v="Rest of Borough"/>
    <n v="15"/>
    <m/>
    <n v="0.25"/>
    <n v="0.25"/>
    <n v="0.25"/>
    <n v="0.25"/>
    <m/>
    <m/>
    <m/>
    <m/>
    <m/>
    <m/>
    <m/>
    <m/>
    <m/>
    <m/>
    <m/>
    <m/>
    <m/>
    <m/>
    <m/>
    <n v="1"/>
    <n v="1"/>
  </r>
  <r>
    <n v="6908"/>
    <x v="2"/>
    <s v="2021/3601"/>
    <s v="Riverside Business Centre and Former Bingo Hall, Bendon Valley"/>
    <s v="Courtyard Building B"/>
    <n v="525716"/>
    <n v="173464"/>
    <s v="Wandle"/>
    <d v="2024-03-31T00:00:00"/>
    <m/>
    <n v="0"/>
    <n v="33"/>
    <n v="33"/>
    <n v="433"/>
    <n v="433"/>
    <s v="Y"/>
    <s v="Variation of conditions 3 (in accordance with approved drawings), 42 (flood risk assessment) and 54 (fire statement) pursuant to planning permission dated 23/12/2020 ref 2018/4176 (Demolition of existing buildings and erection of 5 buildings ranging from ground plus 4 (with double height ground floor) to ground plus 8 storeys with basement to provide 21,403sqm flexible light industrial, storage and distribution floorspace (Class B1, B1c and B8), 678sqm flexible non-residential institutions and assembly and leisure space use (Class D1/D2), 402 residential units (Class C3), two new streets linking Haldane Place and Bendon Valley, car and cycle parking and associated public realm enhancements comprising detailed landscaping, communal amenity space and a new Wandle Riverside Walk), to allow an additional 31 units (total 433), amendments to the Courtyard Building, amendments to the Riverside Building, community space, basement, landscaping and public realm and the Riverside Factory and inclusion of Flood Risk Assessment and Fire Statement. (AMENDED UNIT NUMBER)"/>
    <s v="S73"/>
    <d v="2021-09-02T00:00:00"/>
    <d v="2022-09-13T00:00:00"/>
    <m/>
    <s v="Nil"/>
    <m/>
    <s v="BF"/>
    <s v="NB"/>
    <x v="1"/>
    <x v="0"/>
    <n v="0"/>
    <m/>
    <x v="0"/>
    <m/>
    <s v="Intermediate"/>
    <s v="ISL"/>
    <s v=""/>
    <n v="17320085"/>
    <m/>
    <m/>
    <m/>
    <n v="4"/>
    <n v="0"/>
    <n v="13"/>
    <n v="14"/>
    <n v="6"/>
    <n v="0"/>
    <n v="0"/>
    <n v="0"/>
    <n v="0"/>
    <n v="13"/>
    <n v="14"/>
    <n v="6"/>
    <n v="0"/>
    <n v="0"/>
    <n v="0"/>
    <n v="0"/>
    <n v="0"/>
    <n v="0"/>
    <n v="0"/>
    <n v="0"/>
    <n v="0"/>
    <n v="0"/>
    <n v="0"/>
    <n v="0"/>
    <n v="0"/>
    <n v="0"/>
    <n v="0"/>
    <n v="0"/>
    <n v="0"/>
    <m/>
    <m/>
    <s v="Wandle Valley"/>
    <n v="10"/>
    <m/>
    <m/>
    <m/>
    <m/>
    <n v="11"/>
    <n v="11"/>
    <n v="11"/>
    <m/>
    <m/>
    <m/>
    <m/>
    <m/>
    <m/>
    <m/>
    <m/>
    <m/>
    <m/>
    <m/>
    <m/>
    <m/>
    <n v="22"/>
    <n v="33"/>
  </r>
  <r>
    <n v="6908"/>
    <x v="2"/>
    <s v="2021/3601"/>
    <s v="Riverside Business Centre and Former Bingo Hall, Bendon Valley"/>
    <s v="Courtyard Building C"/>
    <n v="525716"/>
    <n v="173464"/>
    <s v="Wandle"/>
    <d v="2024-03-31T00:00:00"/>
    <m/>
    <n v="0"/>
    <n v="33"/>
    <n v="33"/>
    <n v="433"/>
    <n v="433"/>
    <s v="Y"/>
    <s v="Variation of conditions 3 (in accordance with approved drawings), 42 (flood risk assessment) and 54 (fire statement) pursuant to planning permission dated 23/12/2020 ref 2018/4176 (Demolition of existing buildings and erection of 5 buildings ranging from ground plus 4 (with double height ground floor) to ground plus 8 storeys with basement to provide 21,403sqm flexible light industrial, storage and distribution floorspace (Class B1, B1c and B8), 678sqm flexible non-residential institutions and assembly and leisure space use (Class D1/D2), 402 residential units (Class C3), two new streets linking Haldane Place and Bendon Valley, car and cycle parking and associated public realm enhancements comprising detailed landscaping, communal amenity space and a new Wandle Riverside Walk), to allow an additional 31 units (total 433), amendments to the Courtyard Building, amendments to the Riverside Building, community space, basement, landscaping and public realm and the Riverside Factory and inclusion of Flood Risk Assessment and Fire Statement. (AMENDED UNIT NUMBER)"/>
    <s v="S73"/>
    <d v="2021-09-02T00:00:00"/>
    <d v="2022-09-13T00:00:00"/>
    <m/>
    <s v="Nil"/>
    <m/>
    <s v="BF"/>
    <s v="NB"/>
    <x v="1"/>
    <x v="0"/>
    <n v="0"/>
    <m/>
    <x v="0"/>
    <m/>
    <s v="Intermediate"/>
    <s v="ISL"/>
    <s v=""/>
    <n v="17320085"/>
    <m/>
    <m/>
    <m/>
    <n v="4"/>
    <n v="0"/>
    <n v="14"/>
    <n v="19"/>
    <n v="0"/>
    <n v="0"/>
    <n v="0"/>
    <n v="0"/>
    <n v="0"/>
    <n v="14"/>
    <n v="19"/>
    <n v="0"/>
    <n v="0"/>
    <n v="0"/>
    <n v="0"/>
    <n v="0"/>
    <n v="0"/>
    <n v="0"/>
    <n v="0"/>
    <n v="0"/>
    <n v="0"/>
    <n v="0"/>
    <n v="0"/>
    <n v="0"/>
    <n v="0"/>
    <n v="0"/>
    <n v="0"/>
    <n v="0"/>
    <n v="0"/>
    <m/>
    <m/>
    <s v="Wandle Valley"/>
    <n v="10"/>
    <m/>
    <m/>
    <m/>
    <m/>
    <n v="11"/>
    <n v="11"/>
    <n v="11"/>
    <m/>
    <m/>
    <m/>
    <m/>
    <m/>
    <m/>
    <m/>
    <m/>
    <m/>
    <m/>
    <m/>
    <m/>
    <m/>
    <n v="22"/>
    <n v="33"/>
  </r>
  <r>
    <n v="6908"/>
    <x v="2"/>
    <s v="2021/3601"/>
    <s v="Riverside Business Centre and Former Bingo Hall, Bendon Valley"/>
    <s v="Courtyard Building D"/>
    <n v="525716"/>
    <n v="173464"/>
    <s v="Wandle"/>
    <d v="2024-03-31T00:00:00"/>
    <m/>
    <n v="0"/>
    <n v="66"/>
    <n v="66"/>
    <n v="433"/>
    <n v="433"/>
    <s v="Y"/>
    <s v="Variation of conditions 3 (in accordance with approved drawings), 42 (flood risk assessment) and 54 (fire statement) pursuant to planning permission dated 23/12/2020 ref 2018/4176 (Demolition of existing buildings and erection of 5 buildings ranging from ground plus 4 (with double height ground floor) to ground plus 8 storeys with basement to provide 21,403sqm flexible light industrial, storage and distribution floorspace (Class B1, B1c and B8), 678sqm flexible non-residential institutions and assembly and leisure space use (Class D1/D2), 402 residential units (Class C3), two new streets linking Haldane Place and Bendon Valley, car and cycle parking and associated public realm enhancements comprising detailed landscaping, communal amenity space and a new Wandle Riverside Walk), to allow an additional 31 units (total 433), amendments to the Courtyard Building, amendments to the Riverside Building, community space, basement, landscaping and public realm and the Riverside Factory and inclusion of Flood Risk Assessment and Fire Statement. (AMENDED UNIT NUMBER)"/>
    <s v="S73"/>
    <d v="2021-09-02T00:00:00"/>
    <d v="2022-09-13T00:00:00"/>
    <m/>
    <s v="Nil"/>
    <m/>
    <s v="BF"/>
    <s v="NB"/>
    <x v="1"/>
    <x v="0"/>
    <n v="0"/>
    <m/>
    <x v="0"/>
    <m/>
    <s v="Social/Affordable Rent"/>
    <s v="AL"/>
    <s v=""/>
    <n v="17320085"/>
    <m/>
    <m/>
    <m/>
    <n v="8"/>
    <n v="0"/>
    <n v="8"/>
    <n v="27"/>
    <n v="25"/>
    <n v="6"/>
    <n v="0"/>
    <n v="0"/>
    <n v="0"/>
    <n v="8"/>
    <n v="27"/>
    <n v="25"/>
    <n v="6"/>
    <n v="0"/>
    <n v="0"/>
    <n v="0"/>
    <n v="0"/>
    <n v="0"/>
    <n v="0"/>
    <n v="0"/>
    <n v="0"/>
    <n v="0"/>
    <n v="0"/>
    <n v="0"/>
    <n v="0"/>
    <n v="0"/>
    <n v="0"/>
    <n v="0"/>
    <n v="0"/>
    <m/>
    <m/>
    <s v="Wandle Valley"/>
    <n v="10"/>
    <m/>
    <m/>
    <m/>
    <m/>
    <n v="22"/>
    <n v="22"/>
    <n v="22"/>
    <m/>
    <m/>
    <m/>
    <m/>
    <m/>
    <m/>
    <m/>
    <m/>
    <m/>
    <m/>
    <m/>
    <m/>
    <m/>
    <n v="44"/>
    <n v="66"/>
  </r>
  <r>
    <n v="6908"/>
    <x v="2"/>
    <s v="2021/3601"/>
    <s v="Riverside Business Centre and Former Bingo Hall, Bendon Valley"/>
    <s v="Courtyard Building E"/>
    <n v="525716"/>
    <n v="173464"/>
    <s v="Wandle"/>
    <d v="2024-03-31T00:00:00"/>
    <m/>
    <n v="0"/>
    <n v="55"/>
    <n v="55"/>
    <n v="433"/>
    <n v="433"/>
    <s v="Y"/>
    <s v="Variation of conditions 3 (in accordance with approved drawings), 42 (flood risk assessment) and 54 (fire statement) pursuant to planning permission dated 23/12/2020 ref 2018/4176 (Demolition of existing buildings and erection of 5 buildings ranging from ground plus 4 (with double height ground floor) to ground plus 8 storeys with basement to provide 21,403sqm flexible light industrial, storage and distribution floorspace (Class B1, B1c and B8), 678sqm flexible non-residential institutions and assembly and leisure space use (Class D1/D2), 402 residential units (Class C3), two new streets linking Haldane Place and Bendon Valley, car and cycle parking and associated public realm enhancements comprising detailed landscaping, communal amenity space and a new Wandle Riverside Walk), to allow an additional 31 units (total 433), amendments to the Courtyard Building, amendments to the Riverside Building, community space, basement, landscaping and public realm and the Riverside Factory and inclusion of Flood Risk Assessment and Fire Statement. (AMENDED UNIT NUMBER)"/>
    <s v="S73"/>
    <d v="2021-09-02T00:00:00"/>
    <d v="2022-09-13T00:00:00"/>
    <m/>
    <s v="Nil"/>
    <m/>
    <s v="BF"/>
    <s v="NB"/>
    <x v="1"/>
    <x v="0"/>
    <n v="0"/>
    <m/>
    <x v="0"/>
    <m/>
    <s v="Open Market"/>
    <s v="M"/>
    <s v=""/>
    <n v="17320085"/>
    <m/>
    <m/>
    <m/>
    <m/>
    <n v="0"/>
    <n v="14"/>
    <n v="35"/>
    <n v="6"/>
    <n v="0"/>
    <n v="0"/>
    <n v="0"/>
    <n v="0"/>
    <n v="14"/>
    <n v="35"/>
    <n v="6"/>
    <n v="0"/>
    <n v="0"/>
    <n v="0"/>
    <n v="0"/>
    <n v="0"/>
    <n v="0"/>
    <n v="0"/>
    <n v="0"/>
    <n v="0"/>
    <n v="0"/>
    <n v="0"/>
    <n v="0"/>
    <n v="0"/>
    <n v="0"/>
    <n v="0"/>
    <n v="0"/>
    <n v="0"/>
    <m/>
    <m/>
    <s v="Wandle Valley"/>
    <n v="10"/>
    <m/>
    <m/>
    <m/>
    <m/>
    <n v="18.333333333333332"/>
    <n v="18.333333333333332"/>
    <n v="18.333333333333332"/>
    <m/>
    <m/>
    <m/>
    <m/>
    <m/>
    <m/>
    <m/>
    <m/>
    <m/>
    <m/>
    <m/>
    <m/>
    <m/>
    <n v="36.666666666666664"/>
    <n v="55"/>
  </r>
  <r>
    <n v="6908"/>
    <x v="2"/>
    <s v="2021/3601"/>
    <s v="Riverside Business Centre and Former Bingo Hall, Bendon Valley"/>
    <s v="Courtyard Building F"/>
    <n v="525716"/>
    <n v="173464"/>
    <s v="Wandle"/>
    <d v="2024-03-31T00:00:00"/>
    <m/>
    <n v="0"/>
    <n v="75"/>
    <n v="75"/>
    <n v="433"/>
    <n v="433"/>
    <s v="Y"/>
    <s v="Variation of conditions 3 (in accordance with approved drawings), 42 (flood risk assessment) and 54 (fire statement) pursuant to planning permission dated 23/12/2020 ref 2018/4176 (Demolition of existing buildings and erection of 5 buildings ranging from ground plus 4 (with double height ground floor) to ground plus 8 storeys with basement to provide 21,403sqm flexible light industrial, storage and distribution floorspace (Class B1, B1c and B8), 678sqm flexible non-residential institutions and assembly and leisure space use (Class D1/D2), 402 residential units (Class C3), two new streets linking Haldane Place and Bendon Valley, car and cycle parking and associated public realm enhancements comprising detailed landscaping, communal amenity space and a new Wandle Riverside Walk), to allow an additional 31 units (total 433), amendments to the Courtyard Building, amendments to the Riverside Building, community space, basement, landscaping and public realm and the Riverside Factory and inclusion of Flood Risk Assessment and Fire Statement. (AMENDED UNIT NUMBER)"/>
    <s v="S73"/>
    <d v="2021-09-02T00:00:00"/>
    <d v="2022-09-13T00:00:00"/>
    <m/>
    <s v="Nil"/>
    <m/>
    <s v="BF"/>
    <s v="NB"/>
    <x v="1"/>
    <x v="0"/>
    <n v="0"/>
    <m/>
    <x v="0"/>
    <m/>
    <s v="Open Market"/>
    <s v="M"/>
    <s v=""/>
    <n v="17320085"/>
    <m/>
    <m/>
    <m/>
    <m/>
    <n v="5"/>
    <n v="47"/>
    <n v="23"/>
    <n v="0"/>
    <n v="0"/>
    <n v="0"/>
    <n v="0"/>
    <n v="5"/>
    <n v="47"/>
    <n v="23"/>
    <n v="0"/>
    <n v="0"/>
    <n v="0"/>
    <n v="0"/>
    <n v="0"/>
    <n v="0"/>
    <n v="0"/>
    <n v="0"/>
    <n v="0"/>
    <n v="0"/>
    <n v="0"/>
    <n v="0"/>
    <n v="0"/>
    <n v="0"/>
    <n v="0"/>
    <n v="0"/>
    <n v="0"/>
    <n v="0"/>
    <m/>
    <m/>
    <s v="Wandle Valley"/>
    <n v="10"/>
    <m/>
    <m/>
    <m/>
    <m/>
    <n v="25"/>
    <n v="25"/>
    <n v="25"/>
    <m/>
    <m/>
    <m/>
    <m/>
    <m/>
    <m/>
    <m/>
    <m/>
    <m/>
    <m/>
    <m/>
    <m/>
    <m/>
    <n v="50"/>
    <n v="75"/>
  </r>
  <r>
    <n v="6908"/>
    <x v="2"/>
    <s v="2021/3601"/>
    <s v="Riverside Business Centre and Former Bingo Hall, Bendon Valley"/>
    <s v="Riverside Building G"/>
    <n v="525716"/>
    <n v="173464"/>
    <s v="Wandle"/>
    <d v="2024-03-31T00:00:00"/>
    <m/>
    <n v="0"/>
    <n v="41"/>
    <n v="41"/>
    <n v="433"/>
    <n v="433"/>
    <s v="Y"/>
    <s v="Variation of conditions 3 (in accordance with approved drawings), 42 (flood risk assessment) and 54 (fire statement) pursuant to planning permission dated 23/12/2020 ref 2018/4176 (Demolition of existing buildings and erection of 5 buildings ranging from ground plus 4 (with double height ground floor) to ground plus 8 storeys with basement to provide 21,403sqm flexible light industrial, storage and distribution floorspace (Class B1, B1c and B8), 678sqm flexible non-residential institutions and assembly and leisure space use (Class D1/D2), 402 residential units (Class C3), two new streets linking Haldane Place and Bendon Valley, car and cycle parking and associated public realm enhancements comprising detailed landscaping, communal amenity space and a new Wandle Riverside Walk), to allow an additional 31 units (total 433), amendments to the Courtyard Building, amendments to the Riverside Building, community space, basement, landscaping and public realm and the Riverside Factory and inclusion of Flood Risk Assessment and Fire Statement. (AMENDED UNIT NUMBER)"/>
    <s v="S73"/>
    <d v="2021-09-02T00:00:00"/>
    <d v="2022-09-13T00:00:00"/>
    <m/>
    <s v="Nil"/>
    <m/>
    <s v="BF"/>
    <s v="NB"/>
    <x v="1"/>
    <x v="0"/>
    <n v="0"/>
    <m/>
    <x v="0"/>
    <m/>
    <s v="Open Market"/>
    <s v="M"/>
    <s v=""/>
    <n v="17320085"/>
    <m/>
    <m/>
    <m/>
    <m/>
    <n v="0"/>
    <n v="18"/>
    <n v="13"/>
    <n v="10"/>
    <n v="0"/>
    <n v="0"/>
    <n v="0"/>
    <n v="0"/>
    <n v="18"/>
    <n v="13"/>
    <n v="10"/>
    <n v="0"/>
    <n v="0"/>
    <n v="0"/>
    <n v="0"/>
    <n v="0"/>
    <n v="0"/>
    <n v="0"/>
    <n v="0"/>
    <n v="0"/>
    <n v="0"/>
    <n v="0"/>
    <n v="0"/>
    <n v="0"/>
    <n v="0"/>
    <n v="0"/>
    <n v="0"/>
    <n v="0"/>
    <m/>
    <m/>
    <s v="Wandle Valley"/>
    <n v="10"/>
    <m/>
    <m/>
    <m/>
    <m/>
    <n v="13.666666666666666"/>
    <n v="13.666666666666666"/>
    <n v="13.666666666666666"/>
    <m/>
    <m/>
    <m/>
    <m/>
    <m/>
    <m/>
    <m/>
    <m/>
    <m/>
    <m/>
    <m/>
    <m/>
    <m/>
    <n v="27.333333333333332"/>
    <n v="41"/>
  </r>
  <r>
    <n v="6908"/>
    <x v="2"/>
    <s v="2021/3601"/>
    <s v="Riverside Business Centre and Former Bingo Hall, Bendon Valley"/>
    <s v="Riverside Building H"/>
    <n v="525716"/>
    <n v="173464"/>
    <s v="Wandle"/>
    <d v="2024-03-31T00:00:00"/>
    <m/>
    <n v="0"/>
    <n v="79"/>
    <n v="79"/>
    <n v="433"/>
    <n v="433"/>
    <s v="Y"/>
    <s v="Variation of conditions 3 (in accordance with approved drawings), 42 (flood risk assessment) and 54 (fire statement) pursuant to planning permission dated 23/12/2020 ref 2018/4176 (Demolition of existing buildings and erection of 5 buildings ranging from ground plus 4 (with double height ground floor) to ground plus 8 storeys with basement to provide 21,403sqm flexible light industrial, storage and distribution floorspace (Class B1, B1c and B8), 678sqm flexible non-residential institutions and assembly and leisure space use (Class D1/D2), 402 residential units (Class C3), two new streets linking Haldane Place and Bendon Valley, car and cycle parking and associated public realm enhancements comprising detailed landscaping, communal amenity space and a new Wandle Riverside Walk), to allow an additional 31 units (total 433), amendments to the Courtyard Building, amendments to the Riverside Building, community space, basement, landscaping and public realm and the Riverside Factory and inclusion of Flood Risk Assessment and Fire Statement. (AMENDED UNIT NUMBER)"/>
    <s v="S73"/>
    <d v="2021-09-02T00:00:00"/>
    <d v="2022-09-13T00:00:00"/>
    <m/>
    <s v="Nil"/>
    <m/>
    <s v="BF"/>
    <s v="NB"/>
    <x v="1"/>
    <x v="0"/>
    <n v="0"/>
    <m/>
    <x v="0"/>
    <m/>
    <s v="Open Market"/>
    <s v="M"/>
    <s v=""/>
    <n v="17320085"/>
    <m/>
    <m/>
    <m/>
    <m/>
    <n v="7"/>
    <n v="39"/>
    <n v="31"/>
    <n v="2"/>
    <n v="0"/>
    <n v="0"/>
    <n v="0"/>
    <n v="7"/>
    <n v="39"/>
    <n v="31"/>
    <n v="2"/>
    <n v="0"/>
    <n v="0"/>
    <n v="0"/>
    <n v="0"/>
    <n v="0"/>
    <n v="0"/>
    <n v="0"/>
    <n v="0"/>
    <n v="0"/>
    <n v="0"/>
    <n v="0"/>
    <n v="0"/>
    <n v="0"/>
    <n v="0"/>
    <n v="0"/>
    <n v="0"/>
    <n v="0"/>
    <m/>
    <m/>
    <s v="Wandle Valley"/>
    <n v="10"/>
    <m/>
    <m/>
    <m/>
    <m/>
    <n v="26.333333333333332"/>
    <n v="26.333333333333332"/>
    <n v="26.333333333333332"/>
    <m/>
    <m/>
    <m/>
    <m/>
    <m/>
    <m/>
    <m/>
    <m/>
    <m/>
    <m/>
    <m/>
    <m/>
    <m/>
    <n v="52.666666666666664"/>
    <n v="79"/>
  </r>
  <r>
    <n v="6908"/>
    <x v="2"/>
    <s v="2021/3601"/>
    <s v="Riverside Business Centre and Former Bingo Hall, Bendon Valley"/>
    <s v="Riverside Building I"/>
    <n v="525716"/>
    <n v="173464"/>
    <s v="Wandle"/>
    <d v="2024-03-31T00:00:00"/>
    <m/>
    <n v="0"/>
    <n v="51"/>
    <n v="51"/>
    <n v="433"/>
    <n v="433"/>
    <s v="Y"/>
    <s v="Variation of conditions 3 (in accordance with approved drawings), 42 (flood risk assessment) and 54 (fire statement) pursuant to planning permission dated 23/12/2020 ref 2018/4176 (Demolition of existing buildings and erection of 5 buildings ranging from ground plus 4 (with double height ground floor) to ground plus 8 storeys with basement to provide 21,403sqm flexible light industrial, storage and distribution floorspace (Class B1, B1c and B8), 678sqm flexible non-residential institutions and assembly and leisure space use (Class D1/D2), 402 residential units (Class C3), two new streets linking Haldane Place and Bendon Valley, car and cycle parking and associated public realm enhancements comprising detailed landscaping, communal amenity space and a new Wandle Riverside Walk), to allow an additional 31 units (total 433), amendments to the Courtyard Building, amendments to the Riverside Building, community space, basement, landscaping and public realm and the Riverside Factory and inclusion of Flood Risk Assessment and Fire Statement. (AMENDED UNIT NUMBER)"/>
    <s v="S73"/>
    <d v="2021-09-02T00:00:00"/>
    <d v="2022-09-13T00:00:00"/>
    <m/>
    <s v="Nil"/>
    <m/>
    <s v="BF"/>
    <s v="NB"/>
    <x v="1"/>
    <x v="0"/>
    <n v="0"/>
    <m/>
    <x v="0"/>
    <m/>
    <s v="Open Market"/>
    <s v="M"/>
    <s v=""/>
    <n v="17320085"/>
    <m/>
    <m/>
    <m/>
    <m/>
    <n v="0"/>
    <n v="33"/>
    <n v="17"/>
    <n v="1"/>
    <n v="0"/>
    <n v="0"/>
    <n v="0"/>
    <n v="0"/>
    <n v="33"/>
    <n v="17"/>
    <n v="1"/>
    <n v="0"/>
    <n v="0"/>
    <n v="0"/>
    <n v="0"/>
    <n v="0"/>
    <n v="0"/>
    <n v="0"/>
    <n v="0"/>
    <n v="0"/>
    <n v="0"/>
    <n v="0"/>
    <n v="0"/>
    <n v="0"/>
    <n v="0"/>
    <n v="0"/>
    <n v="0"/>
    <n v="0"/>
    <m/>
    <m/>
    <s v="Wandle Valley"/>
    <n v="10"/>
    <m/>
    <m/>
    <m/>
    <m/>
    <n v="17"/>
    <n v="17"/>
    <n v="17"/>
    <m/>
    <m/>
    <m/>
    <m/>
    <m/>
    <m/>
    <m/>
    <m/>
    <m/>
    <m/>
    <m/>
    <m/>
    <m/>
    <n v="34"/>
    <n v="51"/>
  </r>
  <r>
    <n v="6374"/>
    <x v="2"/>
    <s v="2021/3860"/>
    <s v="Unit C, Molasses House, Clove Hitch Quay (Plantation Wharf)"/>
    <s v=""/>
    <n v="526468"/>
    <n v="175853"/>
    <s v="St Mary's"/>
    <m/>
    <m/>
    <n v="0"/>
    <n v="4"/>
    <n v="4"/>
    <n v="4"/>
    <n v="4"/>
    <m/>
    <s v="Determination as to whether prior approval required for change of use from Commercial use (Class E) to residential (Class C3) to provide 4 x 1-bedroom flats."/>
    <s v="PAG"/>
    <d v="2021-08-16T00:00:00"/>
    <d v="2021-10-13T00:00:00"/>
    <m/>
    <s v="Nil"/>
    <m/>
    <s v="BF"/>
    <s v="COU"/>
    <x v="2"/>
    <x v="8"/>
    <n v="6.0000000000000001E-3"/>
    <m/>
    <x v="0"/>
    <m/>
    <s v="Open Market"/>
    <s v="M"/>
    <s v="10.15"/>
    <m/>
    <m/>
    <m/>
    <m/>
    <m/>
    <n v="0"/>
    <n v="4"/>
    <n v="0"/>
    <n v="0"/>
    <n v="0"/>
    <n v="0"/>
    <n v="0"/>
    <n v="0"/>
    <n v="4"/>
    <n v="0"/>
    <n v="0"/>
    <n v="0"/>
    <n v="0"/>
    <n v="0"/>
    <n v="0"/>
    <n v="0"/>
    <n v="0"/>
    <n v="0"/>
    <n v="0"/>
    <n v="0"/>
    <n v="0"/>
    <n v="0"/>
    <n v="0"/>
    <n v="0"/>
    <n v="0"/>
    <n v="0"/>
    <n v="0"/>
    <n v="0"/>
    <m/>
    <m/>
    <s v="Wandsworth riverside"/>
    <n v="15"/>
    <m/>
    <n v="1"/>
    <n v="1"/>
    <n v="1"/>
    <n v="1"/>
    <m/>
    <m/>
    <m/>
    <m/>
    <m/>
    <m/>
    <m/>
    <m/>
    <m/>
    <m/>
    <m/>
    <m/>
    <m/>
    <m/>
    <m/>
    <n v="4"/>
    <n v="4"/>
  </r>
  <r>
    <n v="7753"/>
    <x v="2"/>
    <s v="2021/4001"/>
    <s v="54A Renmuir Street"/>
    <s v=""/>
    <n v="527778"/>
    <n v="170719"/>
    <s v="Tooting Broadway"/>
    <m/>
    <m/>
    <n v="1"/>
    <n v="2"/>
    <n v="1"/>
    <n v="2"/>
    <n v="1"/>
    <m/>
    <s v="Alterations including erection of mansard roof extension to main rear roof slope with French doors and juliette balcony and extension above part of two-storey rear addidtion. Formation of a roof terrace with obscure glazed screen. In connection with the creation of an additional 1x1 bedroom unit."/>
    <s v="PF"/>
    <d v="2021-12-31T00:00:00"/>
    <d v="2022-02-28T00:00:00"/>
    <m/>
    <s v="Nil"/>
    <m/>
    <s v="BF"/>
    <s v="EXT"/>
    <x v="2"/>
    <x v="7"/>
    <n v="4.9500000000000004E-3"/>
    <m/>
    <x v="0"/>
    <m/>
    <s v="Open Market"/>
    <s v="M"/>
    <s v=""/>
    <m/>
    <m/>
    <m/>
    <m/>
    <m/>
    <n v="0"/>
    <n v="1"/>
    <n v="0"/>
    <n v="0"/>
    <n v="0"/>
    <n v="0"/>
    <n v="0"/>
    <n v="0"/>
    <n v="1"/>
    <n v="0"/>
    <n v="0"/>
    <n v="0"/>
    <n v="0"/>
    <n v="0"/>
    <n v="0"/>
    <n v="0"/>
    <n v="0"/>
    <n v="0"/>
    <n v="0"/>
    <n v="0"/>
    <n v="0"/>
    <n v="0"/>
    <n v="0"/>
    <n v="0"/>
    <n v="0"/>
    <n v="0"/>
    <n v="0"/>
    <n v="0"/>
    <m/>
    <m/>
    <s v="Rest of Borough"/>
    <n v="15"/>
    <m/>
    <n v="0.25"/>
    <n v="0.25"/>
    <n v="0.25"/>
    <n v="0.25"/>
    <m/>
    <m/>
    <m/>
    <m/>
    <m/>
    <m/>
    <m/>
    <m/>
    <m/>
    <m/>
    <m/>
    <m/>
    <m/>
    <m/>
    <m/>
    <n v="1"/>
    <n v="1"/>
  </r>
  <r>
    <n v="6798"/>
    <x v="2"/>
    <s v="2021/4064"/>
    <s v="Land rear of 958 Garratt Lane, 28 Garratt Terrace"/>
    <s v=""/>
    <n v="527317"/>
    <n v="171519"/>
    <s v="Tooting Broadway"/>
    <m/>
    <m/>
    <n v="0"/>
    <n v="2"/>
    <n v="2"/>
    <n v="2"/>
    <n v="2"/>
    <m/>
    <s v="Erection of a two-storey house fronting Garratt Terrace with singlestorey rear projection, basement, habitable roof space, first floor balcony and associated refuse and cycle storage to comprise 1x3- bedroom and 1x1-bedroom flats."/>
    <s v="PF"/>
    <d v="2021-09-15T00:00:00"/>
    <d v="2022-01-26T00:00:00"/>
    <m/>
    <s v="Nil"/>
    <m/>
    <s v="BF"/>
    <s v="NB"/>
    <x v="2"/>
    <x v="3"/>
    <n v="5.0666000000000001E-3"/>
    <m/>
    <x v="0"/>
    <m/>
    <s v="Open Market"/>
    <s v="M"/>
    <s v=""/>
    <m/>
    <m/>
    <m/>
    <m/>
    <m/>
    <n v="0"/>
    <n v="1"/>
    <n v="0"/>
    <n v="1"/>
    <n v="0"/>
    <n v="0"/>
    <n v="0"/>
    <n v="0"/>
    <n v="1"/>
    <n v="0"/>
    <n v="1"/>
    <n v="0"/>
    <n v="0"/>
    <n v="0"/>
    <n v="0"/>
    <n v="0"/>
    <n v="0"/>
    <n v="0"/>
    <n v="0"/>
    <n v="0"/>
    <n v="0"/>
    <n v="0"/>
    <n v="0"/>
    <n v="0"/>
    <n v="0"/>
    <n v="0"/>
    <n v="0"/>
    <n v="0"/>
    <m/>
    <m/>
    <s v="Tooting"/>
    <n v="7"/>
    <m/>
    <m/>
    <n v="0.5"/>
    <n v="0.5"/>
    <n v="0.5"/>
    <n v="0.5"/>
    <m/>
    <m/>
    <m/>
    <m/>
    <m/>
    <m/>
    <m/>
    <m/>
    <m/>
    <m/>
    <m/>
    <m/>
    <m/>
    <m/>
    <n v="2"/>
    <n v="2"/>
  </r>
  <r>
    <n v="3810"/>
    <x v="2"/>
    <s v="2021/4115"/>
    <s v="138 Battersea Park Road"/>
    <s v=""/>
    <n v="528194"/>
    <n v="176681"/>
    <s v="Battersea Park"/>
    <m/>
    <m/>
    <n v="1"/>
    <n v="2"/>
    <n v="1"/>
    <n v="2"/>
    <n v="1"/>
    <m/>
    <s v="Alterations including erection of mansard roof extension to main rear roof in connection with the conversion of upper floor flat to 2x1 bedroom flats."/>
    <s v="PF"/>
    <d v="2021-09-28T00:00:00"/>
    <d v="2022-01-19T00:00:00"/>
    <m/>
    <s v="Nil"/>
    <m/>
    <s v="BF"/>
    <s v="MIX"/>
    <x v="2"/>
    <x v="5"/>
    <n v="3.1375000000000001E-3"/>
    <m/>
    <x v="0"/>
    <m/>
    <s v="Open Market"/>
    <s v="M"/>
    <s v=""/>
    <m/>
    <m/>
    <m/>
    <m/>
    <m/>
    <n v="0"/>
    <n v="2"/>
    <n v="0"/>
    <n v="-1"/>
    <n v="0"/>
    <n v="0"/>
    <n v="0"/>
    <n v="0"/>
    <n v="2"/>
    <n v="0"/>
    <n v="-1"/>
    <n v="0"/>
    <n v="0"/>
    <n v="0"/>
    <n v="0"/>
    <n v="0"/>
    <n v="0"/>
    <n v="0"/>
    <n v="0"/>
    <n v="0"/>
    <n v="0"/>
    <n v="0"/>
    <n v="0"/>
    <n v="0"/>
    <n v="0"/>
    <n v="0"/>
    <n v="0"/>
    <n v="0"/>
    <m/>
    <m/>
    <s v="Rest of Borough"/>
    <n v="15"/>
    <m/>
    <n v="0.25"/>
    <n v="0.25"/>
    <n v="0.25"/>
    <n v="0.25"/>
    <m/>
    <m/>
    <m/>
    <m/>
    <m/>
    <m/>
    <m/>
    <m/>
    <m/>
    <m/>
    <m/>
    <m/>
    <m/>
    <m/>
    <m/>
    <n v="1"/>
    <n v="1"/>
  </r>
  <r>
    <n v="6130"/>
    <x v="2"/>
    <s v="2021/4211"/>
    <s v="63 Roehampton Lane"/>
    <s v=""/>
    <n v="522154"/>
    <n v="175135"/>
    <s v="Roehampton"/>
    <m/>
    <m/>
    <n v="1"/>
    <n v="1"/>
    <n v="0"/>
    <n v="1"/>
    <n v="0"/>
    <m/>
    <s v="Demolition of existing dwelling and erection of a two-storey (plus accommodation at roof level) 5-bedroom house."/>
    <s v="PF"/>
    <d v="2021-09-21T00:00:00"/>
    <d v="2022-06-29T00:00:00"/>
    <m/>
    <s v="Nil"/>
    <m/>
    <s v="BF"/>
    <s v="NB"/>
    <x v="2"/>
    <x v="3"/>
    <n v="1.8294000000000001E-2"/>
    <m/>
    <x v="0"/>
    <m/>
    <s v="Open Market"/>
    <s v="M"/>
    <s v=""/>
    <m/>
    <m/>
    <m/>
    <m/>
    <m/>
    <n v="0"/>
    <n v="0"/>
    <n v="0"/>
    <n v="0"/>
    <n v="-1"/>
    <n v="1"/>
    <n v="0"/>
    <n v="0"/>
    <n v="0"/>
    <n v="0"/>
    <n v="0"/>
    <n v="0"/>
    <n v="0"/>
    <n v="0"/>
    <n v="0"/>
    <n v="0"/>
    <n v="0"/>
    <n v="0"/>
    <n v="-1"/>
    <n v="1"/>
    <n v="0"/>
    <n v="0"/>
    <n v="0"/>
    <n v="0"/>
    <n v="0"/>
    <n v="0"/>
    <n v="0"/>
    <n v="0"/>
    <m/>
    <m/>
    <s v="Rest of Borough"/>
    <n v="7"/>
    <m/>
    <m/>
    <n v="0"/>
    <n v="0"/>
    <n v="0"/>
    <n v="0"/>
    <m/>
    <m/>
    <m/>
    <m/>
    <m/>
    <m/>
    <m/>
    <m/>
    <m/>
    <m/>
    <m/>
    <m/>
    <m/>
    <m/>
    <n v="0"/>
    <n v="0"/>
  </r>
  <r>
    <n v="7728"/>
    <x v="2"/>
    <s v="2021/4318"/>
    <s v="24 Yukon Road"/>
    <s v=""/>
    <n v="528904"/>
    <n v="173855"/>
    <s v="Balham"/>
    <m/>
    <m/>
    <n v="4"/>
    <n v="5"/>
    <n v="1"/>
    <n v="5"/>
    <n v="1"/>
    <m/>
    <s v="Alterations including erection of mansard roof extension to main rear roof and extension above part of two-storey back addition; formation of roof terrace above two-storey back addition with 1.7m high screen surround in connection with the conversion into 1 bedroom flat with associated cycle and refuse storage."/>
    <s v="PF"/>
    <d v="2021-09-17T00:00:00"/>
    <d v="2021-11-16T00:00:00"/>
    <m/>
    <s v="Nil"/>
    <m/>
    <s v="BF"/>
    <s v="EXT"/>
    <x v="2"/>
    <x v="7"/>
    <n v="4.0000000000000001E-3"/>
    <m/>
    <x v="0"/>
    <m/>
    <s v="Open Market"/>
    <s v="M"/>
    <s v=""/>
    <m/>
    <m/>
    <m/>
    <m/>
    <m/>
    <n v="0"/>
    <n v="1"/>
    <n v="0"/>
    <n v="0"/>
    <n v="0"/>
    <n v="0"/>
    <n v="0"/>
    <n v="0"/>
    <n v="1"/>
    <n v="0"/>
    <n v="0"/>
    <n v="0"/>
    <n v="0"/>
    <n v="0"/>
    <n v="0"/>
    <n v="0"/>
    <n v="0"/>
    <n v="0"/>
    <n v="0"/>
    <n v="0"/>
    <n v="0"/>
    <n v="0"/>
    <n v="0"/>
    <n v="0"/>
    <n v="0"/>
    <n v="0"/>
    <n v="0"/>
    <n v="0"/>
    <m/>
    <m/>
    <s v="Rest of Borough"/>
    <n v="15"/>
    <m/>
    <n v="0.25"/>
    <n v="0.25"/>
    <n v="0.25"/>
    <n v="0.25"/>
    <m/>
    <m/>
    <m/>
    <m/>
    <m/>
    <m/>
    <m/>
    <m/>
    <m/>
    <m/>
    <m/>
    <m/>
    <m/>
    <m/>
    <m/>
    <n v="1"/>
    <n v="1"/>
  </r>
  <r>
    <n v="6885"/>
    <x v="2"/>
    <s v="2021/4482"/>
    <s v="217 Garratt Lane"/>
    <s v=""/>
    <n v="525906"/>
    <n v="173856"/>
    <s v="Wandle"/>
    <m/>
    <m/>
    <n v="0"/>
    <n v="1"/>
    <n v="1"/>
    <n v="1"/>
    <n v="1"/>
    <m/>
    <s v="Determination as to whether prior approval is required for change of use from retail (Class E) to residential (Class C3) to provide 1 x 1- bedroom flat."/>
    <s v="PAG"/>
    <d v="2021-10-14T00:00:00"/>
    <d v="2021-12-01T00:00:00"/>
    <m/>
    <s v="Nil"/>
    <m/>
    <s v="BF"/>
    <s v="COU"/>
    <x v="2"/>
    <x v="4"/>
    <n v="5.8999999999999999E-3"/>
    <m/>
    <x v="0"/>
    <m/>
    <s v="Open Market"/>
    <s v="M"/>
    <s v=""/>
    <m/>
    <m/>
    <m/>
    <m/>
    <m/>
    <n v="0"/>
    <n v="1"/>
    <n v="0"/>
    <n v="0"/>
    <n v="0"/>
    <n v="0"/>
    <n v="0"/>
    <n v="0"/>
    <n v="1"/>
    <n v="0"/>
    <n v="0"/>
    <n v="0"/>
    <n v="0"/>
    <n v="0"/>
    <n v="0"/>
    <n v="0"/>
    <n v="0"/>
    <n v="0"/>
    <n v="0"/>
    <n v="0"/>
    <n v="0"/>
    <n v="0"/>
    <n v="0"/>
    <n v="0"/>
    <n v="0"/>
    <n v="0"/>
    <n v="0"/>
    <n v="0"/>
    <m/>
    <m/>
    <s v="Wandle Valley"/>
    <n v="15"/>
    <m/>
    <n v="0.25"/>
    <n v="0.25"/>
    <n v="0.25"/>
    <n v="0.25"/>
    <m/>
    <m/>
    <m/>
    <m/>
    <m/>
    <m/>
    <m/>
    <m/>
    <m/>
    <m/>
    <m/>
    <m/>
    <m/>
    <m/>
    <m/>
    <n v="1"/>
    <n v="1"/>
  </r>
  <r>
    <n v="7722"/>
    <x v="2"/>
    <s v="2021/4549"/>
    <s v="Atlantic House, 51-57 Upper Richmond Road"/>
    <s v="2-storey 2-bed"/>
    <n v="524629"/>
    <n v="174727"/>
    <s v="East Putney"/>
    <m/>
    <m/>
    <n v="0"/>
    <n v="2"/>
    <n v="2"/>
    <n v="6"/>
    <n v="6"/>
    <m/>
    <s v="Demolition of existing two storey warehouse and erection of 1 x 3-bedroom two storey (plus basement), 3 x 4-bedroom three-storey (plus basement) and 2 x 2 bedroom two-storey (plus basement) houses."/>
    <s v="PF"/>
    <d v="2021-10-04T00:00:00"/>
    <d v="2022-04-27T00:00:00"/>
    <m/>
    <s v="Nil"/>
    <m/>
    <s v="BF"/>
    <s v="NB"/>
    <x v="2"/>
    <x v="7"/>
    <n v="5.3499999999999997E-3"/>
    <m/>
    <x v="0"/>
    <m/>
    <s v="Open Market"/>
    <s v="M"/>
    <s v=""/>
    <m/>
    <m/>
    <m/>
    <m/>
    <m/>
    <n v="0"/>
    <n v="0"/>
    <n v="2"/>
    <n v="0"/>
    <n v="0"/>
    <n v="0"/>
    <n v="0"/>
    <n v="0"/>
    <n v="0"/>
    <n v="0"/>
    <n v="0"/>
    <n v="0"/>
    <n v="0"/>
    <n v="0"/>
    <n v="0"/>
    <n v="0"/>
    <n v="2"/>
    <n v="0"/>
    <n v="0"/>
    <n v="0"/>
    <n v="0"/>
    <n v="0"/>
    <n v="0"/>
    <n v="0"/>
    <n v="0"/>
    <n v="0"/>
    <n v="0"/>
    <n v="0"/>
    <m/>
    <m/>
    <s v="Rest of Borough"/>
    <n v="10"/>
    <m/>
    <m/>
    <m/>
    <m/>
    <n v="0.66666666666666663"/>
    <n v="0.66666666666666663"/>
    <n v="0.66666666666666663"/>
    <m/>
    <m/>
    <m/>
    <m/>
    <m/>
    <m/>
    <m/>
    <m/>
    <m/>
    <m/>
    <m/>
    <m/>
    <m/>
    <n v="1.3333333333333333"/>
    <n v="2"/>
  </r>
  <r>
    <n v="7722"/>
    <x v="2"/>
    <s v="2021/4549"/>
    <s v="Atlantic House, 51-57 Upper Richmond Road"/>
    <s v="2-storey 3-bed"/>
    <n v="524629"/>
    <n v="174727"/>
    <s v="East Putney"/>
    <m/>
    <m/>
    <n v="0"/>
    <n v="1"/>
    <n v="1"/>
    <n v="6"/>
    <n v="6"/>
    <m/>
    <s v="Demolition of existing two storey warehouse and erection of 1 x 3-bedroom two storey (plus basement), 3 x 4-bedroom three-storey (plus basement) and 2 x 2 bedroom two-storey (plus basement) houses."/>
    <s v="PF"/>
    <d v="2021-10-04T00:00:00"/>
    <d v="2022-04-27T00:00:00"/>
    <m/>
    <s v="Nil"/>
    <m/>
    <s v="BF"/>
    <s v="NB"/>
    <x v="2"/>
    <x v="3"/>
    <n v="8.5500000000000003E-3"/>
    <m/>
    <x v="0"/>
    <m/>
    <s v="Open Market"/>
    <s v="M"/>
    <s v=""/>
    <m/>
    <m/>
    <m/>
    <m/>
    <m/>
    <n v="0"/>
    <n v="0"/>
    <n v="0"/>
    <n v="1"/>
    <n v="0"/>
    <n v="0"/>
    <n v="0"/>
    <n v="0"/>
    <n v="0"/>
    <n v="0"/>
    <n v="0"/>
    <n v="0"/>
    <n v="0"/>
    <n v="0"/>
    <n v="0"/>
    <n v="0"/>
    <n v="0"/>
    <n v="1"/>
    <n v="0"/>
    <n v="0"/>
    <n v="0"/>
    <n v="0"/>
    <n v="0"/>
    <n v="0"/>
    <n v="0"/>
    <n v="0"/>
    <n v="0"/>
    <n v="0"/>
    <m/>
    <m/>
    <s v="Rest of Borough"/>
    <n v="10"/>
    <m/>
    <m/>
    <m/>
    <m/>
    <n v="0.33333333333333331"/>
    <n v="0.33333333333333331"/>
    <n v="0.33333333333333331"/>
    <m/>
    <m/>
    <m/>
    <m/>
    <m/>
    <m/>
    <m/>
    <m/>
    <m/>
    <m/>
    <m/>
    <m/>
    <m/>
    <n v="0.66666666666666663"/>
    <n v="1"/>
  </r>
  <r>
    <n v="7722"/>
    <x v="2"/>
    <s v="2021/4549"/>
    <s v="Atlantic House, 51-57 Upper Richmond Road"/>
    <s v="3-storey 4-bed"/>
    <n v="524629"/>
    <n v="174727"/>
    <s v="East Putney"/>
    <m/>
    <m/>
    <n v="0"/>
    <n v="3"/>
    <n v="3"/>
    <n v="6"/>
    <n v="6"/>
    <m/>
    <s v="Demolition of existing two storey warehouse and erection of 1 x 3-bedroom two storey (plus basement), 3 x 4-bedroom three-storey (plus basement) and 2 x 2 bedroom two-storey (plus basement) houses."/>
    <s v="PF"/>
    <d v="2021-10-04T00:00:00"/>
    <d v="2022-04-27T00:00:00"/>
    <m/>
    <s v="Nil"/>
    <m/>
    <s v="BF"/>
    <s v="NB"/>
    <x v="2"/>
    <x v="3"/>
    <n v="1.78E-2"/>
    <m/>
    <x v="0"/>
    <m/>
    <s v="Open Market"/>
    <s v="M"/>
    <s v=""/>
    <m/>
    <m/>
    <m/>
    <m/>
    <m/>
    <n v="0"/>
    <n v="0"/>
    <n v="0"/>
    <n v="0"/>
    <n v="3"/>
    <n v="0"/>
    <n v="0"/>
    <n v="0"/>
    <n v="0"/>
    <n v="0"/>
    <n v="0"/>
    <n v="0"/>
    <n v="0"/>
    <n v="0"/>
    <n v="0"/>
    <n v="0"/>
    <n v="0"/>
    <n v="0"/>
    <n v="3"/>
    <n v="0"/>
    <n v="0"/>
    <n v="0"/>
    <n v="0"/>
    <n v="0"/>
    <n v="0"/>
    <n v="0"/>
    <n v="0"/>
    <n v="0"/>
    <m/>
    <m/>
    <s v="Rest of Borough"/>
    <n v="10"/>
    <m/>
    <m/>
    <m/>
    <m/>
    <n v="1"/>
    <n v="1"/>
    <n v="1"/>
    <m/>
    <m/>
    <m/>
    <m/>
    <m/>
    <m/>
    <m/>
    <m/>
    <m/>
    <m/>
    <m/>
    <m/>
    <m/>
    <n v="2"/>
    <n v="3"/>
  </r>
  <r>
    <n v="2502"/>
    <x v="2"/>
    <s v="2021/4678"/>
    <s v="Springfield Hospital site, 61 Glenburnie Road"/>
    <s v="Phase 6C"/>
    <n v="527221"/>
    <n v="172443"/>
    <s v="Wandsworth Common"/>
    <m/>
    <m/>
    <n v="0"/>
    <n v="80"/>
    <n v="80"/>
    <n v="80"/>
    <n v="80"/>
    <s v="Y"/>
    <s v="Reserved matters relating to landscaping, scale and appearance in respect of the part demolition, conversion, restoration and repair of part of the Main Building (Grade II listed) to provide 80 residential units with landscaping and associated works (forming part of Phase 6C of the Springfield Masterplan development) pursuant to condition 1 of outline planning permission ref. 2010/3703 dated 20/06/2012 (for the erection of 25,000 sq.m. of replacement mental health facilities (Class C2/C2a); 839 residential dwellings; 9,200 sq.m. elderly persons' care home; 240 sq.m. of retail floorspace (Class A1); a school (Class D1); 3,500 sq.m. of mixed non-residential floorspace (Class A1, A2, A3, A4, B1, D1 or D2); landscaped public park; a combined cooling, heat and power energy centre, associated landscaping, parking, roads, access, infrastructure and other associated works), as varied under application ref. 2014/6585, dated 04/06/15, application ref. 2016/4760 dated 24/04/2018 and application ref. 2019/2495 dated 28/02/2020, and including statement of design code compliance, landscaping details and surface and foul water drainage pursuant to conditions 7, 10 and 30."/>
    <s v="PF"/>
    <d v="2021-10-11T00:00:00"/>
    <d v="2022-02-22T00:00:00"/>
    <m/>
    <s v="Nil"/>
    <m/>
    <s v="BF"/>
    <s v="NB"/>
    <x v="1"/>
    <x v="0"/>
    <n v="2E-3"/>
    <m/>
    <x v="0"/>
    <m/>
    <s v="Open Market"/>
    <s v="M"/>
    <s v="9.1"/>
    <m/>
    <m/>
    <m/>
    <m/>
    <m/>
    <n v="0"/>
    <n v="45"/>
    <n v="33"/>
    <n v="2"/>
    <n v="0"/>
    <n v="0"/>
    <n v="0"/>
    <n v="0"/>
    <n v="45"/>
    <n v="33"/>
    <n v="2"/>
    <n v="0"/>
    <n v="0"/>
    <n v="0"/>
    <n v="0"/>
    <n v="0"/>
    <n v="0"/>
    <n v="0"/>
    <n v="0"/>
    <n v="0"/>
    <n v="0"/>
    <n v="0"/>
    <n v="0"/>
    <n v="0"/>
    <n v="0"/>
    <n v="0"/>
    <n v="0"/>
    <n v="0"/>
    <m/>
    <m/>
    <s v="Rest of Borough"/>
    <n v="10"/>
    <m/>
    <m/>
    <m/>
    <m/>
    <n v="26.666666666666668"/>
    <n v="26.666666666666668"/>
    <n v="26.666666666666668"/>
    <m/>
    <m/>
    <m/>
    <m/>
    <m/>
    <m/>
    <m/>
    <m/>
    <m/>
    <m/>
    <m/>
    <m/>
    <m/>
    <n v="53.333333333333336"/>
    <n v="80"/>
  </r>
  <r>
    <n v="4208"/>
    <x v="2"/>
    <s v="2021/4684"/>
    <s v="25 Keswick Road"/>
    <s v=""/>
    <n v="524367"/>
    <n v="174500"/>
    <s v="East Putney"/>
    <m/>
    <m/>
    <n v="0"/>
    <n v="1"/>
    <n v="1"/>
    <n v="1"/>
    <n v="1"/>
    <m/>
    <s v="Alterations including erection of a rear extension at lower ground floor level in connection with creation of 1 x 1-bed flat."/>
    <s v="PF"/>
    <d v="2021-11-10T00:00:00"/>
    <d v="2022-02-07T00:00:00"/>
    <m/>
    <s v="Nil"/>
    <m/>
    <s v="BF"/>
    <s v="EXT"/>
    <x v="2"/>
    <x v="7"/>
    <n v="0.01"/>
    <m/>
    <x v="0"/>
    <m/>
    <s v="Open Market"/>
    <s v="M"/>
    <s v=""/>
    <m/>
    <m/>
    <m/>
    <m/>
    <m/>
    <n v="0"/>
    <n v="1"/>
    <n v="0"/>
    <n v="0"/>
    <n v="0"/>
    <n v="0"/>
    <n v="0"/>
    <n v="0"/>
    <n v="1"/>
    <n v="0"/>
    <n v="0"/>
    <n v="0"/>
    <n v="0"/>
    <n v="0"/>
    <n v="0"/>
    <n v="0"/>
    <n v="0"/>
    <n v="0"/>
    <n v="0"/>
    <n v="0"/>
    <n v="0"/>
    <n v="0"/>
    <n v="0"/>
    <n v="0"/>
    <n v="0"/>
    <n v="0"/>
    <n v="0"/>
    <n v="0"/>
    <m/>
    <m/>
    <s v="Rest of Borough"/>
    <n v="15"/>
    <m/>
    <n v="0.25"/>
    <n v="0.25"/>
    <n v="0.25"/>
    <n v="0.25"/>
    <m/>
    <m/>
    <m/>
    <m/>
    <m/>
    <m/>
    <m/>
    <m/>
    <m/>
    <m/>
    <m/>
    <m/>
    <m/>
    <m/>
    <m/>
    <n v="1"/>
    <n v="1"/>
  </r>
  <r>
    <n v="5128"/>
    <x v="2"/>
    <s v="2021/4728"/>
    <s v="Garages rear of 144, West Hill (Garages west of 48 &amp; 50 Lytton Grove)"/>
    <s v=""/>
    <n v="524267"/>
    <n v="174267"/>
    <s v="East Putney"/>
    <d v="2022-06-29T00:00:00"/>
    <m/>
    <n v="0"/>
    <n v="1"/>
    <n v="1"/>
    <n v="1"/>
    <n v="1"/>
    <m/>
    <s v="Demolition of existing garages and erection of single-storey (plus basement and roof level accommodation) 3-bedroom house. (Amendments to planning permission dated 24/08/20 ref. 2020/1240 to include a basement with lightwell and additional bedroom)."/>
    <s v="PF"/>
    <d v="2021-10-14T00:00:00"/>
    <d v="2022-06-29T00:00:00"/>
    <m/>
    <s v="Nil"/>
    <m/>
    <s v="BF"/>
    <s v="NB"/>
    <x v="2"/>
    <x v="3"/>
    <n v="1.8599999999999998E-2"/>
    <m/>
    <x v="0"/>
    <m/>
    <s v="Open Market"/>
    <s v="M"/>
    <s v=""/>
    <m/>
    <m/>
    <m/>
    <m/>
    <m/>
    <n v="0"/>
    <n v="0"/>
    <n v="0"/>
    <n v="1"/>
    <n v="0"/>
    <n v="0"/>
    <n v="0"/>
    <n v="0"/>
    <n v="0"/>
    <n v="0"/>
    <n v="0"/>
    <n v="0"/>
    <n v="0"/>
    <n v="0"/>
    <n v="0"/>
    <n v="0"/>
    <n v="0"/>
    <n v="1"/>
    <n v="0"/>
    <n v="0"/>
    <n v="0"/>
    <n v="0"/>
    <n v="0"/>
    <n v="0"/>
    <n v="0"/>
    <n v="0"/>
    <n v="0"/>
    <n v="0"/>
    <m/>
    <m/>
    <s v="Rest of Borough"/>
    <n v="7"/>
    <m/>
    <m/>
    <n v="0.25"/>
    <n v="0.25"/>
    <n v="0.25"/>
    <n v="0.25"/>
    <m/>
    <m/>
    <m/>
    <m/>
    <m/>
    <m/>
    <m/>
    <m/>
    <m/>
    <m/>
    <m/>
    <m/>
    <m/>
    <m/>
    <n v="1"/>
    <n v="1"/>
  </r>
  <r>
    <n v="1896"/>
    <x v="2"/>
    <s v="2021/4902"/>
    <s v="Rear of 950-952, Garratt Lane"/>
    <s v=""/>
    <n v="527305"/>
    <n v="171527"/>
    <s v="Tooting Broadway"/>
    <d v="2022-07-01T00:00:00"/>
    <m/>
    <n v="0"/>
    <n v="4"/>
    <n v="4"/>
    <n v="4"/>
    <n v="4"/>
    <m/>
    <s v="Demolition of existing single storey garage and Erection of two-storey detached building (plus basement and roof levels) to provide 2 x 3 bedroom and 2 x 1 bed flats with first floor rear 'built in terraces' and secure bicycle and refuse storage at front."/>
    <s v="PF"/>
    <d v="2021-10-25T00:00:00"/>
    <d v="2022-04-14T00:00:00"/>
    <m/>
    <s v="Nil"/>
    <m/>
    <s v="BF"/>
    <s v="NB"/>
    <x v="2"/>
    <x v="3"/>
    <n v="1.00234E-2"/>
    <m/>
    <x v="0"/>
    <m/>
    <s v="Open Market"/>
    <s v="M"/>
    <s v=""/>
    <m/>
    <m/>
    <m/>
    <m/>
    <m/>
    <n v="0"/>
    <n v="2"/>
    <n v="0"/>
    <n v="2"/>
    <n v="0"/>
    <n v="0"/>
    <n v="0"/>
    <n v="0"/>
    <n v="2"/>
    <n v="0"/>
    <n v="2"/>
    <n v="0"/>
    <n v="0"/>
    <n v="0"/>
    <n v="0"/>
    <n v="0"/>
    <n v="0"/>
    <n v="0"/>
    <n v="0"/>
    <n v="0"/>
    <n v="0"/>
    <n v="0"/>
    <n v="0"/>
    <n v="0"/>
    <n v="0"/>
    <n v="0"/>
    <n v="0"/>
    <n v="0"/>
    <m/>
    <m/>
    <s v="Tooting"/>
    <n v="7"/>
    <m/>
    <m/>
    <n v="1"/>
    <n v="1"/>
    <n v="1"/>
    <n v="1"/>
    <m/>
    <m/>
    <m/>
    <m/>
    <m/>
    <m/>
    <m/>
    <m/>
    <m/>
    <m/>
    <m/>
    <m/>
    <m/>
    <m/>
    <n v="4"/>
    <n v="4"/>
  </r>
  <r>
    <n v="7643"/>
    <x v="2"/>
    <s v="2021/5111"/>
    <s v="Basement and Ground Floors, 200 Battersea Park Road"/>
    <s v=""/>
    <n v="527806"/>
    <n v="176545"/>
    <s v="Battersea Park"/>
    <m/>
    <m/>
    <n v="0"/>
    <n v="1"/>
    <n v="1"/>
    <n v="1"/>
    <n v="1"/>
    <m/>
    <s v="Alterations including installation of rear window and door in connection with change of use from retail (Class E) to 1 x 1-bedroom flat (Class C3)."/>
    <s v="PF"/>
    <d v="2022-01-11T00:00:00"/>
    <d v="2022-02-07T00:00:00"/>
    <m/>
    <s v="Nil"/>
    <m/>
    <s v="BF"/>
    <s v="COU"/>
    <x v="2"/>
    <x v="4"/>
    <n v="2E-3"/>
    <m/>
    <x v="0"/>
    <m/>
    <s v="Open Market"/>
    <s v="M"/>
    <s v=""/>
    <m/>
    <m/>
    <m/>
    <m/>
    <m/>
    <n v="0"/>
    <n v="1"/>
    <n v="0"/>
    <n v="0"/>
    <n v="0"/>
    <n v="0"/>
    <n v="0"/>
    <n v="0"/>
    <n v="1"/>
    <n v="0"/>
    <n v="0"/>
    <n v="0"/>
    <n v="0"/>
    <n v="0"/>
    <n v="0"/>
    <n v="0"/>
    <n v="0"/>
    <n v="0"/>
    <n v="0"/>
    <n v="0"/>
    <n v="0"/>
    <n v="0"/>
    <n v="0"/>
    <n v="0"/>
    <n v="0"/>
    <n v="0"/>
    <n v="0"/>
    <n v="0"/>
    <m/>
    <m/>
    <s v="Rest of Borough"/>
    <n v="15"/>
    <m/>
    <n v="0.25"/>
    <n v="0.25"/>
    <n v="0.25"/>
    <n v="0.25"/>
    <m/>
    <m/>
    <m/>
    <m/>
    <m/>
    <m/>
    <m/>
    <m/>
    <m/>
    <m/>
    <m/>
    <m/>
    <m/>
    <m/>
    <m/>
    <n v="1"/>
    <n v="1"/>
  </r>
  <r>
    <n v="672"/>
    <x v="2"/>
    <s v="2021/5276"/>
    <s v="54 West Hill"/>
    <s v=""/>
    <n v="525011"/>
    <n v="174633"/>
    <s v="East Putney"/>
    <m/>
    <m/>
    <n v="0"/>
    <n v="1"/>
    <n v="1"/>
    <n v="1"/>
    <n v="1"/>
    <m/>
    <s v="Alterations including erection of single storey rear extension in connection with conversion of ground floor rear into 1 x 1-bedroom flat."/>
    <s v="PF"/>
    <d v="2021-12-02T00:00:00"/>
    <d v="2022-02-21T00:00:00"/>
    <m/>
    <s v="Nil"/>
    <m/>
    <s v="BF"/>
    <s v="CON"/>
    <x v="2"/>
    <x v="4"/>
    <n v="5.5999999999999999E-3"/>
    <m/>
    <x v="0"/>
    <m/>
    <s v="Open Market"/>
    <s v="M"/>
    <s v=""/>
    <m/>
    <m/>
    <m/>
    <m/>
    <m/>
    <n v="0"/>
    <n v="1"/>
    <n v="0"/>
    <n v="0"/>
    <n v="0"/>
    <n v="0"/>
    <n v="0"/>
    <n v="0"/>
    <n v="1"/>
    <n v="0"/>
    <n v="0"/>
    <n v="0"/>
    <n v="0"/>
    <n v="0"/>
    <n v="0"/>
    <n v="0"/>
    <n v="0"/>
    <n v="0"/>
    <n v="0"/>
    <n v="0"/>
    <n v="0"/>
    <n v="0"/>
    <n v="0"/>
    <n v="0"/>
    <n v="0"/>
    <n v="0"/>
    <n v="0"/>
    <n v="0"/>
    <m/>
    <m/>
    <s v="Rest of Borough"/>
    <n v="15"/>
    <m/>
    <n v="0.25"/>
    <n v="0.25"/>
    <n v="0.25"/>
    <n v="0.25"/>
    <m/>
    <m/>
    <m/>
    <m/>
    <m/>
    <m/>
    <m/>
    <m/>
    <m/>
    <m/>
    <m/>
    <m/>
    <m/>
    <m/>
    <m/>
    <n v="1"/>
    <n v="1"/>
  </r>
  <r>
    <n v="7739"/>
    <x v="2"/>
    <s v="2021/5292"/>
    <s v="The Lodge, 120 Bolingbroke Grove"/>
    <s v=""/>
    <n v="527166"/>
    <n v="174991"/>
    <s v="Lavender"/>
    <m/>
    <m/>
    <n v="1"/>
    <n v="1"/>
    <n v="0"/>
    <n v="1"/>
    <n v="0"/>
    <m/>
    <s v="Demolition of existing dwellinghouse and erection of two storey (plus basement and roof level accommodation) 4-bedroom dwellinghouse."/>
    <s v="PF"/>
    <d v="2021-11-30T00:00:00"/>
    <d v="2022-07-29T00:00:00"/>
    <m/>
    <s v="Nil"/>
    <m/>
    <s v="BF"/>
    <s v="NB"/>
    <x v="2"/>
    <x v="3"/>
    <n v="1.025E-2"/>
    <m/>
    <x v="0"/>
    <m/>
    <s v="Open Market"/>
    <s v="M"/>
    <s v=""/>
    <m/>
    <m/>
    <m/>
    <m/>
    <m/>
    <n v="0"/>
    <n v="0"/>
    <n v="0"/>
    <n v="0"/>
    <n v="0"/>
    <n v="0"/>
    <n v="0"/>
    <n v="0"/>
    <n v="0"/>
    <n v="0"/>
    <n v="0"/>
    <n v="0"/>
    <n v="0"/>
    <n v="0"/>
    <n v="0"/>
    <n v="0"/>
    <n v="0"/>
    <n v="0"/>
    <n v="0"/>
    <n v="0"/>
    <n v="0"/>
    <n v="0"/>
    <n v="0"/>
    <n v="0"/>
    <n v="0"/>
    <n v="0"/>
    <n v="0"/>
    <n v="0"/>
    <m/>
    <m/>
    <s v="Rest of Borough"/>
    <n v="7"/>
    <m/>
    <m/>
    <n v="0"/>
    <n v="0"/>
    <n v="0"/>
    <n v="0"/>
    <m/>
    <m/>
    <m/>
    <m/>
    <m/>
    <m/>
    <m/>
    <m/>
    <m/>
    <m/>
    <m/>
    <m/>
    <m/>
    <m/>
    <n v="0"/>
    <n v="0"/>
  </r>
  <r>
    <n v="7350"/>
    <x v="2"/>
    <s v="2021/5328"/>
    <s v="Garages at, 143 Byrne Road"/>
    <s v="House 1"/>
    <n v="529158"/>
    <n v="172857"/>
    <s v="South Balham"/>
    <d v="2023-03-01T00:00:00"/>
    <m/>
    <n v="0"/>
    <n v="1"/>
    <n v="1"/>
    <n v="3"/>
    <n v="3"/>
    <m/>
    <s v="[REVISED] Demolition of existing single-storey garage and the erection of a 1 x 3-bedroom two-storey house and 2 x 2-bedroom single-storey properties to rear."/>
    <s v="PF"/>
    <d v="2022-03-25T00:00:00"/>
    <d v="2022-07-29T00:00:00"/>
    <m/>
    <s v="Nil"/>
    <m/>
    <s v="BF"/>
    <s v="NB"/>
    <x v="2"/>
    <x v="3"/>
    <n v="5.7499999999999999E-3"/>
    <m/>
    <x v="0"/>
    <m/>
    <s v="Open Market"/>
    <s v="M"/>
    <s v=""/>
    <m/>
    <m/>
    <m/>
    <m/>
    <m/>
    <n v="0"/>
    <n v="0"/>
    <n v="0"/>
    <n v="1"/>
    <n v="0"/>
    <n v="0"/>
    <n v="0"/>
    <n v="0"/>
    <n v="0"/>
    <n v="0"/>
    <n v="0"/>
    <n v="0"/>
    <n v="0"/>
    <n v="0"/>
    <n v="0"/>
    <n v="0"/>
    <n v="0"/>
    <n v="1"/>
    <n v="0"/>
    <n v="0"/>
    <n v="0"/>
    <n v="0"/>
    <n v="0"/>
    <n v="0"/>
    <n v="0"/>
    <n v="0"/>
    <n v="0"/>
    <n v="0"/>
    <m/>
    <m/>
    <s v="Rest of Borough"/>
    <n v="7"/>
    <m/>
    <m/>
    <n v="0.25"/>
    <n v="0.25"/>
    <n v="0.25"/>
    <n v="0.25"/>
    <m/>
    <m/>
    <m/>
    <m/>
    <m/>
    <m/>
    <m/>
    <m/>
    <m/>
    <m/>
    <m/>
    <m/>
    <m/>
    <m/>
    <n v="1"/>
    <n v="1"/>
  </r>
  <r>
    <n v="7350"/>
    <x v="2"/>
    <s v="2021/5328"/>
    <s v="Garages at, 143 Byrne Road"/>
    <s v="House 2"/>
    <n v="529158"/>
    <n v="172857"/>
    <s v="South Balham"/>
    <d v="2023-03-01T00:00:00"/>
    <m/>
    <n v="0"/>
    <n v="1"/>
    <n v="1"/>
    <n v="3"/>
    <n v="3"/>
    <m/>
    <s v="[REVISED] Demolition of existing single-storey garage and the erection of a 1 x 3-bedroom two-storey house and 2 x 2-bedroom single-storey properties to rear."/>
    <s v="PF"/>
    <d v="2022-03-25T00:00:00"/>
    <d v="2022-07-29T00:00:00"/>
    <m/>
    <s v="Nil"/>
    <m/>
    <s v="BF"/>
    <s v="NB"/>
    <x v="2"/>
    <x v="3"/>
    <n v="8.0000000000000002E-3"/>
    <m/>
    <x v="0"/>
    <m/>
    <s v="Open Market"/>
    <s v="M"/>
    <s v=""/>
    <m/>
    <m/>
    <m/>
    <m/>
    <m/>
    <n v="0"/>
    <n v="0"/>
    <n v="1"/>
    <n v="0"/>
    <n v="0"/>
    <n v="0"/>
    <n v="0"/>
    <n v="0"/>
    <n v="0"/>
    <n v="0"/>
    <n v="0"/>
    <n v="0"/>
    <n v="0"/>
    <n v="0"/>
    <n v="0"/>
    <n v="0"/>
    <n v="1"/>
    <n v="0"/>
    <n v="0"/>
    <n v="0"/>
    <n v="0"/>
    <n v="0"/>
    <n v="0"/>
    <n v="0"/>
    <n v="0"/>
    <n v="0"/>
    <n v="0"/>
    <n v="0"/>
    <m/>
    <m/>
    <s v="Rest of Borough"/>
    <n v="7"/>
    <m/>
    <m/>
    <n v="0.25"/>
    <n v="0.25"/>
    <n v="0.25"/>
    <n v="0.25"/>
    <m/>
    <m/>
    <m/>
    <m/>
    <m/>
    <m/>
    <m/>
    <m/>
    <m/>
    <m/>
    <m/>
    <m/>
    <m/>
    <m/>
    <n v="1"/>
    <n v="1"/>
  </r>
  <r>
    <n v="7350"/>
    <x v="2"/>
    <s v="2021/5328"/>
    <s v="Garages at, 143 Byrne Road"/>
    <s v="House 3"/>
    <n v="529158"/>
    <n v="172857"/>
    <s v="South Balham"/>
    <d v="2023-03-01T00:00:00"/>
    <m/>
    <n v="0"/>
    <n v="1"/>
    <n v="1"/>
    <n v="3"/>
    <n v="3"/>
    <m/>
    <s v="[REVISED] Demolition of existing single-storey garage and the erection of a 1 x 3-bedroom two-storey house and 2 x 2-bedroom single-storey properties to rear."/>
    <s v="PF"/>
    <d v="2022-03-25T00:00:00"/>
    <d v="2022-07-29T00:00:00"/>
    <m/>
    <s v="Nil"/>
    <m/>
    <s v="BF"/>
    <s v="NB"/>
    <x v="2"/>
    <x v="3"/>
    <n v="6.1999999999999998E-3"/>
    <m/>
    <x v="0"/>
    <m/>
    <s v="Open Market"/>
    <s v="M"/>
    <s v=""/>
    <m/>
    <m/>
    <m/>
    <m/>
    <m/>
    <n v="0"/>
    <n v="0"/>
    <n v="1"/>
    <n v="0"/>
    <n v="0"/>
    <n v="0"/>
    <n v="0"/>
    <n v="0"/>
    <n v="0"/>
    <n v="0"/>
    <n v="0"/>
    <n v="0"/>
    <n v="0"/>
    <n v="0"/>
    <n v="0"/>
    <n v="0"/>
    <n v="1"/>
    <n v="0"/>
    <n v="0"/>
    <n v="0"/>
    <n v="0"/>
    <n v="0"/>
    <n v="0"/>
    <n v="0"/>
    <n v="0"/>
    <n v="0"/>
    <n v="0"/>
    <n v="0"/>
    <m/>
    <m/>
    <s v="Rest of Borough"/>
    <n v="7"/>
    <m/>
    <m/>
    <n v="0.25"/>
    <n v="0.25"/>
    <n v="0.25"/>
    <n v="0.25"/>
    <m/>
    <m/>
    <m/>
    <m/>
    <m/>
    <m/>
    <m/>
    <m/>
    <m/>
    <m/>
    <m/>
    <m/>
    <m/>
    <m/>
    <n v="1"/>
    <n v="1"/>
  </r>
  <r>
    <n v="7738"/>
    <x v="2"/>
    <s v="2021/5404"/>
    <s v="The Garden Cottage, Heath Rise"/>
    <s v=""/>
    <n v="524022"/>
    <n v="174394"/>
    <s v="East Putney"/>
    <m/>
    <m/>
    <n v="1"/>
    <n v="1"/>
    <n v="0"/>
    <n v="1"/>
    <n v="0"/>
    <m/>
    <s v="Demolition of existing house and garages and erection of a two-storey 5-bedroom detached house."/>
    <s v="PF"/>
    <d v="2021-11-29T00:00:00"/>
    <d v="2022-04-27T00:00:00"/>
    <m/>
    <s v="Nil"/>
    <m/>
    <s v="BF"/>
    <s v="NB"/>
    <x v="2"/>
    <x v="3"/>
    <n v="1.4E-2"/>
    <m/>
    <x v="0"/>
    <m/>
    <s v="Open Market"/>
    <s v="M"/>
    <s v=""/>
    <m/>
    <m/>
    <m/>
    <m/>
    <m/>
    <n v="0"/>
    <n v="0"/>
    <n v="-1"/>
    <n v="0"/>
    <n v="0"/>
    <n v="1"/>
    <n v="0"/>
    <n v="0"/>
    <n v="0"/>
    <n v="0"/>
    <n v="0"/>
    <n v="0"/>
    <n v="0"/>
    <n v="0"/>
    <n v="0"/>
    <n v="0"/>
    <n v="-1"/>
    <n v="0"/>
    <n v="0"/>
    <n v="1"/>
    <n v="0"/>
    <n v="0"/>
    <n v="0"/>
    <n v="0"/>
    <n v="0"/>
    <n v="0"/>
    <n v="0"/>
    <n v="0"/>
    <m/>
    <m/>
    <s v="Rest of Borough"/>
    <n v="7"/>
    <m/>
    <m/>
    <n v="0"/>
    <n v="0"/>
    <n v="0"/>
    <n v="0"/>
    <m/>
    <m/>
    <m/>
    <m/>
    <m/>
    <m/>
    <m/>
    <m/>
    <m/>
    <m/>
    <m/>
    <m/>
    <m/>
    <m/>
    <n v="0"/>
    <n v="0"/>
  </r>
  <r>
    <n v="2262"/>
    <x v="2"/>
    <s v="2021/5516"/>
    <s v="Garages adjoining Salter House, Ullathorne Road"/>
    <s v=""/>
    <n v="529325"/>
    <n v="171589"/>
    <s v="Furzedown"/>
    <m/>
    <m/>
    <n v="0"/>
    <n v="4"/>
    <n v="4"/>
    <n v="4"/>
    <n v="4"/>
    <m/>
    <s v="Demolition of existing garages and erection of 4 x three storey houses."/>
    <s v="PF"/>
    <d v="2021-12-02T00:00:00"/>
    <d v="2022-06-13T00:00:00"/>
    <m/>
    <s v="Nil"/>
    <m/>
    <s v="BF"/>
    <s v="NB"/>
    <x v="2"/>
    <x v="3"/>
    <n v="1.6E-2"/>
    <m/>
    <x v="0"/>
    <m/>
    <s v="Social/Affordable Rent"/>
    <s v="AS"/>
    <s v=""/>
    <m/>
    <m/>
    <m/>
    <m/>
    <m/>
    <n v="0"/>
    <n v="0"/>
    <n v="0"/>
    <n v="2"/>
    <n v="2"/>
    <n v="0"/>
    <n v="0"/>
    <n v="0"/>
    <n v="0"/>
    <n v="0"/>
    <n v="0"/>
    <n v="0"/>
    <n v="0"/>
    <n v="0"/>
    <n v="0"/>
    <n v="0"/>
    <n v="0"/>
    <n v="2"/>
    <n v="2"/>
    <n v="0"/>
    <n v="0"/>
    <n v="0"/>
    <n v="0"/>
    <n v="0"/>
    <n v="0"/>
    <n v="0"/>
    <n v="0"/>
    <n v="0"/>
    <m/>
    <m/>
    <s v="Rest of Borough"/>
    <n v="7"/>
    <m/>
    <m/>
    <n v="1"/>
    <n v="1"/>
    <n v="1"/>
    <n v="1"/>
    <m/>
    <m/>
    <m/>
    <m/>
    <m/>
    <m/>
    <m/>
    <m/>
    <m/>
    <m/>
    <m/>
    <m/>
    <m/>
    <m/>
    <n v="4"/>
    <n v="4"/>
  </r>
  <r>
    <n v="6198"/>
    <x v="2"/>
    <s v="2021/5704"/>
    <s v="34 Roehampton Gate"/>
    <s v=""/>
    <n v="521202"/>
    <n v="174373"/>
    <s v="Roehampton"/>
    <m/>
    <m/>
    <n v="1"/>
    <n v="1"/>
    <n v="0"/>
    <n v="1"/>
    <n v="0"/>
    <m/>
    <s v="Demolition of existing dwelling and erection of a two-storey house with additional accommodation within the roofspace and at basement level including front and rear lightwells."/>
    <s v="PF"/>
    <d v="2022-02-16T00:00:00"/>
    <d v="2022-04-13T00:00:00"/>
    <m/>
    <s v="Nil"/>
    <m/>
    <s v="BF"/>
    <s v="NB"/>
    <x v="2"/>
    <x v="3"/>
    <n v="1.2E-2"/>
    <m/>
    <x v="0"/>
    <m/>
    <s v="Open Market"/>
    <s v="M"/>
    <s v=""/>
    <m/>
    <m/>
    <m/>
    <m/>
    <m/>
    <n v="0"/>
    <n v="0"/>
    <n v="0"/>
    <n v="0"/>
    <n v="-1"/>
    <n v="1"/>
    <n v="0"/>
    <n v="0"/>
    <n v="0"/>
    <n v="0"/>
    <n v="0"/>
    <n v="0"/>
    <n v="0"/>
    <n v="0"/>
    <n v="0"/>
    <n v="0"/>
    <n v="0"/>
    <n v="0"/>
    <n v="-1"/>
    <n v="1"/>
    <n v="0"/>
    <n v="0"/>
    <n v="0"/>
    <n v="0"/>
    <n v="0"/>
    <n v="0"/>
    <n v="0"/>
    <n v="0"/>
    <m/>
    <m/>
    <s v="Rest of Borough"/>
    <n v="7"/>
    <m/>
    <m/>
    <n v="0"/>
    <n v="0"/>
    <n v="0"/>
    <n v="0"/>
    <m/>
    <m/>
    <m/>
    <m/>
    <m/>
    <m/>
    <m/>
    <m/>
    <m/>
    <m/>
    <m/>
    <m/>
    <m/>
    <m/>
    <n v="0"/>
    <n v="0"/>
  </r>
  <r>
    <n v="6608"/>
    <x v="2"/>
    <s v="2021/5718"/>
    <s v="98 Tooting High Street"/>
    <s v=""/>
    <n v="527334"/>
    <n v="171328"/>
    <s v="Tooting Broadway"/>
    <m/>
    <m/>
    <n v="1"/>
    <n v="2"/>
    <n v="1"/>
    <n v="2"/>
    <n v="1"/>
    <m/>
    <s v="Alterations to include the erection of a part single, part two-storey rear extension to provide a 1 x2-bedroom flat."/>
    <s v="PF"/>
    <d v="2022-01-04T00:00:00"/>
    <d v="2022-03-01T00:00:00"/>
    <m/>
    <s v="Nil"/>
    <m/>
    <s v="BF"/>
    <s v="EXT"/>
    <x v="2"/>
    <x v="7"/>
    <n v="7.8659999999999997E-3"/>
    <m/>
    <x v="0"/>
    <m/>
    <s v="Open Market"/>
    <s v="MR"/>
    <s v=""/>
    <m/>
    <m/>
    <m/>
    <m/>
    <m/>
    <n v="0"/>
    <n v="0"/>
    <n v="1"/>
    <n v="0"/>
    <n v="0"/>
    <n v="0"/>
    <n v="0"/>
    <n v="0"/>
    <n v="0"/>
    <n v="1"/>
    <n v="0"/>
    <n v="0"/>
    <n v="0"/>
    <n v="0"/>
    <n v="0"/>
    <n v="0"/>
    <n v="0"/>
    <n v="0"/>
    <n v="0"/>
    <n v="0"/>
    <n v="0"/>
    <n v="0"/>
    <n v="0"/>
    <n v="0"/>
    <n v="0"/>
    <n v="0"/>
    <n v="0"/>
    <n v="0"/>
    <m/>
    <m/>
    <s v="Tooting"/>
    <n v="15"/>
    <m/>
    <n v="0.25"/>
    <n v="0.25"/>
    <n v="0.25"/>
    <n v="0.25"/>
    <m/>
    <m/>
    <m/>
    <m/>
    <m/>
    <m/>
    <m/>
    <m/>
    <m/>
    <m/>
    <m/>
    <m/>
    <m/>
    <m/>
    <m/>
    <n v="1"/>
    <n v="1"/>
  </r>
  <r>
    <n v="5339"/>
    <x v="2"/>
    <s v="2021/5839"/>
    <s v="103-111 Mitcham Road"/>
    <s v="Block A"/>
    <n v="527711"/>
    <n v="171233"/>
    <s v="Tooting Broadway"/>
    <m/>
    <m/>
    <n v="0"/>
    <n v="15"/>
    <n v="15"/>
    <n v="24"/>
    <n v="24"/>
    <s v="Y"/>
    <s v="Partial demolition of existing buildings and erection of part 3/4 storey building (plus basement) to front and part 2/3 storey buildings to rear; change of use of 2 x existing ancillary rear warehouses from storage (Class E) to residential and ancillary storage (Class C3) in connection with provision of commercial use (Class E) on basement and ground floor and provision of 24 residential units (Class C3) on rear ground floor and above with private and communal amenity spaces. Provision of cycle parking, refuse storage and landscaping."/>
    <s v="PFLA"/>
    <d v="2021-12-24T00:00:00"/>
    <d v="2023-06-27T00:00:00"/>
    <s v="Y"/>
    <s v="Nil"/>
    <m/>
    <s v="BF"/>
    <s v="MIX"/>
    <x v="1"/>
    <x v="0"/>
    <n v="8.8999999999999996E-2"/>
    <m/>
    <x v="0"/>
    <m/>
    <s v="Open Market"/>
    <s v="M"/>
    <s v=""/>
    <m/>
    <m/>
    <n v="13"/>
    <m/>
    <n v="2"/>
    <n v="1"/>
    <n v="5"/>
    <n v="8"/>
    <n v="1"/>
    <n v="0"/>
    <n v="0"/>
    <n v="0"/>
    <n v="1"/>
    <n v="5"/>
    <n v="8"/>
    <n v="1"/>
    <n v="0"/>
    <n v="0"/>
    <n v="0"/>
    <n v="0"/>
    <n v="0"/>
    <n v="0"/>
    <n v="0"/>
    <n v="0"/>
    <n v="0"/>
    <n v="0"/>
    <n v="0"/>
    <n v="0"/>
    <n v="0"/>
    <n v="0"/>
    <n v="0"/>
    <n v="0"/>
    <n v="0"/>
    <s v="Tooting"/>
    <m/>
    <s v="Tooting"/>
    <n v="18"/>
    <m/>
    <n v="3.75"/>
    <n v="3.75"/>
    <n v="3.75"/>
    <n v="3.75"/>
    <m/>
    <m/>
    <m/>
    <m/>
    <m/>
    <m/>
    <m/>
    <m/>
    <m/>
    <m/>
    <m/>
    <m/>
    <m/>
    <m/>
    <m/>
    <n v="15"/>
    <n v="15"/>
  </r>
  <r>
    <n v="5339"/>
    <x v="2"/>
    <s v="2021/5839"/>
    <s v="103-111 Mitcham Road"/>
    <s v="Block B"/>
    <n v="527711"/>
    <n v="171233"/>
    <s v="Tooting Broadway"/>
    <m/>
    <m/>
    <n v="0"/>
    <n v="6"/>
    <n v="6"/>
    <n v="24"/>
    <n v="24"/>
    <s v="Y"/>
    <s v="Partial demolition of existing buildings and erection of part 3/4 storey building (plus basement) to front and part 2/3 storey buildings to rear; change of use of 2 x existing ancillary rear warehouses from storage (Class E) to residential and ancillary storage (Class C3) in connection with provision of commercial use (Class E) on basement and ground floor and provision of 24 residential units (Class C3) on rear ground floor and above with private and communal amenity spaces. Provision of cycle parking, refuse storage and landscaping."/>
    <s v="PFLA"/>
    <d v="2021-12-24T00:00:00"/>
    <d v="2023-06-27T00:00:00"/>
    <s v="Y"/>
    <s v="Nil"/>
    <m/>
    <s v="BF"/>
    <s v="MIX"/>
    <x v="1"/>
    <x v="0"/>
    <n v="3.5000000000000003E-2"/>
    <m/>
    <x v="0"/>
    <m/>
    <s v="Open Market"/>
    <s v="M"/>
    <s v=""/>
    <m/>
    <m/>
    <n v="5"/>
    <m/>
    <n v="1"/>
    <n v="0"/>
    <n v="0"/>
    <n v="4"/>
    <n v="2"/>
    <n v="0"/>
    <n v="0"/>
    <n v="0"/>
    <n v="0"/>
    <n v="0"/>
    <n v="4"/>
    <n v="2"/>
    <n v="0"/>
    <n v="0"/>
    <n v="0"/>
    <n v="0"/>
    <n v="0"/>
    <n v="0"/>
    <n v="0"/>
    <n v="0"/>
    <n v="0"/>
    <n v="0"/>
    <n v="0"/>
    <n v="0"/>
    <n v="0"/>
    <n v="0"/>
    <n v="0"/>
    <n v="0"/>
    <n v="0"/>
    <s v="Tooting"/>
    <m/>
    <s v="Tooting"/>
    <n v="18"/>
    <m/>
    <n v="1.5"/>
    <n v="1.5"/>
    <n v="1.5"/>
    <n v="1.5"/>
    <m/>
    <m/>
    <m/>
    <m/>
    <m/>
    <m/>
    <m/>
    <m/>
    <m/>
    <m/>
    <m/>
    <m/>
    <m/>
    <m/>
    <m/>
    <n v="6"/>
    <n v="6"/>
  </r>
  <r>
    <n v="5339"/>
    <x v="2"/>
    <s v="2021/5839"/>
    <s v="103-111 Mitcham Road"/>
    <s v="Block C"/>
    <n v="527711"/>
    <n v="171233"/>
    <s v="Tooting Broadway"/>
    <m/>
    <m/>
    <n v="0"/>
    <n v="1"/>
    <n v="1"/>
    <n v="24"/>
    <n v="24"/>
    <s v="Y"/>
    <s v="Partial demolition of existing buildings and erection of part 3/4 storey building (plus basement) to front and part 2/3 storey buildings to rear; change of use of 2 x existing ancillary rear warehouses from storage (Class E) to residential and ancillary storage (Class C3) in connection with provision of commercial use (Class E) on basement and ground floor and provision of 24 residential units (Class C3) on rear ground floor and above with private and communal amenity spaces. Provision of cycle parking, refuse storage and landscaping."/>
    <s v="PFLA"/>
    <d v="2021-12-24T00:00:00"/>
    <d v="2023-06-27T00:00:00"/>
    <s v="Y"/>
    <s v="Nil"/>
    <m/>
    <s v="BF"/>
    <s v="MIX"/>
    <x v="1"/>
    <x v="0"/>
    <n v="6.0000000000000001E-3"/>
    <m/>
    <x v="0"/>
    <m/>
    <s v="Open Market"/>
    <s v="M"/>
    <s v=""/>
    <m/>
    <m/>
    <n v="1"/>
    <m/>
    <m/>
    <n v="0"/>
    <n v="0"/>
    <n v="0"/>
    <n v="1"/>
    <n v="0"/>
    <n v="0"/>
    <n v="0"/>
    <n v="0"/>
    <n v="0"/>
    <n v="0"/>
    <n v="1"/>
    <n v="0"/>
    <n v="0"/>
    <n v="0"/>
    <n v="0"/>
    <n v="0"/>
    <n v="0"/>
    <n v="0"/>
    <n v="0"/>
    <n v="0"/>
    <n v="0"/>
    <n v="0"/>
    <n v="0"/>
    <n v="0"/>
    <n v="0"/>
    <n v="0"/>
    <n v="0"/>
    <n v="0"/>
    <s v="Tooting"/>
    <m/>
    <s v="Tooting"/>
    <n v="18"/>
    <m/>
    <n v="0.25"/>
    <n v="0.25"/>
    <n v="0.25"/>
    <n v="0.25"/>
    <m/>
    <m/>
    <m/>
    <m/>
    <m/>
    <m/>
    <m/>
    <m/>
    <m/>
    <m/>
    <m/>
    <m/>
    <m/>
    <m/>
    <m/>
    <n v="1"/>
    <n v="1"/>
  </r>
  <r>
    <n v="5339"/>
    <x v="2"/>
    <s v="2021/5839"/>
    <s v="103-111 Mitcham Road"/>
    <s v="Block D"/>
    <n v="527711"/>
    <n v="171233"/>
    <s v="Tooting Broadway"/>
    <m/>
    <m/>
    <n v="0"/>
    <n v="2"/>
    <n v="2"/>
    <n v="24"/>
    <n v="24"/>
    <s v="Y"/>
    <s v="Partial demolition of existing buildings and erection of part 3/4 storey building (plus basement) to front and part 2/3 storey buildings to rear; change of use of 2 x existing ancillary rear warehouses from storage (Class E) to residential and ancillary storage (Class C3) in connection with provision of commercial use (Class E) on basement and ground floor and provision of 24 residential units (Class C3) on rear ground floor and above with private and communal amenity spaces. Provision of cycle parking, refuse storage and landscaping."/>
    <s v="PFLA"/>
    <d v="2021-12-24T00:00:00"/>
    <d v="2023-06-27T00:00:00"/>
    <s v="Y"/>
    <s v="Nil"/>
    <m/>
    <s v="BF"/>
    <s v="MIX"/>
    <x v="5"/>
    <x v="0"/>
    <n v="1.2E-2"/>
    <m/>
    <x v="0"/>
    <m/>
    <s v="Open Market"/>
    <s v="M"/>
    <s v=""/>
    <m/>
    <m/>
    <n v="2"/>
    <m/>
    <m/>
    <n v="0"/>
    <n v="0"/>
    <n v="2"/>
    <n v="0"/>
    <n v="0"/>
    <n v="0"/>
    <n v="0"/>
    <n v="0"/>
    <n v="0"/>
    <n v="2"/>
    <n v="0"/>
    <n v="0"/>
    <n v="0"/>
    <n v="0"/>
    <n v="0"/>
    <n v="0"/>
    <n v="0"/>
    <n v="0"/>
    <n v="0"/>
    <n v="0"/>
    <n v="0"/>
    <n v="0"/>
    <n v="0"/>
    <n v="0"/>
    <n v="0"/>
    <n v="0"/>
    <n v="0"/>
    <n v="0"/>
    <s v="Tooting"/>
    <m/>
    <s v="Tooting"/>
    <n v="18"/>
    <m/>
    <n v="0.5"/>
    <n v="0.5"/>
    <n v="0.5"/>
    <n v="0.5"/>
    <m/>
    <m/>
    <m/>
    <m/>
    <m/>
    <m/>
    <m/>
    <m/>
    <m/>
    <m/>
    <m/>
    <m/>
    <m/>
    <m/>
    <m/>
    <n v="2"/>
    <n v="2"/>
  </r>
  <r>
    <n v="6117"/>
    <x v="2"/>
    <s v="2022/0151"/>
    <s v="213 Upper Richmond Road"/>
    <s v=""/>
    <n v="523702"/>
    <n v="175127"/>
    <s v="West Putney"/>
    <m/>
    <m/>
    <n v="0"/>
    <n v="1"/>
    <n v="1"/>
    <n v="1"/>
    <n v="1"/>
    <m/>
    <s v="Alterations to separate the first and ground floor to create studio consisting of part of the ground floor and the full first floor."/>
    <s v="PF"/>
    <d v="2022-03-17T00:00:00"/>
    <d v="2022-05-10T00:00:00"/>
    <m/>
    <s v="Nil"/>
    <m/>
    <s v="BF"/>
    <s v="CON"/>
    <x v="2"/>
    <x v="8"/>
    <n v="3.7030000000000001E-3"/>
    <m/>
    <x v="0"/>
    <m/>
    <s v="Open Market"/>
    <s v="M"/>
    <s v=""/>
    <m/>
    <m/>
    <m/>
    <m/>
    <m/>
    <n v="1"/>
    <n v="0"/>
    <n v="0"/>
    <n v="0"/>
    <n v="0"/>
    <n v="0"/>
    <n v="0"/>
    <n v="1"/>
    <n v="0"/>
    <n v="0"/>
    <n v="0"/>
    <n v="0"/>
    <n v="0"/>
    <n v="0"/>
    <n v="0"/>
    <n v="0"/>
    <n v="0"/>
    <n v="0"/>
    <n v="0"/>
    <n v="0"/>
    <n v="0"/>
    <n v="0"/>
    <n v="0"/>
    <n v="0"/>
    <n v="0"/>
    <n v="0"/>
    <n v="0"/>
    <n v="0"/>
    <s v="Putney"/>
    <m/>
    <s v="Putney"/>
    <n v="15"/>
    <m/>
    <n v="0.25"/>
    <n v="0.25"/>
    <n v="0.25"/>
    <n v="0.25"/>
    <m/>
    <m/>
    <m/>
    <m/>
    <m/>
    <m/>
    <m/>
    <m/>
    <m/>
    <m/>
    <m/>
    <m/>
    <m/>
    <m/>
    <m/>
    <n v="1"/>
    <n v="1"/>
  </r>
  <r>
    <n v="3980"/>
    <x v="2"/>
    <s v="2022/0249"/>
    <s v="Former Prices Candles Factory, 110 York Road"/>
    <s v="building 4 - affordable"/>
    <n v="526592"/>
    <n v="175883"/>
    <s v="St Mary's"/>
    <d v="2024-03-31T00:00:00"/>
    <m/>
    <n v="0"/>
    <n v="64"/>
    <n v="64"/>
    <n v="177"/>
    <n v="177"/>
    <s v="Y"/>
    <s v="Variation to Conditions 2 (Approved drawings), Condition 3 (Land use restriction), Condition 5 (Opening hours), Condition 6 (Amplified speech/sound), Condition 10 (Flood Risk Assessment), Condition 23 (BREEAM Assessment), Condition 28 (Number of residential units), Condition 29 (Land Uses), Condition 30 (Car and cycle parking), Condition 31 (Phasing Plans) pursuant to planning permission dated 05/12/2019 ref 2017/0745 as amended [Erection of a 25 storey building comprising residential accommodation (with balconies) and ground floor commercial floorspace. Demolition of car showroom on Bridges Court and erection of a five storey building to provide ground floor commercial and office floorspace on first to fourth floors. Excavation to create basements comprising car and cycle parking spaces, plant, refuse/recycling stores and other ancillary spaces serving the development. Alterations and erection of two additional storeys (and 2nd/3rd floor links) and roof terrace to retained York Road buildings with commercial and office use. Provision of a terrace of six single storey flexible commercial/service/Drinking establishment units. Provision of amenity space, public realm, landscaping, play space, car parking, and paving to Bridges Court] to allow: Changes to internal residential unit mix to allow for an increase from 136 units up to 177 units, alterations to the layout of the top three floors to increase roof terrace size, reduction in size of the approved basement, reduction in approved number of car parking spaces, increase in the number of cycle parking spaces, alterations to commercial offering and the inclusion of Air Source Heat Pumps system."/>
    <s v="S73"/>
    <d v="2022-01-21T00:00:00"/>
    <d v="2022-07-12T00:00:00"/>
    <m/>
    <s v="Nil"/>
    <m/>
    <s v="BF"/>
    <s v="NB"/>
    <x v="1"/>
    <x v="0"/>
    <n v="8.5000000000000006E-2"/>
    <m/>
    <x v="0"/>
    <m/>
    <s v="Intermediate"/>
    <s v="ISL"/>
    <s v="10.2"/>
    <m/>
    <m/>
    <m/>
    <m/>
    <m/>
    <n v="0"/>
    <n v="32"/>
    <n v="32"/>
    <n v="0"/>
    <n v="0"/>
    <n v="0"/>
    <n v="0"/>
    <n v="0"/>
    <n v="32"/>
    <n v="32"/>
    <n v="0"/>
    <n v="0"/>
    <n v="0"/>
    <n v="0"/>
    <n v="0"/>
    <n v="0"/>
    <n v="0"/>
    <n v="0"/>
    <n v="0"/>
    <n v="0"/>
    <n v="0"/>
    <n v="0"/>
    <n v="0"/>
    <n v="0"/>
    <n v="0"/>
    <n v="0"/>
    <n v="0"/>
    <n v="0"/>
    <m/>
    <m/>
    <s v="Clapham Junction and York Road / Winstanley Regeneration Area"/>
    <n v="10"/>
    <m/>
    <m/>
    <m/>
    <m/>
    <n v="21.333333333333332"/>
    <n v="21.333333333333332"/>
    <n v="21.333333333333332"/>
    <m/>
    <m/>
    <m/>
    <m/>
    <m/>
    <m/>
    <m/>
    <m/>
    <m/>
    <m/>
    <m/>
    <m/>
    <m/>
    <n v="42.666666666666664"/>
    <n v="64"/>
  </r>
  <r>
    <n v="3980"/>
    <x v="2"/>
    <s v="2022/0249"/>
    <s v="Former Prices Candles Factory, 110 York Road"/>
    <s v="building 4 - market"/>
    <n v="526592"/>
    <n v="175883"/>
    <s v="St Mary's"/>
    <d v="2024-03-31T00:00:00"/>
    <m/>
    <n v="0"/>
    <n v="113"/>
    <n v="113"/>
    <n v="177"/>
    <n v="177"/>
    <s v="Y"/>
    <s v="Variation to Conditions 2 (Approved drawings), Condition 3 (Land use restriction), Condition 5 (Opening hours), Condition 6 (Amplified speech/sound), Condition 10 (Flood Risk Assessment), Condition 23 (BREEAM Assessment), Condition 28 (Number of residential units), Condition 29 (Land Uses), Condition 30 (Car and cycle parking), Condition 31 (Phasing Plans) pursuant to planning permission dated 05/12/2019 ref 2017/0745 as amended [Erection of a 25 storey building comprising residential accommodation (with balconies) and ground floor commercial floorspace. Demolition of car showroom on Bridges Court and erection of a five storey building to provide ground floor commercial and office floorspace on first to fourth floors. Excavation to create basements comprising car and cycle parking spaces, plant, refuse/recycling stores and other ancillary spaces serving the development. Alterations and erection of two additional storeys (and 2nd/3rd floor links) and roof terrace to retained York Road buildings with commercial and office use. Provision of a terrace of six single storey flexible commercial/service/Drinking establishment units. Provision of amenity space, public realm, landscaping, play space, car parking, and paving to Bridges Court] to allow: Changes to internal residential unit mix to allow for an increase from 136 units up to 177 units, alterations to the layout of the top three floors to increase roof terrace size, reduction in size of the approved basement, reduction in approved number of car parking spaces, increase in the number of cycle parking spaces, alterations to commercial offering and the inclusion of Air Source Heat Pumps system."/>
    <s v="S73"/>
    <d v="2022-01-21T00:00:00"/>
    <d v="2022-07-12T00:00:00"/>
    <m/>
    <s v="Nil"/>
    <m/>
    <s v="BF"/>
    <s v="NB"/>
    <x v="1"/>
    <x v="0"/>
    <n v="0.17299999999999999"/>
    <m/>
    <x v="0"/>
    <m/>
    <s v="Open Market"/>
    <s v="M"/>
    <s v="10.2"/>
    <m/>
    <m/>
    <m/>
    <m/>
    <m/>
    <n v="0"/>
    <n v="50"/>
    <n v="54"/>
    <n v="9"/>
    <n v="0"/>
    <n v="0"/>
    <n v="0"/>
    <n v="0"/>
    <n v="50"/>
    <n v="54"/>
    <n v="9"/>
    <n v="0"/>
    <n v="0"/>
    <n v="0"/>
    <n v="0"/>
    <n v="0"/>
    <n v="0"/>
    <n v="0"/>
    <n v="0"/>
    <n v="0"/>
    <n v="0"/>
    <n v="0"/>
    <n v="0"/>
    <n v="0"/>
    <n v="0"/>
    <n v="0"/>
    <n v="0"/>
    <n v="0"/>
    <m/>
    <m/>
    <s v="Clapham Junction and York Road / Winstanley Regeneration Area"/>
    <n v="10"/>
    <m/>
    <m/>
    <m/>
    <m/>
    <n v="37.666666666666664"/>
    <n v="37.666666666666664"/>
    <n v="37.666666666666664"/>
    <m/>
    <m/>
    <m/>
    <m/>
    <m/>
    <m/>
    <m/>
    <m/>
    <m/>
    <m/>
    <m/>
    <m/>
    <m/>
    <n v="75.333333333333329"/>
    <n v="113"/>
  </r>
  <r>
    <n v="7786"/>
    <x v="2"/>
    <s v="2022/0455"/>
    <s v="170-172 Mitcham Road"/>
    <s v=""/>
    <n v="527853"/>
    <n v="171000"/>
    <s v="Tooting Broadway"/>
    <m/>
    <m/>
    <n v="2"/>
    <n v="7"/>
    <n v="5"/>
    <n v="7"/>
    <n v="5"/>
    <m/>
    <s v="Alterations including change of use of rear ground floor from commercial (Class E) to residential (Class C3) at both properties. Erection of part single, part two, part three-storey side/rear extension at both properties and formation of second floor rear roof terraces. Provision of 2x 1-bedroom flats at ground level and conversion of existing 2x flats on 1st and 2nd floor into 3x 2-bedroom and 1x 1-bedroom studio flats. Erection of a dormer extension to main rear roof slopes with French windows and safety balustrade at both properties to create 1x 1-bedroom flat."/>
    <s v="PF"/>
    <d v="2022-02-21T00:00:00"/>
    <d v="2022-11-24T00:00:00"/>
    <m/>
    <s v="Nil"/>
    <m/>
    <s v="BF"/>
    <s v="MIX"/>
    <x v="2"/>
    <x v="4"/>
    <n v="1.6566669999999999E-2"/>
    <m/>
    <x v="0"/>
    <m/>
    <s v="Open Market"/>
    <s v="MR"/>
    <s v=""/>
    <m/>
    <m/>
    <m/>
    <m/>
    <m/>
    <n v="1"/>
    <n v="3"/>
    <n v="3"/>
    <n v="0"/>
    <n v="-2"/>
    <n v="0"/>
    <n v="0"/>
    <n v="1"/>
    <n v="3"/>
    <n v="3"/>
    <n v="0"/>
    <n v="-2"/>
    <n v="0"/>
    <n v="0"/>
    <n v="0"/>
    <n v="0"/>
    <n v="0"/>
    <n v="0"/>
    <n v="0"/>
    <n v="0"/>
    <n v="0"/>
    <n v="0"/>
    <n v="0"/>
    <n v="0"/>
    <n v="0"/>
    <n v="0"/>
    <n v="0"/>
    <n v="0"/>
    <m/>
    <m/>
    <s v="Tooting"/>
    <n v="18"/>
    <m/>
    <n v="1.25"/>
    <n v="1.25"/>
    <n v="1.25"/>
    <n v="1.25"/>
    <m/>
    <m/>
    <m/>
    <m/>
    <m/>
    <m/>
    <m/>
    <m/>
    <m/>
    <m/>
    <m/>
    <m/>
    <m/>
    <m/>
    <m/>
    <n v="5"/>
    <n v="5"/>
  </r>
  <r>
    <n v="7765"/>
    <x v="2"/>
    <s v="2022/0480"/>
    <s v="423 Upper Richmond Road"/>
    <s v=""/>
    <n v="522152"/>
    <n v="175463"/>
    <s v="Roehampton"/>
    <m/>
    <m/>
    <n v="0"/>
    <n v="1"/>
    <n v="1"/>
    <n v="1"/>
    <n v="1"/>
    <m/>
    <s v="Use as a single dwelling house (Class C3) including alteratuions to fenestration."/>
    <s v="PFLA"/>
    <d v="2022-02-23T00:00:00"/>
    <d v="2022-11-29T00:00:00"/>
    <m/>
    <s v="Nil"/>
    <m/>
    <s v="BF"/>
    <s v="CON"/>
    <x v="2"/>
    <x v="11"/>
    <n v="7.6400000000000001E-3"/>
    <m/>
    <x v="0"/>
    <m/>
    <s v="Open Market"/>
    <s v="M"/>
    <s v=""/>
    <m/>
    <m/>
    <m/>
    <m/>
    <m/>
    <n v="0"/>
    <n v="0"/>
    <n v="0"/>
    <n v="0"/>
    <n v="0"/>
    <n v="1"/>
    <n v="0"/>
    <n v="0"/>
    <n v="0"/>
    <n v="0"/>
    <n v="0"/>
    <n v="0"/>
    <n v="0"/>
    <n v="0"/>
    <n v="0"/>
    <n v="0"/>
    <n v="0"/>
    <n v="0"/>
    <n v="0"/>
    <n v="1"/>
    <n v="0"/>
    <n v="0"/>
    <n v="0"/>
    <n v="0"/>
    <n v="0"/>
    <n v="0"/>
    <n v="0"/>
    <n v="0"/>
    <m/>
    <m/>
    <s v="Rest of Borough"/>
    <n v="15"/>
    <m/>
    <n v="0.25"/>
    <n v="0.25"/>
    <n v="0.25"/>
    <n v="0.25"/>
    <m/>
    <m/>
    <m/>
    <m/>
    <m/>
    <m/>
    <m/>
    <m/>
    <m/>
    <m/>
    <m/>
    <m/>
    <m/>
    <m/>
    <m/>
    <n v="1"/>
    <n v="1"/>
  </r>
  <r>
    <n v="7766"/>
    <x v="2"/>
    <s v="2022/0494"/>
    <s v="421 Upper Richmond Road"/>
    <s v=""/>
    <n v="522160"/>
    <n v="175461"/>
    <s v="Roehampton"/>
    <m/>
    <m/>
    <n v="0"/>
    <n v="1"/>
    <n v="1"/>
    <n v="1"/>
    <n v="1"/>
    <m/>
    <s v="Use of property as a single dwelling (Class C3)."/>
    <s v="PFLA"/>
    <d v="2022-02-23T00:00:00"/>
    <d v="2022-11-29T00:00:00"/>
    <m/>
    <s v="Nil"/>
    <m/>
    <s v="BF"/>
    <s v="CON"/>
    <x v="2"/>
    <x v="11"/>
    <n v="8.0000000000000002E-3"/>
    <m/>
    <x v="0"/>
    <m/>
    <s v="Open Market"/>
    <s v="M"/>
    <s v=""/>
    <m/>
    <m/>
    <m/>
    <m/>
    <m/>
    <n v="0"/>
    <n v="0"/>
    <n v="0"/>
    <n v="0"/>
    <n v="0"/>
    <n v="1"/>
    <n v="0"/>
    <n v="0"/>
    <n v="0"/>
    <n v="0"/>
    <n v="0"/>
    <n v="0"/>
    <n v="0"/>
    <n v="0"/>
    <n v="0"/>
    <n v="0"/>
    <n v="0"/>
    <n v="0"/>
    <n v="0"/>
    <n v="1"/>
    <n v="0"/>
    <n v="0"/>
    <n v="0"/>
    <n v="0"/>
    <n v="0"/>
    <n v="0"/>
    <n v="0"/>
    <n v="0"/>
    <m/>
    <m/>
    <s v="Rest of Borough"/>
    <n v="15"/>
    <m/>
    <n v="0.25"/>
    <n v="0.25"/>
    <n v="0.25"/>
    <n v="0.25"/>
    <m/>
    <m/>
    <m/>
    <m/>
    <m/>
    <m/>
    <m/>
    <m/>
    <m/>
    <m/>
    <m/>
    <m/>
    <m/>
    <m/>
    <m/>
    <n v="1"/>
    <n v="1"/>
  </r>
  <r>
    <n v="4419"/>
    <x v="2"/>
    <s v="2022/0600"/>
    <s v="214 Upper Richmond Road"/>
    <s v=""/>
    <n v="523893"/>
    <n v="175089"/>
    <s v="West Putney"/>
    <m/>
    <m/>
    <n v="0"/>
    <n v="15"/>
    <n v="15"/>
    <n v="15"/>
    <n v="15"/>
    <s v="Y"/>
    <s v="Alterations including associated external alterations to the rear of the building to install new fenestration on the first to fourth floors, the provision cycle and waste storage facilities and installation of 30 PV panels on the roof in connection with change of use from hotel (Class C1) to residential (Class C3) to provide 9 x 1-bed and 6 x 2-bed flats."/>
    <s v="PFLA"/>
    <d v="2022-03-01T00:00:00"/>
    <d v="2023-01-18T00:00:00"/>
    <m/>
    <s v="Nil"/>
    <m/>
    <s v="BF"/>
    <s v="CON"/>
    <x v="0"/>
    <x v="0"/>
    <n v="1.8259999999999998E-2"/>
    <m/>
    <x v="0"/>
    <m/>
    <s v="Open Market"/>
    <s v="M"/>
    <s v=""/>
    <m/>
    <m/>
    <m/>
    <m/>
    <m/>
    <n v="0"/>
    <n v="9"/>
    <n v="6"/>
    <n v="0"/>
    <n v="0"/>
    <n v="0"/>
    <n v="0"/>
    <n v="0"/>
    <n v="9"/>
    <n v="6"/>
    <n v="0"/>
    <n v="0"/>
    <n v="0"/>
    <n v="0"/>
    <n v="0"/>
    <n v="0"/>
    <n v="0"/>
    <n v="0"/>
    <n v="0"/>
    <n v="0"/>
    <n v="0"/>
    <n v="0"/>
    <n v="0"/>
    <n v="0"/>
    <n v="0"/>
    <n v="0"/>
    <n v="0"/>
    <n v="0"/>
    <s v="Putney"/>
    <m/>
    <s v="Putney"/>
    <n v="18"/>
    <m/>
    <n v="3.75"/>
    <n v="3.75"/>
    <n v="3.75"/>
    <n v="3.75"/>
    <m/>
    <m/>
    <m/>
    <m/>
    <m/>
    <m/>
    <m/>
    <m/>
    <m/>
    <m/>
    <m/>
    <m/>
    <m/>
    <m/>
    <m/>
    <n v="15"/>
    <n v="15"/>
  </r>
  <r>
    <n v="7528"/>
    <x v="2"/>
    <s v="2022/0643"/>
    <s v="Basement and Ground Floor, 176 Battersea Park Road"/>
    <s v=""/>
    <n v="527858"/>
    <n v="176582"/>
    <s v="Battersea Park"/>
    <m/>
    <m/>
    <n v="0"/>
    <n v="1"/>
    <n v="1"/>
    <n v="1"/>
    <n v="1"/>
    <m/>
    <s v="Alterations including erection of single-storey rear extension and excavations to enlarge existing basement to facilitate the formation of 1 x 2-bedroom flat with cycle and refuse storage. Part change of use of retail unit (Class E)  to residenrtial (Class C3)."/>
    <s v="PF"/>
    <d v="2022-03-01T00:00:00"/>
    <d v="2022-08-19T00:00:00"/>
    <m/>
    <s v="Nil"/>
    <m/>
    <s v="BF"/>
    <s v="CON"/>
    <x v="2"/>
    <x v="4"/>
    <n v="5.0000000000000001E-3"/>
    <m/>
    <x v="0"/>
    <m/>
    <s v="Open Market"/>
    <s v="MR"/>
    <s v=""/>
    <m/>
    <m/>
    <m/>
    <m/>
    <m/>
    <n v="0"/>
    <n v="0"/>
    <n v="1"/>
    <n v="0"/>
    <n v="0"/>
    <n v="0"/>
    <n v="0"/>
    <n v="0"/>
    <n v="0"/>
    <n v="1"/>
    <n v="0"/>
    <n v="0"/>
    <n v="0"/>
    <n v="0"/>
    <n v="0"/>
    <n v="0"/>
    <n v="0"/>
    <n v="0"/>
    <n v="0"/>
    <n v="0"/>
    <n v="0"/>
    <n v="0"/>
    <n v="0"/>
    <n v="0"/>
    <n v="0"/>
    <n v="0"/>
    <n v="0"/>
    <n v="0"/>
    <m/>
    <m/>
    <s v="Rest of Borough"/>
    <n v="15"/>
    <m/>
    <n v="0.25"/>
    <n v="0.25"/>
    <n v="0.25"/>
    <n v="0.25"/>
    <m/>
    <m/>
    <m/>
    <m/>
    <m/>
    <m/>
    <m/>
    <m/>
    <m/>
    <m/>
    <m/>
    <m/>
    <m/>
    <m/>
    <m/>
    <n v="1"/>
    <n v="1"/>
  </r>
  <r>
    <n v="4243"/>
    <x v="2"/>
    <s v="2022/0664"/>
    <s v="1081 Garratt Lane"/>
    <s v=""/>
    <n v="527437"/>
    <n v="171526"/>
    <s v="Tooting Broadway"/>
    <m/>
    <m/>
    <n v="0"/>
    <n v="1"/>
    <n v="1"/>
    <n v="1"/>
    <n v="1"/>
    <m/>
    <s v="Alterations to include, installation of a replacement window to front elevation and  change of use of rear part of ground floor from  (Class Sui Generis) into a 1 x 1 bedroom flat. (Class C3)"/>
    <s v="PF"/>
    <d v="2022-03-02T00:00:00"/>
    <d v="2022-04-27T00:00:00"/>
    <m/>
    <s v="Nil"/>
    <m/>
    <s v="BF"/>
    <s v="CON"/>
    <x v="2"/>
    <x v="6"/>
    <n v="5.0000000000000001E-3"/>
    <m/>
    <x v="0"/>
    <m/>
    <s v="Open Market"/>
    <s v="M"/>
    <s v=""/>
    <m/>
    <m/>
    <m/>
    <m/>
    <m/>
    <n v="0"/>
    <n v="1"/>
    <n v="0"/>
    <n v="0"/>
    <n v="0"/>
    <n v="0"/>
    <n v="0"/>
    <n v="0"/>
    <n v="1"/>
    <n v="0"/>
    <n v="0"/>
    <n v="0"/>
    <n v="0"/>
    <n v="0"/>
    <n v="0"/>
    <n v="0"/>
    <n v="0"/>
    <n v="0"/>
    <n v="0"/>
    <n v="0"/>
    <n v="0"/>
    <n v="0"/>
    <n v="0"/>
    <n v="0"/>
    <n v="0"/>
    <n v="0"/>
    <n v="0"/>
    <n v="0"/>
    <s v="Tooting"/>
    <m/>
    <s v="Tooting"/>
    <n v="15"/>
    <m/>
    <n v="0.25"/>
    <n v="0.25"/>
    <n v="0.25"/>
    <n v="0.25"/>
    <m/>
    <m/>
    <m/>
    <m/>
    <m/>
    <m/>
    <m/>
    <m/>
    <m/>
    <m/>
    <m/>
    <m/>
    <m/>
    <m/>
    <m/>
    <n v="1"/>
    <n v="1"/>
  </r>
  <r>
    <n v="7417"/>
    <x v="2"/>
    <s v="2022/0729"/>
    <s v="24 Ringford Road"/>
    <s v=""/>
    <n v="524964"/>
    <n v="174475"/>
    <s v="East Putney"/>
    <m/>
    <m/>
    <n v="0"/>
    <n v="1"/>
    <n v="1"/>
    <n v="1"/>
    <n v="1"/>
    <m/>
    <s v="Alterations including erection of roof extension and single storey side extension to garage in connection with use as 1 x 1-bedroom dwelling house with front roof terrace and access from Sedleigh Road."/>
    <s v="PF"/>
    <d v="2022-04-29T00:00:00"/>
    <d v="2022-06-21T00:00:00"/>
    <m/>
    <s v="Nil"/>
    <m/>
    <s v="Gdn"/>
    <s v="EXT"/>
    <x v="2"/>
    <x v="7"/>
    <n v="2E-3"/>
    <m/>
    <x v="0"/>
    <m/>
    <s v="Open Market"/>
    <s v="M"/>
    <s v=""/>
    <m/>
    <m/>
    <m/>
    <m/>
    <m/>
    <n v="0"/>
    <n v="1"/>
    <n v="0"/>
    <n v="0"/>
    <n v="0"/>
    <n v="0"/>
    <n v="0"/>
    <n v="0"/>
    <n v="0"/>
    <n v="0"/>
    <n v="0"/>
    <n v="0"/>
    <n v="0"/>
    <n v="0"/>
    <n v="0"/>
    <n v="1"/>
    <n v="0"/>
    <n v="0"/>
    <n v="0"/>
    <n v="0"/>
    <n v="0"/>
    <n v="0"/>
    <n v="0"/>
    <n v="0"/>
    <n v="0"/>
    <n v="0"/>
    <n v="0"/>
    <n v="0"/>
    <m/>
    <m/>
    <s v="Rest of Borough"/>
    <n v="15"/>
    <m/>
    <n v="0.25"/>
    <n v="0.25"/>
    <n v="0.25"/>
    <n v="0.25"/>
    <m/>
    <m/>
    <m/>
    <m/>
    <m/>
    <m/>
    <m/>
    <m/>
    <m/>
    <m/>
    <m/>
    <m/>
    <m/>
    <m/>
    <m/>
    <n v="1"/>
    <n v="1"/>
  </r>
  <r>
    <n v="7791"/>
    <x v="2"/>
    <s v="2022/0749"/>
    <s v="37 Garratt Terrace"/>
    <s v=""/>
    <n v="527303"/>
    <n v="171501"/>
    <s v="Tooting Broadway"/>
    <m/>
    <m/>
    <n v="1"/>
    <n v="4"/>
    <n v="3"/>
    <n v="4"/>
    <n v="3"/>
    <m/>
    <s v="Alterations including erection of a mansard roof extension to main rear roof (with French doors and safety railings) including raising ridge by 300mm and extension above the two storey back addition; Erection of single storey rear/side extension; Formation of second floor rear roof terrace with 1.7m screen surround;, in connection with creation of 1 x 3-bedroom, 1 x 2-bedroom and 1 x 1-bedroom and 1 x studio flats, with associated refuse storage to front garden and associate internal cycle storage."/>
    <s v="PF"/>
    <d v="2022-02-22T00:00:00"/>
    <d v="2022-06-09T00:00:00"/>
    <m/>
    <s v="Nil"/>
    <m/>
    <s v="BF"/>
    <s v="MIX"/>
    <x v="2"/>
    <x v="10"/>
    <n v="6.0000000000000001E-3"/>
    <m/>
    <x v="0"/>
    <m/>
    <s v="Open Market"/>
    <s v="M"/>
    <s v=""/>
    <m/>
    <m/>
    <m/>
    <m/>
    <m/>
    <n v="1"/>
    <n v="1"/>
    <n v="1"/>
    <n v="1"/>
    <n v="0"/>
    <n v="-1"/>
    <n v="0"/>
    <n v="1"/>
    <n v="1"/>
    <n v="1"/>
    <n v="1"/>
    <n v="0"/>
    <n v="0"/>
    <n v="0"/>
    <n v="0"/>
    <n v="0"/>
    <n v="0"/>
    <n v="0"/>
    <n v="0"/>
    <n v="-1"/>
    <n v="0"/>
    <n v="0"/>
    <n v="0"/>
    <n v="0"/>
    <n v="0"/>
    <n v="0"/>
    <n v="0"/>
    <n v="0"/>
    <m/>
    <m/>
    <s v="Tooting"/>
    <n v="15"/>
    <m/>
    <n v="0.75"/>
    <n v="0.75"/>
    <n v="0.75"/>
    <n v="0.75"/>
    <m/>
    <m/>
    <m/>
    <m/>
    <m/>
    <m/>
    <m/>
    <m/>
    <m/>
    <m/>
    <m/>
    <m/>
    <m/>
    <m/>
    <m/>
    <n v="3"/>
    <n v="3"/>
  </r>
  <r>
    <n v="3716"/>
    <x v="2"/>
    <s v="2022/0854"/>
    <s v="211 Garratt Lane"/>
    <s v=""/>
    <n v="525905"/>
    <n v="173871"/>
    <s v="Wandle"/>
    <m/>
    <m/>
    <n v="1"/>
    <n v="3"/>
    <n v="2"/>
    <n v="3"/>
    <n v="2"/>
    <m/>
    <s v="Erection of a mansard roof extension to main rear roof slope and extension above part of two-storey rear addition with the formation of a roof terrace with glazed 1.7m screen surround in connection with the conversion of the upper floors into 2 x 1-bedroom flats and one studio flat."/>
    <s v="PF"/>
    <d v="2022-04-29T00:00:00"/>
    <d v="2022-07-13T00:00:00"/>
    <m/>
    <s v="Nil"/>
    <m/>
    <s v="BF"/>
    <s v="MIX"/>
    <x v="2"/>
    <x v="5"/>
    <n v="5.0000000000000001E-3"/>
    <m/>
    <x v="0"/>
    <m/>
    <s v="Open Market"/>
    <s v="M"/>
    <s v=""/>
    <m/>
    <m/>
    <m/>
    <m/>
    <m/>
    <n v="1"/>
    <n v="2"/>
    <n v="0"/>
    <n v="-1"/>
    <n v="0"/>
    <n v="0"/>
    <n v="0"/>
    <n v="1"/>
    <n v="2"/>
    <n v="0"/>
    <n v="-1"/>
    <n v="0"/>
    <n v="0"/>
    <n v="0"/>
    <n v="0"/>
    <n v="0"/>
    <n v="0"/>
    <n v="0"/>
    <n v="0"/>
    <n v="0"/>
    <n v="0"/>
    <n v="0"/>
    <n v="0"/>
    <n v="0"/>
    <n v="0"/>
    <n v="0"/>
    <n v="0"/>
    <n v="0"/>
    <m/>
    <m/>
    <s v="Wandle Valley"/>
    <n v="15"/>
    <m/>
    <n v="0.5"/>
    <n v="0.5"/>
    <n v="0.5"/>
    <n v="0.5"/>
    <m/>
    <m/>
    <m/>
    <m/>
    <m/>
    <m/>
    <m/>
    <m/>
    <m/>
    <m/>
    <m/>
    <m/>
    <m/>
    <m/>
    <m/>
    <n v="2"/>
    <n v="2"/>
  </r>
  <r>
    <n v="2102"/>
    <x v="2"/>
    <s v="2022/0920"/>
    <s v="Chivelston, 78 Wimbledon Park Side"/>
    <s v=""/>
    <n v="523637"/>
    <n v="173150"/>
    <s v="West Hill"/>
    <m/>
    <m/>
    <n v="0"/>
    <n v="6"/>
    <n v="6"/>
    <n v="6"/>
    <n v="6"/>
    <m/>
    <s v="Alterations including the erection of an additional floor of accommodation containing 6 flats (2 x 3-bedroom and 4 x 2-bedroom)."/>
    <s v="PF"/>
    <d v="2022-03-11T00:00:00"/>
    <d v="2022-10-07T00:00:00"/>
    <m/>
    <s v="Nil"/>
    <m/>
    <s v="BF"/>
    <s v="EXT"/>
    <x v="2"/>
    <x v="7"/>
    <n v="4.6300000000000001E-2"/>
    <m/>
    <x v="0"/>
    <m/>
    <s v="Open Market"/>
    <s v="M"/>
    <s v=""/>
    <m/>
    <m/>
    <m/>
    <m/>
    <m/>
    <n v="0"/>
    <n v="0"/>
    <n v="4"/>
    <n v="2"/>
    <n v="0"/>
    <n v="0"/>
    <n v="0"/>
    <n v="0"/>
    <n v="0"/>
    <n v="4"/>
    <n v="2"/>
    <n v="0"/>
    <n v="0"/>
    <n v="0"/>
    <n v="0"/>
    <n v="0"/>
    <n v="0"/>
    <n v="0"/>
    <n v="0"/>
    <n v="0"/>
    <n v="0"/>
    <n v="0"/>
    <n v="0"/>
    <n v="0"/>
    <n v="0"/>
    <n v="0"/>
    <n v="0"/>
    <n v="0"/>
    <m/>
    <m/>
    <s v="Rest of Borough"/>
    <n v="18"/>
    <m/>
    <n v="1.5"/>
    <n v="1.5"/>
    <n v="1.5"/>
    <n v="1.5"/>
    <m/>
    <m/>
    <m/>
    <m/>
    <m/>
    <m/>
    <m/>
    <m/>
    <m/>
    <m/>
    <m/>
    <m/>
    <m/>
    <m/>
    <m/>
    <n v="6"/>
    <n v="6"/>
  </r>
  <r>
    <n v="6221"/>
    <x v="2"/>
    <s v="2022/1088"/>
    <s v="67-85 Aslett Street"/>
    <s v=""/>
    <n v="526099"/>
    <n v="173957"/>
    <s v="Wandle"/>
    <m/>
    <m/>
    <n v="0"/>
    <n v="7"/>
    <n v="7"/>
    <n v="7"/>
    <n v="7"/>
    <m/>
    <s v="Erection of front and rear roof extensions with terrace to rear to 67 - 85 Aslett Street, in connection with the creation of 7 additional 2-bedroom units. Other alterations to include relocation of existing rear windows at first floor level; installation of new entrance door and timber pedestrian gate at ground floor level and replacement of existing metal gates to electronic gates to match existing) and amendment to the rear obscure glass balustrade from 1.1m to 1.7 m in height (same description as application ref: 2016/1393 and application ref: 2019/2479)."/>
    <s v="PF"/>
    <d v="2022-03-22T00:00:00"/>
    <d v="2023-01-24T00:00:00"/>
    <m/>
    <s v="Nil"/>
    <m/>
    <s v="BF"/>
    <s v="MIX"/>
    <x v="2"/>
    <x v="7"/>
    <n v="0"/>
    <m/>
    <x v="0"/>
    <m/>
    <s v="Open Market"/>
    <s v="M"/>
    <s v=""/>
    <m/>
    <m/>
    <m/>
    <m/>
    <m/>
    <n v="0"/>
    <n v="0"/>
    <n v="7"/>
    <n v="0"/>
    <n v="0"/>
    <n v="0"/>
    <n v="0"/>
    <n v="0"/>
    <n v="0"/>
    <n v="7"/>
    <n v="0"/>
    <n v="0"/>
    <n v="0"/>
    <n v="0"/>
    <n v="0"/>
    <n v="0"/>
    <n v="0"/>
    <n v="0"/>
    <n v="0"/>
    <n v="0"/>
    <n v="0"/>
    <n v="0"/>
    <n v="0"/>
    <n v="0"/>
    <n v="0"/>
    <n v="0"/>
    <n v="0"/>
    <n v="0"/>
    <m/>
    <m/>
    <s v="Rest of Borough"/>
    <n v="18"/>
    <m/>
    <n v="1.75"/>
    <n v="1.75"/>
    <n v="1.75"/>
    <n v="1.75"/>
    <m/>
    <m/>
    <m/>
    <m/>
    <m/>
    <m/>
    <m/>
    <m/>
    <m/>
    <m/>
    <m/>
    <m/>
    <m/>
    <m/>
    <m/>
    <n v="7"/>
    <n v="7"/>
  </r>
  <r>
    <n v="7814"/>
    <x v="2"/>
    <s v="2022/1091"/>
    <s v="10 to 12 Balham Hill"/>
    <s v=""/>
    <n v="528774"/>
    <n v="174113"/>
    <s v="Balham"/>
    <m/>
    <m/>
    <n v="0"/>
    <n v="1"/>
    <n v="1"/>
    <n v="1"/>
    <n v="1"/>
    <m/>
    <s v="Alterations including addition of front windows and screening to roof and change of use of part 3rd and part 4th storey of building from equipment rooms to 1-bedroom flat with roof terrace."/>
    <s v="RP"/>
    <d v="2022-04-06T00:00:00"/>
    <d v="2022-06-01T00:00:00"/>
    <s v="Y"/>
    <s v="APG"/>
    <d v="2023-07-20T00:00:00"/>
    <s v="BF"/>
    <s v="CON"/>
    <x v="2"/>
    <x v="8"/>
    <n v="3.0000000000000001E-3"/>
    <m/>
    <x v="0"/>
    <m/>
    <s v="Open Market"/>
    <s v="M"/>
    <s v=""/>
    <m/>
    <m/>
    <m/>
    <m/>
    <m/>
    <n v="0"/>
    <n v="1"/>
    <n v="0"/>
    <n v="0"/>
    <n v="0"/>
    <n v="0"/>
    <n v="0"/>
    <n v="0"/>
    <n v="1"/>
    <n v="0"/>
    <n v="0"/>
    <n v="0"/>
    <n v="0"/>
    <n v="0"/>
    <n v="0"/>
    <n v="0"/>
    <n v="0"/>
    <n v="0"/>
    <n v="0"/>
    <n v="0"/>
    <n v="0"/>
    <n v="0"/>
    <n v="0"/>
    <n v="0"/>
    <n v="0"/>
    <n v="0"/>
    <n v="0"/>
    <n v="0"/>
    <m/>
    <m/>
    <s v="Rest of Borough"/>
    <n v="15"/>
    <m/>
    <n v="0.25"/>
    <n v="0.25"/>
    <n v="0.25"/>
    <n v="0.25"/>
    <m/>
    <m/>
    <m/>
    <m/>
    <m/>
    <m/>
    <m/>
    <m/>
    <m/>
    <m/>
    <m/>
    <m/>
    <m/>
    <m/>
    <m/>
    <n v="1"/>
    <n v="1"/>
  </r>
  <r>
    <n v="7818"/>
    <x v="2"/>
    <s v="2022/1177"/>
    <s v="27 Wakehurst Road"/>
    <s v=""/>
    <n v="527417"/>
    <n v="174682"/>
    <s v="Northcote"/>
    <m/>
    <m/>
    <n v="1"/>
    <n v="1"/>
    <n v="0"/>
    <n v="1"/>
    <n v="0"/>
    <m/>
    <s v="Part demolition of existing dwelling and erection of replacement two-storey (plus roof and basement) 4-bedroom dwelling house."/>
    <s v="PF"/>
    <d v="2022-03-21T00:00:00"/>
    <d v="2022-05-27T00:00:00"/>
    <m/>
    <s v="Nil"/>
    <m/>
    <s v="BF"/>
    <s v="NB"/>
    <x v="2"/>
    <x v="3"/>
    <n v="1.4E-2"/>
    <m/>
    <x v="0"/>
    <m/>
    <s v="Open Market"/>
    <s v="M"/>
    <s v=""/>
    <m/>
    <m/>
    <m/>
    <m/>
    <m/>
    <n v="0"/>
    <n v="0"/>
    <n v="0"/>
    <n v="-1"/>
    <n v="1"/>
    <n v="0"/>
    <n v="0"/>
    <n v="0"/>
    <n v="0"/>
    <n v="0"/>
    <n v="0"/>
    <n v="0"/>
    <n v="0"/>
    <n v="0"/>
    <n v="0"/>
    <n v="0"/>
    <n v="0"/>
    <n v="-1"/>
    <n v="1"/>
    <n v="0"/>
    <n v="0"/>
    <n v="0"/>
    <n v="0"/>
    <n v="0"/>
    <n v="0"/>
    <n v="0"/>
    <n v="0"/>
    <n v="0"/>
    <m/>
    <m/>
    <s v="Clapham Junction and York Road / Winstanley Regeneration Area"/>
    <n v="7"/>
    <m/>
    <m/>
    <n v="0"/>
    <n v="0"/>
    <n v="0"/>
    <n v="0"/>
    <m/>
    <m/>
    <m/>
    <m/>
    <m/>
    <m/>
    <m/>
    <m/>
    <m/>
    <m/>
    <m/>
    <m/>
    <m/>
    <m/>
    <n v="0"/>
    <n v="0"/>
  </r>
  <r>
    <n v="7729"/>
    <x v="2"/>
    <s v="2022/1190"/>
    <s v="31 Bellevue Road"/>
    <s v=""/>
    <n v="527446"/>
    <n v="173267"/>
    <s v="Trinity"/>
    <m/>
    <m/>
    <n v="0"/>
    <n v="2"/>
    <n v="2"/>
    <n v="2"/>
    <n v="2"/>
    <m/>
    <s v="Change of use of first floor from Artist Studio (Class E) to residential (Class C3). Erection of one additional storey of accommodation above first floor, formation of first and second floors lightwells and roof terraces with screening in connection with provision of 1 x 1 bedroom and 1 x 2-bedroom flats."/>
    <s v="PF"/>
    <d v="2022-03-21T00:00:00"/>
    <d v="2022-08-24T00:00:00"/>
    <m/>
    <s v="Nil"/>
    <m/>
    <s v="BF"/>
    <s v="EXT"/>
    <x v="2"/>
    <x v="6"/>
    <n v="6.3E-3"/>
    <m/>
    <x v="0"/>
    <m/>
    <s v="Open Market"/>
    <s v="M"/>
    <s v=""/>
    <m/>
    <m/>
    <m/>
    <m/>
    <m/>
    <n v="0"/>
    <n v="1"/>
    <n v="1"/>
    <n v="0"/>
    <n v="0"/>
    <n v="0"/>
    <n v="0"/>
    <n v="0"/>
    <n v="1"/>
    <n v="1"/>
    <n v="0"/>
    <n v="0"/>
    <n v="0"/>
    <n v="0"/>
    <n v="0"/>
    <n v="0"/>
    <n v="0"/>
    <n v="0"/>
    <n v="0"/>
    <n v="0"/>
    <n v="0"/>
    <n v="0"/>
    <n v="0"/>
    <n v="0"/>
    <n v="0"/>
    <n v="0"/>
    <n v="0"/>
    <n v="0"/>
    <m/>
    <m/>
    <s v="Rest of Borough"/>
    <n v="15"/>
    <m/>
    <n v="0.5"/>
    <n v="0.5"/>
    <n v="0.5"/>
    <n v="0.5"/>
    <m/>
    <m/>
    <m/>
    <m/>
    <m/>
    <m/>
    <m/>
    <m/>
    <m/>
    <m/>
    <m/>
    <m/>
    <m/>
    <m/>
    <m/>
    <n v="2"/>
    <n v="2"/>
  </r>
  <r>
    <n v="4565"/>
    <x v="2"/>
    <s v="2022/1322"/>
    <s v="131 Penwith Road"/>
    <s v=""/>
    <n v="525828"/>
    <n v="173035"/>
    <s v="Southfields"/>
    <m/>
    <m/>
    <n v="1"/>
    <n v="3"/>
    <n v="2"/>
    <n v="3"/>
    <n v="2"/>
    <m/>
    <s v="Demolition of the existing building and the erection of a replacement two-storey (plus roof) building, to create 3 self contained flats (2 x 1-bedroom and 1 x 2-bedroom) with formation of rear terraces at first and second floor levels with glass balustrade."/>
    <s v="PF"/>
    <d v="2022-04-05T00:00:00"/>
    <d v="2022-08-02T00:00:00"/>
    <m/>
    <s v="Nil"/>
    <m/>
    <s v="BF"/>
    <s v="NB"/>
    <x v="2"/>
    <x v="3"/>
    <n v="6.0000000000000001E-3"/>
    <m/>
    <x v="0"/>
    <m/>
    <s v="Open Market"/>
    <s v="MR"/>
    <s v=""/>
    <m/>
    <m/>
    <m/>
    <m/>
    <m/>
    <n v="0"/>
    <n v="1"/>
    <n v="1"/>
    <n v="0"/>
    <n v="0"/>
    <n v="0"/>
    <n v="0"/>
    <n v="0"/>
    <n v="1"/>
    <n v="1"/>
    <n v="0"/>
    <n v="0"/>
    <n v="0"/>
    <n v="0"/>
    <n v="0"/>
    <n v="0"/>
    <n v="0"/>
    <n v="0"/>
    <n v="0"/>
    <n v="0"/>
    <n v="0"/>
    <n v="0"/>
    <n v="0"/>
    <n v="0"/>
    <n v="0"/>
    <n v="0"/>
    <n v="0"/>
    <n v="0"/>
    <m/>
    <m/>
    <s v="Wandle Valley"/>
    <n v="7"/>
    <m/>
    <m/>
    <n v="0.5"/>
    <n v="0.5"/>
    <n v="0.5"/>
    <n v="0.5"/>
    <m/>
    <m/>
    <m/>
    <m/>
    <m/>
    <m/>
    <m/>
    <m/>
    <m/>
    <m/>
    <m/>
    <m/>
    <m/>
    <m/>
    <n v="2"/>
    <n v="2"/>
  </r>
  <r>
    <n v="7680"/>
    <x v="2"/>
    <s v="2022/1330"/>
    <s v="164 St Johns Hill"/>
    <s v=""/>
    <n v="526540"/>
    <n v="175023"/>
    <s v="Wandsworth Town"/>
    <m/>
    <m/>
    <n v="0"/>
    <n v="8"/>
    <n v="8"/>
    <n v="8"/>
    <n v="8"/>
    <m/>
    <s v="Alterations including erection of a three storey side extension and excavation to create basement including formation of front and rear lightwells in connection with the change of use from office (Class E) to 3 x 2 bedroom and 5 x 1 bedroom flats.(Class C3) with associated refuse and cycle storage._x000a__x000a__x000a_To form eight flats. Three duplex apartments (1x 2-bed and 2 x 1-bed) are accommodated within the ground floor and the extended basement. Two further flats are accommodated upon each of the first and second floors (2 x 2-bed and 2 x 1-bed), with a further flat (a 1-bed unit) on the top floor. The proposal includes a basement extension (with lightwells) and a two-storey side extension (replacing an existing external staircase). A number of windows are changed on the rear elevation, chimneys are removed from the roof and conservation roof lights are added to the rear and side roof slopes."/>
    <s v="PF"/>
    <d v="2022-03-31T00:00:00"/>
    <d v="2022-05-25T00:00:00"/>
    <m/>
    <s v="Nil"/>
    <m/>
    <s v="BF"/>
    <s v="MIX"/>
    <x v="2"/>
    <x v="6"/>
    <n v="1.1950000000000001E-2"/>
    <m/>
    <x v="0"/>
    <m/>
    <s v="Open Market"/>
    <s v="M"/>
    <s v=""/>
    <m/>
    <m/>
    <n v="8"/>
    <m/>
    <m/>
    <n v="0"/>
    <n v="5"/>
    <n v="3"/>
    <n v="0"/>
    <n v="0"/>
    <n v="0"/>
    <n v="0"/>
    <n v="0"/>
    <n v="5"/>
    <n v="3"/>
    <n v="0"/>
    <n v="0"/>
    <n v="0"/>
    <n v="0"/>
    <n v="0"/>
    <n v="0"/>
    <n v="0"/>
    <n v="0"/>
    <n v="0"/>
    <n v="0"/>
    <n v="0"/>
    <n v="0"/>
    <n v="0"/>
    <n v="0"/>
    <n v="0"/>
    <n v="0"/>
    <n v="0"/>
    <n v="0"/>
    <m/>
    <m/>
    <s v="Rest of Borough"/>
    <n v="18"/>
    <m/>
    <n v="2"/>
    <n v="2"/>
    <n v="2"/>
    <n v="2"/>
    <m/>
    <m/>
    <m/>
    <m/>
    <m/>
    <m/>
    <m/>
    <m/>
    <m/>
    <m/>
    <m/>
    <m/>
    <m/>
    <m/>
    <m/>
    <n v="8"/>
    <n v="8"/>
  </r>
  <r>
    <n v="7822"/>
    <x v="2"/>
    <s v="2022/1358"/>
    <s v="31 Veronica Road"/>
    <s v=""/>
    <n v="528706"/>
    <n v="172468"/>
    <s v="South Balham"/>
    <m/>
    <m/>
    <n v="1"/>
    <n v="6"/>
    <n v="5"/>
    <n v="6"/>
    <n v="5"/>
    <m/>
    <s v="Alterations including erection of two-storey side extension with habitable roofspace; Erection of single-storey rear extension; Excavation of basement with formation of front lightwell; Alterations to garage to create bike store; Addition of bin stores to front; Replacement roof tiles and windows; Addition of railings to front and side boundaries and associated landscaping in connection with the conversion of property from single dwelling into 7 self-contained flats (3 x 3 bedroom flats, 2 X 2 bedroom flats and 2 X 1 bedroom flats)."/>
    <s v="PF"/>
    <d v="2022-04-04T00:00:00"/>
    <d v="2022-07-29T00:00:00"/>
    <m/>
    <s v="Nil"/>
    <m/>
    <s v="BF"/>
    <s v="MIX"/>
    <x v="2"/>
    <x v="10"/>
    <n v="1.7000000000000001E-2"/>
    <m/>
    <x v="0"/>
    <m/>
    <s v="Open Market"/>
    <s v="M"/>
    <s v=""/>
    <m/>
    <m/>
    <m/>
    <m/>
    <m/>
    <n v="0"/>
    <n v="1"/>
    <n v="2"/>
    <n v="3"/>
    <n v="0"/>
    <n v="-1"/>
    <n v="0"/>
    <n v="0"/>
    <n v="1"/>
    <n v="2"/>
    <n v="3"/>
    <n v="0"/>
    <n v="0"/>
    <n v="0"/>
    <n v="0"/>
    <n v="0"/>
    <n v="0"/>
    <n v="0"/>
    <n v="0"/>
    <n v="-1"/>
    <n v="0"/>
    <n v="0"/>
    <n v="0"/>
    <n v="0"/>
    <n v="0"/>
    <n v="0"/>
    <n v="0"/>
    <n v="0"/>
    <m/>
    <m/>
    <s v="Rest of Borough"/>
    <n v="18"/>
    <m/>
    <n v="1.25"/>
    <n v="1.25"/>
    <n v="1.25"/>
    <n v="1.25"/>
    <m/>
    <m/>
    <m/>
    <m/>
    <m/>
    <m/>
    <m/>
    <m/>
    <m/>
    <m/>
    <m/>
    <m/>
    <m/>
    <m/>
    <m/>
    <n v="5"/>
    <n v="5"/>
  </r>
  <r>
    <n v="7729"/>
    <x v="2"/>
    <s v="2022/1385"/>
    <s v="31 Bellevue Road"/>
    <s v=""/>
    <n v="527446"/>
    <n v="173267"/>
    <s v="Trinity"/>
    <m/>
    <m/>
    <n v="0"/>
    <n v="1"/>
    <n v="1"/>
    <n v="1"/>
    <n v="1"/>
    <m/>
    <s v="Alterations including erection of single storey rear extension in connection with creation of 2-bedroom flat to basement and ground floor rear of no 32 and change of use from commercial studio (Class E) to residential (Class C3) to provide access, bin and cycle storage at rear of no 31 Bellevue Road."/>
    <s v="PF"/>
    <d v="2022-04-13T00:00:00"/>
    <d v="2022-06-08T00:00:00"/>
    <m/>
    <s v="Nil"/>
    <m/>
    <s v="BF"/>
    <s v="MIX"/>
    <x v="2"/>
    <x v="4"/>
    <n v="8.0000000000000002E-3"/>
    <m/>
    <x v="0"/>
    <m/>
    <s v="Open Market"/>
    <s v="M"/>
    <s v=""/>
    <m/>
    <m/>
    <m/>
    <m/>
    <m/>
    <n v="0"/>
    <n v="0"/>
    <n v="1"/>
    <n v="0"/>
    <n v="0"/>
    <n v="0"/>
    <n v="0"/>
    <n v="0"/>
    <n v="0"/>
    <n v="1"/>
    <n v="0"/>
    <n v="0"/>
    <n v="0"/>
    <n v="0"/>
    <n v="0"/>
    <n v="0"/>
    <n v="0"/>
    <n v="0"/>
    <n v="0"/>
    <n v="0"/>
    <n v="0"/>
    <n v="0"/>
    <n v="0"/>
    <n v="0"/>
    <n v="0"/>
    <n v="0"/>
    <n v="0"/>
    <n v="0"/>
    <m/>
    <m/>
    <s v="Rest of Borough"/>
    <n v="15"/>
    <m/>
    <n v="0.25"/>
    <n v="0.25"/>
    <n v="0.25"/>
    <n v="0.25"/>
    <m/>
    <m/>
    <m/>
    <m/>
    <m/>
    <m/>
    <m/>
    <m/>
    <m/>
    <m/>
    <m/>
    <m/>
    <m/>
    <m/>
    <m/>
    <n v="1"/>
    <n v="1"/>
  </r>
  <r>
    <n v="7824"/>
    <x v="2"/>
    <s v="2022/1396"/>
    <s v="14 Alternburg Gardens"/>
    <s v=""/>
    <n v="527774"/>
    <n v="175242"/>
    <s v="Lavender"/>
    <m/>
    <m/>
    <n v="2"/>
    <n v="1"/>
    <n v="-1"/>
    <n v="1"/>
    <n v="-1"/>
    <m/>
    <s v="Alterations including erection of mansard roof extension (with French doors and safety railings); Erection of single-storey rear/side extension; Front side boundary fence; Excavation to create basment including formation of front and rear lightwells in connection with conversion of 2 flats into single dwelling house."/>
    <s v="PF"/>
    <d v="2022-04-01T00:00:00"/>
    <d v="2022-06-06T00:00:00"/>
    <m/>
    <s v="Nil"/>
    <m/>
    <s v="BF"/>
    <s v="MIX"/>
    <x v="2"/>
    <x v="11"/>
    <n v="6.1500000000000001E-3"/>
    <m/>
    <x v="0"/>
    <m/>
    <s v="Open Market"/>
    <s v="M"/>
    <s v=""/>
    <m/>
    <m/>
    <m/>
    <m/>
    <m/>
    <n v="0"/>
    <n v="-1"/>
    <n v="-1"/>
    <n v="0"/>
    <n v="0"/>
    <n v="1"/>
    <n v="0"/>
    <n v="0"/>
    <n v="-1"/>
    <n v="-1"/>
    <n v="0"/>
    <n v="0"/>
    <n v="0"/>
    <n v="0"/>
    <n v="0"/>
    <n v="0"/>
    <n v="0"/>
    <n v="0"/>
    <n v="0"/>
    <n v="1"/>
    <n v="0"/>
    <n v="0"/>
    <n v="0"/>
    <n v="0"/>
    <n v="0"/>
    <n v="0"/>
    <n v="0"/>
    <n v="0"/>
    <m/>
    <m/>
    <s v="Clapham Junction and York Road / Winstanley Regeneration Area"/>
    <n v="15"/>
    <m/>
    <n v="-0.25"/>
    <n v="-0.25"/>
    <n v="-0.25"/>
    <n v="-0.25"/>
    <m/>
    <m/>
    <m/>
    <m/>
    <m/>
    <m/>
    <m/>
    <m/>
    <m/>
    <m/>
    <m/>
    <m/>
    <m/>
    <m/>
    <m/>
    <n v="-1"/>
    <n v="-1"/>
  </r>
  <r>
    <n v="6952"/>
    <x v="2"/>
    <s v="2022/1440"/>
    <s v="Post Office, 355 Upper Richmond Road"/>
    <s v=""/>
    <n v="522554"/>
    <n v="175400"/>
    <s v="West Putney"/>
    <m/>
    <m/>
    <n v="1"/>
    <n v="1"/>
    <n v="0"/>
    <n v="1"/>
    <n v="0"/>
    <m/>
    <s v="Alterations including erection of rear dormer, single storey rear extensions and formation of rear first floor level roof terrace with screen surround in connection with use of rear ground floor and upper floors as 1 x 3-bedroom flat with rear access."/>
    <s v="PF"/>
    <d v="2022-05-03T00:00:00"/>
    <d v="2022-06-28T00:00:00"/>
    <m/>
    <s v="Nil"/>
    <m/>
    <s v="BF"/>
    <s v="MIX"/>
    <x v="2"/>
    <x v="5"/>
    <n v="8.9999999999999993E-3"/>
    <m/>
    <x v="0"/>
    <m/>
    <s v="Open Market"/>
    <s v="M"/>
    <s v=""/>
    <m/>
    <m/>
    <m/>
    <m/>
    <m/>
    <n v="0"/>
    <n v="-1"/>
    <n v="0"/>
    <n v="1"/>
    <n v="0"/>
    <n v="0"/>
    <n v="0"/>
    <n v="0"/>
    <n v="-1"/>
    <n v="0"/>
    <n v="1"/>
    <n v="0"/>
    <n v="0"/>
    <n v="0"/>
    <n v="0"/>
    <n v="0"/>
    <n v="0"/>
    <n v="0"/>
    <n v="0"/>
    <n v="0"/>
    <n v="0"/>
    <n v="0"/>
    <n v="0"/>
    <n v="0"/>
    <n v="0"/>
    <n v="0"/>
    <n v="0"/>
    <n v="0"/>
    <m/>
    <m/>
    <s v="Rest of Borough"/>
    <n v="15"/>
    <m/>
    <n v="0"/>
    <n v="0"/>
    <n v="0"/>
    <n v="0"/>
    <m/>
    <m/>
    <m/>
    <m/>
    <m/>
    <m/>
    <m/>
    <m/>
    <m/>
    <m/>
    <m/>
    <m/>
    <m/>
    <m/>
    <m/>
    <n v="0"/>
    <n v="0"/>
  </r>
  <r>
    <n v="7830"/>
    <x v="2"/>
    <s v="2022/1603"/>
    <s v="39 Southolm Street"/>
    <s v=""/>
    <n v="528791"/>
    <n v="176757"/>
    <s v="Shaftesbury &amp; Queenstown"/>
    <m/>
    <m/>
    <n v="1"/>
    <n v="1"/>
    <n v="0"/>
    <n v="1"/>
    <n v="0"/>
    <m/>
    <s v="Alterations including erection of a three-storey side/rear extension, roof terrace at third floor level and dormer extension to main rear roof in connection with the change of use from single dwellinghouse (Class C3) into a six bedroom HMO (Sui Generis)."/>
    <s v="PF"/>
    <d v="2022-05-24T00:00:00"/>
    <d v="2022-09-15T00:00:00"/>
    <m/>
    <s v="Nil"/>
    <m/>
    <s v="BF"/>
    <s v="MIX"/>
    <x v="2"/>
    <x v="10"/>
    <n v="3.725E-3"/>
    <m/>
    <x v="0"/>
    <m/>
    <s v="Open Market"/>
    <s v="MR"/>
    <s v=""/>
    <m/>
    <m/>
    <m/>
    <m/>
    <m/>
    <n v="0"/>
    <n v="0"/>
    <n v="0"/>
    <n v="0"/>
    <n v="-1"/>
    <n v="1"/>
    <n v="0"/>
    <n v="0"/>
    <n v="0"/>
    <n v="0"/>
    <n v="0"/>
    <n v="0"/>
    <n v="1"/>
    <n v="0"/>
    <n v="0"/>
    <n v="0"/>
    <n v="0"/>
    <n v="0"/>
    <n v="-1"/>
    <n v="0"/>
    <n v="0"/>
    <n v="0"/>
    <n v="0"/>
    <n v="0"/>
    <n v="0"/>
    <n v="0"/>
    <n v="0"/>
    <n v="0"/>
    <m/>
    <m/>
    <s v="Nine Elms"/>
    <n v="15"/>
    <m/>
    <n v="0"/>
    <n v="0"/>
    <n v="0"/>
    <n v="0"/>
    <m/>
    <m/>
    <m/>
    <m/>
    <m/>
    <m/>
    <m/>
    <m/>
    <m/>
    <m/>
    <m/>
    <m/>
    <m/>
    <m/>
    <m/>
    <n v="0"/>
    <n v="0"/>
  </r>
  <r>
    <n v="7833"/>
    <x v="2"/>
    <s v="2022/1644"/>
    <s v="51 Dryburgh Road"/>
    <s v=""/>
    <n v="522849"/>
    <n v="175561"/>
    <s v="Thamesfield"/>
    <m/>
    <m/>
    <n v="1"/>
    <n v="1"/>
    <n v="0"/>
    <n v="1"/>
    <n v="0"/>
    <m/>
    <s v="Demolition of existing building and erection of a 2-storey (plus loft and basement) house including rear first floor level terrace, front second floor level balcony and front lightwell; with associated cycle and refuse storage."/>
    <s v="PF"/>
    <d v="2022-05-23T00:00:00"/>
    <d v="2022-12-20T00:00:00"/>
    <m/>
    <s v="Nil"/>
    <m/>
    <s v="BF"/>
    <s v="NB"/>
    <x v="2"/>
    <x v="3"/>
    <n v="7.0000000000000001E-3"/>
    <m/>
    <x v="0"/>
    <m/>
    <s v="Open Market"/>
    <s v="M"/>
    <s v=""/>
    <m/>
    <m/>
    <m/>
    <m/>
    <m/>
    <n v="0"/>
    <n v="0"/>
    <n v="0"/>
    <n v="0"/>
    <n v="0"/>
    <n v="0"/>
    <n v="0"/>
    <n v="0"/>
    <n v="0"/>
    <n v="0"/>
    <n v="0"/>
    <n v="0"/>
    <n v="0"/>
    <n v="0"/>
    <n v="0"/>
    <n v="0"/>
    <n v="0"/>
    <n v="0"/>
    <n v="0"/>
    <n v="0"/>
    <n v="0"/>
    <n v="0"/>
    <n v="0"/>
    <n v="0"/>
    <n v="0"/>
    <n v="0"/>
    <n v="0"/>
    <n v="0"/>
    <m/>
    <m/>
    <s v="Rest of Borough"/>
    <n v="7"/>
    <m/>
    <m/>
    <n v="0"/>
    <n v="0"/>
    <n v="0"/>
    <n v="0"/>
    <m/>
    <m/>
    <m/>
    <m/>
    <m/>
    <m/>
    <m/>
    <m/>
    <m/>
    <m/>
    <m/>
    <m/>
    <m/>
    <m/>
    <n v="0"/>
    <n v="0"/>
  </r>
  <r>
    <n v="7839"/>
    <x v="2"/>
    <s v="2022/1741"/>
    <s v="56 Lavender Hill"/>
    <s v=""/>
    <n v="528345"/>
    <n v="175748"/>
    <s v="Shaftesbury &amp; Queenstown"/>
    <m/>
    <m/>
    <n v="0"/>
    <n v="1"/>
    <n v="1"/>
    <n v="1"/>
    <n v="1"/>
    <m/>
    <s v="Alterations including two-storey rear extension and change of use to part of the existing commercial unit (class E) to provide a two-bedroom dwelling (Class C3) with associated amenity space."/>
    <s v="PF"/>
    <d v="2022-04-27T00:00:00"/>
    <d v="2022-08-15T00:00:00"/>
    <m/>
    <s v="Nil"/>
    <m/>
    <s v="BF"/>
    <s v="MIX"/>
    <x v="2"/>
    <x v="8"/>
    <n v="4.4000000000000003E-3"/>
    <m/>
    <x v="0"/>
    <m/>
    <s v="Open Market"/>
    <s v="MR"/>
    <s v=""/>
    <m/>
    <m/>
    <m/>
    <m/>
    <m/>
    <n v="0"/>
    <n v="0"/>
    <n v="1"/>
    <n v="0"/>
    <n v="0"/>
    <n v="0"/>
    <n v="0"/>
    <n v="0"/>
    <n v="0"/>
    <n v="1"/>
    <n v="0"/>
    <n v="0"/>
    <n v="0"/>
    <n v="0"/>
    <n v="0"/>
    <n v="0"/>
    <n v="0"/>
    <n v="0"/>
    <n v="0"/>
    <n v="0"/>
    <n v="0"/>
    <n v="0"/>
    <n v="0"/>
    <n v="0"/>
    <n v="0"/>
    <n v="0"/>
    <n v="0"/>
    <n v="0"/>
    <m/>
    <m/>
    <s v="Rest of Borough"/>
    <n v="15"/>
    <m/>
    <n v="0.25"/>
    <n v="0.25"/>
    <n v="0.25"/>
    <n v="0.25"/>
    <m/>
    <m/>
    <m/>
    <m/>
    <m/>
    <m/>
    <m/>
    <m/>
    <m/>
    <m/>
    <m/>
    <m/>
    <m/>
    <m/>
    <m/>
    <n v="1"/>
    <n v="1"/>
  </r>
  <r>
    <n v="7840"/>
    <x v="2"/>
    <s v="2022/1763"/>
    <s v="346 Upper Richmond Road"/>
    <s v=""/>
    <n v="523441"/>
    <n v="175272"/>
    <s v="West Putney"/>
    <d v="2023-10-31T00:00:00"/>
    <m/>
    <n v="0"/>
    <n v="1"/>
    <n v="1"/>
    <n v="1"/>
    <n v="1"/>
    <m/>
    <s v="Alterations including change of use from HMO (9 bedsits) (Sui Generis)  into single dwelling.(Class C3)."/>
    <s v="PFLA"/>
    <d v="2022-06-28T00:00:00"/>
    <d v="2022-12-21T00:00:00"/>
    <m/>
    <s v="Nil"/>
    <m/>
    <s v="BF"/>
    <s v="CON"/>
    <x v="2"/>
    <x v="11"/>
    <n v="1.17E-2"/>
    <m/>
    <x v="0"/>
    <m/>
    <s v="Open Market"/>
    <s v="M"/>
    <s v=""/>
    <m/>
    <m/>
    <m/>
    <m/>
    <m/>
    <n v="0"/>
    <n v="0"/>
    <n v="0"/>
    <n v="0"/>
    <n v="0"/>
    <n v="1"/>
    <n v="0"/>
    <n v="0"/>
    <n v="0"/>
    <n v="0"/>
    <n v="0"/>
    <n v="0"/>
    <n v="0"/>
    <n v="0"/>
    <n v="0"/>
    <n v="0"/>
    <n v="0"/>
    <n v="0"/>
    <n v="0"/>
    <n v="1"/>
    <n v="0"/>
    <n v="0"/>
    <n v="0"/>
    <n v="0"/>
    <n v="0"/>
    <n v="0"/>
    <n v="0"/>
    <n v="0"/>
    <m/>
    <m/>
    <s v="Rest of Borough"/>
    <n v="15"/>
    <m/>
    <n v="0.25"/>
    <n v="0.25"/>
    <n v="0.25"/>
    <n v="0.25"/>
    <m/>
    <m/>
    <m/>
    <m/>
    <m/>
    <m/>
    <m/>
    <m/>
    <m/>
    <m/>
    <m/>
    <m/>
    <m/>
    <m/>
    <m/>
    <n v="1"/>
    <n v="1"/>
  </r>
  <r>
    <n v="7838"/>
    <x v="2"/>
    <s v="2022/1764"/>
    <s v="Land adjacent to, 28 Kingsclere Close"/>
    <s v="House 1, 3-storey"/>
    <n v="522109"/>
    <n v="173890"/>
    <s v="Roehampton"/>
    <m/>
    <m/>
    <n v="0"/>
    <n v="1"/>
    <n v="1"/>
    <n v="3"/>
    <n v="3"/>
    <m/>
    <s v="Erection of 3 x houses."/>
    <s v="PIPD"/>
    <d v="2022-05-05T00:00:00"/>
    <d v="2022-09-08T00:00:00"/>
    <m/>
    <s v="Nil"/>
    <m/>
    <s v="BF"/>
    <s v="NB"/>
    <x v="2"/>
    <x v="3"/>
    <n v="4.0000000000000001E-3"/>
    <m/>
    <x v="0"/>
    <m/>
    <s v="Open Market"/>
    <s v="M"/>
    <s v=""/>
    <m/>
    <m/>
    <m/>
    <m/>
    <m/>
    <n v="0"/>
    <n v="0"/>
    <n v="0"/>
    <n v="0"/>
    <n v="0"/>
    <n v="0"/>
    <n v="1"/>
    <n v="0"/>
    <n v="0"/>
    <n v="0"/>
    <n v="0"/>
    <n v="0"/>
    <n v="0"/>
    <n v="0"/>
    <n v="0"/>
    <n v="0"/>
    <n v="0"/>
    <n v="0"/>
    <n v="0"/>
    <n v="0"/>
    <n v="1"/>
    <n v="0"/>
    <n v="0"/>
    <n v="0"/>
    <n v="0"/>
    <n v="0"/>
    <n v="0"/>
    <n v="0"/>
    <m/>
    <m/>
    <s v="Roehampton and Alton Estate Regeneration Areea"/>
    <n v="7"/>
    <m/>
    <m/>
    <n v="0.25"/>
    <n v="0.25"/>
    <n v="0.25"/>
    <n v="0.25"/>
    <m/>
    <m/>
    <m/>
    <m/>
    <m/>
    <m/>
    <m/>
    <m/>
    <m/>
    <m/>
    <m/>
    <m/>
    <m/>
    <m/>
    <n v="1"/>
    <n v="1"/>
  </r>
  <r>
    <n v="7838"/>
    <x v="2"/>
    <s v="2022/1764"/>
    <s v="Land adjacent to, 28 Kingsclere Close"/>
    <s v="House 2, 2-storey"/>
    <n v="522109"/>
    <n v="173890"/>
    <s v="Roehampton"/>
    <m/>
    <m/>
    <n v="0"/>
    <n v="1"/>
    <n v="1"/>
    <n v="3"/>
    <n v="3"/>
    <m/>
    <s v="Erection of 3 x houses."/>
    <s v="PIPD"/>
    <d v="2022-05-05T00:00:00"/>
    <d v="2022-09-08T00:00:00"/>
    <m/>
    <s v="Nil"/>
    <m/>
    <s v="BF"/>
    <s v="NB"/>
    <x v="2"/>
    <x v="3"/>
    <n v="4.0000000000000001E-3"/>
    <m/>
    <x v="0"/>
    <m/>
    <s v="Open Market"/>
    <s v="M"/>
    <s v=""/>
    <m/>
    <m/>
    <m/>
    <m/>
    <m/>
    <n v="0"/>
    <n v="0"/>
    <n v="0"/>
    <n v="0"/>
    <n v="0"/>
    <n v="0"/>
    <n v="1"/>
    <n v="0"/>
    <n v="0"/>
    <n v="0"/>
    <n v="0"/>
    <n v="0"/>
    <n v="0"/>
    <n v="0"/>
    <n v="0"/>
    <n v="0"/>
    <n v="0"/>
    <n v="0"/>
    <n v="0"/>
    <n v="0"/>
    <n v="1"/>
    <n v="0"/>
    <n v="0"/>
    <n v="0"/>
    <n v="0"/>
    <n v="0"/>
    <n v="0"/>
    <n v="0"/>
    <m/>
    <m/>
    <s v="Roehampton and Alton Estate Regeneration Areea"/>
    <n v="7"/>
    <m/>
    <m/>
    <n v="0.25"/>
    <n v="0.25"/>
    <n v="0.25"/>
    <n v="0.25"/>
    <m/>
    <m/>
    <m/>
    <m/>
    <m/>
    <m/>
    <m/>
    <m/>
    <m/>
    <m/>
    <m/>
    <m/>
    <m/>
    <m/>
    <n v="1"/>
    <n v="1"/>
  </r>
  <r>
    <n v="7838"/>
    <x v="2"/>
    <s v="2022/1764"/>
    <s v="Land adjacent to, 28 Kingsclere Close"/>
    <s v="House 3, 2-storey"/>
    <n v="522109"/>
    <n v="173890"/>
    <s v="Roehampton"/>
    <m/>
    <m/>
    <n v="0"/>
    <n v="1"/>
    <n v="1"/>
    <n v="3"/>
    <n v="3"/>
    <m/>
    <s v="Erection of 3 x houses."/>
    <s v="PIPD"/>
    <d v="2022-05-05T00:00:00"/>
    <d v="2022-09-08T00:00:00"/>
    <m/>
    <s v="Nil"/>
    <m/>
    <s v="BF"/>
    <s v="NB"/>
    <x v="2"/>
    <x v="3"/>
    <n v="4.0000000000000001E-3"/>
    <m/>
    <x v="0"/>
    <m/>
    <s v="Open Market"/>
    <s v="M"/>
    <s v=""/>
    <m/>
    <m/>
    <m/>
    <m/>
    <m/>
    <n v="0"/>
    <n v="0"/>
    <n v="0"/>
    <n v="0"/>
    <n v="0"/>
    <n v="0"/>
    <n v="1"/>
    <n v="0"/>
    <n v="0"/>
    <n v="0"/>
    <n v="0"/>
    <n v="0"/>
    <n v="0"/>
    <n v="0"/>
    <n v="0"/>
    <n v="0"/>
    <n v="0"/>
    <n v="0"/>
    <n v="0"/>
    <n v="0"/>
    <n v="1"/>
    <n v="0"/>
    <n v="0"/>
    <n v="0"/>
    <n v="0"/>
    <n v="0"/>
    <n v="0"/>
    <n v="0"/>
    <m/>
    <m/>
    <s v="Roehampton and Alton Estate Regeneration Areea"/>
    <n v="7"/>
    <m/>
    <m/>
    <n v="0.25"/>
    <n v="0.25"/>
    <n v="0.25"/>
    <n v="0.25"/>
    <m/>
    <m/>
    <m/>
    <m/>
    <m/>
    <m/>
    <m/>
    <m/>
    <m/>
    <m/>
    <m/>
    <m/>
    <m/>
    <m/>
    <n v="1"/>
    <n v="1"/>
  </r>
  <r>
    <n v="2641"/>
    <x v="2"/>
    <s v="2022/1883"/>
    <s v="Garages between 77 &amp; 85, Ravenslea Road"/>
    <s v=""/>
    <n v="527902"/>
    <n v="173411"/>
    <s v="Balham"/>
    <m/>
    <m/>
    <n v="0"/>
    <n v="5"/>
    <n v="5"/>
    <n v="5"/>
    <n v="5"/>
    <m/>
    <s v="Erection of a three storey block comprising 5 apartments (2 x 2-bedroom, 2 x 1 -bedroom and 1 x 3-bedroom)  associated amenity space including balconies and gardens with cycle store and relocation of entrance to existing allotments at rear."/>
    <s v="PF"/>
    <d v="2022-05-24T00:00:00"/>
    <d v="2022-11-24T00:00:00"/>
    <m/>
    <s v="Nil"/>
    <m/>
    <s v="BF"/>
    <s v="NB"/>
    <x v="2"/>
    <x v="3"/>
    <n v="1.17333E-2"/>
    <m/>
    <x v="0"/>
    <m/>
    <s v="Open Market"/>
    <s v="M"/>
    <s v=""/>
    <m/>
    <m/>
    <m/>
    <m/>
    <m/>
    <n v="0"/>
    <n v="2"/>
    <n v="2"/>
    <n v="1"/>
    <n v="0"/>
    <n v="0"/>
    <n v="0"/>
    <n v="0"/>
    <n v="2"/>
    <n v="2"/>
    <n v="1"/>
    <n v="0"/>
    <n v="0"/>
    <n v="0"/>
    <n v="0"/>
    <n v="0"/>
    <n v="0"/>
    <n v="0"/>
    <n v="0"/>
    <n v="0"/>
    <n v="0"/>
    <n v="0"/>
    <n v="0"/>
    <n v="0"/>
    <n v="0"/>
    <n v="0"/>
    <n v="0"/>
    <n v="0"/>
    <m/>
    <m/>
    <s v="Rest of Borough"/>
    <n v="7"/>
    <m/>
    <m/>
    <n v="1.25"/>
    <n v="1.25"/>
    <n v="1.25"/>
    <n v="1.25"/>
    <m/>
    <m/>
    <m/>
    <m/>
    <m/>
    <m/>
    <m/>
    <m/>
    <m/>
    <m/>
    <m/>
    <m/>
    <m/>
    <m/>
    <n v="5"/>
    <n v="5"/>
  </r>
  <r>
    <n v="7832"/>
    <x v="2"/>
    <s v="2022/1963"/>
    <s v="Upper Floors, 34 Wandsworth Common West Side"/>
    <s v=""/>
    <n v="526498"/>
    <n v="174597"/>
    <s v="Wandsworth Town"/>
    <m/>
    <m/>
    <n v="1"/>
    <n v="3"/>
    <n v="2"/>
    <n v="3"/>
    <n v="2"/>
    <m/>
    <s v="Alterations including erection of mansard roof extension to main rear roof and extension above part of three-storey back addition; formation of roof terrace above remainder of back addition with 1.7m high screening. Works in connection with conversion of upper floor flat into 1 x 3-bedroom and 2 x 1-bedroom flats."/>
    <s v="PF"/>
    <d v="2022-05-05T00:00:00"/>
    <d v="2022-07-08T00:00:00"/>
    <m/>
    <s v="Nil"/>
    <m/>
    <s v="BF"/>
    <s v="CON"/>
    <x v="2"/>
    <x v="1"/>
    <n v="5.6166599999999999E-3"/>
    <m/>
    <x v="0"/>
    <m/>
    <s v="Open Market"/>
    <s v="MR"/>
    <s v=""/>
    <m/>
    <m/>
    <m/>
    <m/>
    <m/>
    <n v="0"/>
    <n v="2"/>
    <n v="0"/>
    <n v="1"/>
    <n v="0"/>
    <n v="-1"/>
    <n v="0"/>
    <n v="0"/>
    <n v="2"/>
    <n v="0"/>
    <n v="1"/>
    <n v="0"/>
    <n v="-1"/>
    <n v="0"/>
    <n v="0"/>
    <n v="0"/>
    <n v="0"/>
    <n v="0"/>
    <n v="0"/>
    <n v="0"/>
    <n v="0"/>
    <n v="0"/>
    <n v="0"/>
    <n v="0"/>
    <n v="0"/>
    <n v="0"/>
    <n v="0"/>
    <n v="0"/>
    <m/>
    <m/>
    <s v="Rest of Borough"/>
    <n v="15"/>
    <m/>
    <n v="0.5"/>
    <n v="0.5"/>
    <n v="0.5"/>
    <n v="0.5"/>
    <m/>
    <m/>
    <m/>
    <m/>
    <m/>
    <m/>
    <m/>
    <m/>
    <m/>
    <m/>
    <m/>
    <m/>
    <m/>
    <m/>
    <m/>
    <n v="2"/>
    <n v="2"/>
  </r>
  <r>
    <n v="7810"/>
    <x v="2"/>
    <s v="2022/2017"/>
    <s v="30A Louisville Road"/>
    <s v=""/>
    <n v="528268"/>
    <n v="172294"/>
    <s v="South Balham"/>
    <m/>
    <m/>
    <n v="1"/>
    <n v="2"/>
    <n v="1"/>
    <n v="2"/>
    <n v="1"/>
    <m/>
    <s v="Alterations including front rooflights erection of a extensions to main rear roof and above two-storey back addition with formation of a roof terrace to form a new 1 x studio flat."/>
    <s v="PF"/>
    <d v="2022-05-30T00:00:00"/>
    <d v="2023-07-13T00:00:00"/>
    <s v="Y"/>
    <s v="Nil"/>
    <m/>
    <s v="BF"/>
    <s v="EXT"/>
    <x v="2"/>
    <x v="7"/>
    <n v="6.3E-3"/>
    <m/>
    <x v="0"/>
    <m/>
    <s v="Open Market"/>
    <s v="M"/>
    <s v=""/>
    <m/>
    <m/>
    <m/>
    <m/>
    <m/>
    <n v="1"/>
    <n v="0"/>
    <n v="0"/>
    <n v="0"/>
    <n v="0"/>
    <n v="0"/>
    <n v="0"/>
    <n v="1"/>
    <n v="0"/>
    <n v="0"/>
    <n v="0"/>
    <n v="0"/>
    <n v="0"/>
    <n v="0"/>
    <n v="0"/>
    <n v="0"/>
    <n v="0"/>
    <n v="0"/>
    <n v="0"/>
    <n v="0"/>
    <n v="0"/>
    <n v="0"/>
    <n v="0"/>
    <n v="0"/>
    <n v="0"/>
    <n v="0"/>
    <n v="0"/>
    <n v="0"/>
    <m/>
    <m/>
    <s v="Rest of Borough"/>
    <n v="15"/>
    <m/>
    <n v="0.25"/>
    <n v="0.25"/>
    <n v="0.25"/>
    <n v="0.25"/>
    <m/>
    <m/>
    <m/>
    <m/>
    <m/>
    <m/>
    <m/>
    <m/>
    <m/>
    <m/>
    <m/>
    <m/>
    <m/>
    <m/>
    <m/>
    <n v="1"/>
    <n v="1"/>
  </r>
  <r>
    <n v="7851"/>
    <x v="2"/>
    <s v="2022/2098"/>
    <s v="50-53 Denton Street"/>
    <s v=""/>
    <n v="525884"/>
    <n v="174406"/>
    <s v="Wandsworth Town"/>
    <m/>
    <m/>
    <n v="0"/>
    <n v="1"/>
    <n v="1"/>
    <n v="1"/>
    <n v="1"/>
    <m/>
    <s v="Erection of mansard roof extension to main rear roof and extension above part of two-storey back addition and formation of roof terrace with 1.8m high screen surround in connection with creation of 1 x 2-bedroom flat. Alterations including raising the ridge by 400mm."/>
    <s v="PF"/>
    <d v="2022-06-22T00:00:00"/>
    <d v="2022-08-09T00:00:00"/>
    <m/>
    <s v="Nil"/>
    <m/>
    <s v="BF"/>
    <s v="EXT"/>
    <x v="2"/>
    <x v="7"/>
    <n v="6.2100000000000002E-3"/>
    <m/>
    <x v="0"/>
    <m/>
    <s v="Open Market"/>
    <s v="M"/>
    <s v=""/>
    <m/>
    <m/>
    <m/>
    <m/>
    <m/>
    <n v="0"/>
    <n v="0"/>
    <n v="1"/>
    <n v="0"/>
    <n v="0"/>
    <n v="0"/>
    <n v="0"/>
    <n v="0"/>
    <n v="0"/>
    <n v="1"/>
    <n v="0"/>
    <n v="0"/>
    <n v="0"/>
    <n v="0"/>
    <n v="0"/>
    <n v="0"/>
    <n v="0"/>
    <n v="0"/>
    <n v="0"/>
    <n v="0"/>
    <n v="0"/>
    <n v="0"/>
    <n v="0"/>
    <n v="0"/>
    <n v="0"/>
    <n v="0"/>
    <n v="0"/>
    <n v="0"/>
    <m/>
    <m/>
    <s v="Wandsworth Town, including the Wandle Delta Masterplan Area"/>
    <n v="15"/>
    <m/>
    <n v="0.25"/>
    <n v="0.25"/>
    <n v="0.25"/>
    <n v="0.25"/>
    <m/>
    <m/>
    <m/>
    <m/>
    <m/>
    <m/>
    <m/>
    <m/>
    <m/>
    <m/>
    <m/>
    <m/>
    <m/>
    <m/>
    <m/>
    <n v="1"/>
    <n v="1"/>
  </r>
  <r>
    <n v="7855"/>
    <x v="2"/>
    <s v="2022/2164"/>
    <s v="Land and Building to the South of, 164C Mitcham Road (The Old Bakery)"/>
    <s v=""/>
    <n v="527835"/>
    <n v="171006"/>
    <s v="Tooting Broadway"/>
    <m/>
    <m/>
    <n v="0"/>
    <n v="1"/>
    <n v="1"/>
    <n v="1"/>
    <n v="1"/>
    <m/>
    <s v="Determination as to whether prior approval is required for change of use  from office (Class E) to residential (Class C3) to provide 1 x 1-bedroom house."/>
    <s v="PAG"/>
    <d v="2022-05-09T00:00:00"/>
    <d v="2022-06-30T00:00:00"/>
    <m/>
    <s v="Nil"/>
    <m/>
    <s v="BF"/>
    <s v="COU"/>
    <x v="2"/>
    <x v="6"/>
    <n v="8.0700000000000008E-3"/>
    <m/>
    <x v="0"/>
    <m/>
    <s v="Open Market"/>
    <s v="M"/>
    <s v=""/>
    <m/>
    <m/>
    <m/>
    <m/>
    <m/>
    <n v="0"/>
    <n v="1"/>
    <n v="0"/>
    <n v="0"/>
    <n v="0"/>
    <n v="0"/>
    <n v="0"/>
    <n v="0"/>
    <n v="0"/>
    <n v="0"/>
    <n v="0"/>
    <n v="0"/>
    <n v="0"/>
    <n v="0"/>
    <n v="0"/>
    <n v="1"/>
    <n v="0"/>
    <n v="0"/>
    <n v="0"/>
    <n v="0"/>
    <n v="0"/>
    <n v="0"/>
    <n v="0"/>
    <n v="0"/>
    <n v="0"/>
    <n v="0"/>
    <n v="0"/>
    <n v="0"/>
    <m/>
    <m/>
    <s v="Tooting"/>
    <n v="15"/>
    <m/>
    <n v="0.25"/>
    <n v="0.25"/>
    <n v="0.25"/>
    <n v="0.25"/>
    <m/>
    <m/>
    <m/>
    <m/>
    <m/>
    <m/>
    <m/>
    <m/>
    <m/>
    <m/>
    <m/>
    <m/>
    <m/>
    <m/>
    <m/>
    <n v="1"/>
    <n v="1"/>
  </r>
  <r>
    <n v="7857"/>
    <x v="2"/>
    <s v="2022/2207"/>
    <s v="360 Old York Road"/>
    <s v=""/>
    <n v="525896"/>
    <n v="174999"/>
    <s v="Wandsworth Town"/>
    <m/>
    <m/>
    <n v="0"/>
    <n v="2"/>
    <n v="2"/>
    <n v="2"/>
    <n v="2"/>
    <m/>
    <s v="Part demolition and the erection of a part single-storey, part two-storey extension to provide 2 x 1-bedroom flats with associated private amenity space"/>
    <s v="PF"/>
    <d v="2022-05-26T00:00:00"/>
    <d v="2022-12-20T00:00:00"/>
    <m/>
    <s v="Nil"/>
    <m/>
    <s v="BF"/>
    <s v="NB"/>
    <x v="2"/>
    <x v="3"/>
    <n v="4.7999999999999996E-3"/>
    <m/>
    <x v="0"/>
    <m/>
    <s v="Open Market"/>
    <s v="M"/>
    <s v=""/>
    <m/>
    <m/>
    <m/>
    <m/>
    <m/>
    <n v="1"/>
    <n v="1"/>
    <n v="0"/>
    <n v="0"/>
    <n v="0"/>
    <n v="0"/>
    <n v="0"/>
    <n v="1"/>
    <n v="1"/>
    <n v="0"/>
    <n v="0"/>
    <n v="0"/>
    <n v="0"/>
    <n v="0"/>
    <n v="0"/>
    <n v="0"/>
    <n v="0"/>
    <n v="0"/>
    <n v="0"/>
    <n v="0"/>
    <n v="0"/>
    <n v="0"/>
    <n v="0"/>
    <n v="0"/>
    <n v="0"/>
    <n v="0"/>
    <n v="0"/>
    <n v="0"/>
    <m/>
    <m/>
    <s v="Wandsworth Town, including the Wandle Delta Masterplan Area"/>
    <n v="7"/>
    <m/>
    <m/>
    <n v="0.5"/>
    <n v="0.5"/>
    <n v="0.5"/>
    <n v="0.5"/>
    <m/>
    <m/>
    <m/>
    <m/>
    <m/>
    <m/>
    <m/>
    <m/>
    <m/>
    <m/>
    <m/>
    <m/>
    <m/>
    <m/>
    <n v="2"/>
    <n v="2"/>
  </r>
  <r>
    <n v="3758"/>
    <x v="2"/>
    <s v="2022/2245"/>
    <s v="60 Hazlewell Road"/>
    <s v=""/>
    <n v="523099"/>
    <n v="174875"/>
    <s v="West Putney"/>
    <m/>
    <m/>
    <n v="5"/>
    <n v="1"/>
    <n v="-4"/>
    <n v="1"/>
    <n v="-4"/>
    <m/>
    <s v="Conversion from 5x1-bed flats to a single-dwelling house with reinstatement of front entrance door and fanlight."/>
    <s v="PF"/>
    <d v="2022-06-21T00:00:00"/>
    <d v="2022-08-15T00:00:00"/>
    <m/>
    <s v="Nil"/>
    <m/>
    <s v="BF"/>
    <s v="CON"/>
    <x v="2"/>
    <x v="11"/>
    <n v="0.01"/>
    <m/>
    <x v="0"/>
    <m/>
    <s v="Open Market"/>
    <s v="M"/>
    <s v=""/>
    <m/>
    <m/>
    <m/>
    <m/>
    <m/>
    <n v="0"/>
    <n v="-5"/>
    <n v="0"/>
    <n v="0"/>
    <n v="1"/>
    <n v="0"/>
    <n v="0"/>
    <n v="0"/>
    <n v="-5"/>
    <n v="0"/>
    <n v="0"/>
    <n v="0"/>
    <n v="0"/>
    <n v="0"/>
    <n v="0"/>
    <n v="0"/>
    <n v="0"/>
    <n v="0"/>
    <n v="1"/>
    <n v="0"/>
    <n v="0"/>
    <n v="0"/>
    <n v="0"/>
    <n v="0"/>
    <n v="0"/>
    <n v="0"/>
    <n v="0"/>
    <n v="0"/>
    <m/>
    <m/>
    <s v="Rest of Borough"/>
    <n v="15"/>
    <m/>
    <n v="-1"/>
    <n v="-1"/>
    <n v="-1"/>
    <n v="-1"/>
    <m/>
    <m/>
    <m/>
    <m/>
    <m/>
    <m/>
    <m/>
    <m/>
    <m/>
    <m/>
    <m/>
    <m/>
    <m/>
    <m/>
    <m/>
    <n v="-4"/>
    <n v="-4"/>
  </r>
  <r>
    <n v="7860"/>
    <x v="2"/>
    <s v="2022/2370"/>
    <s v="1 Furzedown Drive"/>
    <s v=""/>
    <n v="528722"/>
    <n v="171376"/>
    <s v="Furzedown"/>
    <m/>
    <m/>
    <n v="0"/>
    <n v="1"/>
    <n v="1"/>
    <n v="1"/>
    <n v="1"/>
    <m/>
    <s v="Demolition of the existing single-storey garage and construction of a single-storey dwellinghouse."/>
    <s v="PF"/>
    <d v="2022-06-08T00:00:00"/>
    <d v="2022-08-03T00:00:00"/>
    <m/>
    <s v="Nil"/>
    <m/>
    <s v="Gdn"/>
    <s v="NB"/>
    <x v="2"/>
    <x v="3"/>
    <n v="4.2399999999999998E-3"/>
    <m/>
    <x v="0"/>
    <m/>
    <s v="Open Market"/>
    <s v="M"/>
    <s v=""/>
    <m/>
    <m/>
    <m/>
    <m/>
    <m/>
    <n v="0"/>
    <n v="1"/>
    <n v="0"/>
    <n v="0"/>
    <n v="0"/>
    <n v="0"/>
    <n v="0"/>
    <n v="0"/>
    <n v="0"/>
    <n v="0"/>
    <n v="0"/>
    <n v="0"/>
    <n v="0"/>
    <n v="0"/>
    <n v="0"/>
    <n v="1"/>
    <n v="0"/>
    <n v="0"/>
    <n v="0"/>
    <n v="0"/>
    <n v="0"/>
    <n v="0"/>
    <n v="0"/>
    <n v="0"/>
    <n v="0"/>
    <n v="0"/>
    <n v="0"/>
    <n v="0"/>
    <m/>
    <m/>
    <s v="Rest of Borough"/>
    <n v="7"/>
    <m/>
    <m/>
    <n v="0.25"/>
    <n v="0.25"/>
    <n v="0.25"/>
    <n v="0.25"/>
    <m/>
    <m/>
    <m/>
    <m/>
    <m/>
    <m/>
    <m/>
    <m/>
    <m/>
    <m/>
    <m/>
    <m/>
    <m/>
    <m/>
    <n v="1"/>
    <n v="1"/>
  </r>
  <r>
    <n v="7862"/>
    <x v="2"/>
    <s v="2022/2521"/>
    <s v="Ground and First Floor Flats, 56 Luttrell Avenue"/>
    <s v=""/>
    <n v="522956"/>
    <n v="174649"/>
    <s v="West Putney"/>
    <m/>
    <m/>
    <n v="2"/>
    <n v="1"/>
    <n v="-1"/>
    <n v="1"/>
    <n v="-1"/>
    <m/>
    <s v="Erection of a replacement single-storey rear/side extension in connection with use of ground and first floor flats as a single dwelling."/>
    <s v="PF"/>
    <d v="2022-06-15T00:00:00"/>
    <d v="2022-10-14T00:00:00"/>
    <m/>
    <s v="Nil"/>
    <m/>
    <s v="BF"/>
    <s v="CON"/>
    <x v="2"/>
    <x v="11"/>
    <n v="1.54E-2"/>
    <m/>
    <x v="0"/>
    <m/>
    <s v="Open Market"/>
    <s v="M"/>
    <s v=""/>
    <m/>
    <m/>
    <m/>
    <m/>
    <m/>
    <n v="0"/>
    <n v="-1"/>
    <n v="-1"/>
    <n v="0"/>
    <n v="1"/>
    <n v="0"/>
    <n v="0"/>
    <n v="0"/>
    <n v="-1"/>
    <n v="-1"/>
    <n v="0"/>
    <n v="1"/>
    <n v="0"/>
    <n v="0"/>
    <n v="0"/>
    <n v="0"/>
    <n v="0"/>
    <n v="0"/>
    <n v="0"/>
    <n v="0"/>
    <n v="0"/>
    <n v="0"/>
    <n v="0"/>
    <n v="0"/>
    <n v="0"/>
    <n v="0"/>
    <n v="0"/>
    <n v="0"/>
    <m/>
    <m/>
    <s v="Rest of Borough"/>
    <n v="15"/>
    <m/>
    <n v="-0.25"/>
    <n v="-0.25"/>
    <n v="-0.25"/>
    <n v="-0.25"/>
    <m/>
    <m/>
    <m/>
    <m/>
    <m/>
    <m/>
    <m/>
    <m/>
    <m/>
    <m/>
    <m/>
    <m/>
    <m/>
    <m/>
    <m/>
    <n v="-1"/>
    <n v="-1"/>
  </r>
  <r>
    <n v="5197"/>
    <x v="2"/>
    <s v="2022/2608"/>
    <s v="Rear of 667-669, 667-669 Garratt Lane"/>
    <s v=""/>
    <n v="526177"/>
    <n v="172334"/>
    <s v="Wandsworth Common"/>
    <m/>
    <m/>
    <n v="0"/>
    <n v="2"/>
    <n v="2"/>
    <n v="2"/>
    <n v="2"/>
    <m/>
    <s v="Erection of a two-storey rear extension to provide 1 x 1-bedroom flat and 1 x studio flat."/>
    <s v="PF"/>
    <d v="2022-07-13T00:00:00"/>
    <d v="2022-09-05T00:00:00"/>
    <m/>
    <s v="Nil"/>
    <m/>
    <s v="BF"/>
    <s v="EXT"/>
    <x v="2"/>
    <x v="7"/>
    <n v="4.5500000000000002E-3"/>
    <m/>
    <x v="0"/>
    <m/>
    <s v="Open Market"/>
    <s v="MR"/>
    <s v=""/>
    <m/>
    <m/>
    <m/>
    <m/>
    <m/>
    <n v="1"/>
    <n v="1"/>
    <n v="0"/>
    <n v="0"/>
    <n v="0"/>
    <n v="0"/>
    <n v="0"/>
    <n v="1"/>
    <n v="1"/>
    <n v="0"/>
    <n v="0"/>
    <n v="0"/>
    <n v="0"/>
    <n v="0"/>
    <n v="0"/>
    <n v="0"/>
    <n v="0"/>
    <n v="0"/>
    <n v="0"/>
    <n v="0"/>
    <n v="0"/>
    <n v="0"/>
    <n v="0"/>
    <n v="0"/>
    <n v="0"/>
    <n v="0"/>
    <n v="0"/>
    <n v="0"/>
    <m/>
    <m/>
    <s v="Wandle Valley"/>
    <n v="15"/>
    <m/>
    <n v="0.5"/>
    <n v="0.5"/>
    <n v="0.5"/>
    <n v="0.5"/>
    <m/>
    <m/>
    <m/>
    <m/>
    <m/>
    <m/>
    <m/>
    <m/>
    <m/>
    <m/>
    <m/>
    <m/>
    <m/>
    <m/>
    <m/>
    <n v="2"/>
    <n v="2"/>
  </r>
  <r>
    <n v="7867"/>
    <x v="2"/>
    <s v="2022/2668"/>
    <s v="25 Coverton Road"/>
    <s v="Extn/Conv"/>
    <n v="527266"/>
    <n v="171375"/>
    <s v="Tooting Broadway"/>
    <m/>
    <m/>
    <n v="2"/>
    <n v="4"/>
    <n v="2"/>
    <n v="4"/>
    <n v="2"/>
    <m/>
    <s v="Alterations including erection of mansard roof extension to the main rear roof (with French doors and safety railings) including raising ridge by 300mm and erection of roof extension above two storey back addition, erection of single-story rear/side extension, lowering of front first floor windows and replacement to front, rear and side windows, formation of rear roof terrace with 1.7m glazed screen surround over two storey back addition in connection with conversion of two flats to four flats; 1 x 3-bedroom, 1 x 2-bedroom, 1 x 1-bedroom and 1 x 1 bedroom/studio. Provision of refuse and cycle storage."/>
    <s v="PF"/>
    <d v="2022-06-24T00:00:00"/>
    <d v="2022-08-24T00:00:00"/>
    <m/>
    <s v="Nil"/>
    <m/>
    <s v="BF"/>
    <s v="MIX"/>
    <x v="2"/>
    <x v="7"/>
    <n v="6.5500000000000003E-3"/>
    <m/>
    <x v="0"/>
    <m/>
    <s v="Open Market"/>
    <s v="M"/>
    <s v=""/>
    <m/>
    <m/>
    <m/>
    <m/>
    <m/>
    <n v="1"/>
    <n v="0"/>
    <n v="1"/>
    <n v="0"/>
    <n v="0"/>
    <n v="0"/>
    <n v="0"/>
    <n v="1"/>
    <n v="0"/>
    <n v="1"/>
    <n v="0"/>
    <n v="0"/>
    <n v="0"/>
    <n v="0"/>
    <n v="0"/>
    <n v="0"/>
    <n v="0"/>
    <n v="0"/>
    <n v="0"/>
    <n v="0"/>
    <n v="0"/>
    <n v="0"/>
    <n v="0"/>
    <n v="0"/>
    <n v="0"/>
    <n v="0"/>
    <n v="0"/>
    <n v="0"/>
    <m/>
    <m/>
    <s v="Tooting"/>
    <n v="15"/>
    <m/>
    <n v="0.5"/>
    <n v="0.5"/>
    <n v="0.5"/>
    <n v="0.5"/>
    <m/>
    <m/>
    <m/>
    <m/>
    <m/>
    <m/>
    <m/>
    <m/>
    <m/>
    <m/>
    <m/>
    <m/>
    <m/>
    <m/>
    <m/>
    <n v="2"/>
    <n v="2"/>
  </r>
  <r>
    <n v="7869"/>
    <x v="2"/>
    <s v="2022/2788"/>
    <s v="Alexander Studios, Unit 4 Haydon Way (The Courtyard)"/>
    <s v=""/>
    <n v="526537"/>
    <n v="175110"/>
    <s v="Wandsworth Town"/>
    <m/>
    <m/>
    <n v="0"/>
    <n v="1"/>
    <n v="1"/>
    <n v="1"/>
    <n v="1"/>
    <m/>
    <s v="Change of use from a photography studio (Class E) into a 3-bed flat (Class C3)."/>
    <s v="PF"/>
    <d v="2022-07-26T00:00:00"/>
    <d v="2022-09-20T00:00:00"/>
    <m/>
    <s v="Nil"/>
    <m/>
    <s v="BF"/>
    <s v="CON"/>
    <x v="2"/>
    <x v="4"/>
    <n v="1.3599999999999999E-2"/>
    <m/>
    <x v="0"/>
    <m/>
    <s v="Open Market"/>
    <s v="M"/>
    <s v=""/>
    <m/>
    <m/>
    <m/>
    <m/>
    <m/>
    <n v="0"/>
    <n v="0"/>
    <n v="0"/>
    <n v="1"/>
    <n v="0"/>
    <n v="0"/>
    <n v="0"/>
    <n v="0"/>
    <n v="0"/>
    <n v="0"/>
    <n v="1"/>
    <n v="0"/>
    <n v="0"/>
    <n v="0"/>
    <n v="0"/>
    <n v="0"/>
    <n v="0"/>
    <n v="0"/>
    <n v="0"/>
    <n v="0"/>
    <n v="0"/>
    <n v="0"/>
    <n v="0"/>
    <n v="0"/>
    <n v="0"/>
    <n v="0"/>
    <n v="0"/>
    <n v="0"/>
    <m/>
    <m/>
    <s v="Rest of Borough"/>
    <n v="15"/>
    <m/>
    <n v="0.25"/>
    <n v="0.25"/>
    <n v="0.25"/>
    <n v="0.25"/>
    <m/>
    <m/>
    <m/>
    <m/>
    <m/>
    <m/>
    <m/>
    <m/>
    <m/>
    <m/>
    <m/>
    <m/>
    <m/>
    <m/>
    <m/>
    <n v="1"/>
    <n v="1"/>
  </r>
  <r>
    <n v="6348"/>
    <x v="2"/>
    <s v="2022/2791"/>
    <s v="39-43 and 39-43a, 39-43 West Hill"/>
    <s v=""/>
    <n v="525098"/>
    <n v="174608"/>
    <s v="East Putney"/>
    <m/>
    <m/>
    <n v="0"/>
    <n v="5"/>
    <n v="5"/>
    <n v="5"/>
    <n v="5"/>
    <m/>
    <s v="Alterations to include the excavation to form basement with rear lightwells in conjunction with change of use from retail (Class E) and provision of 1 x 1-bedroom, 4 x 2-bedroom flats (Class C3) at basement and ground floor levels; refuse and cycle stores fronting Lebanon Road."/>
    <s v="PF"/>
    <d v="2022-07-01T00:00:00"/>
    <d v="2022-08-25T00:00:00"/>
    <m/>
    <s v="Nil"/>
    <m/>
    <s v="BF"/>
    <s v="MIX"/>
    <x v="2"/>
    <x v="7"/>
    <n v="2.4549999999999999E-2"/>
    <m/>
    <x v="0"/>
    <m/>
    <s v="Open Market"/>
    <s v="M"/>
    <s v=""/>
    <m/>
    <m/>
    <m/>
    <m/>
    <m/>
    <n v="0"/>
    <n v="1"/>
    <n v="4"/>
    <n v="0"/>
    <n v="0"/>
    <n v="0"/>
    <n v="0"/>
    <n v="0"/>
    <n v="1"/>
    <n v="4"/>
    <n v="0"/>
    <n v="0"/>
    <n v="0"/>
    <n v="0"/>
    <n v="0"/>
    <n v="0"/>
    <n v="0"/>
    <n v="0"/>
    <n v="0"/>
    <n v="0"/>
    <n v="0"/>
    <n v="0"/>
    <n v="0"/>
    <n v="0"/>
    <n v="0"/>
    <n v="0"/>
    <n v="0"/>
    <n v="0"/>
    <m/>
    <m/>
    <s v="Rest of Borough"/>
    <n v="15"/>
    <m/>
    <n v="1.25"/>
    <n v="1.25"/>
    <n v="1.25"/>
    <n v="1.25"/>
    <m/>
    <m/>
    <m/>
    <m/>
    <m/>
    <m/>
    <m/>
    <m/>
    <m/>
    <m/>
    <m/>
    <m/>
    <m/>
    <m/>
    <m/>
    <n v="5"/>
    <n v="5"/>
  </r>
  <r>
    <n v="7157"/>
    <x v="2"/>
    <s v="2022/2884"/>
    <s v="40 Lavender Hill"/>
    <s v=""/>
    <n v="528409"/>
    <n v="175769"/>
    <s v="Shaftesbury &amp; Queenstown"/>
    <m/>
    <m/>
    <n v="0"/>
    <n v="1"/>
    <n v="1"/>
    <n v="1"/>
    <n v="1"/>
    <m/>
    <s v="Alterations in connection with change of use of hot food takeaway (Class A5) to retail (Class E) and residential (Class C3) to provide 1 x 1-bedroom flat. Extension to basement, installation of glazed pavement lenses, forecourt wall and replacement shopfront."/>
    <s v="PF"/>
    <d v="2022-11-01T00:00:00"/>
    <d v="2022-12-21T00:00:00"/>
    <m/>
    <s v="Nil"/>
    <m/>
    <s v="BF"/>
    <s v="MIX"/>
    <x v="2"/>
    <x v="8"/>
    <n v="0.01"/>
    <m/>
    <x v="0"/>
    <m/>
    <s v="Open Market"/>
    <s v="M"/>
    <s v=""/>
    <m/>
    <m/>
    <m/>
    <m/>
    <m/>
    <n v="0"/>
    <n v="1"/>
    <n v="0"/>
    <n v="0"/>
    <n v="0"/>
    <n v="0"/>
    <n v="0"/>
    <n v="0"/>
    <n v="1"/>
    <n v="0"/>
    <n v="0"/>
    <n v="0"/>
    <n v="0"/>
    <n v="0"/>
    <n v="0"/>
    <n v="0"/>
    <n v="0"/>
    <n v="0"/>
    <n v="0"/>
    <n v="0"/>
    <n v="0"/>
    <n v="0"/>
    <n v="0"/>
    <n v="0"/>
    <n v="0"/>
    <n v="0"/>
    <n v="0"/>
    <n v="0"/>
    <m/>
    <m/>
    <s v="Rest of Borough"/>
    <n v="15"/>
    <m/>
    <n v="0.25"/>
    <n v="0.25"/>
    <n v="0.25"/>
    <n v="0.25"/>
    <m/>
    <m/>
    <m/>
    <m/>
    <m/>
    <m/>
    <m/>
    <m/>
    <m/>
    <m/>
    <m/>
    <m/>
    <m/>
    <m/>
    <m/>
    <n v="1"/>
    <n v="1"/>
  </r>
  <r>
    <n v="4252"/>
    <x v="2"/>
    <s v="2022/2954"/>
    <s v="Lanterns Lodge, The Lanterns, Bridge Lane"/>
    <s v=""/>
    <n v="527344"/>
    <n v="176643"/>
    <s v="St Mary's"/>
    <m/>
    <m/>
    <n v="0"/>
    <n v="1"/>
    <n v="1"/>
    <n v="1"/>
    <n v="1"/>
    <m/>
    <s v="Change of use of from offices (Class E) to residential (Class C3)."/>
    <s v="PF"/>
    <d v="2022-08-10T00:00:00"/>
    <d v="2023-04-19T00:00:00"/>
    <s v="Y"/>
    <s v="Nil"/>
    <m/>
    <s v="BF"/>
    <s v="COU"/>
    <x v="2"/>
    <x v="6"/>
    <n v="6.4000000000000003E-3"/>
    <m/>
    <x v="0"/>
    <m/>
    <s v="Open Market"/>
    <s v="M"/>
    <s v=""/>
    <m/>
    <m/>
    <m/>
    <m/>
    <m/>
    <n v="0"/>
    <n v="1"/>
    <n v="0"/>
    <n v="0"/>
    <n v="0"/>
    <n v="0"/>
    <n v="0"/>
    <n v="0"/>
    <n v="0"/>
    <n v="0"/>
    <n v="0"/>
    <n v="0"/>
    <n v="0"/>
    <n v="0"/>
    <n v="0"/>
    <n v="1"/>
    <n v="0"/>
    <n v="0"/>
    <n v="0"/>
    <n v="0"/>
    <n v="0"/>
    <n v="0"/>
    <n v="0"/>
    <n v="0"/>
    <n v="0"/>
    <n v="0"/>
    <n v="0"/>
    <n v="0"/>
    <m/>
    <m/>
    <s v="Rest of Borough"/>
    <n v="15"/>
    <m/>
    <n v="0.25"/>
    <n v="0.25"/>
    <n v="0.25"/>
    <n v="0.25"/>
    <m/>
    <m/>
    <m/>
    <m/>
    <m/>
    <m/>
    <m/>
    <m/>
    <m/>
    <m/>
    <m/>
    <m/>
    <m/>
    <m/>
    <m/>
    <n v="1"/>
    <n v="1"/>
  </r>
  <r>
    <n v="7515"/>
    <x v="2"/>
    <s v="2022/3049"/>
    <s v="76 Norroy Road"/>
    <s v=""/>
    <n v="523770"/>
    <n v="175233"/>
    <s v="Thamesfield"/>
    <m/>
    <m/>
    <n v="4"/>
    <n v="1"/>
    <n v="-3"/>
    <n v="1"/>
    <n v="-3"/>
    <m/>
    <s v="Alterations including erection of single-storey rear/side extension and extension above two-storey back addition in connection with use as a single dwelling."/>
    <s v="PF"/>
    <d v="2022-08-09T00:00:00"/>
    <d v="2022-10-03T00:00:00"/>
    <m/>
    <s v="Nil"/>
    <m/>
    <s v="BF"/>
    <s v="CON"/>
    <x v="2"/>
    <x v="11"/>
    <n v="5.8333329999999996E-3"/>
    <m/>
    <x v="0"/>
    <m/>
    <s v="Open Market"/>
    <s v="M"/>
    <s v=""/>
    <m/>
    <m/>
    <m/>
    <m/>
    <m/>
    <n v="-2"/>
    <n v="-2"/>
    <n v="0"/>
    <n v="0"/>
    <n v="0"/>
    <n v="1"/>
    <n v="0"/>
    <n v="-2"/>
    <n v="-2"/>
    <n v="0"/>
    <n v="0"/>
    <n v="0"/>
    <n v="0"/>
    <n v="0"/>
    <n v="0"/>
    <n v="0"/>
    <n v="0"/>
    <n v="0"/>
    <n v="0"/>
    <n v="1"/>
    <n v="0"/>
    <n v="0"/>
    <n v="0"/>
    <n v="0"/>
    <n v="0"/>
    <n v="0"/>
    <n v="0"/>
    <n v="0"/>
    <m/>
    <m/>
    <s v="Putney"/>
    <n v="15"/>
    <m/>
    <n v="-0.75"/>
    <n v="-0.75"/>
    <n v="-0.75"/>
    <n v="-0.75"/>
    <m/>
    <m/>
    <m/>
    <m/>
    <m/>
    <m/>
    <m/>
    <m/>
    <m/>
    <m/>
    <m/>
    <m/>
    <m/>
    <m/>
    <m/>
    <n v="-3"/>
    <n v="-3"/>
  </r>
  <r>
    <n v="7875"/>
    <x v="2"/>
    <s v="2022/3125"/>
    <s v="122 Dowdeswell Close"/>
    <s v=""/>
    <n v="521424"/>
    <n v="175172"/>
    <s v="Roehampton"/>
    <m/>
    <m/>
    <n v="2"/>
    <n v="1"/>
    <n v="-1"/>
    <n v="1"/>
    <n v="-1"/>
    <m/>
    <s v="Continue use as a single dwelling house."/>
    <s v="PF"/>
    <d v="2022-08-30T00:00:00"/>
    <d v="2022-11-16T00:00:00"/>
    <m/>
    <s v="Nil"/>
    <m/>
    <s v="BF"/>
    <s v="CON"/>
    <x v="2"/>
    <x v="13"/>
    <n v="1.8E-3"/>
    <m/>
    <x v="0"/>
    <m/>
    <s v="Open Market"/>
    <s v="M"/>
    <s v=""/>
    <m/>
    <m/>
    <m/>
    <m/>
    <m/>
    <n v="-1"/>
    <n v="0"/>
    <n v="0"/>
    <n v="-1"/>
    <n v="1"/>
    <n v="0"/>
    <n v="0"/>
    <n v="-1"/>
    <n v="0"/>
    <n v="0"/>
    <n v="0"/>
    <n v="0"/>
    <n v="0"/>
    <n v="0"/>
    <n v="0"/>
    <n v="0"/>
    <n v="0"/>
    <n v="-1"/>
    <n v="1"/>
    <n v="0"/>
    <n v="0"/>
    <n v="0"/>
    <n v="0"/>
    <n v="0"/>
    <n v="0"/>
    <n v="0"/>
    <n v="0"/>
    <n v="0"/>
    <m/>
    <m/>
    <s v="Rest of Borough"/>
    <n v="15"/>
    <m/>
    <n v="-0.25"/>
    <n v="-0.25"/>
    <n v="-0.25"/>
    <n v="-0.25"/>
    <m/>
    <m/>
    <m/>
    <m/>
    <m/>
    <m/>
    <m/>
    <m/>
    <m/>
    <m/>
    <m/>
    <m/>
    <m/>
    <m/>
    <m/>
    <n v="-1"/>
    <n v="-1"/>
  </r>
  <r>
    <n v="4327"/>
    <x v="2"/>
    <s v="2022/3185"/>
    <s v="rear of, 102-104 Upper Tooting Road"/>
    <s v=""/>
    <n v="527751"/>
    <n v="172127"/>
    <s v="Tooting Bec"/>
    <m/>
    <m/>
    <n v="0"/>
    <n v="5"/>
    <n v="5"/>
    <n v="5"/>
    <n v="5"/>
    <m/>
    <s v="Demolition of existing buildings and erection of 5 x two storey (plus basement) 3-bedroom dwelling houses accessed via Holmbury Court."/>
    <s v="PF"/>
    <d v="2022-07-29T00:00:00"/>
    <d v="2022-11-24T00:00:00"/>
    <m/>
    <s v="Nil"/>
    <m/>
    <s v="BF"/>
    <s v="NB"/>
    <x v="2"/>
    <x v="3"/>
    <n v="1.923333E-2"/>
    <m/>
    <x v="0"/>
    <m/>
    <s v="Open Market"/>
    <s v="M"/>
    <s v=""/>
    <m/>
    <m/>
    <m/>
    <m/>
    <m/>
    <n v="0"/>
    <n v="0"/>
    <n v="0"/>
    <n v="5"/>
    <n v="0"/>
    <n v="0"/>
    <n v="0"/>
    <n v="0"/>
    <n v="0"/>
    <n v="0"/>
    <n v="0"/>
    <n v="0"/>
    <n v="0"/>
    <n v="0"/>
    <n v="0"/>
    <n v="0"/>
    <n v="0"/>
    <n v="5"/>
    <n v="0"/>
    <n v="0"/>
    <n v="0"/>
    <n v="0"/>
    <n v="0"/>
    <n v="0"/>
    <n v="0"/>
    <n v="0"/>
    <n v="0"/>
    <n v="0"/>
    <m/>
    <m/>
    <s v="Rest of Borough"/>
    <n v="7"/>
    <m/>
    <m/>
    <n v="1.25"/>
    <n v="1.25"/>
    <n v="1.25"/>
    <n v="1.25"/>
    <m/>
    <m/>
    <m/>
    <m/>
    <m/>
    <m/>
    <m/>
    <m/>
    <m/>
    <m/>
    <m/>
    <m/>
    <m/>
    <m/>
    <n v="5"/>
    <n v="5"/>
  </r>
  <r>
    <n v="6563"/>
    <x v="2"/>
    <s v="2022/3327"/>
    <s v="Second Floor Regent House, 16-18 Lombard Road"/>
    <s v=""/>
    <n v="526668"/>
    <n v="176335"/>
    <s v="St Mary's"/>
    <m/>
    <m/>
    <n v="0"/>
    <n v="9"/>
    <n v="9"/>
    <n v="9"/>
    <n v="9"/>
    <m/>
    <s v="Determination as to whether prior approval is required for change of use from office  (Class E) to residential (Class C3) to provide 9 flats."/>
    <s v="PAG"/>
    <d v="2022-08-03T00:00:00"/>
    <d v="2022-10-10T00:00:00"/>
    <m/>
    <s v="Nil"/>
    <m/>
    <s v="BF"/>
    <s v="COU"/>
    <x v="2"/>
    <x v="6"/>
    <n v="7.4999999999999997E-2"/>
    <m/>
    <x v="0"/>
    <m/>
    <s v="Open Market"/>
    <s v="M"/>
    <s v=""/>
    <m/>
    <m/>
    <m/>
    <m/>
    <m/>
    <n v="0"/>
    <n v="3"/>
    <n v="3"/>
    <n v="3"/>
    <n v="0"/>
    <n v="0"/>
    <n v="0"/>
    <n v="0"/>
    <n v="3"/>
    <n v="3"/>
    <n v="3"/>
    <n v="0"/>
    <n v="0"/>
    <n v="0"/>
    <n v="0"/>
    <n v="0"/>
    <n v="0"/>
    <n v="0"/>
    <n v="0"/>
    <n v="0"/>
    <n v="0"/>
    <n v="0"/>
    <n v="0"/>
    <n v="0"/>
    <n v="0"/>
    <n v="0"/>
    <n v="0"/>
    <n v="0"/>
    <m/>
    <m/>
    <s v="Wandsworth riverside"/>
    <n v="18"/>
    <m/>
    <n v="2.25"/>
    <n v="2.25"/>
    <n v="2.25"/>
    <n v="2.25"/>
    <m/>
    <m/>
    <m/>
    <m/>
    <m/>
    <m/>
    <m/>
    <m/>
    <m/>
    <m/>
    <m/>
    <m/>
    <m/>
    <m/>
    <m/>
    <n v="9"/>
    <n v="9"/>
  </r>
  <r>
    <n v="5767"/>
    <x v="2"/>
    <s v="2022/3346"/>
    <s v="56-66 Gwynne Road (26-28)"/>
    <s v=""/>
    <n v="526797"/>
    <n v="176325"/>
    <s v="St Mary's"/>
    <m/>
    <m/>
    <n v="0"/>
    <n v="2"/>
    <n v="2"/>
    <n v="2"/>
    <n v="2"/>
    <m/>
    <s v="Alterations to mezzanine floor in connection with change of use from commercial use (Class E) to residential (Class C3) to create 2 x 1-bedroom flats with associated balconies."/>
    <s v="PFLA"/>
    <d v="2022-10-24T00:00:00"/>
    <d v="2023-03-08T00:00:00"/>
    <m/>
    <s v="Nil"/>
    <m/>
    <s v="BF"/>
    <s v="COU"/>
    <x v="2"/>
    <x v="4"/>
    <n v="0.01"/>
    <m/>
    <x v="0"/>
    <m/>
    <s v="Open Market"/>
    <s v="M"/>
    <s v=""/>
    <m/>
    <m/>
    <m/>
    <m/>
    <m/>
    <n v="0"/>
    <n v="2"/>
    <n v="0"/>
    <n v="0"/>
    <n v="0"/>
    <n v="0"/>
    <n v="0"/>
    <n v="0"/>
    <n v="2"/>
    <n v="0"/>
    <n v="0"/>
    <n v="0"/>
    <n v="0"/>
    <n v="0"/>
    <n v="0"/>
    <n v="0"/>
    <n v="0"/>
    <n v="0"/>
    <n v="0"/>
    <n v="0"/>
    <n v="0"/>
    <n v="0"/>
    <n v="0"/>
    <n v="0"/>
    <n v="0"/>
    <n v="0"/>
    <n v="0"/>
    <n v="0"/>
    <m/>
    <m/>
    <s v="Wandsworth riverside"/>
    <n v="15"/>
    <m/>
    <n v="0.5"/>
    <n v="0.5"/>
    <n v="0.5"/>
    <n v="0.5"/>
    <m/>
    <m/>
    <m/>
    <m/>
    <m/>
    <m/>
    <m/>
    <m/>
    <m/>
    <m/>
    <m/>
    <m/>
    <m/>
    <m/>
    <m/>
    <n v="2"/>
    <n v="2"/>
  </r>
  <r>
    <n v="7828"/>
    <x v="2"/>
    <s v="2022/3398"/>
    <s v="6 Clarendon Drive"/>
    <s v="7 x houses"/>
    <n v="523617"/>
    <n v="175404"/>
    <s v="Thamesfield"/>
    <d v="2023-11-30T00:00:00"/>
    <m/>
    <n v="0"/>
    <n v="7"/>
    <n v="7"/>
    <n v="7"/>
    <n v="7"/>
    <m/>
    <s v="Redevelopment and erection of seven two-storey (plus basement and roof level) houses  (1 x 5-bed and 6 x4 bed) with associated landscaping including removal of two trees and proposed replacement trees;  two on-street parking spaces, on site cycle parking and refuse storage."/>
    <s v="PF"/>
    <d v="2022-08-12T00:00:00"/>
    <d v="2022-12-20T00:00:00"/>
    <m/>
    <s v="Nil"/>
    <m/>
    <s v="BF"/>
    <s v="NB"/>
    <x v="2"/>
    <x v="3"/>
    <n v="4.9000000000000002E-2"/>
    <m/>
    <x v="0"/>
    <m/>
    <s v="Open Market"/>
    <s v="M"/>
    <s v=""/>
    <m/>
    <m/>
    <n v="6"/>
    <m/>
    <n v="1"/>
    <n v="0"/>
    <n v="0"/>
    <n v="0"/>
    <n v="0"/>
    <n v="6"/>
    <n v="1"/>
    <n v="0"/>
    <n v="0"/>
    <n v="0"/>
    <n v="0"/>
    <n v="0"/>
    <n v="0"/>
    <n v="0"/>
    <n v="0"/>
    <n v="0"/>
    <n v="0"/>
    <n v="0"/>
    <n v="0"/>
    <n v="6"/>
    <n v="1"/>
    <n v="0"/>
    <n v="0"/>
    <n v="0"/>
    <n v="0"/>
    <n v="0"/>
    <n v="0"/>
    <n v="0"/>
    <n v="0"/>
    <m/>
    <m/>
    <s v="Rest of Borough"/>
    <n v="10"/>
    <m/>
    <m/>
    <m/>
    <m/>
    <n v="2.3333333333333335"/>
    <n v="2.3333333333333335"/>
    <n v="2.3333333333333335"/>
    <m/>
    <m/>
    <m/>
    <m/>
    <m/>
    <m/>
    <m/>
    <m/>
    <m/>
    <m/>
    <m/>
    <m/>
    <m/>
    <n v="4.666666666666667"/>
    <n v="7"/>
  </r>
  <r>
    <n v="8106"/>
    <x v="2"/>
    <s v="2022/3419"/>
    <s v="Land rear of, 1 Clairview Road"/>
    <s v=""/>
    <n v="529070"/>
    <n v="171516"/>
    <s v="Furzedown"/>
    <m/>
    <m/>
    <n v="0"/>
    <n v="1"/>
    <n v="1"/>
    <n v="1"/>
    <n v="1"/>
    <m/>
    <s v="Erection of a single storey (plus basement) 2 x bed dwelling, with associated refuse and cycle storage."/>
    <s v="PF"/>
    <d v="2022-08-15T00:00:00"/>
    <d v="2022-11-24T00:00:00"/>
    <m/>
    <s v="Nil"/>
    <m/>
    <s v="Gdn"/>
    <s v="NB"/>
    <x v="2"/>
    <x v="3"/>
    <n v="4.0000000000000001E-3"/>
    <m/>
    <x v="0"/>
    <m/>
    <s v="Open Market"/>
    <s v="M"/>
    <s v=""/>
    <m/>
    <m/>
    <m/>
    <m/>
    <m/>
    <n v="0"/>
    <n v="0"/>
    <n v="1"/>
    <n v="0"/>
    <n v="0"/>
    <n v="0"/>
    <n v="0"/>
    <n v="0"/>
    <n v="0"/>
    <n v="0"/>
    <n v="0"/>
    <n v="0"/>
    <n v="0"/>
    <n v="0"/>
    <n v="0"/>
    <n v="0"/>
    <n v="1"/>
    <n v="0"/>
    <n v="0"/>
    <n v="0"/>
    <n v="0"/>
    <n v="0"/>
    <n v="0"/>
    <n v="0"/>
    <n v="0"/>
    <n v="0"/>
    <n v="0"/>
    <n v="0"/>
    <m/>
    <m/>
    <s v="Rest of Borough"/>
    <n v="7"/>
    <m/>
    <m/>
    <n v="0.25"/>
    <n v="0.25"/>
    <n v="0.25"/>
    <n v="0.25"/>
    <m/>
    <m/>
    <m/>
    <m/>
    <m/>
    <m/>
    <m/>
    <m/>
    <m/>
    <m/>
    <m/>
    <m/>
    <m/>
    <m/>
    <n v="1"/>
    <n v="1"/>
  </r>
  <r>
    <n v="7887"/>
    <x v="2"/>
    <s v="2022/3526"/>
    <s v="40 Roedean Crescent"/>
    <s v=""/>
    <n v="521118"/>
    <n v="174326"/>
    <s v="Roehampton"/>
    <m/>
    <m/>
    <n v="1"/>
    <n v="1"/>
    <n v="0"/>
    <n v="1"/>
    <n v="0"/>
    <m/>
    <s v="Demolition of existing building and erection of a two-storey (plus basement and roof levels) 5-bedroom house with associated landscaping and single storey outbuilding and plant room in rear garden."/>
    <s v="PF"/>
    <d v="2022-09-13T00:00:00"/>
    <d v="2023-01-11T00:00:00"/>
    <m/>
    <s v="Nil"/>
    <m/>
    <s v="BF"/>
    <s v="NB"/>
    <x v="2"/>
    <x v="3"/>
    <n v="2.8000000000000001E-2"/>
    <m/>
    <x v="0"/>
    <m/>
    <s v="Open Market"/>
    <s v="M"/>
    <s v=""/>
    <m/>
    <m/>
    <m/>
    <m/>
    <m/>
    <n v="0"/>
    <n v="0"/>
    <n v="0"/>
    <n v="0"/>
    <n v="-1"/>
    <n v="1"/>
    <n v="0"/>
    <n v="0"/>
    <n v="0"/>
    <n v="0"/>
    <n v="0"/>
    <n v="0"/>
    <n v="0"/>
    <n v="0"/>
    <n v="0"/>
    <n v="0"/>
    <n v="0"/>
    <n v="0"/>
    <n v="-1"/>
    <n v="1"/>
    <n v="0"/>
    <n v="0"/>
    <n v="0"/>
    <n v="0"/>
    <n v="0"/>
    <n v="0"/>
    <n v="0"/>
    <n v="0"/>
    <m/>
    <m/>
    <s v="Rest of Borough"/>
    <n v="7"/>
    <m/>
    <m/>
    <n v="0"/>
    <n v="0"/>
    <n v="0"/>
    <n v="0"/>
    <m/>
    <m/>
    <m/>
    <m/>
    <m/>
    <m/>
    <m/>
    <m/>
    <m/>
    <m/>
    <m/>
    <m/>
    <m/>
    <m/>
    <n v="0"/>
    <n v="0"/>
  </r>
  <r>
    <n v="7404"/>
    <x v="2"/>
    <s v="2022/3600"/>
    <s v="30 Juer Street"/>
    <s v=""/>
    <n v="527387"/>
    <n v="177038"/>
    <s v="Battersea Park"/>
    <m/>
    <m/>
    <n v="2"/>
    <n v="1"/>
    <n v="-1"/>
    <n v="1"/>
    <n v="-1"/>
    <m/>
    <s v="Alterations including installation of solar panels to flat roof of existing roof extension; Extension to roof of three-storey back addition with formation of a roof terrace with raised access stair enclosure and 1.7m high screen surround extending above main roof; Removal of first floor rear access door and stair and installation of replacement window; Erection of a single storey rear /side extension; Excavation to enlarge existing basement, including formation of front lightwell with grille over. Alterations and extensions in connection with conversion of two flats to a single dwellinghouse."/>
    <s v="PF"/>
    <d v="2022-11-21T00:00:00"/>
    <d v="2023-01-31T00:00:00"/>
    <m/>
    <s v="Nil"/>
    <m/>
    <s v="BF"/>
    <s v="MIX"/>
    <x v="2"/>
    <x v="11"/>
    <n v="1.2E-2"/>
    <m/>
    <x v="0"/>
    <m/>
    <s v="Open Market"/>
    <s v="M"/>
    <s v=""/>
    <m/>
    <m/>
    <m/>
    <m/>
    <m/>
    <n v="0"/>
    <n v="-1"/>
    <n v="0"/>
    <n v="-1"/>
    <n v="1"/>
    <n v="0"/>
    <n v="0"/>
    <n v="0"/>
    <n v="-1"/>
    <n v="0"/>
    <n v="-1"/>
    <n v="0"/>
    <n v="0"/>
    <n v="0"/>
    <n v="0"/>
    <n v="0"/>
    <n v="0"/>
    <n v="0"/>
    <n v="1"/>
    <n v="0"/>
    <n v="0"/>
    <n v="0"/>
    <n v="0"/>
    <n v="0"/>
    <n v="0"/>
    <n v="0"/>
    <n v="0"/>
    <n v="0"/>
    <m/>
    <m/>
    <s v="Rest of Borough"/>
    <n v="15"/>
    <m/>
    <n v="-0.25"/>
    <n v="-0.25"/>
    <n v="-0.25"/>
    <n v="-0.25"/>
    <m/>
    <m/>
    <m/>
    <m/>
    <m/>
    <m/>
    <m/>
    <m/>
    <m/>
    <m/>
    <m/>
    <m/>
    <m/>
    <m/>
    <m/>
    <n v="-1"/>
    <n v="-1"/>
  </r>
  <r>
    <n v="2329"/>
    <x v="2"/>
    <s v="2022/3612"/>
    <s v="312-320 Earlsfield Road"/>
    <s v=""/>
    <n v="526048"/>
    <n v="173206"/>
    <s v="Wandle"/>
    <m/>
    <m/>
    <n v="0"/>
    <n v="7"/>
    <n v="7"/>
    <n v="7"/>
    <n v="7"/>
    <m/>
    <s v="Erection of a three storey building (with basement and accommodation at roof level) to provide 4 x 1-bed and 3 x 2-bed flats with balconies/roof terraces and with cycle and refuse storage accessed from Algarve Road."/>
    <s v="PF"/>
    <d v="2022-08-30T00:00:00"/>
    <d v="2023-06-22T00:00:00"/>
    <s v="Y"/>
    <s v="Nil"/>
    <m/>
    <s v="BF"/>
    <s v="NB"/>
    <x v="2"/>
    <x v="3"/>
    <n v="1.3142859999999999E-2"/>
    <m/>
    <x v="0"/>
    <m/>
    <s v="Intermediate"/>
    <s v="IRL"/>
    <s v=""/>
    <m/>
    <m/>
    <m/>
    <m/>
    <m/>
    <n v="0"/>
    <n v="4"/>
    <n v="3"/>
    <n v="0"/>
    <n v="0"/>
    <n v="0"/>
    <n v="0"/>
    <n v="0"/>
    <n v="4"/>
    <n v="3"/>
    <n v="0"/>
    <n v="0"/>
    <n v="0"/>
    <n v="0"/>
    <n v="0"/>
    <n v="0"/>
    <n v="0"/>
    <n v="0"/>
    <n v="0"/>
    <n v="0"/>
    <n v="0"/>
    <n v="0"/>
    <n v="0"/>
    <n v="0"/>
    <n v="0"/>
    <n v="0"/>
    <n v="0"/>
    <n v="0"/>
    <m/>
    <m/>
    <s v="Rest of Borough"/>
    <n v="10"/>
    <m/>
    <m/>
    <m/>
    <m/>
    <n v="2.3333333333333335"/>
    <n v="2.3333333333333335"/>
    <n v="2.3333333333333335"/>
    <m/>
    <m/>
    <m/>
    <m/>
    <m/>
    <m/>
    <m/>
    <m/>
    <m/>
    <m/>
    <m/>
    <m/>
    <m/>
    <n v="4.666666666666667"/>
    <n v="7"/>
  </r>
  <r>
    <n v="2684"/>
    <x v="2"/>
    <s v="2022/3642"/>
    <s v="Professional Centre School House, Franciscan Road"/>
    <s v=""/>
    <n v="527849"/>
    <n v="171347"/>
    <s v="Tooting Broadway"/>
    <m/>
    <m/>
    <n v="0"/>
    <n v="1"/>
    <n v="1"/>
    <n v="1"/>
    <n v="1"/>
    <m/>
    <s v="Change of use from office (Class E) to residential (Class C3) in connection with provision of 1 x 3 bedroom dwelling with associated refuse store (concurrent listed building consent ref. 2022/3602)."/>
    <s v="PF"/>
    <d v="2022-09-01T00:00:00"/>
    <d v="2022-11-01T00:00:00"/>
    <m/>
    <s v="Nil"/>
    <m/>
    <s v="BF"/>
    <s v="CON"/>
    <x v="2"/>
    <x v="6"/>
    <n v="4.7499999999999999E-3"/>
    <m/>
    <x v="0"/>
    <m/>
    <s v="Open Market"/>
    <s v="M"/>
    <s v=""/>
    <m/>
    <m/>
    <m/>
    <m/>
    <m/>
    <n v="0"/>
    <n v="0"/>
    <n v="1"/>
    <n v="0"/>
    <n v="0"/>
    <n v="0"/>
    <n v="0"/>
    <n v="0"/>
    <n v="0"/>
    <n v="0"/>
    <n v="0"/>
    <n v="0"/>
    <n v="0"/>
    <n v="0"/>
    <n v="0"/>
    <n v="0"/>
    <n v="1"/>
    <n v="0"/>
    <n v="0"/>
    <n v="0"/>
    <n v="0"/>
    <n v="0"/>
    <n v="0"/>
    <n v="0"/>
    <n v="0"/>
    <n v="0"/>
    <n v="0"/>
    <n v="0"/>
    <m/>
    <m/>
    <s v="Rest of Borough"/>
    <n v="15"/>
    <m/>
    <n v="0.25"/>
    <n v="0.25"/>
    <n v="0.25"/>
    <n v="0.25"/>
    <m/>
    <m/>
    <m/>
    <m/>
    <m/>
    <m/>
    <m/>
    <m/>
    <m/>
    <m/>
    <m/>
    <m/>
    <m/>
    <m/>
    <m/>
    <n v="1"/>
    <n v="1"/>
  </r>
  <r>
    <n v="7888"/>
    <x v="2"/>
    <s v="2022/3650"/>
    <s v="4 Broadwater Road"/>
    <s v=""/>
    <n v="527576"/>
    <n v="171734"/>
    <s v="Tooting Bec"/>
    <m/>
    <m/>
    <n v="0"/>
    <n v="1"/>
    <n v="1"/>
    <n v="1"/>
    <n v="1"/>
    <m/>
    <s v="Demolition of the existing building and erection of a single 3-bedroom dwellinghouse"/>
    <s v="PF"/>
    <d v="2022-09-01T00:00:00"/>
    <d v="2023-09-20T00:00:00"/>
    <s v="Y"/>
    <s v="Nil"/>
    <m/>
    <s v="BF"/>
    <s v="NB"/>
    <x v="2"/>
    <x v="3"/>
    <n v="5.0000000000000001E-3"/>
    <m/>
    <x v="0"/>
    <m/>
    <s v="Open Market"/>
    <s v="M"/>
    <s v=""/>
    <m/>
    <m/>
    <m/>
    <m/>
    <m/>
    <n v="0"/>
    <n v="0"/>
    <n v="1"/>
    <n v="0"/>
    <n v="0"/>
    <n v="0"/>
    <n v="0"/>
    <n v="0"/>
    <n v="0"/>
    <n v="0"/>
    <n v="0"/>
    <n v="0"/>
    <n v="0"/>
    <n v="0"/>
    <n v="0"/>
    <n v="0"/>
    <n v="1"/>
    <n v="0"/>
    <n v="0"/>
    <n v="0"/>
    <n v="0"/>
    <n v="0"/>
    <n v="0"/>
    <n v="0"/>
    <n v="0"/>
    <n v="0"/>
    <n v="0"/>
    <n v="0"/>
    <s v="Tooting"/>
    <m/>
    <s v="Tooting"/>
    <n v="7"/>
    <m/>
    <m/>
    <n v="0.25"/>
    <n v="0.25"/>
    <n v="0.25"/>
    <n v="0.25"/>
    <m/>
    <m/>
    <m/>
    <m/>
    <m/>
    <m/>
    <m/>
    <m/>
    <m/>
    <m/>
    <m/>
    <m/>
    <m/>
    <m/>
    <n v="1"/>
    <n v="1"/>
  </r>
  <r>
    <n v="7890"/>
    <x v="2"/>
    <s v="2022/3691"/>
    <s v="2 Patten Road"/>
    <s v=""/>
    <n v="527164"/>
    <n v="173740"/>
    <s v="Wandsworth Common"/>
    <m/>
    <m/>
    <n v="3"/>
    <n v="1"/>
    <n v="-2"/>
    <n v="1"/>
    <n v="-2"/>
    <m/>
    <s v="Alterations including erection of a dormer roof extension (with french doors and safety railing) to the main rear roof; Erection of a single storey rear extension; Excavation to enlarge existing basement, including formation of 2 front lightwells with grille over, and 1 rear lightwell with access stair to rear garden; Removal of existing timber fence and erection of a brick wall and metal railing with metal access gates to front boundary; Erection of cycle and refuse storage to front garden, in connection with conversion to a single dwellinghouse."/>
    <s v="PF"/>
    <d v="2022-10-03T00:00:00"/>
    <d v="2023-02-27T00:00:00"/>
    <m/>
    <s v="Nil"/>
    <m/>
    <s v="BF"/>
    <s v="MIX"/>
    <x v="2"/>
    <x v="11"/>
    <n v="1.4999999999999999E-2"/>
    <m/>
    <x v="0"/>
    <m/>
    <s v="Open Market"/>
    <s v="M"/>
    <s v=""/>
    <m/>
    <m/>
    <m/>
    <m/>
    <m/>
    <n v="0"/>
    <n v="0"/>
    <n v="-2"/>
    <n v="-1"/>
    <n v="0"/>
    <n v="1"/>
    <n v="0"/>
    <n v="0"/>
    <n v="0"/>
    <n v="-2"/>
    <n v="-1"/>
    <n v="0"/>
    <n v="0"/>
    <n v="0"/>
    <n v="0"/>
    <n v="0"/>
    <n v="0"/>
    <n v="0"/>
    <n v="0"/>
    <n v="1"/>
    <n v="0"/>
    <n v="0"/>
    <n v="0"/>
    <n v="0"/>
    <n v="0"/>
    <n v="0"/>
    <n v="0"/>
    <n v="0"/>
    <m/>
    <m/>
    <s v="Rest of Borough"/>
    <n v="15"/>
    <m/>
    <n v="-0.5"/>
    <n v="-0.5"/>
    <n v="-0.5"/>
    <n v="-0.5"/>
    <m/>
    <m/>
    <m/>
    <m/>
    <m/>
    <m/>
    <m/>
    <m/>
    <m/>
    <m/>
    <m/>
    <m/>
    <m/>
    <m/>
    <m/>
    <n v="-2"/>
    <n v="-2"/>
  </r>
  <r>
    <n v="7341"/>
    <x v="2"/>
    <s v="2022/3696"/>
    <s v="Unit A, Molasses House, Clove Hitch Quay (Plantation Wharf)"/>
    <s v=""/>
    <n v="526448"/>
    <n v="175829"/>
    <s v="St Mary's"/>
    <m/>
    <m/>
    <n v="0"/>
    <n v="1"/>
    <n v="1"/>
    <n v="1"/>
    <n v="1"/>
    <m/>
    <s v="Determination as to whether prior approval is required for change of use of office at ground floor level from (Class E) to residential (Class C3) to provide 1 x 1-bedroom flat."/>
    <s v="PAG"/>
    <d v="2022-09-02T00:00:00"/>
    <d v="2022-10-21T00:00:00"/>
    <m/>
    <s v="Nil"/>
    <m/>
    <s v="BF"/>
    <s v="COU"/>
    <x v="2"/>
    <x v="6"/>
    <n v="6.4000000000000003E-3"/>
    <m/>
    <x v="0"/>
    <m/>
    <s v="Open Market"/>
    <s v="M"/>
    <s v=""/>
    <m/>
    <m/>
    <m/>
    <m/>
    <m/>
    <n v="0"/>
    <n v="1"/>
    <n v="0"/>
    <n v="0"/>
    <n v="0"/>
    <n v="0"/>
    <n v="0"/>
    <n v="0"/>
    <n v="1"/>
    <n v="0"/>
    <n v="0"/>
    <n v="0"/>
    <n v="0"/>
    <n v="0"/>
    <n v="0"/>
    <n v="0"/>
    <n v="0"/>
    <n v="0"/>
    <n v="0"/>
    <n v="0"/>
    <n v="0"/>
    <n v="0"/>
    <n v="0"/>
    <n v="0"/>
    <n v="0"/>
    <n v="0"/>
    <n v="0"/>
    <n v="0"/>
    <m/>
    <m/>
    <s v="Wandsworth riverside"/>
    <n v="15"/>
    <m/>
    <n v="0.25"/>
    <n v="0.25"/>
    <n v="0.25"/>
    <n v="0.25"/>
    <m/>
    <m/>
    <m/>
    <m/>
    <m/>
    <m/>
    <m/>
    <m/>
    <m/>
    <m/>
    <m/>
    <m/>
    <m/>
    <m/>
    <m/>
    <n v="1"/>
    <n v="1"/>
  </r>
  <r>
    <n v="7343"/>
    <x v="2"/>
    <s v="2022/3829"/>
    <s v="Unit B, Molasses House, Clove Hitch Quay (Plantation Wharf)"/>
    <s v=""/>
    <n v="526450"/>
    <n v="175834"/>
    <s v="St Mary's"/>
    <m/>
    <m/>
    <n v="0"/>
    <n v="5"/>
    <n v="5"/>
    <n v="5"/>
    <n v="5"/>
    <m/>
    <s v="Determination as to whether prior approval is required for change of use from office at ground floor level from (Class E) to residential (Class C3) to provide 5 x 1-bedroom flats."/>
    <s v="PAG"/>
    <d v="2022-09-02T00:00:00"/>
    <d v="2022-10-21T00:00:00"/>
    <m/>
    <s v="Nil"/>
    <m/>
    <s v="BF"/>
    <s v="COU"/>
    <x v="2"/>
    <x v="6"/>
    <n v="3.0300000000000001E-2"/>
    <m/>
    <x v="0"/>
    <m/>
    <s v="Open Market"/>
    <s v="M"/>
    <s v=""/>
    <m/>
    <m/>
    <m/>
    <m/>
    <m/>
    <n v="0"/>
    <n v="5"/>
    <n v="0"/>
    <n v="0"/>
    <n v="0"/>
    <n v="0"/>
    <n v="0"/>
    <n v="0"/>
    <n v="5"/>
    <n v="0"/>
    <n v="0"/>
    <n v="0"/>
    <n v="0"/>
    <n v="0"/>
    <n v="0"/>
    <n v="0"/>
    <n v="0"/>
    <n v="0"/>
    <n v="0"/>
    <n v="0"/>
    <n v="0"/>
    <n v="0"/>
    <n v="0"/>
    <n v="0"/>
    <n v="0"/>
    <n v="0"/>
    <n v="0"/>
    <n v="0"/>
    <m/>
    <m/>
    <s v="Wandsworth riverside"/>
    <n v="15"/>
    <m/>
    <n v="1.25"/>
    <n v="1.25"/>
    <n v="1.25"/>
    <n v="1.25"/>
    <m/>
    <m/>
    <m/>
    <m/>
    <m/>
    <m/>
    <m/>
    <m/>
    <m/>
    <m/>
    <m/>
    <m/>
    <m/>
    <m/>
    <m/>
    <n v="5"/>
    <n v="5"/>
  </r>
  <r>
    <n v="7913"/>
    <x v="2"/>
    <s v="2022/3891"/>
    <s v="1 and 2 Malbrook Court, 9 Malbrook Road"/>
    <s v=""/>
    <n v="522974"/>
    <n v="175158"/>
    <s v="West Putney"/>
    <m/>
    <m/>
    <n v="2"/>
    <n v="1"/>
    <n v="-1"/>
    <n v="1"/>
    <n v="-1"/>
    <m/>
    <s v="Alterations including erection of a dormer extension to main rear roof, erection of part single, part two-storey side/rear extension and excavation to enlarge basement in connection with the use of properties as a single family dwelling; alterations to front boundary including installation of gates and formation of hardstanding in front garden."/>
    <s v="PF"/>
    <d v="2022-11-16T00:00:00"/>
    <d v="2023-01-26T00:00:00"/>
    <m/>
    <s v="Nil"/>
    <m/>
    <s v="BF"/>
    <s v="MIX"/>
    <x v="2"/>
    <x v="11"/>
    <n v="6.2E-2"/>
    <m/>
    <x v="0"/>
    <m/>
    <s v="Open Market"/>
    <s v="M"/>
    <s v=""/>
    <m/>
    <m/>
    <m/>
    <m/>
    <m/>
    <n v="0"/>
    <n v="0"/>
    <n v="0"/>
    <n v="0"/>
    <n v="0"/>
    <n v="1"/>
    <n v="-2"/>
    <n v="0"/>
    <n v="0"/>
    <n v="0"/>
    <n v="0"/>
    <n v="0"/>
    <n v="0"/>
    <n v="-2"/>
    <n v="0"/>
    <n v="0"/>
    <n v="0"/>
    <n v="0"/>
    <n v="0"/>
    <n v="1"/>
    <n v="0"/>
    <n v="0"/>
    <n v="0"/>
    <n v="0"/>
    <n v="0"/>
    <n v="0"/>
    <n v="0"/>
    <n v="0"/>
    <m/>
    <m/>
    <s v="Rest of Borough"/>
    <n v="15"/>
    <m/>
    <n v="-0.25"/>
    <n v="-0.25"/>
    <n v="-0.25"/>
    <n v="-0.25"/>
    <m/>
    <m/>
    <m/>
    <m/>
    <m/>
    <m/>
    <m/>
    <m/>
    <m/>
    <m/>
    <m/>
    <m/>
    <m/>
    <m/>
    <m/>
    <n v="-1"/>
    <n v="-1"/>
  </r>
  <r>
    <n v="7900"/>
    <x v="2"/>
    <s v="2022/3961"/>
    <s v="7 Beclands Road"/>
    <s v=""/>
    <n v="528537"/>
    <n v="170778"/>
    <s v="Furzedown"/>
    <m/>
    <m/>
    <n v="0"/>
    <n v="1"/>
    <n v="1"/>
    <n v="1"/>
    <n v="1"/>
    <m/>
    <s v="Alterations including erection of part two-storey and part single-storey side and rear extension in connection with the creation of a 1-bedroom dwelling. Installation of waste and cycle stores to front garden."/>
    <s v="PF"/>
    <d v="2022-09-27T00:00:00"/>
    <d v="2022-11-24T00:00:00"/>
    <m/>
    <s v="Nil"/>
    <m/>
    <s v="Gdn"/>
    <s v="NB"/>
    <x v="2"/>
    <x v="3"/>
    <n v="2.9250000000000001E-3"/>
    <m/>
    <x v="0"/>
    <m/>
    <s v="Open Market"/>
    <s v="M"/>
    <s v=""/>
    <m/>
    <m/>
    <m/>
    <m/>
    <m/>
    <n v="0"/>
    <n v="1"/>
    <n v="0"/>
    <n v="0"/>
    <n v="0"/>
    <n v="0"/>
    <n v="0"/>
    <n v="0"/>
    <n v="0"/>
    <n v="0"/>
    <n v="0"/>
    <n v="0"/>
    <n v="0"/>
    <n v="0"/>
    <n v="0"/>
    <n v="1"/>
    <n v="0"/>
    <n v="0"/>
    <n v="0"/>
    <n v="0"/>
    <n v="0"/>
    <n v="0"/>
    <n v="0"/>
    <n v="0"/>
    <n v="0"/>
    <n v="0"/>
    <n v="0"/>
    <n v="0"/>
    <m/>
    <m/>
    <s v="Rest of Borough"/>
    <n v="7"/>
    <m/>
    <m/>
    <n v="0.25"/>
    <n v="0.25"/>
    <n v="0.25"/>
    <n v="0.25"/>
    <m/>
    <m/>
    <m/>
    <m/>
    <m/>
    <m/>
    <m/>
    <m/>
    <m/>
    <m/>
    <m/>
    <m/>
    <m/>
    <m/>
    <n v="1"/>
    <n v="1"/>
  </r>
  <r>
    <n v="6817"/>
    <x v="2"/>
    <s v="2022/4091"/>
    <s v="142-144 Tooting Bec Road"/>
    <s v=""/>
    <n v="528402"/>
    <n v="172041"/>
    <s v="Tooting Bec"/>
    <m/>
    <m/>
    <n v="1"/>
    <n v="4"/>
    <n v="3"/>
    <n v="4"/>
    <n v="3"/>
    <m/>
    <s v="Alterations including erection of front and rear dormer roof extensions to the main roof, including raising the ridge by 500mm;  Erection of a first floor (plus roof) rear extension and installation of French doors and safety railing to first floor rear elevation; replacement of windows; alterations to shopfront and rear access including staircase enclosure, in connection with conversion to 3 x studios and 1 x 2 bedroom flats, with associated refuse and cycle storage; and part change of use of rear ground floor from commercial (Class E) to residential (Class C3)."/>
    <s v="PF"/>
    <d v="2022-10-19T00:00:00"/>
    <d v="2023-03-28T00:00:00"/>
    <m/>
    <s v="Nil"/>
    <m/>
    <s v="BF"/>
    <s v="MIX"/>
    <x v="2"/>
    <x v="5"/>
    <n v="1.4E-2"/>
    <m/>
    <x v="0"/>
    <m/>
    <s v="Open Market"/>
    <s v="MR"/>
    <s v=""/>
    <m/>
    <m/>
    <m/>
    <m/>
    <m/>
    <n v="3"/>
    <n v="0"/>
    <n v="0"/>
    <n v="0"/>
    <n v="0"/>
    <n v="0"/>
    <n v="0"/>
    <n v="3"/>
    <n v="0"/>
    <n v="0"/>
    <n v="0"/>
    <n v="0"/>
    <n v="0"/>
    <n v="0"/>
    <n v="0"/>
    <n v="0"/>
    <n v="0"/>
    <n v="0"/>
    <n v="0"/>
    <n v="0"/>
    <n v="0"/>
    <n v="0"/>
    <n v="0"/>
    <n v="0"/>
    <n v="0"/>
    <n v="0"/>
    <n v="0"/>
    <n v="0"/>
    <m/>
    <m/>
    <s v="Rest of Borough"/>
    <n v="15"/>
    <m/>
    <n v="0.75"/>
    <n v="0.75"/>
    <n v="0.75"/>
    <n v="0.75"/>
    <m/>
    <m/>
    <m/>
    <m/>
    <m/>
    <m/>
    <m/>
    <m/>
    <m/>
    <m/>
    <m/>
    <m/>
    <m/>
    <m/>
    <m/>
    <n v="3"/>
    <n v="3"/>
  </r>
  <r>
    <n v="7898"/>
    <x v="2"/>
    <s v="2022/4122"/>
    <s v="Taylors Yard, Unit 1 Alderbrook Road"/>
    <s v=""/>
    <n v="528686"/>
    <n v="173938"/>
    <s v="Balham"/>
    <m/>
    <m/>
    <n v="0"/>
    <n v="1"/>
    <n v="1"/>
    <n v="1"/>
    <n v="1"/>
    <m/>
    <s v="Determination as to whether prior approval is required for change of use of office on ground and first floor (Class E) to residential (Class C3) to provide 1 x 3-bedroom dwelling."/>
    <s v="PAG"/>
    <d v="2022-10-05T00:00:00"/>
    <d v="2022-11-29T00:00:00"/>
    <m/>
    <s v="Nil"/>
    <m/>
    <s v="BF"/>
    <s v="COU"/>
    <x v="2"/>
    <x v="6"/>
    <n v="1.5100000000000001E-2"/>
    <m/>
    <x v="0"/>
    <m/>
    <s v="Open Market"/>
    <s v="M"/>
    <s v=""/>
    <m/>
    <m/>
    <m/>
    <m/>
    <m/>
    <n v="0"/>
    <n v="0"/>
    <n v="0"/>
    <n v="1"/>
    <n v="0"/>
    <n v="0"/>
    <n v="0"/>
    <n v="0"/>
    <n v="0"/>
    <n v="0"/>
    <n v="1"/>
    <n v="0"/>
    <n v="0"/>
    <n v="0"/>
    <n v="0"/>
    <n v="0"/>
    <n v="0"/>
    <n v="0"/>
    <n v="0"/>
    <n v="0"/>
    <n v="0"/>
    <n v="0"/>
    <n v="0"/>
    <n v="0"/>
    <n v="0"/>
    <n v="0"/>
    <n v="0"/>
    <n v="0"/>
    <m/>
    <m/>
    <s v="Rest of Borough"/>
    <n v="15"/>
    <m/>
    <n v="0.25"/>
    <n v="0.25"/>
    <n v="0.25"/>
    <n v="0.25"/>
    <m/>
    <m/>
    <m/>
    <m/>
    <m/>
    <m/>
    <m/>
    <m/>
    <m/>
    <m/>
    <m/>
    <m/>
    <m/>
    <m/>
    <m/>
    <n v="1"/>
    <n v="1"/>
  </r>
  <r>
    <n v="7902"/>
    <x v="2"/>
    <s v="2022/4180"/>
    <s v="Land at Rear of, 211 Burntwood Lane"/>
    <s v=""/>
    <n v="526640"/>
    <n v="172690"/>
    <s v="Wandsworth Common"/>
    <m/>
    <m/>
    <n v="0"/>
    <n v="1"/>
    <n v="1"/>
    <n v="1"/>
    <n v="1"/>
    <m/>
    <s v="Demolition of existing building and erection of a single storey (plus basement) one bedroom house, with associated refuse and cycle storage."/>
    <s v="PF"/>
    <d v="2022-10-11T00:00:00"/>
    <d v="2022-12-05T00:00:00"/>
    <m/>
    <s v="Nil"/>
    <m/>
    <s v="BF"/>
    <s v="NB"/>
    <x v="2"/>
    <x v="3"/>
    <n v="3.0000000000000001E-3"/>
    <m/>
    <x v="0"/>
    <m/>
    <s v="Open Market"/>
    <s v="M"/>
    <s v=""/>
    <m/>
    <m/>
    <m/>
    <m/>
    <m/>
    <n v="0"/>
    <n v="1"/>
    <n v="0"/>
    <n v="0"/>
    <n v="0"/>
    <n v="0"/>
    <n v="0"/>
    <n v="0"/>
    <n v="0"/>
    <n v="0"/>
    <n v="0"/>
    <n v="0"/>
    <n v="0"/>
    <n v="0"/>
    <n v="0"/>
    <n v="1"/>
    <n v="0"/>
    <n v="0"/>
    <n v="0"/>
    <n v="0"/>
    <n v="0"/>
    <n v="0"/>
    <n v="0"/>
    <n v="0"/>
    <n v="0"/>
    <n v="0"/>
    <n v="0"/>
    <n v="0"/>
    <m/>
    <m/>
    <s v="Rest of Borough"/>
    <n v="7"/>
    <m/>
    <m/>
    <n v="0.25"/>
    <n v="0.25"/>
    <n v="0.25"/>
    <n v="0.25"/>
    <m/>
    <m/>
    <m/>
    <m/>
    <m/>
    <m/>
    <m/>
    <m/>
    <m/>
    <m/>
    <m/>
    <m/>
    <m/>
    <m/>
    <n v="1"/>
    <n v="1"/>
  </r>
  <r>
    <n v="7910"/>
    <x v="2"/>
    <s v="2022/4341"/>
    <s v="26 Badminton Road"/>
    <s v=""/>
    <n v="528474"/>
    <n v="174038"/>
    <s v="Balham"/>
    <m/>
    <m/>
    <n v="0"/>
    <n v="1"/>
    <n v="1"/>
    <n v="1"/>
    <n v="1"/>
    <m/>
    <s v="Alterations including erection of mansard roof extension to main rear roof (with French doors and safety railings) including raising ridge 300mm and formation of roof terrace at second floor level with 1.7m high screen surround in connection with the creation of 1 x 1-bedroom flat."/>
    <s v="PF"/>
    <d v="2022-10-25T00:00:00"/>
    <d v="2022-12-19T00:00:00"/>
    <m/>
    <s v="Nil"/>
    <m/>
    <s v="BF"/>
    <s v="EXT"/>
    <x v="2"/>
    <x v="7"/>
    <n v="4.3E-3"/>
    <m/>
    <x v="0"/>
    <m/>
    <s v="Open Market"/>
    <s v="M"/>
    <s v=""/>
    <m/>
    <m/>
    <m/>
    <m/>
    <m/>
    <n v="0"/>
    <n v="1"/>
    <n v="0"/>
    <n v="0"/>
    <n v="0"/>
    <n v="0"/>
    <n v="0"/>
    <n v="0"/>
    <n v="1"/>
    <n v="0"/>
    <n v="0"/>
    <n v="0"/>
    <n v="0"/>
    <n v="0"/>
    <n v="0"/>
    <n v="0"/>
    <n v="0"/>
    <n v="0"/>
    <n v="0"/>
    <n v="0"/>
    <n v="0"/>
    <n v="0"/>
    <n v="0"/>
    <n v="0"/>
    <n v="0"/>
    <n v="0"/>
    <n v="0"/>
    <n v="0"/>
    <m/>
    <m/>
    <s v="Rest of Borough"/>
    <n v="15"/>
    <m/>
    <n v="0.25"/>
    <n v="0.25"/>
    <n v="0.25"/>
    <n v="0.25"/>
    <m/>
    <m/>
    <m/>
    <m/>
    <m/>
    <m/>
    <m/>
    <m/>
    <m/>
    <m/>
    <m/>
    <m/>
    <m/>
    <m/>
    <m/>
    <n v="1"/>
    <n v="1"/>
  </r>
  <r>
    <n v="7069"/>
    <x v="2"/>
    <s v="2018/5669"/>
    <s v="Ferrier Street Industrial Estate and 322 Old York Road, 1 Ferrier Street"/>
    <s v=""/>
    <n v="525885"/>
    <n v="175045"/>
    <s v="Wandsworth Town"/>
    <m/>
    <m/>
    <n v="1"/>
    <n v="65"/>
    <n v="64"/>
    <n v="106"/>
    <n v="105"/>
    <s v="Y"/>
    <s v="Demolition of existing buildings and construction of mixed use development ranging from 4 to 10 storeys to provide 5826sqm light industrial (Class B1c) use, 5078sqm flexible business (Class B1) use, 106 residential units (Class C3) use and 213sqm retail use (Class A1/A3). Associated public realm works including on-site playspace, enlargement of the station square and alterations to the Ferrier Street ground floor retail frontage of 332 Old York Road."/>
    <s v="PFLA"/>
    <d v="2018-12-05T00:00:00"/>
    <d v="2022-05-12T00:00:00"/>
    <m/>
    <s v="Nil"/>
    <m/>
    <s v="BF"/>
    <s v="NB"/>
    <x v="1"/>
    <x v="0"/>
    <n v="0.19700000000000001"/>
    <m/>
    <x v="0"/>
    <m/>
    <s v="Open Market"/>
    <s v="M"/>
    <s v=""/>
    <m/>
    <m/>
    <m/>
    <m/>
    <m/>
    <n v="12"/>
    <n v="25"/>
    <n v="24"/>
    <n v="3"/>
    <n v="0"/>
    <n v="0"/>
    <n v="0"/>
    <n v="12"/>
    <n v="25"/>
    <n v="24"/>
    <n v="3"/>
    <n v="0"/>
    <n v="0"/>
    <n v="0"/>
    <n v="0"/>
    <n v="0"/>
    <n v="0"/>
    <n v="0"/>
    <n v="0"/>
    <n v="0"/>
    <n v="0"/>
    <n v="0"/>
    <n v="0"/>
    <n v="0"/>
    <n v="0"/>
    <n v="0"/>
    <n v="0"/>
    <n v="0"/>
    <m/>
    <m/>
    <s v="Wandsworth Town, including the Wandle Delta Masterplan Area"/>
    <n v="8"/>
    <m/>
    <m/>
    <m/>
    <m/>
    <n v="64"/>
    <m/>
    <m/>
    <m/>
    <m/>
    <m/>
    <m/>
    <m/>
    <m/>
    <m/>
    <m/>
    <m/>
    <m/>
    <m/>
    <m/>
    <m/>
    <n v="64"/>
    <n v="64"/>
  </r>
  <r>
    <n v="6707"/>
    <x v="2"/>
    <s v="2022/4571"/>
    <s v="158-160 Balham High Road"/>
    <s v=""/>
    <n v="528529"/>
    <n v="173387"/>
    <s v="Balham"/>
    <m/>
    <m/>
    <n v="0"/>
    <n v="7"/>
    <n v="7"/>
    <n v="7"/>
    <n v="7"/>
    <m/>
    <s v="Alterations including erection of single storey extension and mansard roof extension above existing two storey building in connection with creation 7 self-contained flats all with private balconies/terraces at each level and associated cycle and refuse storage."/>
    <s v="PF"/>
    <d v="2022-11-08T00:00:00"/>
    <d v="2023-03-03T00:00:00"/>
    <m/>
    <s v="Nil"/>
    <m/>
    <s v="BF"/>
    <s v="EXT"/>
    <x v="2"/>
    <x v="7"/>
    <n v="2.2349999999999998E-2"/>
    <m/>
    <x v="0"/>
    <m/>
    <s v="Open Market"/>
    <s v="M"/>
    <s v=""/>
    <m/>
    <m/>
    <m/>
    <m/>
    <m/>
    <n v="0"/>
    <n v="3"/>
    <n v="4"/>
    <n v="0"/>
    <n v="0"/>
    <n v="0"/>
    <n v="0"/>
    <n v="0"/>
    <n v="3"/>
    <n v="4"/>
    <n v="0"/>
    <n v="0"/>
    <n v="0"/>
    <n v="0"/>
    <n v="0"/>
    <n v="0"/>
    <n v="0"/>
    <n v="0"/>
    <n v="0"/>
    <n v="0"/>
    <n v="0"/>
    <n v="0"/>
    <n v="0"/>
    <n v="0"/>
    <n v="0"/>
    <n v="0"/>
    <n v="0"/>
    <n v="0"/>
    <s v="Balham"/>
    <m/>
    <s v="Balham"/>
    <n v="18"/>
    <m/>
    <n v="1.75"/>
    <n v="1.75"/>
    <n v="1.75"/>
    <n v="1.75"/>
    <m/>
    <m/>
    <m/>
    <m/>
    <m/>
    <m/>
    <m/>
    <m/>
    <m/>
    <m/>
    <m/>
    <m/>
    <m/>
    <m/>
    <m/>
    <n v="7"/>
    <n v="7"/>
  </r>
  <r>
    <n v="7917"/>
    <x v="2"/>
    <s v="2022/4572"/>
    <s v="1 Camborne Mews"/>
    <s v=""/>
    <n v="525238"/>
    <n v="173816"/>
    <s v="Southfields"/>
    <m/>
    <m/>
    <n v="0"/>
    <n v="2"/>
    <n v="2"/>
    <n v="2"/>
    <n v="2"/>
    <m/>
    <s v="Demolition of the single storey building (use class E) and the erection of 2 no. two-storey dwellings (use class C3), with refuse and cycle parking and associated hard and soft landscaping."/>
    <s v="PF"/>
    <d v="2022-11-08T00:00:00"/>
    <d v="2023-04-28T00:00:00"/>
    <s v="Y"/>
    <s v="Nil"/>
    <m/>
    <s v="BF"/>
    <s v="NB"/>
    <x v="2"/>
    <x v="3"/>
    <n v="0.01"/>
    <m/>
    <x v="0"/>
    <m/>
    <s v="Open Market"/>
    <s v="M"/>
    <s v=""/>
    <m/>
    <m/>
    <m/>
    <m/>
    <m/>
    <n v="0"/>
    <n v="0"/>
    <n v="0"/>
    <n v="2"/>
    <n v="0"/>
    <n v="0"/>
    <n v="0"/>
    <n v="0"/>
    <n v="0"/>
    <n v="0"/>
    <n v="0"/>
    <n v="0"/>
    <n v="0"/>
    <n v="0"/>
    <n v="0"/>
    <n v="0"/>
    <n v="0"/>
    <n v="2"/>
    <n v="0"/>
    <n v="0"/>
    <n v="0"/>
    <n v="0"/>
    <n v="0"/>
    <n v="0"/>
    <n v="0"/>
    <n v="0"/>
    <n v="0"/>
    <n v="0"/>
    <m/>
    <m/>
    <s v="Wandle Valley"/>
    <n v="7"/>
    <m/>
    <m/>
    <n v="0.5"/>
    <n v="0.5"/>
    <n v="0.5"/>
    <n v="0.5"/>
    <m/>
    <m/>
    <m/>
    <m/>
    <m/>
    <m/>
    <m/>
    <m/>
    <m/>
    <m/>
    <m/>
    <m/>
    <m/>
    <m/>
    <n v="2"/>
    <n v="2"/>
  </r>
  <r>
    <n v="4751"/>
    <x v="2"/>
    <s v="2022/4583"/>
    <s v="Garages adjoining 2, Sutherland Grove"/>
    <s v=""/>
    <n v="524675"/>
    <n v="173310"/>
    <s v="West Hill"/>
    <m/>
    <m/>
    <n v="1"/>
    <n v="1"/>
    <n v="0"/>
    <n v="1"/>
    <n v="0"/>
    <m/>
    <s v="Demolition of existing garages and erection of new 3-bedroom two-storey dwelling (includes the excavation of a basement.)"/>
    <s v="PF"/>
    <d v="2022-11-09T00:00:00"/>
    <d v="2023-08-08T00:00:00"/>
    <s v="Y"/>
    <s v="Nil"/>
    <m/>
    <s v="BF"/>
    <s v="CON"/>
    <x v="2"/>
    <x v="2"/>
    <n v="4.65E-2"/>
    <m/>
    <x v="0"/>
    <m/>
    <s v="Open Market"/>
    <s v="M"/>
    <s v=""/>
    <m/>
    <m/>
    <m/>
    <m/>
    <m/>
    <n v="0"/>
    <n v="0"/>
    <n v="0"/>
    <n v="0"/>
    <n v="0"/>
    <n v="0"/>
    <n v="0"/>
    <n v="0"/>
    <n v="0"/>
    <n v="0"/>
    <n v="0"/>
    <n v="0"/>
    <n v="0"/>
    <n v="0"/>
    <n v="0"/>
    <n v="0"/>
    <n v="0"/>
    <n v="0"/>
    <n v="0"/>
    <n v="0"/>
    <n v="0"/>
    <n v="0"/>
    <n v="0"/>
    <n v="0"/>
    <n v="0"/>
    <n v="0"/>
    <n v="0"/>
    <n v="0"/>
    <m/>
    <m/>
    <s v="Rest of Borough"/>
    <n v="15"/>
    <m/>
    <n v="0"/>
    <n v="0"/>
    <n v="0"/>
    <n v="0"/>
    <m/>
    <m/>
    <m/>
    <m/>
    <m/>
    <m/>
    <m/>
    <m/>
    <m/>
    <m/>
    <m/>
    <m/>
    <m/>
    <m/>
    <m/>
    <n v="0"/>
    <n v="0"/>
  </r>
  <r>
    <n v="3621"/>
    <x v="2"/>
    <s v="2022/4590"/>
    <s v="629 Garratt Lane"/>
    <s v=""/>
    <n v="526154"/>
    <n v="172573"/>
    <s v="Wandsworth Common"/>
    <m/>
    <m/>
    <n v="0"/>
    <n v="1"/>
    <n v="1"/>
    <n v="1"/>
    <n v="1"/>
    <m/>
    <s v="Alterations including erection of extension to main rear roof with French doors and safety railing; single-storey side extension, roof extension and terrace above two storey back addition, french doors to rear first floor in connection with provision of a 1-bed flat at second floor level."/>
    <s v="PF"/>
    <d v="2023-04-04T00:00:00"/>
    <d v="2023-10-16T00:00:00"/>
    <s v="Y"/>
    <s v="Nil"/>
    <m/>
    <s v="BF"/>
    <s v="EXT"/>
    <x v="2"/>
    <x v="7"/>
    <n v="5.9300000000000004E-3"/>
    <m/>
    <x v="0"/>
    <m/>
    <s v="Open Market"/>
    <s v="M"/>
    <s v=""/>
    <m/>
    <m/>
    <m/>
    <m/>
    <m/>
    <n v="0"/>
    <n v="1"/>
    <n v="0"/>
    <n v="0"/>
    <n v="0"/>
    <n v="0"/>
    <n v="0"/>
    <n v="0"/>
    <n v="1"/>
    <n v="0"/>
    <n v="0"/>
    <n v="0"/>
    <n v="0"/>
    <n v="0"/>
    <n v="0"/>
    <n v="0"/>
    <n v="0"/>
    <n v="0"/>
    <n v="0"/>
    <n v="0"/>
    <n v="0"/>
    <n v="0"/>
    <n v="0"/>
    <n v="0"/>
    <n v="0"/>
    <n v="0"/>
    <n v="0"/>
    <n v="0"/>
    <m/>
    <m/>
    <s v="Wandle Valley"/>
    <n v="15"/>
    <m/>
    <n v="0.25"/>
    <n v="0.25"/>
    <n v="0.25"/>
    <n v="0.25"/>
    <m/>
    <m/>
    <m/>
    <m/>
    <m/>
    <m/>
    <m/>
    <m/>
    <m/>
    <m/>
    <m/>
    <m/>
    <m/>
    <m/>
    <m/>
    <n v="1"/>
    <n v="1"/>
  </r>
  <r>
    <n v="7069"/>
    <x v="2"/>
    <s v="2018/5669"/>
    <s v="Ferrier Street Industrial Estate and 322 Old York Road, 1 Ferrier Street"/>
    <s v=""/>
    <n v="525885"/>
    <n v="175045"/>
    <s v="Wandsworth Town"/>
    <m/>
    <m/>
    <n v="0"/>
    <n v="21"/>
    <n v="21"/>
    <n v="106"/>
    <n v="105"/>
    <s v="Y"/>
    <s v="Demolition of existing buildings and construction of mixed use development ranging from 4 to 10 storeys to provide 5826sqm light industrial (Class B1c) use, 5078sqm flexible business (Class B1) use, 106 residential units (Class C3) use and 213sqm retail use (Class A1/A3). Associated public realm works including on-site playspace, enlargement of the station square and alterations to the Ferrier Street ground floor retail frontage of 332 Old York Road."/>
    <s v="PFLA"/>
    <d v="2018-12-05T00:00:00"/>
    <d v="2022-05-12T00:00:00"/>
    <m/>
    <s v="Nil"/>
    <m/>
    <s v="BF"/>
    <s v="NB"/>
    <x v="1"/>
    <x v="0"/>
    <n v="0.04"/>
    <m/>
    <x v="0"/>
    <m/>
    <s v="Intermediate"/>
    <s v="ISL"/>
    <s v=""/>
    <m/>
    <m/>
    <m/>
    <m/>
    <m/>
    <n v="0"/>
    <n v="15"/>
    <n v="3"/>
    <n v="3"/>
    <n v="0"/>
    <n v="0"/>
    <n v="0"/>
    <n v="0"/>
    <n v="15"/>
    <n v="3"/>
    <n v="3"/>
    <n v="0"/>
    <n v="0"/>
    <n v="0"/>
    <n v="0"/>
    <n v="0"/>
    <n v="0"/>
    <n v="0"/>
    <n v="0"/>
    <n v="0"/>
    <n v="0"/>
    <n v="0"/>
    <n v="0"/>
    <n v="0"/>
    <n v="0"/>
    <n v="0"/>
    <n v="0"/>
    <n v="0"/>
    <m/>
    <m/>
    <s v="Wandsworth Town, including the Wandle Delta Masterplan Area"/>
    <n v="8"/>
    <m/>
    <m/>
    <m/>
    <m/>
    <n v="21"/>
    <m/>
    <m/>
    <m/>
    <m/>
    <m/>
    <m/>
    <m/>
    <m/>
    <m/>
    <m/>
    <m/>
    <m/>
    <m/>
    <m/>
    <m/>
    <n v="21"/>
    <n v="21"/>
  </r>
  <r>
    <n v="7919"/>
    <x v="2"/>
    <s v="2022/4638"/>
    <s v="Beechmore House, rear of, 156 Battersea Park Road"/>
    <s v=""/>
    <n v="527910"/>
    <n v="176603"/>
    <s v="Battersea Park"/>
    <m/>
    <m/>
    <n v="1"/>
    <n v="1"/>
    <n v="0"/>
    <n v="1"/>
    <n v="0"/>
    <m/>
    <s v="Demolition of the existing building; Erection of a part-single, part-three storey 2 x bed dwellinghouse, including a second floor roof terrace with glazed surround."/>
    <s v="PF"/>
    <d v="2022-11-14T00:00:00"/>
    <d v="2023-04-06T00:00:00"/>
    <s v="Y"/>
    <s v="Nil"/>
    <m/>
    <s v="BF"/>
    <s v="NB"/>
    <x v="2"/>
    <x v="3"/>
    <n v="2.8999999999999998E-3"/>
    <m/>
    <x v="0"/>
    <m/>
    <s v="Open Market"/>
    <s v="M"/>
    <s v=""/>
    <m/>
    <m/>
    <m/>
    <m/>
    <m/>
    <n v="0"/>
    <n v="0"/>
    <n v="0"/>
    <n v="0"/>
    <n v="0"/>
    <n v="0"/>
    <n v="0"/>
    <n v="0"/>
    <n v="0"/>
    <n v="0"/>
    <n v="0"/>
    <n v="0"/>
    <n v="0"/>
    <n v="0"/>
    <n v="0"/>
    <n v="0"/>
    <n v="0"/>
    <n v="0"/>
    <n v="0"/>
    <n v="0"/>
    <n v="0"/>
    <n v="0"/>
    <n v="0"/>
    <n v="0"/>
    <n v="0"/>
    <n v="0"/>
    <n v="0"/>
    <n v="0"/>
    <m/>
    <m/>
    <s v="Rest of Borough"/>
    <n v="7"/>
    <m/>
    <m/>
    <n v="0"/>
    <n v="0"/>
    <n v="0"/>
    <n v="0"/>
    <m/>
    <m/>
    <m/>
    <m/>
    <m/>
    <m/>
    <m/>
    <m/>
    <m/>
    <m/>
    <m/>
    <m/>
    <m/>
    <m/>
    <n v="0"/>
    <n v="0"/>
  </r>
  <r>
    <n v="7134"/>
    <x v="2"/>
    <s v="2022/4647"/>
    <s v="Land rear of, 26 Roehampton High Street"/>
    <s v=""/>
    <n v="522411"/>
    <n v="173805"/>
    <s v="Roehampton"/>
    <m/>
    <m/>
    <n v="0"/>
    <n v="1"/>
    <n v="1"/>
    <n v="1"/>
    <n v="1"/>
    <m/>
    <s v="Erection of a part single, part two-storey 1-bed house with refuse and cycle storage."/>
    <s v="PF"/>
    <d v="2023-05-15T00:00:00"/>
    <d v="2023-07-26T00:00:00"/>
    <s v="Y"/>
    <s v="Nil"/>
    <m/>
    <s v="BF"/>
    <s v="NB"/>
    <x v="2"/>
    <x v="3"/>
    <n v="2.8999999999999998E-3"/>
    <m/>
    <x v="0"/>
    <m/>
    <s v="Open Market"/>
    <s v="M"/>
    <s v=""/>
    <m/>
    <m/>
    <m/>
    <m/>
    <m/>
    <n v="0"/>
    <n v="1"/>
    <n v="0"/>
    <n v="0"/>
    <n v="0"/>
    <n v="0"/>
    <n v="0"/>
    <n v="0"/>
    <n v="0"/>
    <n v="0"/>
    <n v="0"/>
    <n v="0"/>
    <n v="0"/>
    <n v="0"/>
    <n v="0"/>
    <n v="1"/>
    <n v="0"/>
    <n v="0"/>
    <n v="0"/>
    <n v="0"/>
    <n v="0"/>
    <n v="0"/>
    <n v="0"/>
    <n v="0"/>
    <n v="0"/>
    <n v="0"/>
    <n v="0"/>
    <n v="0"/>
    <m/>
    <m/>
    <s v="Roehampton and Alton Estate Regeneration Areea"/>
    <n v="7"/>
    <m/>
    <m/>
    <n v="0.25"/>
    <n v="0.25"/>
    <n v="0.25"/>
    <n v="0.25"/>
    <m/>
    <m/>
    <m/>
    <m/>
    <m/>
    <m/>
    <m/>
    <m/>
    <m/>
    <m/>
    <m/>
    <m/>
    <m/>
    <m/>
    <n v="1"/>
    <n v="1"/>
  </r>
  <r>
    <n v="7069"/>
    <x v="2"/>
    <s v="2018/5669"/>
    <s v="Ferrier Street Industrial Estate and 322 Old York Road, 1 Ferrier Street"/>
    <s v=""/>
    <n v="525885"/>
    <n v="175045"/>
    <s v="Wandsworth Town"/>
    <m/>
    <m/>
    <n v="0"/>
    <n v="20"/>
    <n v="20"/>
    <n v="106"/>
    <n v="105"/>
    <s v="Y"/>
    <s v="Demolition of existing buildings and construction of mixed use development ranging from 4 to 10 storeys to provide 5826sqm light industrial (Class B1c) use, 5078sqm flexible business (Class B1) use, 106 residential units (Class C3) use and 213sqm retail use (Class A1/A3). Associated public realm works including on-site playspace, enlargement of the station square and alterations to the Ferrier Street ground floor retail frontage of 332 Old York Road."/>
    <s v="PFLA"/>
    <d v="2018-12-05T00:00:00"/>
    <d v="2022-05-12T00:00:00"/>
    <m/>
    <s v="Nil"/>
    <m/>
    <s v="BF"/>
    <s v="NB"/>
    <x v="1"/>
    <x v="0"/>
    <n v="4.4999999999999998E-2"/>
    <m/>
    <x v="0"/>
    <m/>
    <s v="Social/Affordable Rent"/>
    <s v="AL"/>
    <s v=""/>
    <m/>
    <m/>
    <m/>
    <m/>
    <n v="11"/>
    <n v="0"/>
    <n v="5"/>
    <n v="10"/>
    <n v="5"/>
    <n v="0"/>
    <n v="0"/>
    <n v="0"/>
    <n v="0"/>
    <n v="5"/>
    <n v="10"/>
    <n v="5"/>
    <n v="0"/>
    <n v="0"/>
    <n v="0"/>
    <n v="0"/>
    <n v="0"/>
    <n v="0"/>
    <n v="0"/>
    <n v="0"/>
    <n v="0"/>
    <n v="0"/>
    <n v="0"/>
    <n v="0"/>
    <n v="0"/>
    <n v="0"/>
    <n v="0"/>
    <n v="0"/>
    <n v="0"/>
    <m/>
    <m/>
    <s v="Wandsworth Town, including the Wandle Delta Masterplan Area"/>
    <n v="8"/>
    <m/>
    <m/>
    <m/>
    <m/>
    <n v="20"/>
    <m/>
    <m/>
    <m/>
    <m/>
    <m/>
    <m/>
    <m/>
    <m/>
    <m/>
    <m/>
    <m/>
    <m/>
    <m/>
    <m/>
    <m/>
    <n v="20"/>
    <n v="20"/>
  </r>
  <r>
    <n v="7855"/>
    <x v="2"/>
    <s v="2022/4729"/>
    <s v="Land and Building to the South of, 164C Mitcham Road (The Old Bakery)"/>
    <s v=""/>
    <n v="527835"/>
    <n v="171006"/>
    <s v="Tooting Broadway"/>
    <m/>
    <m/>
    <n v="0"/>
    <n v="1"/>
    <n v="1"/>
    <n v="1"/>
    <n v="1"/>
    <m/>
    <s v="Alterations including erection of single, part two-storey extensions with extended roof over in connection with conversion of buildings to 1 x 2-bedroom dwellinghouse (Class C3)."/>
    <s v="PF"/>
    <d v="2022-11-29T00:00:00"/>
    <d v="2023-03-15T00:00:00"/>
    <m/>
    <s v="Nil"/>
    <m/>
    <s v="BF"/>
    <s v="CON"/>
    <x v="2"/>
    <x v="6"/>
    <n v="5.0000000000000001E-3"/>
    <m/>
    <x v="0"/>
    <m/>
    <s v="Open Market"/>
    <s v="M"/>
    <s v=""/>
    <m/>
    <m/>
    <m/>
    <m/>
    <m/>
    <n v="0"/>
    <n v="0"/>
    <n v="1"/>
    <n v="0"/>
    <n v="0"/>
    <n v="0"/>
    <n v="0"/>
    <n v="0"/>
    <n v="0"/>
    <n v="0"/>
    <n v="0"/>
    <n v="0"/>
    <n v="0"/>
    <n v="0"/>
    <n v="0"/>
    <n v="0"/>
    <n v="1"/>
    <n v="0"/>
    <n v="0"/>
    <n v="0"/>
    <n v="0"/>
    <n v="0"/>
    <n v="0"/>
    <n v="0"/>
    <n v="0"/>
    <n v="0"/>
    <n v="0"/>
    <n v="0"/>
    <m/>
    <m/>
    <s v="Tooting"/>
    <n v="15"/>
    <m/>
    <n v="0.25"/>
    <n v="0.25"/>
    <n v="0.25"/>
    <n v="0.25"/>
    <m/>
    <m/>
    <m/>
    <m/>
    <m/>
    <m/>
    <m/>
    <m/>
    <m/>
    <m/>
    <m/>
    <m/>
    <m/>
    <m/>
    <m/>
    <n v="1"/>
    <n v="1"/>
  </r>
  <r>
    <n v="7929"/>
    <x v="2"/>
    <s v="2022/4937"/>
    <s v="59 Upper Tooting Park"/>
    <s v=""/>
    <n v="528018"/>
    <n v="172759"/>
    <s v="Trinity"/>
    <m/>
    <m/>
    <n v="1"/>
    <n v="2"/>
    <n v="1"/>
    <n v="2"/>
    <n v="1"/>
    <m/>
    <s v="Alterations including erection of a hip to gable extension to main roof and dormer extension to main rear roof, erection of a single storey rear extension  plus first floor terrace in connection with conversion and change of use from HMO (Class C4) to 2 x 3 bedroom flats. Extension of dropped kerb."/>
    <s v="PF"/>
    <d v="2022-12-01T00:00:00"/>
    <d v="2023-04-03T00:00:00"/>
    <s v="Y"/>
    <s v="Nil"/>
    <m/>
    <s v="BF"/>
    <s v="CON"/>
    <x v="2"/>
    <x v="5"/>
    <n v="0.08"/>
    <m/>
    <x v="0"/>
    <m/>
    <s v="Open Market"/>
    <s v="MR"/>
    <s v=""/>
    <m/>
    <m/>
    <m/>
    <m/>
    <m/>
    <n v="0"/>
    <n v="0"/>
    <n v="0"/>
    <n v="2"/>
    <n v="0"/>
    <n v="-1"/>
    <n v="0"/>
    <n v="0"/>
    <n v="0"/>
    <n v="0"/>
    <n v="2"/>
    <n v="0"/>
    <n v="-1"/>
    <n v="0"/>
    <n v="0"/>
    <n v="0"/>
    <n v="0"/>
    <n v="0"/>
    <n v="0"/>
    <n v="0"/>
    <n v="0"/>
    <n v="0"/>
    <n v="0"/>
    <n v="0"/>
    <n v="0"/>
    <n v="0"/>
    <n v="0"/>
    <n v="0"/>
    <m/>
    <m/>
    <s v="Rest of Borough"/>
    <n v="15"/>
    <m/>
    <n v="0.25"/>
    <n v="0.25"/>
    <n v="0.25"/>
    <n v="0.25"/>
    <m/>
    <m/>
    <m/>
    <m/>
    <m/>
    <m/>
    <m/>
    <m/>
    <m/>
    <m/>
    <m/>
    <m/>
    <m/>
    <m/>
    <m/>
    <n v="1"/>
    <n v="1"/>
  </r>
  <r>
    <n v="7935"/>
    <x v="2"/>
    <s v="2022/5011"/>
    <s v="31 Rush Hill Road"/>
    <s v=""/>
    <n v="528329"/>
    <n v="175608"/>
    <s v="Lavender"/>
    <m/>
    <m/>
    <n v="2"/>
    <n v="1"/>
    <n v="-1"/>
    <n v="1"/>
    <n v="-1"/>
    <m/>
    <s v="Alterations including erection of single-storey rear/side extension in connection with conversion of two flats back into single family dwelling house."/>
    <s v="PF"/>
    <d v="2022-12-19T00:00:00"/>
    <d v="2023-03-27T00:00:00"/>
    <m/>
    <s v="Nil"/>
    <m/>
    <s v="BF"/>
    <s v="CON"/>
    <x v="2"/>
    <x v="11"/>
    <n v="0.05"/>
    <m/>
    <x v="0"/>
    <m/>
    <s v="Open Market"/>
    <s v="M"/>
    <s v=""/>
    <m/>
    <m/>
    <m/>
    <m/>
    <m/>
    <n v="0"/>
    <n v="-1"/>
    <n v="0"/>
    <n v="-1"/>
    <n v="0"/>
    <n v="1"/>
    <n v="0"/>
    <n v="0"/>
    <n v="-1"/>
    <n v="0"/>
    <n v="-1"/>
    <n v="0"/>
    <n v="0"/>
    <n v="0"/>
    <n v="0"/>
    <n v="0"/>
    <n v="0"/>
    <n v="0"/>
    <n v="0"/>
    <n v="1"/>
    <n v="0"/>
    <n v="0"/>
    <n v="0"/>
    <n v="0"/>
    <n v="0"/>
    <n v="0"/>
    <n v="0"/>
    <n v="0"/>
    <m/>
    <m/>
    <s v="Rest of Borough"/>
    <n v="15"/>
    <m/>
    <n v="-0.25"/>
    <n v="-0.25"/>
    <n v="-0.25"/>
    <n v="-0.25"/>
    <m/>
    <m/>
    <m/>
    <m/>
    <m/>
    <m/>
    <m/>
    <m/>
    <m/>
    <m/>
    <m/>
    <m/>
    <m/>
    <m/>
    <m/>
    <n v="-1"/>
    <n v="-1"/>
  </r>
  <r>
    <n v="7937"/>
    <x v="2"/>
    <s v="2022/5151"/>
    <s v="822 Garratt Lane"/>
    <s v=""/>
    <n v="526929"/>
    <n v="171778"/>
    <s v="Tooting Broadway"/>
    <m/>
    <m/>
    <n v="1"/>
    <n v="3"/>
    <n v="2"/>
    <n v="3"/>
    <n v="2"/>
    <m/>
    <s v="Erection of a mansard extension to main rear roof with French doors and safety balustrade and extension above two-storey rear addition with formation of a roof terrace with safety balustrade. Erection of single-storey side/rear and rear ground floor extensions and installation of French doors and safety balustrade in connection with part change of use of commercial unit (Use Class E) and provision of 1 studio, 1 x 1-bedroom and 1 x 2-bedroom flats (Class C3)."/>
    <s v="PF"/>
    <d v="2022-12-15T00:00:00"/>
    <d v="2023-02-23T00:00:00"/>
    <m/>
    <s v="Nil"/>
    <m/>
    <s v="BF"/>
    <s v="MIX"/>
    <x v="2"/>
    <x v="7"/>
    <n v="4.8566E-3"/>
    <m/>
    <x v="0"/>
    <m/>
    <s v="Open Market"/>
    <s v="MR"/>
    <s v=""/>
    <m/>
    <m/>
    <m/>
    <m/>
    <m/>
    <n v="1"/>
    <n v="1"/>
    <n v="1"/>
    <n v="0"/>
    <n v="-1"/>
    <n v="0"/>
    <n v="0"/>
    <n v="1"/>
    <n v="1"/>
    <n v="1"/>
    <n v="0"/>
    <n v="-1"/>
    <n v="0"/>
    <n v="0"/>
    <n v="0"/>
    <n v="0"/>
    <n v="0"/>
    <n v="0"/>
    <n v="0"/>
    <n v="0"/>
    <n v="0"/>
    <n v="0"/>
    <n v="0"/>
    <n v="0"/>
    <n v="0"/>
    <n v="0"/>
    <n v="0"/>
    <n v="0"/>
    <m/>
    <m/>
    <s v="Rest of Borough"/>
    <n v="15"/>
    <m/>
    <n v="0.5"/>
    <n v="0.5"/>
    <n v="0.5"/>
    <n v="0.5"/>
    <m/>
    <m/>
    <m/>
    <m/>
    <m/>
    <m/>
    <m/>
    <m/>
    <m/>
    <m/>
    <m/>
    <m/>
    <m/>
    <m/>
    <m/>
    <n v="2"/>
    <n v="2"/>
  </r>
  <r>
    <n v="6940"/>
    <x v="2"/>
    <s v="2022/5172"/>
    <s v="42-43 Carlton Drive"/>
    <s v=""/>
    <n v="523949"/>
    <n v="174717"/>
    <s v="East Putney"/>
    <m/>
    <m/>
    <n v="0"/>
    <n v="3"/>
    <n v="3"/>
    <n v="3"/>
    <n v="3"/>
    <m/>
    <s v="Alterations including erection of five-storey building (plus basement ) to provide 2 x2-bedroom and 1 x3-bedroom flats with front balconies and including associated landscaping, cycle parking and refuse storage."/>
    <s v="PF"/>
    <d v="2022-12-16T00:00:00"/>
    <d v="2023-10-25T00:00:00"/>
    <s v="Y"/>
    <s v="Nil"/>
    <m/>
    <s v="BF"/>
    <s v="NB"/>
    <x v="2"/>
    <x v="3"/>
    <n v="6.5000000000000002E-2"/>
    <m/>
    <x v="0"/>
    <m/>
    <s v="Open Market"/>
    <s v="M"/>
    <s v=""/>
    <m/>
    <m/>
    <m/>
    <m/>
    <m/>
    <n v="0"/>
    <n v="0"/>
    <n v="2"/>
    <n v="1"/>
    <n v="0"/>
    <n v="0"/>
    <n v="0"/>
    <n v="0"/>
    <n v="0"/>
    <n v="2"/>
    <n v="1"/>
    <n v="0"/>
    <n v="0"/>
    <n v="0"/>
    <n v="0"/>
    <n v="0"/>
    <n v="0"/>
    <n v="0"/>
    <n v="0"/>
    <n v="0"/>
    <n v="0"/>
    <n v="0"/>
    <n v="0"/>
    <n v="0"/>
    <n v="0"/>
    <n v="0"/>
    <n v="0"/>
    <n v="0"/>
    <m/>
    <m/>
    <s v="Rest of Borough"/>
    <n v="7"/>
    <m/>
    <m/>
    <n v="0.75"/>
    <n v="0.75"/>
    <n v="0.75"/>
    <n v="0.75"/>
    <m/>
    <m/>
    <m/>
    <m/>
    <m/>
    <m/>
    <m/>
    <m/>
    <m/>
    <m/>
    <m/>
    <m/>
    <m/>
    <m/>
    <n v="3"/>
    <n v="3"/>
  </r>
  <r>
    <n v="7513"/>
    <x v="2"/>
    <s v="2022/5269"/>
    <s v="Sylva Court, 79 Putney Hill"/>
    <s v=""/>
    <n v="523758"/>
    <n v="173893"/>
    <s v="East Putney"/>
    <m/>
    <m/>
    <n v="0"/>
    <n v="6"/>
    <n v="6"/>
    <n v="6"/>
    <n v="6"/>
    <m/>
    <s v="Erection of two additional storeys to each section of the building to provide six new self contained apartments (Use Class C3) (2 x 1-bedroom, 2 x 2-bedroom and 2 x 3-bedroom), plant and associated works."/>
    <s v="PF"/>
    <d v="2022-12-22T00:00:00"/>
    <d v="2023-06-21T00:00:00"/>
    <s v="Y"/>
    <s v="Nil"/>
    <m/>
    <s v="BF"/>
    <s v="EXT"/>
    <x v="2"/>
    <x v="7"/>
    <n v="0.193"/>
    <m/>
    <x v="0"/>
    <m/>
    <s v="Open Market"/>
    <s v="M"/>
    <s v=""/>
    <m/>
    <m/>
    <m/>
    <m/>
    <m/>
    <n v="0"/>
    <n v="2"/>
    <n v="2"/>
    <n v="2"/>
    <n v="0"/>
    <n v="0"/>
    <n v="0"/>
    <n v="0"/>
    <n v="2"/>
    <n v="2"/>
    <n v="2"/>
    <n v="0"/>
    <n v="0"/>
    <n v="0"/>
    <n v="0"/>
    <n v="0"/>
    <n v="0"/>
    <n v="0"/>
    <n v="0"/>
    <n v="0"/>
    <n v="0"/>
    <n v="0"/>
    <n v="0"/>
    <n v="0"/>
    <n v="0"/>
    <n v="0"/>
    <n v="0"/>
    <n v="0"/>
    <m/>
    <m/>
    <s v="Rest of Borough"/>
    <n v="18"/>
    <m/>
    <n v="1.5"/>
    <n v="1.5"/>
    <n v="1.5"/>
    <n v="1.5"/>
    <m/>
    <m/>
    <m/>
    <m/>
    <m/>
    <m/>
    <m/>
    <m/>
    <m/>
    <m/>
    <m/>
    <m/>
    <m/>
    <m/>
    <m/>
    <n v="6"/>
    <n v="6"/>
  </r>
  <r>
    <n v="7938"/>
    <x v="2"/>
    <s v="2022/5270"/>
    <s v="7-9 Burntwood Lane"/>
    <s v=""/>
    <n v="526194"/>
    <n v="172318"/>
    <s v="Wandsworth Common"/>
    <m/>
    <m/>
    <n v="0"/>
    <n v="5"/>
    <n v="5"/>
    <n v="5"/>
    <n v="5"/>
    <m/>
    <s v="Demolition of existing buildings and erection of 4 new residential dwellings (5-bedroom terraced houses) fronting Burntwood Lane and one new residential dwelling (2-bedroom detached house)) to the rear of the site with associated landscaping, cycle and refuse storage."/>
    <s v="PF"/>
    <d v="2022-12-22T00:00:00"/>
    <d v="2023-06-21T00:00:00"/>
    <s v="Y"/>
    <s v="Nil"/>
    <m/>
    <s v="BF"/>
    <s v="NB"/>
    <x v="2"/>
    <x v="3"/>
    <n v="7.3200000000000001E-2"/>
    <m/>
    <x v="0"/>
    <m/>
    <s v="Open Market"/>
    <s v="MR"/>
    <s v=""/>
    <m/>
    <m/>
    <m/>
    <m/>
    <m/>
    <n v="0"/>
    <n v="0"/>
    <n v="1"/>
    <n v="0"/>
    <n v="0"/>
    <n v="4"/>
    <n v="0"/>
    <n v="0"/>
    <n v="0"/>
    <n v="0"/>
    <n v="0"/>
    <n v="0"/>
    <n v="0"/>
    <n v="0"/>
    <n v="0"/>
    <n v="0"/>
    <n v="1"/>
    <n v="0"/>
    <n v="0"/>
    <n v="4"/>
    <n v="0"/>
    <n v="0"/>
    <n v="0"/>
    <n v="0"/>
    <n v="0"/>
    <n v="0"/>
    <n v="0"/>
    <n v="0"/>
    <m/>
    <m/>
    <s v="Wandle Valley"/>
    <n v="7"/>
    <m/>
    <m/>
    <n v="1.25"/>
    <n v="1.25"/>
    <n v="1.25"/>
    <n v="1.25"/>
    <m/>
    <m/>
    <m/>
    <m/>
    <m/>
    <m/>
    <m/>
    <m/>
    <m/>
    <m/>
    <m/>
    <m/>
    <m/>
    <m/>
    <n v="5"/>
    <n v="5"/>
  </r>
  <r>
    <n v="3809"/>
    <x v="2"/>
    <s v="2022/5299"/>
    <s v="167 Battersea Rise"/>
    <s v=""/>
    <n v="527098"/>
    <n v="174975"/>
    <s v="Lavender"/>
    <m/>
    <m/>
    <n v="5"/>
    <n v="6"/>
    <n v="1"/>
    <n v="6"/>
    <n v="1"/>
    <m/>
    <s v="Alterations including an additional roof storey over main roof and extension above part of three storey back addition; replacement of windows to front and side elevations; replacement of shopfront with windows to side elevation, replacement of concrete panels with brickwork to front elevation. Part change of use from office (Class E) to residential (Class C3) in connection with internal reconfigurations to five existing flats (3 x 2 bedroom and 2 x 1 bedroom flats, changed to 5 x 1 bedroom flats) and provision of new 1 x 1 bedroom flat."/>
    <s v="PF"/>
    <d v="2022-12-28T00:00:00"/>
    <d v="2023-05-05T00:00:00"/>
    <s v="Y"/>
    <s v="Nil"/>
    <m/>
    <s v="BF"/>
    <s v="MIX"/>
    <x v="2"/>
    <x v="5"/>
    <n v="1.2E-2"/>
    <m/>
    <x v="0"/>
    <m/>
    <s v="Open Market"/>
    <s v="M"/>
    <s v=""/>
    <m/>
    <m/>
    <m/>
    <m/>
    <m/>
    <n v="-1"/>
    <n v="5"/>
    <n v="-3"/>
    <n v="0"/>
    <n v="0"/>
    <n v="0"/>
    <n v="0"/>
    <n v="-1"/>
    <n v="5"/>
    <n v="-3"/>
    <n v="0"/>
    <n v="0"/>
    <n v="0"/>
    <n v="0"/>
    <n v="0"/>
    <n v="0"/>
    <n v="0"/>
    <n v="0"/>
    <n v="0"/>
    <n v="0"/>
    <n v="0"/>
    <n v="0"/>
    <n v="0"/>
    <n v="0"/>
    <n v="0"/>
    <n v="0"/>
    <n v="0"/>
    <n v="0"/>
    <m/>
    <m/>
    <s v="Rest of Borough"/>
    <n v="18"/>
    <m/>
    <n v="0.25"/>
    <n v="0.25"/>
    <n v="0.25"/>
    <n v="0.25"/>
    <m/>
    <m/>
    <m/>
    <m/>
    <m/>
    <m/>
    <m/>
    <m/>
    <m/>
    <m/>
    <m/>
    <m/>
    <m/>
    <m/>
    <m/>
    <n v="1"/>
    <n v="1"/>
  </r>
  <r>
    <n v="7943"/>
    <x v="2"/>
    <s v="2022/5306"/>
    <s v="156 Cavendish Road"/>
    <s v=""/>
    <n v="529132"/>
    <n v="173982"/>
    <s v="Balham"/>
    <m/>
    <m/>
    <n v="5"/>
    <n v="3"/>
    <n v="-2"/>
    <n v="3"/>
    <n v="-2"/>
    <m/>
    <s v="Erection of a dormer extension to main rear roof slope with extension above two-storey rear addition (with solar panels above), erection of a single-storey rear/side extension and excavation to form basement with front and rear lightwells in connection with the conversion into 1 x 3 bedroom and 2 x 1-bedroom self contained flats."/>
    <s v="PF"/>
    <d v="2022-12-28T00:00:00"/>
    <d v="2023-04-17T00:00:00"/>
    <s v="Y"/>
    <s v="Nil"/>
    <m/>
    <s v="BF"/>
    <s v="MIX"/>
    <x v="2"/>
    <x v="7"/>
    <n v="5.3999999999999999E-2"/>
    <m/>
    <x v="0"/>
    <m/>
    <s v="Open Market"/>
    <s v="MR"/>
    <s v=""/>
    <m/>
    <m/>
    <m/>
    <m/>
    <m/>
    <n v="-5"/>
    <n v="2"/>
    <n v="0"/>
    <n v="1"/>
    <n v="0"/>
    <n v="0"/>
    <n v="0"/>
    <n v="-5"/>
    <n v="2"/>
    <n v="0"/>
    <n v="1"/>
    <n v="0"/>
    <n v="0"/>
    <n v="0"/>
    <n v="0"/>
    <n v="0"/>
    <n v="0"/>
    <n v="0"/>
    <n v="0"/>
    <n v="0"/>
    <n v="0"/>
    <n v="0"/>
    <n v="0"/>
    <n v="0"/>
    <n v="0"/>
    <n v="0"/>
    <n v="0"/>
    <n v="0"/>
    <m/>
    <m/>
    <s v="Rest of Borough"/>
    <n v="15"/>
    <m/>
    <n v="-0.5"/>
    <n v="-0.5"/>
    <n v="-0.5"/>
    <n v="-0.5"/>
    <m/>
    <m/>
    <m/>
    <m/>
    <m/>
    <m/>
    <m/>
    <m/>
    <m/>
    <m/>
    <m/>
    <m/>
    <m/>
    <m/>
    <m/>
    <n v="-2"/>
    <n v="-2"/>
  </r>
  <r>
    <n v="7025"/>
    <x v="2"/>
    <s v="2023/0013"/>
    <s v="1-3 Byrne Road"/>
    <s v=""/>
    <n v="528764"/>
    <n v="173063"/>
    <s v="South Balham"/>
    <m/>
    <m/>
    <n v="0"/>
    <n v="2"/>
    <n v="2"/>
    <n v="2"/>
    <n v="2"/>
    <m/>
    <s v="Alterations including the erection of single-storey lower ground floor rear extension; and front and rear lightwells; and reconfiguration of front entrances; in connection with conversion of the lower ground floor into 2 x 2-bedroom flats, with associated refuse storage."/>
    <s v="PF"/>
    <d v="2023-02-20T00:00:00"/>
    <d v="2023-09-01T00:00:00"/>
    <s v="Y"/>
    <s v="Nil"/>
    <m/>
    <s v="BF"/>
    <s v="EXT"/>
    <x v="2"/>
    <x v="7"/>
    <n v="7.7000000000000002E-3"/>
    <m/>
    <x v="0"/>
    <m/>
    <s v="Open Market"/>
    <s v="M"/>
    <s v=""/>
    <m/>
    <m/>
    <m/>
    <m/>
    <m/>
    <n v="0"/>
    <n v="0"/>
    <n v="2"/>
    <n v="0"/>
    <n v="0"/>
    <n v="0"/>
    <n v="0"/>
    <n v="0"/>
    <n v="0"/>
    <n v="2"/>
    <n v="0"/>
    <n v="0"/>
    <n v="0"/>
    <n v="0"/>
    <n v="0"/>
    <n v="0"/>
    <n v="0"/>
    <n v="0"/>
    <n v="0"/>
    <n v="0"/>
    <n v="0"/>
    <n v="0"/>
    <n v="0"/>
    <n v="0"/>
    <n v="0"/>
    <n v="0"/>
    <n v="0"/>
    <n v="0"/>
    <m/>
    <m/>
    <s v="Rest of Borough"/>
    <n v="15"/>
    <m/>
    <n v="0.5"/>
    <n v="0.5"/>
    <n v="0.5"/>
    <n v="0.5"/>
    <m/>
    <m/>
    <m/>
    <m/>
    <m/>
    <m/>
    <m/>
    <m/>
    <m/>
    <m/>
    <m/>
    <m/>
    <m/>
    <m/>
    <m/>
    <n v="2"/>
    <n v="2"/>
  </r>
  <r>
    <n v="2689"/>
    <x v="2"/>
    <s v="2023/0148"/>
    <s v="663-665 Garratt Lane"/>
    <s v=""/>
    <n v="526166"/>
    <n v="172343"/>
    <s v="Wandsworth Common"/>
    <m/>
    <m/>
    <n v="0"/>
    <n v="1"/>
    <n v="1"/>
    <n v="1"/>
    <n v="1"/>
    <m/>
    <s v="Alterations including erection of mansard roof extension to main rear roof of both properties (with French doors and safety railings) and extension above two-storey back addition to 663; installation of external access stair from existing first floor level rear walkway up to third floor level entrance of proposed 1 x 2 bedroom flat with associated refuse and cycle storage."/>
    <s v="PF"/>
    <d v="2023-01-16T00:00:00"/>
    <d v="2023-03-13T00:00:00"/>
    <m/>
    <s v="Nil"/>
    <m/>
    <s v="BF"/>
    <s v="EXT"/>
    <x v="2"/>
    <x v="7"/>
    <n v="3.5000000000000003E-2"/>
    <m/>
    <x v="0"/>
    <m/>
    <s v="Open Market"/>
    <s v="MR"/>
    <s v=""/>
    <m/>
    <m/>
    <m/>
    <m/>
    <m/>
    <n v="0"/>
    <n v="0"/>
    <n v="1"/>
    <n v="0"/>
    <n v="0"/>
    <n v="0"/>
    <n v="0"/>
    <n v="0"/>
    <n v="0"/>
    <n v="1"/>
    <n v="0"/>
    <n v="0"/>
    <n v="0"/>
    <n v="0"/>
    <n v="0"/>
    <n v="0"/>
    <n v="0"/>
    <n v="0"/>
    <n v="0"/>
    <n v="0"/>
    <n v="0"/>
    <n v="0"/>
    <n v="0"/>
    <n v="0"/>
    <n v="0"/>
    <n v="0"/>
    <n v="0"/>
    <n v="0"/>
    <m/>
    <m/>
    <s v="Wandle Valley"/>
    <n v="15"/>
    <m/>
    <n v="0.25"/>
    <n v="0.25"/>
    <n v="0.25"/>
    <n v="0.25"/>
    <m/>
    <m/>
    <m/>
    <m/>
    <m/>
    <m/>
    <m/>
    <m/>
    <m/>
    <m/>
    <m/>
    <m/>
    <m/>
    <m/>
    <m/>
    <n v="1"/>
    <n v="1"/>
  </r>
  <r>
    <n v="4263"/>
    <x v="2"/>
    <s v="2023/0233"/>
    <s v="830 Garratt Lane"/>
    <s v=""/>
    <n v="526950"/>
    <n v="171750"/>
    <s v="Tooting Broadway"/>
    <m/>
    <m/>
    <n v="0"/>
    <n v="1"/>
    <n v="1"/>
    <n v="1"/>
    <n v="1"/>
    <m/>
    <s v="Alterations including conversion of rear part of existing shop (Class E) to one bed studio dwelling (Class C3)."/>
    <s v="PF"/>
    <d v="2023-01-20T00:00:00"/>
    <d v="2023-04-27T00:00:00"/>
    <s v="Y"/>
    <s v="Nil"/>
    <m/>
    <s v="BF"/>
    <s v="CON"/>
    <x v="2"/>
    <x v="4"/>
    <n v="4.8999999999999998E-3"/>
    <m/>
    <x v="0"/>
    <m/>
    <s v="Open Market"/>
    <s v="M"/>
    <s v=""/>
    <m/>
    <m/>
    <m/>
    <m/>
    <m/>
    <n v="1"/>
    <n v="0"/>
    <n v="0"/>
    <n v="0"/>
    <n v="0"/>
    <n v="0"/>
    <n v="0"/>
    <n v="1"/>
    <n v="0"/>
    <n v="0"/>
    <n v="0"/>
    <n v="0"/>
    <n v="0"/>
    <n v="0"/>
    <n v="0"/>
    <n v="0"/>
    <n v="0"/>
    <n v="0"/>
    <n v="0"/>
    <n v="0"/>
    <n v="0"/>
    <n v="0"/>
    <n v="0"/>
    <n v="0"/>
    <n v="0"/>
    <n v="0"/>
    <n v="0"/>
    <n v="0"/>
    <m/>
    <m/>
    <s v="Rest of Borough"/>
    <n v="15"/>
    <m/>
    <n v="0.25"/>
    <n v="0.25"/>
    <n v="0.25"/>
    <n v="0.25"/>
    <m/>
    <m/>
    <m/>
    <m/>
    <m/>
    <m/>
    <m/>
    <m/>
    <m/>
    <m/>
    <m/>
    <m/>
    <m/>
    <m/>
    <m/>
    <n v="1"/>
    <n v="1"/>
  </r>
  <r>
    <n v="7909"/>
    <x v="2"/>
    <s v="2023/0278"/>
    <s v="361 Garratt Lane"/>
    <s v=""/>
    <n v="525938"/>
    <n v="173403"/>
    <s v="Wandle"/>
    <m/>
    <m/>
    <n v="1"/>
    <n v="3"/>
    <n v="2"/>
    <n v="3"/>
    <n v="2"/>
    <m/>
    <s v="Alterations including excavation to enlarge basement with formation of front lightwell; erection of mansard roof extension to main rear roof with French doors and extension above two storey back addition; formation of roof terraces at rear of first and second floors with1.7m high side screens; erection of single storey rear/side extension in connection with use of property as 3 x 1-bedroom flats."/>
    <s v="PF"/>
    <d v="2023-01-24T00:00:00"/>
    <d v="2023-06-22T00:00:00"/>
    <s v="Y"/>
    <s v="Nil"/>
    <m/>
    <s v="BF"/>
    <s v="EXT"/>
    <x v="2"/>
    <x v="7"/>
    <n v="8.0000000000000002E-3"/>
    <m/>
    <x v="0"/>
    <m/>
    <s v="Open Market"/>
    <s v="M"/>
    <s v=""/>
    <m/>
    <m/>
    <m/>
    <m/>
    <m/>
    <n v="0"/>
    <n v="3"/>
    <n v="-1"/>
    <n v="0"/>
    <n v="0"/>
    <n v="0"/>
    <n v="0"/>
    <n v="0"/>
    <n v="3"/>
    <n v="-1"/>
    <n v="0"/>
    <n v="0"/>
    <n v="0"/>
    <n v="0"/>
    <n v="0"/>
    <n v="0"/>
    <n v="0"/>
    <n v="0"/>
    <n v="0"/>
    <n v="0"/>
    <n v="0"/>
    <n v="0"/>
    <n v="0"/>
    <n v="0"/>
    <n v="0"/>
    <n v="0"/>
    <n v="0"/>
    <n v="0"/>
    <m/>
    <m/>
    <s v="Wandle Valley"/>
    <n v="15"/>
    <m/>
    <n v="0.5"/>
    <n v="0.5"/>
    <n v="0.5"/>
    <n v="0.5"/>
    <m/>
    <m/>
    <m/>
    <m/>
    <m/>
    <m/>
    <m/>
    <m/>
    <m/>
    <m/>
    <m/>
    <m/>
    <m/>
    <m/>
    <m/>
    <n v="2"/>
    <n v="2"/>
  </r>
  <r>
    <n v="7953"/>
    <x v="2"/>
    <s v="2023/0349"/>
    <s v="32 Avarn Road"/>
    <s v=""/>
    <n v="527838"/>
    <n v="170943"/>
    <s v="Tooting Broadway"/>
    <m/>
    <m/>
    <n v="1"/>
    <n v="1"/>
    <n v="0"/>
    <n v="1"/>
    <n v="0"/>
    <m/>
    <s v="Alterations including erection of mansard roof extension to main rear roof (with French doors and safety railings) and extension above part of two-storey back addition; Formation of roof terrace above two-storey back addition with 1.7m _x000a_high screen surround in connection with the change of use from first floor flat (Class C3) into a four bedroom HMO (Class C4)."/>
    <s v="PF"/>
    <d v="2023-02-01T00:00:00"/>
    <d v="2023-03-29T00:00:00"/>
    <m/>
    <s v="Nil"/>
    <m/>
    <s v="BF"/>
    <s v="MIX"/>
    <x v="2"/>
    <x v="7"/>
    <n v="5.45E-3"/>
    <m/>
    <x v="0"/>
    <m/>
    <s v="Open Market"/>
    <s v="MR"/>
    <s v=""/>
    <m/>
    <m/>
    <m/>
    <m/>
    <m/>
    <n v="0"/>
    <n v="0"/>
    <n v="-1"/>
    <n v="0"/>
    <n v="1"/>
    <n v="0"/>
    <n v="0"/>
    <n v="0"/>
    <n v="0"/>
    <n v="-1"/>
    <n v="0"/>
    <n v="1"/>
    <n v="0"/>
    <n v="0"/>
    <n v="0"/>
    <n v="0"/>
    <n v="0"/>
    <n v="0"/>
    <n v="0"/>
    <n v="0"/>
    <n v="0"/>
    <n v="0"/>
    <n v="0"/>
    <n v="0"/>
    <n v="0"/>
    <n v="0"/>
    <n v="0"/>
    <n v="0"/>
    <m/>
    <m/>
    <s v="Rest of Borough"/>
    <n v="15"/>
    <m/>
    <n v="0"/>
    <n v="0"/>
    <n v="0"/>
    <n v="0"/>
    <m/>
    <m/>
    <m/>
    <m/>
    <m/>
    <m/>
    <m/>
    <m/>
    <m/>
    <m/>
    <m/>
    <m/>
    <m/>
    <m/>
    <m/>
    <n v="0"/>
    <n v="0"/>
  </r>
  <r>
    <n v="5855"/>
    <x v="2"/>
    <s v="2023/0437"/>
    <s v="135 Mitcham Road"/>
    <s v=""/>
    <n v="527771"/>
    <n v="171157"/>
    <s v="Tooting Broadway"/>
    <m/>
    <m/>
    <n v="1"/>
    <n v="1"/>
    <n v="0"/>
    <n v="1"/>
    <n v="0"/>
    <m/>
    <s v="Alterations including erection of a mansard roof extension to form additional storey above main roof in connection with the change of use from flat to a 5 bedroom HMO (Class C4)."/>
    <s v="PF"/>
    <d v="2023-02-13T00:00:00"/>
    <d v="2023-04-06T00:00:00"/>
    <s v="Y"/>
    <s v="Nil"/>
    <m/>
    <s v="BF"/>
    <s v="CON"/>
    <x v="2"/>
    <x v="7"/>
    <n v="3.8666669999999998E-3"/>
    <m/>
    <x v="0"/>
    <m/>
    <s v="Open Market"/>
    <s v="MR"/>
    <s v=""/>
    <m/>
    <m/>
    <m/>
    <m/>
    <m/>
    <n v="0"/>
    <n v="0"/>
    <n v="0"/>
    <n v="-1"/>
    <n v="0"/>
    <n v="1"/>
    <n v="0"/>
    <n v="0"/>
    <n v="0"/>
    <n v="0"/>
    <n v="-1"/>
    <n v="0"/>
    <n v="1"/>
    <n v="0"/>
    <n v="0"/>
    <n v="0"/>
    <n v="0"/>
    <n v="0"/>
    <n v="0"/>
    <n v="0"/>
    <n v="0"/>
    <n v="0"/>
    <n v="0"/>
    <n v="0"/>
    <n v="0"/>
    <n v="0"/>
    <n v="0"/>
    <n v="0"/>
    <s v="Tooting"/>
    <m/>
    <s v="Tooting"/>
    <n v="15"/>
    <m/>
    <n v="0"/>
    <n v="0"/>
    <n v="0"/>
    <n v="0"/>
    <m/>
    <m/>
    <m/>
    <m/>
    <m/>
    <m/>
    <m/>
    <m/>
    <m/>
    <m/>
    <m/>
    <m/>
    <m/>
    <m/>
    <m/>
    <n v="0"/>
    <n v="0"/>
  </r>
  <r>
    <n v="7958"/>
    <x v="2"/>
    <s v="2023/0450"/>
    <s v="Ground Floor  Flat Front 1, 73 Streathbourne Road"/>
    <s v=""/>
    <n v="528485"/>
    <n v="172355"/>
    <s v="South Balham"/>
    <m/>
    <m/>
    <n v="1"/>
    <n v="2"/>
    <n v="1"/>
    <n v="2"/>
    <n v="1"/>
    <m/>
    <s v="Alterations including erection of single-storey rear extension and conversion of ground floor flat into 1 x 2-bedroom and 1 x 1-bedroom flats."/>
    <s v="PF"/>
    <d v="2023-02-23T00:00:00"/>
    <d v="2023-05-09T00:00:00"/>
    <s v="Y"/>
    <s v="Nil"/>
    <m/>
    <s v="BF"/>
    <s v="MIX"/>
    <x v="2"/>
    <x v="7"/>
    <n v="1.2500000000000001E-2"/>
    <m/>
    <x v="0"/>
    <m/>
    <s v="Open Market"/>
    <s v="M"/>
    <s v=""/>
    <m/>
    <m/>
    <m/>
    <m/>
    <m/>
    <n v="0"/>
    <n v="0"/>
    <n v="1"/>
    <n v="0"/>
    <n v="0"/>
    <n v="0"/>
    <n v="0"/>
    <n v="0"/>
    <n v="0"/>
    <n v="1"/>
    <n v="0"/>
    <n v="0"/>
    <n v="0"/>
    <n v="0"/>
    <n v="0"/>
    <n v="0"/>
    <n v="0"/>
    <n v="0"/>
    <n v="0"/>
    <n v="0"/>
    <n v="0"/>
    <n v="0"/>
    <n v="0"/>
    <n v="0"/>
    <n v="0"/>
    <n v="0"/>
    <n v="0"/>
    <n v="0"/>
    <m/>
    <m/>
    <s v="Rest of Borough"/>
    <n v="15"/>
    <m/>
    <n v="0.25"/>
    <n v="0.25"/>
    <n v="0.25"/>
    <n v="0.25"/>
    <m/>
    <m/>
    <m/>
    <m/>
    <m/>
    <m/>
    <m/>
    <m/>
    <m/>
    <m/>
    <m/>
    <m/>
    <m/>
    <m/>
    <m/>
    <n v="1"/>
    <n v="1"/>
  </r>
  <r>
    <n v="4535"/>
    <x v="2"/>
    <s v="2023/0518"/>
    <s v="167 Oakhill Road (Rear of 165 and 169)"/>
    <s v=""/>
    <n v="525151"/>
    <n v="174981"/>
    <s v="East Putney"/>
    <m/>
    <m/>
    <n v="0"/>
    <n v="1"/>
    <n v="1"/>
    <n v="1"/>
    <n v="1"/>
    <m/>
    <s v="Alterations including erection of replacement single storey front/side extension; Demolition of existing link and erection of a timber pergola with a pitched roof between the main building and outbuilding; Installation of timber fenestration to ground and first floor rear elevation and first floor side elevation; Installation of solar pv panels to roof of the single storey front/side extension; Removal of existing and partial replacement of render to exterior of main building; In connection with use of main building as a 4 -bed house. (See associated Listed Building application 2023/0529)"/>
    <s v="PF"/>
    <d v="2023-02-13T00:00:00"/>
    <d v="2023-05-17T00:00:00"/>
    <s v="Y"/>
    <s v="Nil"/>
    <m/>
    <s v="BF"/>
    <s v="MIX"/>
    <x v="2"/>
    <x v="6"/>
    <n v="8.9999999999999993E-3"/>
    <m/>
    <x v="0"/>
    <m/>
    <s v="Open Market"/>
    <s v="M"/>
    <s v=""/>
    <m/>
    <m/>
    <m/>
    <m/>
    <m/>
    <n v="0"/>
    <n v="0"/>
    <n v="0"/>
    <n v="0"/>
    <n v="1"/>
    <n v="0"/>
    <n v="0"/>
    <n v="0"/>
    <n v="0"/>
    <n v="0"/>
    <n v="0"/>
    <n v="0"/>
    <n v="0"/>
    <n v="0"/>
    <n v="0"/>
    <n v="0"/>
    <n v="0"/>
    <n v="0"/>
    <n v="1"/>
    <n v="0"/>
    <n v="0"/>
    <n v="0"/>
    <n v="0"/>
    <n v="0"/>
    <n v="0"/>
    <n v="0"/>
    <n v="0"/>
    <n v="0"/>
    <m/>
    <m/>
    <s v="Wandsworth Town, including the Wandle Delta Masterplan Area"/>
    <n v="15"/>
    <m/>
    <n v="0.25"/>
    <n v="0.25"/>
    <n v="0.25"/>
    <n v="0.25"/>
    <m/>
    <m/>
    <m/>
    <m/>
    <m/>
    <m/>
    <m/>
    <m/>
    <m/>
    <m/>
    <m/>
    <m/>
    <m/>
    <m/>
    <m/>
    <n v="1"/>
    <n v="1"/>
  </r>
  <r>
    <n v="6497"/>
    <x v="2"/>
    <s v="2023/0613"/>
    <s v="64-64c Battersea Rise"/>
    <s v=""/>
    <n v="527487"/>
    <n v="175150"/>
    <s v="Lavender"/>
    <m/>
    <m/>
    <n v="2"/>
    <n v="0"/>
    <n v="-2"/>
    <n v="0"/>
    <n v="-2"/>
    <m/>
    <s v="Alterations including erection of a roof extension to the main roof; Erection of part-two, part-three-storey rear extension; Formation of rear roof terraces with 0.8m high metal railing surround at second and third floors; Installation of French doors and safety railings to first floor rear elevation; Installation of replacement extraction duct and flue to rear elevation; Excavation to enlarge existing basement; In connection with change of use of upper floors from 2 x self-contained flats (Class C3), to 13-bed HMO (Sui Generis)."/>
    <s v="PF"/>
    <d v="2023-03-01T00:00:00"/>
    <d v="2023-10-25T00:00:00"/>
    <s v="Y"/>
    <s v="Nil"/>
    <m/>
    <s v="BF"/>
    <s v="MIX"/>
    <x v="2"/>
    <x v="1"/>
    <n v="1.4999999999999999E-2"/>
    <m/>
    <x v="0"/>
    <m/>
    <s v="Open Market"/>
    <s v="M"/>
    <s v=""/>
    <m/>
    <m/>
    <m/>
    <m/>
    <m/>
    <n v="0"/>
    <n v="0"/>
    <n v="0"/>
    <n v="-1"/>
    <n v="0"/>
    <n v="-1"/>
    <n v="0"/>
    <n v="0"/>
    <n v="0"/>
    <n v="0"/>
    <n v="-1"/>
    <n v="0"/>
    <n v="-1"/>
    <n v="0"/>
    <n v="0"/>
    <n v="0"/>
    <n v="0"/>
    <n v="0"/>
    <n v="0"/>
    <n v="0"/>
    <n v="0"/>
    <n v="0"/>
    <n v="0"/>
    <n v="0"/>
    <n v="0"/>
    <n v="0"/>
    <n v="0"/>
    <n v="0"/>
    <s v="Clapham Junction"/>
    <m/>
    <s v="Clapham Junction and York Road / Winstanley Regeneration Area"/>
    <n v="15"/>
    <m/>
    <n v="-0.5"/>
    <n v="-0.5"/>
    <n v="-0.5"/>
    <n v="-0.5"/>
    <m/>
    <m/>
    <m/>
    <m/>
    <m/>
    <m/>
    <m/>
    <m/>
    <m/>
    <m/>
    <m/>
    <m/>
    <m/>
    <m/>
    <m/>
    <n v="-2"/>
    <n v="-2"/>
  </r>
  <r>
    <n v="5138"/>
    <x v="2"/>
    <s v="2023/0682"/>
    <s v="17 Colinette Road"/>
    <s v=""/>
    <n v="523115"/>
    <n v="175074"/>
    <s v="West Putney"/>
    <m/>
    <m/>
    <n v="5"/>
    <n v="6"/>
    <n v="1"/>
    <n v="6"/>
    <n v="1"/>
    <m/>
    <s v="Alterations including excavation to enlarge rear lightwell and erection of three-storey side extension including enlargement of one flat ro provide a 4-bed house; formation of hardstanding for 4 cars in front garden including removal of one tree."/>
    <s v="PF"/>
    <d v="2023-02-21T00:00:00"/>
    <d v="2023-08-23T00:00:00"/>
    <s v="Y"/>
    <s v="Nil"/>
    <m/>
    <s v="BF"/>
    <s v="EXT"/>
    <x v="2"/>
    <x v="7"/>
    <n v="1.7933330000000001E-2"/>
    <m/>
    <x v="0"/>
    <m/>
    <s v="Open Market"/>
    <s v="M"/>
    <s v=""/>
    <m/>
    <m/>
    <m/>
    <m/>
    <m/>
    <n v="0"/>
    <n v="0"/>
    <n v="1"/>
    <n v="-1"/>
    <n v="1"/>
    <n v="0"/>
    <n v="0"/>
    <n v="0"/>
    <n v="0"/>
    <n v="1"/>
    <n v="-1"/>
    <n v="0"/>
    <n v="0"/>
    <n v="0"/>
    <n v="0"/>
    <n v="0"/>
    <n v="0"/>
    <n v="0"/>
    <n v="1"/>
    <n v="0"/>
    <n v="0"/>
    <n v="0"/>
    <n v="0"/>
    <n v="0"/>
    <n v="0"/>
    <n v="0"/>
    <n v="0"/>
    <n v="0"/>
    <m/>
    <m/>
    <s v="Rest of Borough"/>
    <n v="15"/>
    <m/>
    <n v="0.25"/>
    <n v="0.25"/>
    <n v="0.25"/>
    <n v="0.25"/>
    <m/>
    <m/>
    <m/>
    <m/>
    <m/>
    <m/>
    <m/>
    <m/>
    <m/>
    <m/>
    <m/>
    <m/>
    <m/>
    <m/>
    <m/>
    <n v="1"/>
    <n v="1"/>
  </r>
  <r>
    <n v="7920"/>
    <x v="2"/>
    <s v="2023/0722"/>
    <s v="186 Garratt Lane"/>
    <s v=""/>
    <n v="525886"/>
    <n v="173713"/>
    <s v="Wandle"/>
    <m/>
    <m/>
    <n v="1"/>
    <n v="2"/>
    <n v="1"/>
    <n v="2"/>
    <n v="1"/>
    <m/>
    <s v="Alterations including erection of extension above two-storey rear addition and formation of terraces at first and second floors with obscure glazed  balustrade in connection with conversion of the upper maisonette into 2 x 1-bedroom flats; refurbishement of single storey rear outbuilding."/>
    <s v="PF"/>
    <d v="2023-02-22T00:00:00"/>
    <d v="2023-04-19T00:00:00"/>
    <s v="Y"/>
    <s v="Nil"/>
    <m/>
    <s v="BF"/>
    <s v="MIX"/>
    <x v="2"/>
    <x v="5"/>
    <n v="0"/>
    <m/>
    <x v="0"/>
    <m/>
    <s v="Open Market"/>
    <s v="MR"/>
    <s v=""/>
    <m/>
    <m/>
    <m/>
    <m/>
    <m/>
    <n v="0"/>
    <n v="2"/>
    <n v="0"/>
    <n v="0"/>
    <n v="0"/>
    <n v="-1"/>
    <n v="0"/>
    <n v="0"/>
    <n v="2"/>
    <n v="0"/>
    <n v="0"/>
    <n v="0"/>
    <n v="-1"/>
    <n v="0"/>
    <n v="0"/>
    <n v="0"/>
    <n v="0"/>
    <n v="0"/>
    <n v="0"/>
    <n v="0"/>
    <n v="0"/>
    <n v="0"/>
    <n v="0"/>
    <n v="0"/>
    <n v="0"/>
    <n v="0"/>
    <n v="0"/>
    <n v="0"/>
    <m/>
    <m/>
    <s v="Wandle Valley"/>
    <n v="15"/>
    <m/>
    <n v="0.25"/>
    <n v="0.25"/>
    <n v="0.25"/>
    <n v="0.25"/>
    <m/>
    <m/>
    <m/>
    <m/>
    <m/>
    <m/>
    <m/>
    <m/>
    <m/>
    <m/>
    <m/>
    <m/>
    <m/>
    <m/>
    <m/>
    <n v="1"/>
    <n v="1"/>
  </r>
  <r>
    <n v="5682"/>
    <x v="2"/>
    <s v="2023/0853"/>
    <s v="7 Lavender Hill"/>
    <s v=""/>
    <n v="528537"/>
    <n v="175740"/>
    <s v="Lavender"/>
    <m/>
    <m/>
    <n v="1"/>
    <n v="1"/>
    <n v="0"/>
    <n v="1"/>
    <n v="0"/>
    <m/>
    <s v="Alterations to convert a 1-bedroom flat into a 2-bedroom flat including change of access."/>
    <s v="PF"/>
    <d v="2023-03-27T00:00:00"/>
    <d v="2023-05-22T00:00:00"/>
    <s v="Y"/>
    <s v="Nil"/>
    <m/>
    <s v="BF"/>
    <s v="CON"/>
    <x v="2"/>
    <x v="7"/>
    <n v="7.2899999999999996E-3"/>
    <m/>
    <x v="0"/>
    <m/>
    <s v="Open Market"/>
    <s v="M"/>
    <s v=""/>
    <m/>
    <m/>
    <m/>
    <m/>
    <m/>
    <n v="0"/>
    <n v="-1"/>
    <n v="1"/>
    <n v="0"/>
    <n v="0"/>
    <n v="0"/>
    <n v="0"/>
    <n v="0"/>
    <n v="-1"/>
    <n v="1"/>
    <n v="0"/>
    <n v="0"/>
    <n v="0"/>
    <n v="0"/>
    <n v="0"/>
    <n v="0"/>
    <n v="0"/>
    <n v="0"/>
    <n v="0"/>
    <n v="0"/>
    <n v="0"/>
    <n v="0"/>
    <n v="0"/>
    <n v="0"/>
    <n v="0"/>
    <n v="0"/>
    <n v="0"/>
    <n v="0"/>
    <m/>
    <m/>
    <s v="Rest of Borough"/>
    <n v="15"/>
    <m/>
    <n v="0"/>
    <n v="0"/>
    <n v="0"/>
    <n v="0"/>
    <m/>
    <m/>
    <m/>
    <m/>
    <m/>
    <m/>
    <m/>
    <m/>
    <m/>
    <m/>
    <m/>
    <m/>
    <m/>
    <m/>
    <m/>
    <n v="0"/>
    <n v="0"/>
  </r>
  <r>
    <n v="7927"/>
    <x v="2"/>
    <s v="2023/1033"/>
    <s v="Upper Floor Flat, 42 Lavender Hill"/>
    <s v=""/>
    <n v="528410"/>
    <n v="175764"/>
    <s v="Shaftesbury &amp; Queenstown"/>
    <m/>
    <m/>
    <n v="1"/>
    <n v="3"/>
    <n v="2"/>
    <n v="3"/>
    <n v="2"/>
    <m/>
    <s v="Alterations including the erection of mansard roof extension to front and rear roof in connection with conversion of the first and second floors into 3 x 1-bedroom flats with associated cycle and refuse storage and balconies."/>
    <s v="PF"/>
    <d v="2023-03-15T00:00:00"/>
    <d v="2023-05-10T00:00:00"/>
    <s v="Y"/>
    <s v="Nil"/>
    <m/>
    <s v="BF"/>
    <s v="EXT"/>
    <x v="2"/>
    <x v="7"/>
    <n v="4.4999999999999997E-3"/>
    <m/>
    <x v="0"/>
    <m/>
    <s v="Open Market"/>
    <s v="M"/>
    <s v=""/>
    <m/>
    <m/>
    <m/>
    <m/>
    <m/>
    <n v="0"/>
    <n v="3"/>
    <n v="0"/>
    <n v="-1"/>
    <n v="0"/>
    <n v="0"/>
    <n v="0"/>
    <n v="0"/>
    <n v="3"/>
    <n v="0"/>
    <n v="-1"/>
    <n v="0"/>
    <n v="0"/>
    <n v="0"/>
    <n v="0"/>
    <n v="0"/>
    <n v="0"/>
    <n v="0"/>
    <n v="0"/>
    <n v="0"/>
    <n v="0"/>
    <n v="0"/>
    <n v="0"/>
    <n v="0"/>
    <n v="0"/>
    <n v="0"/>
    <n v="0"/>
    <n v="0"/>
    <m/>
    <m/>
    <s v="Rest of Borough"/>
    <n v="15"/>
    <m/>
    <n v="0.5"/>
    <n v="0.5"/>
    <n v="0.5"/>
    <n v="0.5"/>
    <m/>
    <m/>
    <m/>
    <m/>
    <m/>
    <m/>
    <m/>
    <m/>
    <m/>
    <m/>
    <m/>
    <m/>
    <m/>
    <m/>
    <m/>
    <n v="2"/>
    <n v="2"/>
  </r>
  <r>
    <n v="7959"/>
    <x v="2"/>
    <s v="2023/1069"/>
    <s v="78 Sisters Avenue"/>
    <s v=""/>
    <n v="528025"/>
    <n v="175251"/>
    <s v="Lavender"/>
    <m/>
    <m/>
    <n v="0"/>
    <n v="1"/>
    <n v="1"/>
    <n v="1"/>
    <n v="1"/>
    <m/>
    <s v="Demolition of existing side extension and erection of two-storey dwellinghouse plus basement and accomodation within roof."/>
    <s v="PF"/>
    <d v="2023-03-22T00:00:00"/>
    <d v="2023-06-26T00:00:00"/>
    <s v="Y"/>
    <s v="Nil"/>
    <m/>
    <s v="BF"/>
    <s v="NB"/>
    <x v="2"/>
    <x v="3"/>
    <n v="5.7999999999999996E-3"/>
    <m/>
    <x v="0"/>
    <m/>
    <s v="Open Market"/>
    <s v="M"/>
    <s v=""/>
    <m/>
    <m/>
    <m/>
    <m/>
    <m/>
    <n v="0"/>
    <n v="0"/>
    <n v="0"/>
    <n v="1"/>
    <n v="0"/>
    <n v="0"/>
    <n v="0"/>
    <n v="0"/>
    <n v="0"/>
    <n v="0"/>
    <n v="0"/>
    <n v="0"/>
    <n v="0"/>
    <n v="0"/>
    <n v="0"/>
    <n v="0"/>
    <n v="0"/>
    <n v="1"/>
    <n v="0"/>
    <n v="0"/>
    <n v="0"/>
    <n v="0"/>
    <n v="0"/>
    <n v="0"/>
    <n v="0"/>
    <n v="0"/>
    <n v="0"/>
    <n v="0"/>
    <m/>
    <m/>
    <s v="Rest of Borough"/>
    <n v="7"/>
    <m/>
    <m/>
    <n v="0.25"/>
    <n v="0.25"/>
    <n v="0.25"/>
    <n v="0.25"/>
    <m/>
    <m/>
    <m/>
    <m/>
    <m/>
    <m/>
    <m/>
    <m/>
    <m/>
    <m/>
    <m/>
    <m/>
    <m/>
    <m/>
    <n v="1"/>
    <n v="1"/>
  </r>
  <r>
    <n v="7970"/>
    <x v="2"/>
    <s v="2023/1144"/>
    <s v="15 Gassiot Road"/>
    <s v=""/>
    <n v="527803"/>
    <n v="171659"/>
    <s v="Tooting Bec"/>
    <m/>
    <m/>
    <n v="1"/>
    <n v="1"/>
    <n v="0"/>
    <n v="1"/>
    <n v="0"/>
    <m/>
    <s v="Alterations including erection of dormer roof extension to main rear roof, roof extension above two storey back addition and erection of single storey rear and side extension in connection with conversion of property from residential (Class C3) to house of multiple occupation (Class C4)."/>
    <s v="PF"/>
    <d v="2023-03-28T00:00:00"/>
    <d v="2023-06-19T00:00:00"/>
    <s v="Y"/>
    <s v="Nil"/>
    <m/>
    <s v="BF"/>
    <s v="CON"/>
    <x v="2"/>
    <x v="7"/>
    <n v="5.4000000000000003E-3"/>
    <m/>
    <x v="0"/>
    <m/>
    <s v="Open Market"/>
    <s v="MR"/>
    <s v=""/>
    <m/>
    <m/>
    <m/>
    <m/>
    <m/>
    <n v="0"/>
    <n v="0"/>
    <n v="0"/>
    <n v="0"/>
    <n v="-1"/>
    <n v="1"/>
    <n v="0"/>
    <n v="0"/>
    <n v="0"/>
    <n v="0"/>
    <n v="0"/>
    <n v="0"/>
    <n v="0"/>
    <n v="0"/>
    <n v="0"/>
    <n v="0"/>
    <n v="0"/>
    <n v="0"/>
    <n v="-1"/>
    <n v="1"/>
    <n v="0"/>
    <n v="0"/>
    <n v="0"/>
    <n v="0"/>
    <n v="0"/>
    <n v="0"/>
    <n v="0"/>
    <n v="0"/>
    <m/>
    <m/>
    <s v="Rest of Borough"/>
    <n v="15"/>
    <m/>
    <n v="0"/>
    <n v="0"/>
    <n v="0"/>
    <n v="0"/>
    <m/>
    <m/>
    <m/>
    <m/>
    <m/>
    <m/>
    <m/>
    <m/>
    <m/>
    <m/>
    <m/>
    <m/>
    <m/>
    <m/>
    <m/>
    <n v="0"/>
    <n v="0"/>
  </r>
  <r>
    <n v="7974"/>
    <x v="2"/>
    <s v="2023/1176"/>
    <s v="Struan House, 44 Augustus Road"/>
    <s v=""/>
    <n v="524424"/>
    <n v="173204"/>
    <s v="West Hill"/>
    <m/>
    <m/>
    <n v="0"/>
    <n v="9"/>
    <n v="9"/>
    <n v="9"/>
    <n v="9"/>
    <m/>
    <s v="Erection of a three storey building to provide 9 flats (1 x 3-bed, 6 x 2-bed and 2 x 1-bed) with front and rear balconies together with associated landscaping and secure cycle and refuse storage."/>
    <s v="PF"/>
    <d v="2023-03-24T00:00:00"/>
    <d v="2023-08-31T00:00:00"/>
    <s v="Y"/>
    <s v="Nil"/>
    <m/>
    <s v="BF"/>
    <s v="NB"/>
    <x v="2"/>
    <x v="3"/>
    <n v="2.1999999999999999E-2"/>
    <m/>
    <x v="0"/>
    <m/>
    <s v="Open Market"/>
    <s v="M"/>
    <s v=""/>
    <m/>
    <m/>
    <m/>
    <m/>
    <m/>
    <n v="0"/>
    <n v="2"/>
    <n v="7"/>
    <n v="0"/>
    <n v="0"/>
    <n v="0"/>
    <n v="0"/>
    <n v="0"/>
    <n v="2"/>
    <n v="7"/>
    <n v="0"/>
    <n v="0"/>
    <n v="0"/>
    <n v="0"/>
    <n v="0"/>
    <n v="0"/>
    <n v="0"/>
    <n v="0"/>
    <n v="0"/>
    <n v="0"/>
    <n v="0"/>
    <n v="0"/>
    <n v="0"/>
    <n v="0"/>
    <n v="0"/>
    <n v="0"/>
    <n v="0"/>
    <n v="0"/>
    <m/>
    <m/>
    <s v="Rest of Borough"/>
    <n v="10"/>
    <m/>
    <m/>
    <m/>
    <m/>
    <n v="3"/>
    <n v="3"/>
    <n v="3"/>
    <m/>
    <m/>
    <m/>
    <m/>
    <m/>
    <m/>
    <m/>
    <m/>
    <m/>
    <m/>
    <m/>
    <m/>
    <m/>
    <n v="6"/>
    <n v="9"/>
  </r>
  <r>
    <n v="7975"/>
    <x v="2"/>
    <s v="2023/1236"/>
    <s v="10 York Road"/>
    <s v=""/>
    <n v="527030"/>
    <n v="176160"/>
    <s v="St Mary's"/>
    <m/>
    <m/>
    <n v="1"/>
    <n v="3"/>
    <n v="2"/>
    <n v="3"/>
    <n v="2"/>
    <m/>
    <s v="Alterations including erection of an additional floor of accommodation; Erection of an extension above the two-storey back addition and formation of roof terrace with a 1.1m high glazed handrail above; Erection of a two-storey rear/side extension; Installation of a new front entrance door in connection with conversion of the first floor flat to 3 x 1-bedroom flats; and alterations to the ground floor commercial unit, with associated refuse and cycle storage."/>
    <s v="PF"/>
    <d v="2023-03-31T00:00:00"/>
    <d v="2023-08-31T00:00:00"/>
    <s v="Y"/>
    <s v="Nil"/>
    <m/>
    <s v="BF"/>
    <s v="MIX"/>
    <x v="2"/>
    <x v="7"/>
    <n v="4.7999999999999996E-3"/>
    <m/>
    <x v="0"/>
    <m/>
    <s v="Open Market"/>
    <s v="M"/>
    <s v=""/>
    <m/>
    <m/>
    <m/>
    <m/>
    <m/>
    <n v="0"/>
    <n v="3"/>
    <n v="-1"/>
    <n v="0"/>
    <n v="0"/>
    <n v="0"/>
    <n v="0"/>
    <n v="0"/>
    <n v="3"/>
    <n v="-1"/>
    <n v="0"/>
    <n v="0"/>
    <n v="0"/>
    <n v="0"/>
    <n v="0"/>
    <n v="0"/>
    <n v="0"/>
    <n v="0"/>
    <n v="0"/>
    <n v="0"/>
    <n v="0"/>
    <n v="0"/>
    <n v="0"/>
    <n v="0"/>
    <n v="0"/>
    <n v="0"/>
    <n v="0"/>
    <n v="0"/>
    <m/>
    <m/>
    <s v="Rest of Borough"/>
    <n v="15"/>
    <m/>
    <n v="0.5"/>
    <n v="0.5"/>
    <n v="0.5"/>
    <n v="0.5"/>
    <m/>
    <m/>
    <m/>
    <m/>
    <m/>
    <m/>
    <m/>
    <m/>
    <m/>
    <m/>
    <m/>
    <m/>
    <m/>
    <m/>
    <m/>
    <n v="2"/>
    <n v="2"/>
  </r>
  <r>
    <n v="7965"/>
    <x v="2"/>
    <s v="2023/1339"/>
    <s v="96 Granville Road"/>
    <s v=""/>
    <n v="524661"/>
    <n v="173871"/>
    <s v="East Putney"/>
    <m/>
    <m/>
    <n v="1"/>
    <n v="7"/>
    <n v="6"/>
    <n v="7"/>
    <n v="6"/>
    <m/>
    <s v="Demolition of existing building and erection of a  2-storey building with basement and roof levels to provide 3 x 3-bed, 3 x 2-bed and 1 x 1-bed flats) all with access to l rear garden/terraces and refuse and cycle storage."/>
    <s v="PF"/>
    <d v="2023-04-05T00:00:00"/>
    <d v="2023-12-14T00:00:00"/>
    <s v="Y"/>
    <s v="Nil"/>
    <m/>
    <s v="Gdn"/>
    <s v="NB"/>
    <x v="2"/>
    <x v="3"/>
    <n v="1.95E-2"/>
    <m/>
    <x v="0"/>
    <m/>
    <s v="Open Market"/>
    <s v="M"/>
    <s v=""/>
    <m/>
    <m/>
    <m/>
    <m/>
    <m/>
    <n v="0"/>
    <n v="1"/>
    <n v="4"/>
    <n v="1"/>
    <n v="0"/>
    <n v="0"/>
    <n v="0"/>
    <n v="0"/>
    <n v="1"/>
    <n v="4"/>
    <n v="2"/>
    <n v="0"/>
    <n v="0"/>
    <n v="0"/>
    <n v="0"/>
    <n v="0"/>
    <n v="0"/>
    <n v="-1"/>
    <n v="0"/>
    <n v="0"/>
    <n v="0"/>
    <n v="0"/>
    <n v="0"/>
    <n v="0"/>
    <n v="0"/>
    <n v="0"/>
    <n v="0"/>
    <n v="0"/>
    <m/>
    <m/>
    <s v="Rest of Borough"/>
    <n v="10"/>
    <m/>
    <m/>
    <m/>
    <m/>
    <n v="2"/>
    <n v="2"/>
    <n v="2"/>
    <m/>
    <m/>
    <m/>
    <m/>
    <m/>
    <m/>
    <m/>
    <m/>
    <m/>
    <m/>
    <m/>
    <m/>
    <m/>
    <n v="4"/>
    <n v="6"/>
  </r>
  <r>
    <n v="7966"/>
    <x v="2"/>
    <s v="2023/1379"/>
    <s v="78 Buckhold Road"/>
    <s v=""/>
    <n v="525328"/>
    <n v="174358"/>
    <s v="East Putney"/>
    <m/>
    <m/>
    <n v="0"/>
    <n v="1"/>
    <n v="1"/>
    <n v="1"/>
    <n v="1"/>
    <m/>
    <s v="Erection of two storey 3-bedroom house with associated boundary treatment, parking and cycle and refuse storage; installation of crossover and hardstanding for parking  to no.78."/>
    <s v="PF"/>
    <d v="2023-04-11T00:00:00"/>
    <d v="2023-06-30T00:00:00"/>
    <s v="Y"/>
    <s v="Nil"/>
    <m/>
    <s v="Gdn"/>
    <s v="NB"/>
    <x v="2"/>
    <x v="3"/>
    <n v="7.1999999999999998E-3"/>
    <m/>
    <x v="0"/>
    <m/>
    <s v="Open Market"/>
    <s v="M"/>
    <s v=""/>
    <m/>
    <m/>
    <m/>
    <m/>
    <m/>
    <n v="0"/>
    <n v="0"/>
    <n v="0"/>
    <n v="1"/>
    <n v="0"/>
    <n v="0"/>
    <n v="0"/>
    <n v="0"/>
    <n v="0"/>
    <n v="0"/>
    <n v="0"/>
    <n v="0"/>
    <n v="0"/>
    <n v="0"/>
    <n v="0"/>
    <n v="0"/>
    <n v="0"/>
    <n v="1"/>
    <n v="0"/>
    <n v="0"/>
    <n v="0"/>
    <n v="0"/>
    <n v="0"/>
    <n v="0"/>
    <n v="0"/>
    <n v="0"/>
    <n v="0"/>
    <n v="0"/>
    <m/>
    <m/>
    <s v="Wandsworth Town, including the Wandle Delta Masterplan Area"/>
    <n v="7"/>
    <m/>
    <m/>
    <n v="0.25"/>
    <n v="0.25"/>
    <n v="0.25"/>
    <n v="0.25"/>
    <m/>
    <m/>
    <m/>
    <m/>
    <m/>
    <m/>
    <m/>
    <m/>
    <m/>
    <m/>
    <m/>
    <m/>
    <m/>
    <m/>
    <n v="1"/>
    <n v="1"/>
  </r>
  <r>
    <n v="419"/>
    <x v="2"/>
    <s v="2023/1508"/>
    <s v="5 Beechcroft Road"/>
    <s v=""/>
    <n v="527797"/>
    <n v="172208"/>
    <s v="Tooting Bec"/>
    <m/>
    <m/>
    <n v="0"/>
    <n v="7"/>
    <n v="7"/>
    <n v="7"/>
    <n v="7"/>
    <m/>
    <s v="Demolition of existing building and erection of a part three-storey part four-storey building to provide 3 x 1-bedroom, 4 x 2-bedroom and 1 x 3-bedroom flats (Class C3) with balconies and the use of part ground floor as a community use (Class F2)."/>
    <s v="PF"/>
    <d v="2023-04-20T00:00:00"/>
    <d v="2023-12-15T00:00:00"/>
    <s v="Y"/>
    <s v="Nil"/>
    <m/>
    <s v="BF"/>
    <s v="NB"/>
    <x v="2"/>
    <x v="3"/>
    <n v="2.1999999999999999E-2"/>
    <m/>
    <x v="0"/>
    <m/>
    <s v="Open Market"/>
    <s v="M"/>
    <s v=""/>
    <m/>
    <m/>
    <m/>
    <m/>
    <m/>
    <n v="0"/>
    <n v="4"/>
    <n v="2"/>
    <n v="1"/>
    <n v="0"/>
    <n v="0"/>
    <n v="0"/>
    <n v="0"/>
    <n v="4"/>
    <n v="2"/>
    <n v="1"/>
    <n v="0"/>
    <n v="0"/>
    <n v="0"/>
    <n v="0"/>
    <n v="0"/>
    <n v="0"/>
    <n v="0"/>
    <n v="0"/>
    <n v="0"/>
    <n v="0"/>
    <n v="0"/>
    <n v="0"/>
    <n v="0"/>
    <n v="0"/>
    <n v="0"/>
    <n v="0"/>
    <n v="0"/>
    <m/>
    <m/>
    <s v="Rest of Borough"/>
    <n v="10"/>
    <m/>
    <m/>
    <m/>
    <m/>
    <n v="2.3333333333333335"/>
    <n v="2.3333333333333335"/>
    <n v="2.3333333333333335"/>
    <m/>
    <m/>
    <m/>
    <m/>
    <m/>
    <m/>
    <m/>
    <m/>
    <m/>
    <m/>
    <m/>
    <m/>
    <m/>
    <n v="4.666666666666667"/>
    <n v="7"/>
  </r>
  <r>
    <n v="7463"/>
    <x v="2"/>
    <s v="2020/5015"/>
    <s v="7a Putney Bridge Road"/>
    <s v="Front Building"/>
    <n v="525270"/>
    <n v="174719"/>
    <s v="East Putney"/>
    <d v="2022-08-19T00:00:00"/>
    <m/>
    <n v="0"/>
    <n v="5"/>
    <n v="5"/>
    <n v="9"/>
    <n v="9"/>
    <m/>
    <s v="Demolition of existing building and erection of a block of flats to provide 7 x 1-bedroom, and 1 x 2-bedroom flats with communal amenity area; erection of two storey (plus roof) 3-bedroom mews house at rear; associated cycle and refuse storage . (Amendment to pp granted 15/09/20 ref. 2020/2171 to alter the site layout in connection with the removal of the parking space for the mews house)."/>
    <s v="PF"/>
    <d v="2020-12-22T00:00:00"/>
    <d v="2021-04-22T00:00:00"/>
    <m/>
    <s v="Nil"/>
    <m/>
    <s v="BF"/>
    <s v="NB"/>
    <x v="2"/>
    <x v="3"/>
    <n v="2.5000000000000001E-2"/>
    <m/>
    <x v="0"/>
    <m/>
    <s v="Open Market"/>
    <s v="M"/>
    <s v=""/>
    <m/>
    <m/>
    <m/>
    <m/>
    <m/>
    <n v="2"/>
    <n v="2"/>
    <n v="1"/>
    <n v="0"/>
    <n v="0"/>
    <n v="0"/>
    <n v="0"/>
    <n v="2"/>
    <n v="2"/>
    <n v="1"/>
    <n v="0"/>
    <n v="0"/>
    <n v="0"/>
    <n v="0"/>
    <n v="0"/>
    <n v="0"/>
    <n v="0"/>
    <n v="0"/>
    <n v="0"/>
    <n v="0"/>
    <n v="0"/>
    <n v="0"/>
    <n v="0"/>
    <n v="0"/>
    <n v="0"/>
    <n v="0"/>
    <n v="0"/>
    <n v="0"/>
    <m/>
    <m/>
    <s v="Wandsworth Town, including the Wandle Delta Masterplan Area"/>
    <n v="8"/>
    <m/>
    <m/>
    <n v="5"/>
    <m/>
    <m/>
    <m/>
    <m/>
    <m/>
    <m/>
    <m/>
    <m/>
    <m/>
    <m/>
    <m/>
    <m/>
    <m/>
    <m/>
    <m/>
    <m/>
    <m/>
    <n v="5"/>
    <n v="5"/>
  </r>
  <r>
    <n v="7463"/>
    <x v="2"/>
    <s v="2020/5015"/>
    <s v="7a Putney Bridge Road"/>
    <s v="Rear Building"/>
    <n v="525270"/>
    <n v="174719"/>
    <s v="East Putney"/>
    <d v="2022-08-19T00:00:00"/>
    <m/>
    <n v="0"/>
    <n v="3"/>
    <n v="3"/>
    <n v="9"/>
    <n v="9"/>
    <m/>
    <s v="Demolition of existing building and erection of a block of flats to provide 7 x 1-bedroom, and 1 x 2-bedroom flats with communal amenity area; erection of two storey (plus roof) 3-bedroom mews house at rear; associated cycle and refuse storage . (Amendment to pp granted 15/09/20 ref. 2020/2171 to alter the site layout in connection with the removal of the parking space for the mews house)."/>
    <s v="PF"/>
    <d v="2020-12-22T00:00:00"/>
    <d v="2021-04-22T00:00:00"/>
    <m/>
    <s v="Nil"/>
    <m/>
    <s v="BF"/>
    <s v="NB"/>
    <x v="2"/>
    <x v="3"/>
    <n v="2.1000000000000001E-2"/>
    <m/>
    <x v="0"/>
    <m/>
    <s v="Open Market"/>
    <s v="M"/>
    <s v=""/>
    <m/>
    <m/>
    <m/>
    <m/>
    <m/>
    <n v="0"/>
    <n v="0"/>
    <n v="3"/>
    <n v="0"/>
    <n v="0"/>
    <n v="0"/>
    <n v="0"/>
    <n v="0"/>
    <n v="0"/>
    <n v="3"/>
    <n v="0"/>
    <n v="0"/>
    <n v="0"/>
    <n v="0"/>
    <n v="0"/>
    <n v="0"/>
    <n v="0"/>
    <n v="0"/>
    <n v="0"/>
    <n v="0"/>
    <n v="0"/>
    <n v="0"/>
    <n v="0"/>
    <n v="0"/>
    <n v="0"/>
    <n v="0"/>
    <n v="0"/>
    <n v="0"/>
    <m/>
    <m/>
    <s v="Wandsworth Town, including the Wandle Delta Masterplan Area"/>
    <n v="8"/>
    <m/>
    <m/>
    <n v="3"/>
    <m/>
    <m/>
    <m/>
    <m/>
    <m/>
    <m/>
    <m/>
    <m/>
    <m/>
    <m/>
    <m/>
    <m/>
    <m/>
    <m/>
    <m/>
    <m/>
    <m/>
    <n v="3"/>
    <n v="3"/>
  </r>
  <r>
    <n v="7994"/>
    <x v="2"/>
    <s v="2023/1580"/>
    <s v="79 St Anns Crescent"/>
    <s v=""/>
    <n v="526228"/>
    <n v="174320"/>
    <s v="Wandsworth Town"/>
    <m/>
    <m/>
    <n v="1"/>
    <n v="2"/>
    <n v="1"/>
    <n v="2"/>
    <n v="1"/>
    <m/>
    <s v="Alterations including erection of rear mansard roof extension to main rear roof and above part of two-storey back addition; erection of replacement single-storey rear/side extension in connection with the change of use of ground floor cafe (Class E) to provide 2 x 1-bed flats (Class C3) and use of the upper floors as 1 x 3-bed flat with terrace at rear of first floor with 1.7m high privacy screen; erection of new and replacement front, side and rear boundary treatment, refuse and cycle storage."/>
    <s v="PF"/>
    <d v="2023-06-19T00:00:00"/>
    <d v="2023-08-29T00:00:00"/>
    <s v="Y"/>
    <s v="Nil"/>
    <m/>
    <s v="BF"/>
    <s v="MIX"/>
    <x v="2"/>
    <x v="8"/>
    <n v="0.01"/>
    <m/>
    <x v="0"/>
    <m/>
    <s v="Open Market"/>
    <s v="MR"/>
    <s v=""/>
    <m/>
    <m/>
    <m/>
    <m/>
    <m/>
    <n v="0"/>
    <n v="0"/>
    <n v="0"/>
    <n v="1"/>
    <n v="0"/>
    <n v="0"/>
    <n v="0"/>
    <n v="0"/>
    <n v="0"/>
    <n v="0"/>
    <n v="1"/>
    <n v="0"/>
    <n v="0"/>
    <n v="0"/>
    <n v="0"/>
    <n v="0"/>
    <n v="0"/>
    <n v="0"/>
    <n v="0"/>
    <n v="0"/>
    <n v="0"/>
    <n v="0"/>
    <n v="0"/>
    <n v="0"/>
    <n v="0"/>
    <n v="0"/>
    <n v="0"/>
    <n v="0"/>
    <m/>
    <m/>
    <s v="Rest of Borough"/>
    <n v="15"/>
    <m/>
    <n v="0.25"/>
    <n v="0.25"/>
    <n v="0.25"/>
    <n v="0.25"/>
    <m/>
    <m/>
    <m/>
    <m/>
    <m/>
    <m/>
    <m/>
    <m/>
    <m/>
    <m/>
    <m/>
    <m/>
    <m/>
    <m/>
    <m/>
    <n v="1"/>
    <n v="1"/>
  </r>
  <r>
    <n v="7985"/>
    <x v="2"/>
    <s v="2023/1599"/>
    <s v="70 Himley Road"/>
    <s v=""/>
    <n v="527526"/>
    <n v="171007"/>
    <s v="Tooting Broadway"/>
    <m/>
    <m/>
    <n v="1"/>
    <n v="2"/>
    <n v="1"/>
    <n v="2"/>
    <n v="1"/>
    <m/>
    <s v="Alterations including erection of mansard roof extension to main rear roof (with French doors) and extension above part of two-storey back addition; formation of roof terrace above two-storey back addition with 1.7m high screen surround. Alterations and extensions in connection with creation of 1 x 1-bedroom flat."/>
    <s v="PF"/>
    <d v="2023-04-26T00:00:00"/>
    <d v="2023-08-16T00:00:00"/>
    <s v="Y"/>
    <s v="Nil"/>
    <m/>
    <s v="BF"/>
    <s v="MIX"/>
    <x v="2"/>
    <x v="7"/>
    <n v="0.01"/>
    <m/>
    <x v="0"/>
    <m/>
    <s v="Open Market"/>
    <s v="M"/>
    <s v=""/>
    <m/>
    <m/>
    <m/>
    <m/>
    <m/>
    <n v="0"/>
    <n v="0"/>
    <n v="1"/>
    <n v="0"/>
    <n v="0"/>
    <n v="0"/>
    <n v="0"/>
    <n v="0"/>
    <n v="0"/>
    <n v="1"/>
    <n v="0"/>
    <n v="0"/>
    <n v="0"/>
    <n v="0"/>
    <n v="0"/>
    <n v="0"/>
    <n v="0"/>
    <n v="0"/>
    <n v="0"/>
    <n v="0"/>
    <n v="0"/>
    <n v="0"/>
    <n v="0"/>
    <n v="0"/>
    <n v="0"/>
    <n v="0"/>
    <n v="0"/>
    <n v="0"/>
    <m/>
    <m/>
    <s v="Rest of Borough"/>
    <n v="15"/>
    <m/>
    <n v="0.25"/>
    <n v="0.25"/>
    <n v="0.25"/>
    <n v="0.25"/>
    <m/>
    <m/>
    <m/>
    <m/>
    <m/>
    <m/>
    <m/>
    <m/>
    <m/>
    <m/>
    <m/>
    <m/>
    <m/>
    <m/>
    <m/>
    <n v="1"/>
    <n v="1"/>
  </r>
  <r>
    <n v="7982"/>
    <x v="2"/>
    <s v="2023/1675"/>
    <s v="125-127 Balham High Road"/>
    <s v=""/>
    <n v="528565"/>
    <n v="173378"/>
    <s v="Balham"/>
    <m/>
    <m/>
    <n v="0"/>
    <n v="3"/>
    <n v="3"/>
    <n v="3"/>
    <n v="3"/>
    <m/>
    <s v="Change of use of first, second and third floors from Class E (bank) to residential use (Class C3) and provision of 2 x 3-bedroom and 1 x 2-bedroom flats; replacement of front door."/>
    <s v="PF"/>
    <d v="2023-04-28T00:00:00"/>
    <d v="2023-06-23T00:00:00"/>
    <s v="Y"/>
    <s v="Nil"/>
    <m/>
    <s v="BF"/>
    <s v="CON"/>
    <x v="2"/>
    <x v="6"/>
    <n v="8.633333E-3"/>
    <m/>
    <x v="0"/>
    <m/>
    <s v="Open Market"/>
    <s v="M"/>
    <s v=""/>
    <m/>
    <m/>
    <m/>
    <m/>
    <m/>
    <n v="0"/>
    <n v="0"/>
    <n v="1"/>
    <n v="2"/>
    <n v="0"/>
    <n v="0"/>
    <n v="0"/>
    <n v="0"/>
    <n v="0"/>
    <n v="1"/>
    <n v="2"/>
    <n v="0"/>
    <n v="0"/>
    <n v="0"/>
    <n v="0"/>
    <n v="0"/>
    <n v="0"/>
    <n v="0"/>
    <n v="0"/>
    <n v="0"/>
    <n v="0"/>
    <n v="0"/>
    <n v="0"/>
    <n v="0"/>
    <n v="0"/>
    <n v="0"/>
    <n v="0"/>
    <n v="0"/>
    <s v="Balham"/>
    <m/>
    <s v="Balham"/>
    <n v="15"/>
    <m/>
    <n v="0.75"/>
    <n v="0.75"/>
    <n v="0.75"/>
    <n v="0.75"/>
    <m/>
    <m/>
    <m/>
    <m/>
    <m/>
    <m/>
    <m/>
    <m/>
    <m/>
    <m/>
    <m/>
    <m/>
    <m/>
    <m/>
    <m/>
    <n v="3"/>
    <n v="3"/>
  </r>
  <r>
    <n v="5143"/>
    <x v="2"/>
    <s v="2023/1705"/>
    <s v="10 Cambalt Road"/>
    <s v=""/>
    <n v="523713"/>
    <n v="174783"/>
    <s v="West Putney"/>
    <m/>
    <m/>
    <n v="0"/>
    <n v="1"/>
    <n v="1"/>
    <n v="1"/>
    <n v="1"/>
    <m/>
    <s v="Use of basement as a studio flat including excavation to create rear lightwell."/>
    <s v="PF"/>
    <d v="2023-05-12T00:00:00"/>
    <d v="2023-07-10T00:00:00"/>
    <s v="Y"/>
    <s v="Nil"/>
    <m/>
    <s v="BF"/>
    <s v="EXT"/>
    <x v="2"/>
    <x v="7"/>
    <n v="7.0000000000000001E-3"/>
    <m/>
    <x v="0"/>
    <m/>
    <s v="Open Market"/>
    <s v="M"/>
    <s v=""/>
    <m/>
    <m/>
    <m/>
    <m/>
    <m/>
    <n v="1"/>
    <n v="0"/>
    <n v="0"/>
    <n v="0"/>
    <n v="0"/>
    <n v="0"/>
    <n v="0"/>
    <n v="1"/>
    <n v="0"/>
    <n v="0"/>
    <n v="0"/>
    <n v="0"/>
    <n v="0"/>
    <n v="0"/>
    <n v="0"/>
    <n v="0"/>
    <n v="0"/>
    <n v="0"/>
    <n v="0"/>
    <n v="0"/>
    <n v="0"/>
    <n v="0"/>
    <n v="0"/>
    <n v="0"/>
    <n v="0"/>
    <n v="0"/>
    <n v="0"/>
    <n v="0"/>
    <m/>
    <m/>
    <s v="Rest of Borough"/>
    <n v="15"/>
    <m/>
    <n v="0.25"/>
    <n v="0.25"/>
    <n v="0.25"/>
    <n v="0.25"/>
    <m/>
    <m/>
    <m/>
    <m/>
    <m/>
    <m/>
    <m/>
    <m/>
    <m/>
    <m/>
    <m/>
    <m/>
    <m/>
    <m/>
    <m/>
    <n v="1"/>
    <n v="1"/>
  </r>
  <r>
    <n v="7170"/>
    <x v="2"/>
    <s v="2023/1899"/>
    <s v="97 East Hill"/>
    <s v=""/>
    <n v="526060"/>
    <n v="174693"/>
    <s v="Wandsworth Town"/>
    <m/>
    <m/>
    <n v="3"/>
    <n v="3"/>
    <n v="0"/>
    <n v="3"/>
    <n v="0"/>
    <m/>
    <s v="Alterations including demolition of ground floor and two storey extension and erection of mansard roof extension to main rear roof (with french doors and safety railings), erection of part single/part three storey (with roof) rear and side extension, excavation to create basement with front and side lightwells in connection with creation of 1 x 1-bedroom, 1 x 2-bedroom and 1 x 3-bedroom flats with associated refuse and cycle storage."/>
    <s v="PF"/>
    <d v="2023-05-17T00:00:00"/>
    <d v="2023-11-03T00:00:00"/>
    <s v="Y"/>
    <s v="Nil"/>
    <m/>
    <s v="BF"/>
    <s v="EXT"/>
    <x v="2"/>
    <x v="7"/>
    <n v="6.6940000000000003E-3"/>
    <m/>
    <x v="0"/>
    <m/>
    <s v="Open Market"/>
    <s v="M"/>
    <s v=""/>
    <m/>
    <m/>
    <m/>
    <m/>
    <m/>
    <n v="-1"/>
    <n v="1"/>
    <n v="0"/>
    <n v="0"/>
    <n v="0"/>
    <n v="0"/>
    <n v="0"/>
    <n v="-1"/>
    <n v="1"/>
    <n v="0"/>
    <n v="0"/>
    <n v="0"/>
    <n v="0"/>
    <n v="0"/>
    <n v="0"/>
    <n v="0"/>
    <n v="0"/>
    <n v="0"/>
    <n v="0"/>
    <n v="0"/>
    <n v="0"/>
    <n v="0"/>
    <n v="0"/>
    <n v="0"/>
    <n v="0"/>
    <n v="0"/>
    <n v="0"/>
    <n v="0"/>
    <m/>
    <m/>
    <s v="Rest of Borough"/>
    <n v="15"/>
    <m/>
    <n v="0"/>
    <n v="0"/>
    <n v="0"/>
    <n v="0"/>
    <m/>
    <m/>
    <m/>
    <m/>
    <m/>
    <m/>
    <m/>
    <m/>
    <m/>
    <m/>
    <m/>
    <m/>
    <m/>
    <m/>
    <m/>
    <n v="0"/>
    <n v="0"/>
  </r>
  <r>
    <n v="5734"/>
    <x v="2"/>
    <s v="2023/1901"/>
    <s v="1 Effort Street"/>
    <s v=""/>
    <n v="527231"/>
    <n v="171411"/>
    <s v="Tooting Broadway"/>
    <m/>
    <m/>
    <n v="2"/>
    <n v="5"/>
    <n v="3"/>
    <n v="5"/>
    <n v="3"/>
    <m/>
    <s v="Demolition of existing building and erection of part two/part three storey building to provide 4 x two-bedroom and 1 x three-bedroom flats with associated balconies, landscaping, cycle parking and refuse storage."/>
    <s v="PF"/>
    <d v="2023-05-17T00:00:00"/>
    <d v="2023-07-12T00:00:00"/>
    <s v="Y"/>
    <s v="Nil"/>
    <m/>
    <s v="BF"/>
    <s v="NB"/>
    <x v="2"/>
    <x v="3"/>
    <n v="1.78E-2"/>
    <m/>
    <x v="0"/>
    <m/>
    <s v="Open Market"/>
    <s v="M"/>
    <s v=""/>
    <m/>
    <m/>
    <n v="4"/>
    <m/>
    <n v="1"/>
    <n v="0"/>
    <n v="0"/>
    <n v="4"/>
    <n v="-1"/>
    <n v="0"/>
    <n v="0"/>
    <n v="0"/>
    <n v="0"/>
    <n v="0"/>
    <n v="4"/>
    <n v="-1"/>
    <n v="0"/>
    <n v="0"/>
    <n v="0"/>
    <n v="0"/>
    <n v="0"/>
    <n v="0"/>
    <n v="0"/>
    <n v="0"/>
    <n v="0"/>
    <n v="0"/>
    <n v="0"/>
    <n v="0"/>
    <n v="0"/>
    <n v="0"/>
    <n v="0"/>
    <n v="0"/>
    <n v="0"/>
    <m/>
    <m/>
    <s v="Tooting"/>
    <n v="7"/>
    <m/>
    <m/>
    <n v="0.75"/>
    <n v="0.75"/>
    <n v="0.75"/>
    <n v="0.75"/>
    <m/>
    <m/>
    <m/>
    <m/>
    <m/>
    <m/>
    <m/>
    <m/>
    <m/>
    <m/>
    <m/>
    <m/>
    <m/>
    <m/>
    <n v="3"/>
    <n v="3"/>
  </r>
  <r>
    <n v="8000"/>
    <x v="2"/>
    <s v="2023/1949"/>
    <s v="35 Amies Street"/>
    <s v=""/>
    <n v="527637"/>
    <n v="175787"/>
    <s v="Shaftesbury &amp; Queenstown"/>
    <m/>
    <m/>
    <n v="0"/>
    <n v="1"/>
    <n v="1"/>
    <n v="1"/>
    <n v="1"/>
    <m/>
    <s v="Change of Use from HMO (Use Class C4) to residential institution (Use Class C3b)."/>
    <s v="LDC Prop"/>
    <d v="2023-05-22T00:00:00"/>
    <d v="2023-07-14T00:00:00"/>
    <s v="Y"/>
    <s v="Nil"/>
    <m/>
    <s v="BF"/>
    <s v="COU"/>
    <x v="2"/>
    <x v="11"/>
    <n v="4.4999999999999997E-3"/>
    <m/>
    <x v="0"/>
    <m/>
    <s v="Open Market"/>
    <s v="M"/>
    <s v=""/>
    <m/>
    <m/>
    <m/>
    <m/>
    <m/>
    <n v="0"/>
    <n v="0"/>
    <n v="0"/>
    <n v="1"/>
    <n v="0"/>
    <n v="0"/>
    <n v="0"/>
    <n v="0"/>
    <n v="0"/>
    <n v="0"/>
    <n v="0"/>
    <n v="0"/>
    <n v="0"/>
    <n v="0"/>
    <n v="0"/>
    <n v="0"/>
    <n v="0"/>
    <n v="1"/>
    <n v="0"/>
    <n v="0"/>
    <n v="0"/>
    <n v="0"/>
    <n v="0"/>
    <n v="0"/>
    <n v="0"/>
    <n v="0"/>
    <n v="0"/>
    <n v="0"/>
    <m/>
    <m/>
    <s v="Clapham Junction and York Road / Winstanley Regeneration Area"/>
    <n v="15"/>
    <m/>
    <n v="0.25"/>
    <n v="0.25"/>
    <n v="0.25"/>
    <n v="0.25"/>
    <m/>
    <m/>
    <m/>
    <m/>
    <m/>
    <m/>
    <m/>
    <m/>
    <m/>
    <m/>
    <m/>
    <m/>
    <m/>
    <m/>
    <m/>
    <n v="1"/>
    <n v="1"/>
  </r>
  <r>
    <n v="8088"/>
    <x v="2"/>
    <s v="2023/1964"/>
    <s v="The Corner Pin, 10 Summerstown"/>
    <s v=""/>
    <n v="526189"/>
    <n v="172026"/>
    <s v="Wandsworth Common"/>
    <m/>
    <m/>
    <n v="0"/>
    <n v="3"/>
    <n v="3"/>
    <n v="3"/>
    <n v="3"/>
    <m/>
    <s v="Alterations including erection of first floor rear/side extension; erection of second floor side/main roof extension on north facing elevation and erection of two dormer windows in main roof on south facing elevation; installation of amended and new fenestration and creation of rear roof terraces. Alterations and extensions in connection with proposed use of the upper floors as 3 flats (1 x one-bedroom, 1 x two-bedroom and 1 x three-bedroom) with associated rear facing roof terraces at first and second floor levels accessed via French doors and with 1.7m high obscured glass surround; provision of associated cycle parking and refuse store facilities; retention of existing public house use on ground floor. [This re-consultation is to clarify the description of development]."/>
    <s v="PF"/>
    <d v="2023-07-13T00:00:00"/>
    <d v="2024-01-15T00:00:00"/>
    <s v="Y"/>
    <s v="Nil"/>
    <m/>
    <s v="BF"/>
    <s v="COU"/>
    <x v="2"/>
    <x v="8"/>
    <n v="1.7000000000000001E-2"/>
    <m/>
    <x v="0"/>
    <m/>
    <s v="Open Market"/>
    <s v="M"/>
    <s v=""/>
    <m/>
    <m/>
    <m/>
    <m/>
    <m/>
    <n v="0"/>
    <n v="1"/>
    <n v="1"/>
    <n v="1"/>
    <n v="0"/>
    <n v="0"/>
    <n v="0"/>
    <n v="0"/>
    <n v="1"/>
    <n v="1"/>
    <n v="1"/>
    <n v="0"/>
    <n v="0"/>
    <n v="0"/>
    <n v="0"/>
    <n v="0"/>
    <n v="0"/>
    <n v="0"/>
    <n v="0"/>
    <n v="0"/>
    <n v="0"/>
    <n v="0"/>
    <n v="0"/>
    <n v="0"/>
    <n v="0"/>
    <n v="0"/>
    <n v="0"/>
    <n v="0"/>
    <m/>
    <m/>
    <s v="Wandle Valley"/>
    <n v="15"/>
    <m/>
    <n v="0.75"/>
    <n v="0.75"/>
    <n v="0.75"/>
    <n v="0.75"/>
    <m/>
    <m/>
    <m/>
    <m/>
    <m/>
    <m/>
    <m/>
    <m/>
    <m/>
    <m/>
    <m/>
    <m/>
    <m/>
    <m/>
    <m/>
    <n v="3"/>
    <n v="3"/>
  </r>
  <r>
    <n v="6142"/>
    <x v="2"/>
    <s v="2023/2195"/>
    <s v="74 Lightermans Walk"/>
    <s v=""/>
    <n v="525109"/>
    <n v="175279"/>
    <s v="Thamesfield"/>
    <m/>
    <m/>
    <n v="0"/>
    <n v="1"/>
    <n v="1"/>
    <n v="1"/>
    <n v="1"/>
    <m/>
    <s v="Alterations in connection with change of use from office (Class E) to residential (Class C3) to provide 1 x 2-bedroom flat."/>
    <s v="PF"/>
    <d v="2023-06-08T00:00:00"/>
    <d v="2023-11-16T00:00:00"/>
    <s v="Y"/>
    <s v="Nil"/>
    <m/>
    <s v="BF"/>
    <s v="COU"/>
    <x v="2"/>
    <x v="6"/>
    <n v="7.9000000000000008E-3"/>
    <m/>
    <x v="0"/>
    <m/>
    <s v="Open Market"/>
    <s v="M"/>
    <s v=""/>
    <m/>
    <m/>
    <m/>
    <m/>
    <m/>
    <n v="0"/>
    <n v="0"/>
    <n v="1"/>
    <n v="0"/>
    <n v="0"/>
    <n v="0"/>
    <n v="0"/>
    <n v="0"/>
    <n v="0"/>
    <n v="1"/>
    <n v="0"/>
    <n v="0"/>
    <n v="0"/>
    <n v="0"/>
    <n v="0"/>
    <n v="0"/>
    <n v="0"/>
    <n v="0"/>
    <n v="0"/>
    <n v="0"/>
    <n v="0"/>
    <n v="0"/>
    <n v="0"/>
    <n v="0"/>
    <n v="0"/>
    <n v="0"/>
    <n v="0"/>
    <n v="0"/>
    <m/>
    <m/>
    <s v="Wandsworth Town, including the Wandle Delta Masterplan Area"/>
    <n v="15"/>
    <m/>
    <n v="0.25"/>
    <n v="0.25"/>
    <n v="0.25"/>
    <n v="0.25"/>
    <m/>
    <m/>
    <m/>
    <m/>
    <m/>
    <m/>
    <m/>
    <m/>
    <m/>
    <m/>
    <m/>
    <m/>
    <m/>
    <m/>
    <m/>
    <n v="1"/>
    <n v="1"/>
  </r>
  <r>
    <n v="7996"/>
    <x v="2"/>
    <s v="2023/2199"/>
    <s v="19 Ruvigny Gardens"/>
    <s v=""/>
    <n v="523833"/>
    <n v="175787"/>
    <s v="Thamesfield"/>
    <m/>
    <m/>
    <n v="2"/>
    <n v="1"/>
    <n v="-1"/>
    <n v="1"/>
    <n v="-1"/>
    <m/>
    <s v="Alterations in connection with deconversion of two flats into single dwelling house."/>
    <s v="PF"/>
    <d v="2023-06-08T00:00:00"/>
    <d v="2023-08-07T00:00:00"/>
    <s v="Y"/>
    <s v="Nil"/>
    <m/>
    <s v="BF"/>
    <s v="CON"/>
    <x v="2"/>
    <x v="11"/>
    <n v="4.3E-3"/>
    <m/>
    <x v="0"/>
    <m/>
    <s v="Open Market"/>
    <s v="M"/>
    <s v=""/>
    <m/>
    <m/>
    <m/>
    <m/>
    <m/>
    <n v="0"/>
    <n v="-1"/>
    <n v="0"/>
    <n v="-1"/>
    <n v="1"/>
    <n v="0"/>
    <n v="0"/>
    <n v="0"/>
    <n v="-1"/>
    <n v="0"/>
    <n v="-1"/>
    <n v="0"/>
    <n v="0"/>
    <n v="0"/>
    <n v="0"/>
    <n v="0"/>
    <n v="0"/>
    <n v="0"/>
    <n v="1"/>
    <n v="0"/>
    <n v="0"/>
    <n v="0"/>
    <n v="0"/>
    <n v="0"/>
    <n v="0"/>
    <n v="0"/>
    <n v="0"/>
    <n v="0"/>
    <m/>
    <m/>
    <s v="Wandsworth riverside"/>
    <n v="15"/>
    <m/>
    <n v="-0.25"/>
    <n v="-0.25"/>
    <n v="-0.25"/>
    <n v="-0.25"/>
    <m/>
    <m/>
    <m/>
    <m/>
    <m/>
    <m/>
    <m/>
    <m/>
    <m/>
    <m/>
    <m/>
    <m/>
    <m/>
    <m/>
    <m/>
    <n v="-1"/>
    <n v="-1"/>
  </r>
  <r>
    <n v="7850"/>
    <x v="2"/>
    <s v="2023/2211"/>
    <s v="199-201 Wandsworth High Street"/>
    <s v=""/>
    <n v="525311"/>
    <n v="174644"/>
    <s v="Wandsworth Town"/>
    <m/>
    <m/>
    <n v="0"/>
    <n v="2"/>
    <n v="2"/>
    <n v="2"/>
    <n v="2"/>
    <m/>
    <s v="Amendments to planning permission ref 2022/2092 (Alterations erection of a mansard roof above the existing single-storey rear addition including raising the ridge of the roof by 350mm; erection of a single storey rear extension; works including change of use of rear ground floor to provide 1 x 1-bed flat and 1 x 3-bed house with associated cycle and refuse storage; retention of commercial unit (Class E) to the front of the site) to provide a 2-bedroom flat."/>
    <s v="S96A"/>
    <d v="2023-06-26T00:00:00"/>
    <d v="2023-08-21T00:00:00"/>
    <s v="Y"/>
    <s v="Nil"/>
    <m/>
    <s v="BF"/>
    <s v="MIX"/>
    <x v="2"/>
    <x v="6"/>
    <n v="1.189E-2"/>
    <m/>
    <x v="0"/>
    <m/>
    <s v="Open Market"/>
    <s v="M"/>
    <s v="3.1.1"/>
    <m/>
    <m/>
    <m/>
    <m/>
    <m/>
    <n v="0"/>
    <n v="0"/>
    <n v="1"/>
    <n v="1"/>
    <n v="0"/>
    <n v="0"/>
    <n v="0"/>
    <n v="0"/>
    <n v="0"/>
    <n v="1"/>
    <n v="0"/>
    <n v="0"/>
    <n v="0"/>
    <n v="0"/>
    <n v="0"/>
    <n v="0"/>
    <n v="0"/>
    <n v="1"/>
    <n v="0"/>
    <n v="0"/>
    <n v="0"/>
    <n v="0"/>
    <n v="0"/>
    <n v="0"/>
    <n v="0"/>
    <n v="0"/>
    <n v="0"/>
    <n v="0"/>
    <s v="Wandsworth"/>
    <m/>
    <s v="Wandsworth Town, including the Wandle Delta Masterplan Area"/>
    <n v="15"/>
    <m/>
    <n v="0.5"/>
    <n v="0.5"/>
    <n v="0.5"/>
    <n v="0.5"/>
    <m/>
    <m/>
    <m/>
    <m/>
    <m/>
    <m/>
    <m/>
    <m/>
    <m/>
    <m/>
    <m/>
    <m/>
    <m/>
    <m/>
    <m/>
    <n v="2"/>
    <n v="2"/>
  </r>
  <r>
    <n v="2411"/>
    <x v="2"/>
    <s v="2023/2269"/>
    <s v="South Lambeth Goods Depot, Cringle St./Battersea Park Rd., Kirtling Street (Battersea Power Station)"/>
    <s v=""/>
    <n v="528934"/>
    <n v="177496"/>
    <s v="Nine Elms"/>
    <m/>
    <m/>
    <n v="2"/>
    <n v="1"/>
    <n v="-1"/>
    <n v="1"/>
    <n v="-1"/>
    <m/>
    <s v="Amalgamation of Unit BH11.23 and Unit BH11.25 located on the 11th floor of the Power Station Boiler House (Phase 2 of the Battersea Power Station masterplan) to create one residential unit."/>
    <s v="PF"/>
    <d v="2023-06-23T00:00:00"/>
    <d v="2023-08-17T00:00:00"/>
    <s v="Y"/>
    <s v="Nil"/>
    <m/>
    <s v="BF"/>
    <s v="CON"/>
    <x v="2"/>
    <x v="1"/>
    <n v="0"/>
    <m/>
    <x v="0"/>
    <m/>
    <s v="Open Market"/>
    <s v="M"/>
    <s v="2.1.1"/>
    <m/>
    <m/>
    <m/>
    <m/>
    <m/>
    <n v="0"/>
    <n v="0"/>
    <n v="-2"/>
    <n v="1"/>
    <n v="0"/>
    <n v="0"/>
    <n v="0"/>
    <n v="0"/>
    <n v="0"/>
    <n v="-2"/>
    <n v="1"/>
    <n v="0"/>
    <n v="0"/>
    <n v="0"/>
    <n v="0"/>
    <n v="0"/>
    <n v="0"/>
    <n v="0"/>
    <n v="0"/>
    <n v="0"/>
    <n v="0"/>
    <n v="0"/>
    <n v="0"/>
    <n v="0"/>
    <n v="0"/>
    <n v="0"/>
    <n v="0"/>
    <n v="0"/>
    <m/>
    <s v="Y"/>
    <s v="Nine Elms"/>
    <n v="15"/>
    <m/>
    <n v="-0.25"/>
    <n v="-0.25"/>
    <n v="-0.25"/>
    <n v="-0.25"/>
    <m/>
    <m/>
    <m/>
    <m/>
    <m/>
    <m/>
    <m/>
    <m/>
    <m/>
    <m/>
    <m/>
    <m/>
    <m/>
    <m/>
    <m/>
    <n v="-1"/>
    <n v="-1"/>
  </r>
  <r>
    <n v="5"/>
    <x v="2"/>
    <s v="2023/2315"/>
    <s v="27 Nightingale Lane"/>
    <s v=""/>
    <n v="528521"/>
    <n v="174234"/>
    <s v="Balham"/>
    <m/>
    <m/>
    <n v="0"/>
    <n v="2"/>
    <n v="2"/>
    <n v="2"/>
    <n v="2"/>
    <m/>
    <s v="Demolition of existing garages and erection of part single/part three-storey building to provide 2 x studio flats and communal living area to be used for specialist/supported housing (sui generis). Alterations including erection of replacement boundary treatment and cycle/waste stores to front garden and works to trees."/>
    <s v="PF"/>
    <d v="2023-06-16T00:00:00"/>
    <d v="2023-11-07T00:00:00"/>
    <s v="Y"/>
    <s v="Nil"/>
    <m/>
    <s v="BF"/>
    <s v="NB"/>
    <x v="2"/>
    <x v="3"/>
    <n v="4.4999999999999997E-3"/>
    <m/>
    <x v="0"/>
    <m/>
    <s v="Intermediate"/>
    <s v="IU"/>
    <s v=""/>
    <m/>
    <m/>
    <m/>
    <m/>
    <m/>
    <n v="2"/>
    <n v="0"/>
    <n v="0"/>
    <n v="0"/>
    <n v="0"/>
    <n v="0"/>
    <n v="0"/>
    <n v="2"/>
    <n v="0"/>
    <n v="0"/>
    <n v="0"/>
    <n v="0"/>
    <n v="0"/>
    <n v="0"/>
    <n v="0"/>
    <n v="0"/>
    <n v="0"/>
    <n v="0"/>
    <n v="0"/>
    <n v="0"/>
    <n v="0"/>
    <n v="0"/>
    <n v="0"/>
    <n v="0"/>
    <n v="0"/>
    <n v="0"/>
    <n v="0"/>
    <n v="0"/>
    <m/>
    <m/>
    <s v="Rest of Borough"/>
    <n v="7"/>
    <m/>
    <m/>
    <n v="0.5"/>
    <n v="0.5"/>
    <n v="0.5"/>
    <n v="0.5"/>
    <m/>
    <m/>
    <m/>
    <m/>
    <m/>
    <m/>
    <m/>
    <m/>
    <m/>
    <m/>
    <m/>
    <m/>
    <m/>
    <m/>
    <n v="2"/>
    <n v="2"/>
  </r>
  <r>
    <n v="4135"/>
    <x v="2"/>
    <s v="2023/2430"/>
    <s v="177 Garratt Lane"/>
    <s v=""/>
    <n v="525885"/>
    <n v="173983"/>
    <s v="Wandle"/>
    <m/>
    <m/>
    <n v="1"/>
    <n v="3"/>
    <n v="2"/>
    <n v="3"/>
    <n v="2"/>
    <m/>
    <s v="Alterations including erection of mansard roof extension to main rear roof, including raising the ridge by 30cm, installation of velux roof windows to the front roof, erection of roof extension over two-storey back addition with formation of a roof terrace with glazed 1.7m screen surround, alterations of window openings to rear and side elevation and installation of french doors and safety railings; and conversion of existing the 1st and 2nd floor maisonette flat at 177 to 3 x 1-bedroom flats with associated cycle and refuse storage"/>
    <s v="PF"/>
    <d v="2023-07-04T00:00:00"/>
    <d v="2023-08-29T00:00:00"/>
    <s v="Y"/>
    <s v="Nil"/>
    <m/>
    <s v="BF"/>
    <s v="CON"/>
    <x v="2"/>
    <x v="5"/>
    <n v="5.0000000000000001E-3"/>
    <m/>
    <x v="0"/>
    <m/>
    <s v="Open Market"/>
    <s v="M"/>
    <s v=""/>
    <m/>
    <m/>
    <m/>
    <m/>
    <m/>
    <n v="0"/>
    <n v="3"/>
    <n v="0"/>
    <n v="-1"/>
    <n v="0"/>
    <n v="0"/>
    <n v="0"/>
    <n v="0"/>
    <n v="3"/>
    <n v="0"/>
    <n v="-1"/>
    <n v="0"/>
    <n v="0"/>
    <n v="0"/>
    <n v="0"/>
    <n v="0"/>
    <n v="0"/>
    <n v="0"/>
    <n v="0"/>
    <n v="0"/>
    <n v="0"/>
    <n v="0"/>
    <n v="0"/>
    <n v="0"/>
    <n v="0"/>
    <n v="0"/>
    <n v="0"/>
    <n v="0"/>
    <m/>
    <m/>
    <s v="Wandle Valley"/>
    <n v="15"/>
    <m/>
    <n v="0.5"/>
    <n v="0.5"/>
    <n v="0.5"/>
    <n v="0.5"/>
    <m/>
    <m/>
    <m/>
    <m/>
    <m/>
    <m/>
    <m/>
    <m/>
    <m/>
    <m/>
    <m/>
    <m/>
    <m/>
    <m/>
    <m/>
    <n v="2"/>
    <n v="2"/>
  </r>
  <r>
    <n v="8015"/>
    <x v="2"/>
    <s v="2023/2447"/>
    <s v="5 Albert Bridge Road"/>
    <s v=""/>
    <n v="527675"/>
    <n v="176499"/>
    <s v="Battersea Park"/>
    <m/>
    <m/>
    <n v="1"/>
    <n v="1"/>
    <n v="0"/>
    <n v="1"/>
    <n v="0"/>
    <m/>
    <s v="Demolition of property except for front and side elevations with 'like for like' re-build of replacement rear elevation and two-storey back addition with slim-line double glazed windows to all elevations. Alterations including excavation to create a basement with the formation of a front and side lightwell and erection of a replacement roof with dormer extension to main rear/side roof. Erection of single-storey side/rear extension. Demolition of existing garage at rear and erection of replacement single-storey garage building. Alterations to boundary wall and piers."/>
    <s v="PF"/>
    <d v="2023-06-27T00:00:00"/>
    <d v="2023-11-02T00:00:00"/>
    <s v="Y"/>
    <s v="Nil"/>
    <m/>
    <s v="BF"/>
    <s v="NB"/>
    <x v="2"/>
    <x v="3"/>
    <n v="2.1873E-2"/>
    <m/>
    <x v="0"/>
    <m/>
    <s v="Open Market"/>
    <s v="M"/>
    <s v=""/>
    <m/>
    <m/>
    <m/>
    <m/>
    <m/>
    <n v="0"/>
    <n v="0"/>
    <n v="0"/>
    <n v="-1"/>
    <n v="0"/>
    <n v="1"/>
    <n v="0"/>
    <n v="0"/>
    <n v="0"/>
    <n v="0"/>
    <n v="0"/>
    <n v="0"/>
    <n v="0"/>
    <n v="0"/>
    <n v="0"/>
    <n v="0"/>
    <n v="0"/>
    <n v="-1"/>
    <n v="0"/>
    <n v="1"/>
    <n v="0"/>
    <n v="0"/>
    <n v="0"/>
    <n v="0"/>
    <n v="0"/>
    <n v="0"/>
    <n v="0"/>
    <n v="0"/>
    <m/>
    <m/>
    <s v="Rest of Borough"/>
    <n v="7"/>
    <m/>
    <m/>
    <n v="0"/>
    <n v="0"/>
    <n v="0"/>
    <n v="0"/>
    <m/>
    <m/>
    <m/>
    <m/>
    <m/>
    <m/>
    <m/>
    <m/>
    <m/>
    <m/>
    <m/>
    <m/>
    <m/>
    <m/>
    <n v="0"/>
    <n v="0"/>
  </r>
  <r>
    <n v="7168"/>
    <x v="2"/>
    <s v="2023/2651"/>
    <s v="The Marmalade Caterpillar Nursery School, 14a Boundaries Road"/>
    <s v=""/>
    <n v="528231"/>
    <n v="173208"/>
    <s v="Trinity"/>
    <m/>
    <m/>
    <n v="0"/>
    <n v="3"/>
    <n v="3"/>
    <n v="3"/>
    <n v="3"/>
    <m/>
    <s v="Alterations including the part demolition of the existing property and the erection of a three storey building in connection with change of use from nursery school (Class E) to residential (Class C3) to create 1 x 1-bedroom and 2 x 2-bedroom flats with associated balconies, cycle and refuse storage and boundary treatment."/>
    <s v="PF"/>
    <d v="2023-07-13T00:00:00"/>
    <d v="2023-10-13T00:00:00"/>
    <s v="Y"/>
    <s v="Nil"/>
    <m/>
    <s v="BF"/>
    <s v="MIX"/>
    <x v="2"/>
    <x v="7"/>
    <n v="1.0999999999999999E-2"/>
    <m/>
    <x v="0"/>
    <m/>
    <s v="Open Market"/>
    <s v="M"/>
    <s v=""/>
    <m/>
    <m/>
    <m/>
    <m/>
    <m/>
    <n v="0"/>
    <n v="1"/>
    <n v="2"/>
    <n v="0"/>
    <n v="0"/>
    <n v="0"/>
    <n v="0"/>
    <n v="0"/>
    <n v="1"/>
    <n v="2"/>
    <n v="0"/>
    <n v="0"/>
    <n v="0"/>
    <n v="0"/>
    <n v="0"/>
    <n v="0"/>
    <n v="0"/>
    <n v="0"/>
    <n v="0"/>
    <n v="0"/>
    <n v="0"/>
    <n v="0"/>
    <n v="0"/>
    <n v="0"/>
    <n v="0"/>
    <n v="0"/>
    <n v="0"/>
    <n v="0"/>
    <m/>
    <m/>
    <s v="Rest of Borough"/>
    <n v="15"/>
    <m/>
    <n v="0.75"/>
    <n v="0.75"/>
    <n v="0.75"/>
    <n v="0.75"/>
    <m/>
    <m/>
    <m/>
    <m/>
    <m/>
    <m/>
    <m/>
    <m/>
    <m/>
    <m/>
    <m/>
    <m/>
    <m/>
    <m/>
    <m/>
    <n v="3"/>
    <n v="3"/>
  </r>
  <r>
    <n v="8018"/>
    <x v="2"/>
    <s v="2023/2687"/>
    <s v="195 Garratt Lane"/>
    <s v=""/>
    <n v="525892"/>
    <n v="173924"/>
    <s v="Wandle"/>
    <m/>
    <m/>
    <n v="1"/>
    <n v="1"/>
    <n v="0"/>
    <n v="1"/>
    <n v="0"/>
    <m/>
    <s v="Change of use of  existing ground floor and basement commercial unit to flexible use for shop Class E(a), professional services Class E(c), Indoor sport, recreation or fitness Class E(d), health services Class E(e), offices Class E(g)(i), provision of education Class F1(a), display of art Class F1(b); use of part of the ground floor to provide 1 x 1 bedroom flat with associated cycle and refuse storage; erection of single-storey rear and side extension; installation of a new shopfront."/>
    <s v="PF"/>
    <d v="2023-08-03T00:00:00"/>
    <d v="2023-09-28T00:00:00"/>
    <s v="Y"/>
    <s v="Nil"/>
    <m/>
    <s v="BF"/>
    <s v="MIX"/>
    <x v="2"/>
    <x v="4"/>
    <n v="8.0000000000000002E-3"/>
    <m/>
    <x v="0"/>
    <m/>
    <s v="Open Market"/>
    <s v="M"/>
    <s v=""/>
    <m/>
    <m/>
    <m/>
    <m/>
    <m/>
    <n v="-1"/>
    <n v="1"/>
    <n v="0"/>
    <n v="0"/>
    <n v="0"/>
    <n v="0"/>
    <n v="0"/>
    <n v="-1"/>
    <n v="1"/>
    <n v="0"/>
    <n v="0"/>
    <n v="0"/>
    <n v="0"/>
    <n v="0"/>
    <n v="0"/>
    <n v="0"/>
    <n v="0"/>
    <n v="0"/>
    <n v="0"/>
    <n v="0"/>
    <n v="0"/>
    <n v="0"/>
    <n v="0"/>
    <n v="0"/>
    <n v="0"/>
    <n v="0"/>
    <n v="0"/>
    <n v="0"/>
    <m/>
    <m/>
    <s v="Wandle Valley"/>
    <n v="15"/>
    <m/>
    <n v="0"/>
    <n v="0"/>
    <n v="0"/>
    <n v="0"/>
    <m/>
    <m/>
    <m/>
    <m/>
    <m/>
    <m/>
    <m/>
    <m/>
    <m/>
    <m/>
    <m/>
    <m/>
    <m/>
    <m/>
    <m/>
    <n v="0"/>
    <n v="0"/>
  </r>
  <r>
    <n v="7463"/>
    <x v="2"/>
    <s v="2020/5015"/>
    <s v="7a Putney Bridge Road"/>
    <s v="Mews House"/>
    <n v="525270"/>
    <n v="174719"/>
    <s v="East Putney"/>
    <d v="2022-08-19T00:00:00"/>
    <m/>
    <n v="0"/>
    <n v="1"/>
    <n v="1"/>
    <n v="9"/>
    <n v="9"/>
    <m/>
    <s v="Demolition of existing building and erection of a block of flats to provide 7 x 1-bedroom, and 1 x 2-bedroom flats with communal amenity area; erection of two storey (plus roof) 3-bedroom mews house at rear; associated cycle and refuse storage . (Amendment to pp granted 15/09/20 ref. 2020/2171 to alter the site layout in connection with the removal of the parking space for the mews house)."/>
    <s v="PF"/>
    <d v="2020-12-22T00:00:00"/>
    <d v="2021-04-22T00:00:00"/>
    <m/>
    <s v="Nil"/>
    <m/>
    <s v="BF"/>
    <s v="NB"/>
    <x v="2"/>
    <x v="3"/>
    <n v="8.9999999999999993E-3"/>
    <m/>
    <x v="0"/>
    <m/>
    <s v="Open Market"/>
    <s v="M"/>
    <s v=""/>
    <m/>
    <m/>
    <m/>
    <m/>
    <m/>
    <n v="0"/>
    <n v="0"/>
    <n v="0"/>
    <n v="1"/>
    <n v="0"/>
    <n v="0"/>
    <n v="0"/>
    <n v="0"/>
    <n v="0"/>
    <n v="0"/>
    <n v="0"/>
    <n v="0"/>
    <n v="0"/>
    <n v="0"/>
    <n v="0"/>
    <n v="0"/>
    <n v="0"/>
    <n v="1"/>
    <n v="0"/>
    <n v="0"/>
    <n v="0"/>
    <n v="0"/>
    <n v="0"/>
    <n v="0"/>
    <n v="0"/>
    <n v="0"/>
    <n v="0"/>
    <n v="0"/>
    <m/>
    <m/>
    <s v="Wandsworth Town, including the Wandle Delta Masterplan Area"/>
    <n v="8"/>
    <m/>
    <m/>
    <n v="1"/>
    <m/>
    <m/>
    <m/>
    <m/>
    <m/>
    <m/>
    <m/>
    <m/>
    <m/>
    <m/>
    <m/>
    <m/>
    <m/>
    <m/>
    <m/>
    <m/>
    <m/>
    <n v="1"/>
    <n v="1"/>
  </r>
  <r>
    <n v="6339"/>
    <x v="2"/>
    <s v="2023/2781"/>
    <s v="Studio 5 Dovedale Studios, 465 Battersea Park Road"/>
    <s v=""/>
    <n v="527649"/>
    <n v="176406"/>
    <s v="Battersea Park"/>
    <m/>
    <m/>
    <n v="0"/>
    <n v="1"/>
    <n v="1"/>
    <n v="1"/>
    <n v="1"/>
    <m/>
    <s v="Determination as to whether prior approval is required for change of use from office (Class B1a) to 1 x 2-bedroom flat (Class C3)."/>
    <s v="PAG"/>
    <d v="2023-07-21T00:00:00"/>
    <d v="2023-09-11T00:00:00"/>
    <s v="Y"/>
    <s v="Nil"/>
    <m/>
    <s v="BF"/>
    <s v="COU"/>
    <x v="2"/>
    <x v="6"/>
    <n v="3.7000000000000002E-3"/>
    <m/>
    <x v="0"/>
    <m/>
    <s v="Open Market"/>
    <s v="MR"/>
    <s v=""/>
    <m/>
    <m/>
    <m/>
    <m/>
    <m/>
    <n v="0"/>
    <n v="0"/>
    <n v="1"/>
    <n v="0"/>
    <n v="0"/>
    <n v="0"/>
    <n v="0"/>
    <n v="0"/>
    <n v="0"/>
    <n v="1"/>
    <n v="0"/>
    <n v="0"/>
    <n v="0"/>
    <n v="0"/>
    <n v="0"/>
    <n v="0"/>
    <n v="0"/>
    <n v="0"/>
    <n v="0"/>
    <n v="0"/>
    <n v="0"/>
    <n v="0"/>
    <n v="0"/>
    <n v="0"/>
    <n v="0"/>
    <n v="0"/>
    <n v="0"/>
    <n v="0"/>
    <m/>
    <m/>
    <s v="Rest of Borough"/>
    <n v="15"/>
    <m/>
    <n v="0.25"/>
    <n v="0.25"/>
    <n v="0.25"/>
    <n v="0.25"/>
    <m/>
    <m/>
    <m/>
    <m/>
    <m/>
    <m/>
    <m/>
    <m/>
    <m/>
    <m/>
    <m/>
    <m/>
    <m/>
    <m/>
    <m/>
    <n v="1"/>
    <n v="1"/>
  </r>
  <r>
    <n v="7949"/>
    <x v="2"/>
    <s v="2023/2832"/>
    <s v="Land adjoining, 45 Tooting Bec Road"/>
    <s v=""/>
    <n v="528217"/>
    <n v="172281"/>
    <s v="South Balham"/>
    <m/>
    <m/>
    <n v="0"/>
    <n v="2"/>
    <n v="2"/>
    <n v="2"/>
    <n v="2"/>
    <m/>
    <s v="Demolition of existing single-storey building and erection of a two-storey building plus basement with lightwells to front and rear to provide 1 x 1-bedroom and 1 x 2-bedroom dwellings (Class C3) with associated refuse and cycle storage. Change of use from Class B1 to Class C3."/>
    <s v="PF"/>
    <d v="2023-07-25T00:00:00"/>
    <d v="2024-02-27T00:00:00"/>
    <s v="Y"/>
    <s v="Nil"/>
    <m/>
    <s v="BF"/>
    <s v="NB"/>
    <x v="2"/>
    <x v="3"/>
    <n v="5.0000000000000001E-3"/>
    <m/>
    <x v="0"/>
    <m/>
    <s v="Open Market"/>
    <s v="M"/>
    <s v=""/>
    <m/>
    <m/>
    <m/>
    <m/>
    <m/>
    <n v="0"/>
    <n v="1"/>
    <n v="1"/>
    <n v="0"/>
    <n v="0"/>
    <n v="0"/>
    <n v="0"/>
    <n v="0"/>
    <n v="1"/>
    <n v="1"/>
    <n v="0"/>
    <n v="0"/>
    <n v="0"/>
    <n v="0"/>
    <n v="0"/>
    <n v="0"/>
    <n v="0"/>
    <n v="0"/>
    <n v="0"/>
    <n v="0"/>
    <n v="0"/>
    <n v="0"/>
    <n v="0"/>
    <n v="0"/>
    <n v="0"/>
    <n v="0"/>
    <n v="0"/>
    <n v="0"/>
    <m/>
    <m/>
    <s v="Rest of Borough"/>
    <n v="7"/>
    <m/>
    <m/>
    <n v="0.5"/>
    <n v="0.5"/>
    <n v="0.5"/>
    <n v="0.5"/>
    <m/>
    <m/>
    <m/>
    <m/>
    <m/>
    <m/>
    <m/>
    <m/>
    <m/>
    <m/>
    <m/>
    <m/>
    <m/>
    <m/>
    <n v="2"/>
    <n v="2"/>
  </r>
  <r>
    <n v="5724"/>
    <x v="2"/>
    <s v="2023/2843"/>
    <s v="191 Garratt Lane"/>
    <s v=""/>
    <n v="525891"/>
    <n v="173935"/>
    <s v="Wandle"/>
    <m/>
    <m/>
    <n v="2"/>
    <n v="2"/>
    <n v="0"/>
    <n v="2"/>
    <n v="0"/>
    <m/>
    <s v="Alterations including erection of a dormer roof extension to main rear roof and extension above part of two-storey back addition to provide 1 x 1-bedroom flat and _x000a_1 x 2-bedroom flat. _x000a__x000a__x000a_Construction of a rear mansard and dormer with 1 x one bedroom flat and 1 x two bedroom flat"/>
    <s v="PF"/>
    <d v="2023-08-17T00:00:00"/>
    <d v="2023-11-10T00:00:00"/>
    <s v="Y"/>
    <s v="Nil"/>
    <m/>
    <s v="BF"/>
    <s v="MIX"/>
    <x v="2"/>
    <x v="7"/>
    <n v="6.8300000000000001E-3"/>
    <m/>
    <x v="0"/>
    <m/>
    <s v="Open Market"/>
    <s v="M"/>
    <s v=""/>
    <m/>
    <m/>
    <m/>
    <m/>
    <m/>
    <n v="0"/>
    <n v="0"/>
    <n v="0"/>
    <n v="0"/>
    <n v="0"/>
    <n v="0"/>
    <n v="0"/>
    <n v="0"/>
    <n v="0"/>
    <n v="0"/>
    <n v="0"/>
    <n v="0"/>
    <n v="0"/>
    <n v="0"/>
    <n v="0"/>
    <n v="0"/>
    <n v="0"/>
    <n v="0"/>
    <n v="0"/>
    <n v="0"/>
    <n v="0"/>
    <n v="0"/>
    <n v="0"/>
    <n v="0"/>
    <n v="0"/>
    <n v="0"/>
    <n v="0"/>
    <n v="0"/>
    <m/>
    <m/>
    <s v="Wandle Valley"/>
    <n v="15"/>
    <m/>
    <n v="0"/>
    <n v="0"/>
    <n v="0"/>
    <n v="0"/>
    <m/>
    <m/>
    <m/>
    <m/>
    <m/>
    <m/>
    <m/>
    <m/>
    <m/>
    <m/>
    <m/>
    <m/>
    <m/>
    <m/>
    <m/>
    <n v="0"/>
    <n v="0"/>
  </r>
  <r>
    <n v="7479"/>
    <x v="2"/>
    <s v="2020/2172"/>
    <s v="38 Rookstone Road"/>
    <s v=""/>
    <n v="527606"/>
    <n v="171102"/>
    <s v="Tooting Broadway"/>
    <d v="2022-07-01T00:00:00"/>
    <m/>
    <n v="1"/>
    <n v="9"/>
    <n v="8"/>
    <n v="9"/>
    <n v="8"/>
    <m/>
    <s v="Demolition of existing building and erection of three storey (plus basement and roof level accommodation) building with front a rear lightwells to provide 4 x 1-bedroom, 3 x 2-bedroom and 2 x 3-bedroom flats with associated refuse and cycle storage."/>
    <s v="PF"/>
    <d v="2020-06-19T00:00:00"/>
    <d v="2020-10-28T00:00:00"/>
    <m/>
    <s v="Nil"/>
    <m/>
    <s v="BF"/>
    <s v="NB"/>
    <x v="2"/>
    <x v="3"/>
    <n v="2.5999999999999999E-2"/>
    <m/>
    <x v="0"/>
    <m/>
    <s v="Open Market"/>
    <s v="M"/>
    <s v=""/>
    <m/>
    <m/>
    <m/>
    <m/>
    <m/>
    <n v="0"/>
    <n v="4"/>
    <n v="3"/>
    <n v="2"/>
    <n v="-1"/>
    <n v="0"/>
    <n v="0"/>
    <n v="0"/>
    <n v="4"/>
    <n v="3"/>
    <n v="2"/>
    <n v="0"/>
    <n v="0"/>
    <n v="0"/>
    <n v="0"/>
    <n v="0"/>
    <n v="0"/>
    <n v="0"/>
    <n v="-1"/>
    <n v="0"/>
    <n v="0"/>
    <n v="0"/>
    <n v="0"/>
    <n v="0"/>
    <n v="0"/>
    <n v="0"/>
    <n v="0"/>
    <n v="0"/>
    <m/>
    <m/>
    <s v="Rest of Borough"/>
    <n v="8"/>
    <m/>
    <m/>
    <n v="8"/>
    <m/>
    <m/>
    <m/>
    <m/>
    <m/>
    <m/>
    <m/>
    <m/>
    <m/>
    <m/>
    <m/>
    <m/>
    <m/>
    <m/>
    <m/>
    <m/>
    <m/>
    <n v="8"/>
    <n v="8"/>
  </r>
  <r>
    <n v="6971"/>
    <x v="2"/>
    <s v="2023/2928"/>
    <s v="2a Balham Grove"/>
    <s v=""/>
    <n v="528580"/>
    <n v="173481"/>
    <s v="Balham"/>
    <m/>
    <m/>
    <n v="0"/>
    <n v="2"/>
    <n v="2"/>
    <n v="2"/>
    <n v="2"/>
    <m/>
    <s v="Alterations to include erection of extension above two-storey rear additon and erection of two-storey extension above rear part of ground floor extension to create 1 x 1 bedroom and 1 x studio flats."/>
    <s v="PF"/>
    <d v="2023-08-02T00:00:00"/>
    <d v="2024-01-18T00:00:00"/>
    <s v="Y"/>
    <s v="Nil"/>
    <m/>
    <s v="BF"/>
    <s v="EXT"/>
    <x v="2"/>
    <x v="7"/>
    <n v="6.7000000000000002E-3"/>
    <m/>
    <x v="0"/>
    <m/>
    <s v="Open Market"/>
    <s v="M"/>
    <s v=""/>
    <m/>
    <m/>
    <m/>
    <m/>
    <m/>
    <n v="1"/>
    <n v="1"/>
    <n v="0"/>
    <n v="0"/>
    <n v="0"/>
    <n v="0"/>
    <n v="0"/>
    <n v="1"/>
    <n v="1"/>
    <n v="0"/>
    <n v="0"/>
    <n v="0"/>
    <n v="0"/>
    <n v="0"/>
    <n v="0"/>
    <n v="0"/>
    <n v="0"/>
    <n v="0"/>
    <n v="0"/>
    <n v="0"/>
    <n v="0"/>
    <n v="0"/>
    <n v="0"/>
    <n v="0"/>
    <n v="0"/>
    <n v="0"/>
    <n v="0"/>
    <n v="0"/>
    <s v="Balham"/>
    <m/>
    <s v="Balham"/>
    <n v="15"/>
    <m/>
    <n v="0.5"/>
    <n v="0.5"/>
    <n v="0.5"/>
    <n v="0.5"/>
    <m/>
    <m/>
    <m/>
    <m/>
    <m/>
    <m/>
    <m/>
    <m/>
    <m/>
    <m/>
    <m/>
    <m/>
    <m/>
    <m/>
    <m/>
    <n v="2"/>
    <n v="2"/>
  </r>
  <r>
    <n v="4565"/>
    <x v="2"/>
    <s v="2023/3040"/>
    <s v="131 Penwith Road"/>
    <s v=""/>
    <n v="525828"/>
    <n v="173035"/>
    <s v="Southfields"/>
    <m/>
    <m/>
    <n v="0"/>
    <n v="1"/>
    <n v="1"/>
    <n v="1"/>
    <n v="1"/>
    <m/>
    <s v="Determination as to whether prior approval is required for change of use from cafe unit (Class E) to 1 x 1-bedroom flat (Class C3)."/>
    <s v="PAG"/>
    <d v="2023-08-09T00:00:00"/>
    <d v="2023-09-27T00:00:00"/>
    <s v="Y"/>
    <s v="Nil"/>
    <m/>
    <s v="BF"/>
    <s v="COU"/>
    <x v="2"/>
    <x v="8"/>
    <n v="5.0000000000000001E-3"/>
    <m/>
    <x v="0"/>
    <m/>
    <s v="Open Market"/>
    <s v="MR"/>
    <s v=""/>
    <m/>
    <m/>
    <m/>
    <m/>
    <m/>
    <n v="0"/>
    <n v="1"/>
    <n v="0"/>
    <n v="0"/>
    <n v="0"/>
    <n v="0"/>
    <n v="0"/>
    <n v="0"/>
    <n v="1"/>
    <n v="0"/>
    <n v="0"/>
    <n v="0"/>
    <n v="0"/>
    <n v="0"/>
    <n v="0"/>
    <n v="0"/>
    <n v="0"/>
    <n v="0"/>
    <n v="0"/>
    <n v="0"/>
    <n v="0"/>
    <n v="0"/>
    <n v="0"/>
    <n v="0"/>
    <n v="0"/>
    <n v="0"/>
    <n v="0"/>
    <n v="0"/>
    <m/>
    <m/>
    <s v="Wandle Valley"/>
    <n v="15"/>
    <m/>
    <n v="0.25"/>
    <n v="0.25"/>
    <n v="0.25"/>
    <n v="0.25"/>
    <m/>
    <m/>
    <m/>
    <m/>
    <m/>
    <m/>
    <m/>
    <m/>
    <m/>
    <m/>
    <m/>
    <m/>
    <m/>
    <m/>
    <m/>
    <n v="1"/>
    <n v="1"/>
  </r>
  <r>
    <n v="3495"/>
    <x v="2"/>
    <s v="2023/3180"/>
    <s v="2d Forthbridge Road"/>
    <s v=""/>
    <n v="528221"/>
    <n v="175465"/>
    <s v="Lavender"/>
    <m/>
    <m/>
    <n v="2"/>
    <n v="1"/>
    <n v="-1"/>
    <n v="1"/>
    <n v="-1"/>
    <m/>
    <s v="Proposed alterations including the deconversion of ground floor and first floor flats into a single dwelling house."/>
    <s v="PF"/>
    <d v="2023-09-08T00:00:00"/>
    <d v="2023-11-10T00:00:00"/>
    <s v="Y"/>
    <s v="Nil"/>
    <m/>
    <s v="BF"/>
    <s v="CON"/>
    <x v="2"/>
    <x v="11"/>
    <n v="8.9999999999999993E-3"/>
    <m/>
    <x v="0"/>
    <m/>
    <s v="Open Market"/>
    <s v="M"/>
    <s v=""/>
    <m/>
    <m/>
    <m/>
    <m/>
    <m/>
    <n v="0"/>
    <n v="-1"/>
    <n v="-1"/>
    <n v="0"/>
    <n v="1"/>
    <n v="0"/>
    <n v="0"/>
    <n v="0"/>
    <n v="-1"/>
    <n v="-1"/>
    <n v="0"/>
    <n v="0"/>
    <n v="0"/>
    <n v="0"/>
    <n v="0"/>
    <n v="0"/>
    <n v="0"/>
    <n v="0"/>
    <n v="1"/>
    <n v="0"/>
    <n v="0"/>
    <n v="0"/>
    <n v="0"/>
    <n v="0"/>
    <n v="0"/>
    <n v="0"/>
    <n v="0"/>
    <n v="0"/>
    <m/>
    <m/>
    <s v="Rest of Borough"/>
    <n v="15"/>
    <m/>
    <n v="-0.25"/>
    <n v="-0.25"/>
    <n v="-0.25"/>
    <n v="-0.25"/>
    <m/>
    <m/>
    <m/>
    <m/>
    <m/>
    <m/>
    <m/>
    <m/>
    <m/>
    <m/>
    <m/>
    <m/>
    <m/>
    <m/>
    <m/>
    <n v="-1"/>
    <n v="-1"/>
  </r>
  <r>
    <n v="7300"/>
    <x v="2"/>
    <s v="2023/3217"/>
    <s v="5 Queensmere Road"/>
    <s v=""/>
    <n v="523807"/>
    <n v="172574"/>
    <s v="West Hill"/>
    <m/>
    <m/>
    <n v="0"/>
    <n v="1"/>
    <n v="1"/>
    <n v="1"/>
    <n v="1"/>
    <m/>
    <s v="Erection of a five bedroom dwelling."/>
    <s v="PF"/>
    <d v="2023-09-19T00:00:00"/>
    <d v="2024-02-23T00:00:00"/>
    <s v="Y"/>
    <s v="Nil"/>
    <m/>
    <s v="BF"/>
    <s v="NB"/>
    <x v="2"/>
    <x v="3"/>
    <n v="0.01"/>
    <m/>
    <x v="0"/>
    <m/>
    <s v="Open Market"/>
    <s v="M"/>
    <s v=""/>
    <m/>
    <m/>
    <m/>
    <m/>
    <m/>
    <n v="0"/>
    <n v="0"/>
    <n v="0"/>
    <n v="0"/>
    <n v="0"/>
    <n v="1"/>
    <n v="0"/>
    <n v="0"/>
    <n v="0"/>
    <n v="0"/>
    <n v="0"/>
    <n v="0"/>
    <n v="0"/>
    <n v="0"/>
    <n v="0"/>
    <n v="0"/>
    <n v="0"/>
    <n v="0"/>
    <n v="0"/>
    <n v="1"/>
    <n v="0"/>
    <n v="0"/>
    <n v="0"/>
    <n v="0"/>
    <n v="0"/>
    <n v="0"/>
    <n v="0"/>
    <n v="0"/>
    <m/>
    <m/>
    <s v="Rest of Borough"/>
    <n v="7"/>
    <m/>
    <m/>
    <n v="0.25"/>
    <n v="0.25"/>
    <n v="0.25"/>
    <n v="0.25"/>
    <m/>
    <m/>
    <m/>
    <m/>
    <m/>
    <m/>
    <m/>
    <m/>
    <m/>
    <m/>
    <m/>
    <m/>
    <m/>
    <m/>
    <n v="1"/>
    <n v="1"/>
  </r>
  <r>
    <n v="8037"/>
    <x v="2"/>
    <s v="2023/3243"/>
    <s v="9 Fernlea Road"/>
    <s v=""/>
    <n v="528733"/>
    <n v="173183"/>
    <s v="Balham"/>
    <m/>
    <m/>
    <n v="1"/>
    <n v="3"/>
    <n v="2"/>
    <n v="3"/>
    <n v="2"/>
    <m/>
    <s v="Alteration  including erection of mansard roof extension to main rear roof and two storey rear extension;  conversion property 1 x 3-bedroom, 1 x 2-bedroom and 1 x 1-bedroom flats including part change of use of rear part of the ground floor retail unit to residential with associated cycle storage."/>
    <s v="PF"/>
    <d v="2023-08-25T00:00:00"/>
    <d v="2023-10-27T00:00:00"/>
    <s v="Y"/>
    <s v="Nil"/>
    <m/>
    <s v="BF"/>
    <s v="MIX"/>
    <x v="2"/>
    <x v="5"/>
    <n v="1.2092E-2"/>
    <m/>
    <x v="0"/>
    <m/>
    <s v="Open Market"/>
    <s v="M"/>
    <s v=""/>
    <m/>
    <m/>
    <m/>
    <m/>
    <m/>
    <n v="0"/>
    <n v="1"/>
    <n v="1"/>
    <n v="1"/>
    <n v="-1"/>
    <n v="0"/>
    <n v="0"/>
    <n v="0"/>
    <n v="1"/>
    <n v="1"/>
    <n v="1"/>
    <n v="-1"/>
    <n v="0"/>
    <n v="0"/>
    <n v="0"/>
    <n v="0"/>
    <n v="0"/>
    <n v="0"/>
    <n v="0"/>
    <n v="0"/>
    <n v="0"/>
    <n v="0"/>
    <n v="0"/>
    <n v="0"/>
    <n v="0"/>
    <n v="0"/>
    <n v="0"/>
    <n v="0"/>
    <s v="Balham"/>
    <m/>
    <s v="Balham"/>
    <n v="15"/>
    <m/>
    <n v="0.5"/>
    <n v="0.5"/>
    <n v="0.5"/>
    <n v="0.5"/>
    <m/>
    <m/>
    <m/>
    <m/>
    <m/>
    <m/>
    <m/>
    <m/>
    <m/>
    <m/>
    <m/>
    <m/>
    <m/>
    <m/>
    <m/>
    <n v="2"/>
    <n v="2"/>
  </r>
  <r>
    <n v="8033"/>
    <x v="2"/>
    <s v="2023/3277"/>
    <s v="Eustace Building - marketing office and ancillary space, 372 Queenstown Road"/>
    <s v=""/>
    <n v="528629"/>
    <n v="177516"/>
    <s v="Battersea Park"/>
    <m/>
    <m/>
    <n v="0"/>
    <n v="1"/>
    <n v="1"/>
    <n v="1"/>
    <n v="1"/>
    <m/>
    <s v="Change of use of part of the first floor of the Eustace Building from commercial floorspace to form a 3 bedroom residential unit, along with associated internal and external alterations, including the creation of a private external terrace to the east of the unit."/>
    <s v="PF"/>
    <d v="2023-08-31T00:00:00"/>
    <d v="2024-03-15T00:00:00"/>
    <s v="Y"/>
    <s v="Nil"/>
    <m/>
    <s v="BF"/>
    <s v="COU"/>
    <x v="2"/>
    <x v="6"/>
    <n v="0"/>
    <m/>
    <x v="0"/>
    <m/>
    <s v="Open Market"/>
    <s v="M"/>
    <s v=""/>
    <m/>
    <m/>
    <m/>
    <m/>
    <m/>
    <n v="0"/>
    <n v="0"/>
    <n v="0"/>
    <n v="1"/>
    <n v="0"/>
    <n v="0"/>
    <n v="0"/>
    <n v="0"/>
    <n v="0"/>
    <n v="0"/>
    <n v="1"/>
    <n v="0"/>
    <n v="0"/>
    <n v="0"/>
    <n v="0"/>
    <n v="0"/>
    <n v="0"/>
    <n v="0"/>
    <n v="0"/>
    <n v="0"/>
    <n v="0"/>
    <n v="0"/>
    <n v="0"/>
    <n v="0"/>
    <n v="0"/>
    <n v="0"/>
    <n v="0"/>
    <n v="0"/>
    <m/>
    <s v="Y"/>
    <s v="Nine Elms"/>
    <n v="15"/>
    <m/>
    <n v="0.25"/>
    <n v="0.25"/>
    <n v="0.25"/>
    <n v="0.25"/>
    <m/>
    <m/>
    <m/>
    <m/>
    <m/>
    <m/>
    <m/>
    <m/>
    <m/>
    <m/>
    <m/>
    <m/>
    <m/>
    <m/>
    <m/>
    <n v="1"/>
    <n v="1"/>
  </r>
  <r>
    <n v="8045"/>
    <x v="2"/>
    <s v="2023/3308"/>
    <s v="50 Trinity Road"/>
    <s v=""/>
    <n v="527911"/>
    <n v="172477"/>
    <s v="Trinity"/>
    <m/>
    <m/>
    <n v="1"/>
    <n v="3"/>
    <n v="2"/>
    <n v="3"/>
    <n v="2"/>
    <m/>
    <s v="Erection of additional second floor over existing main roof and over existing two-storey rear addition (with mansard roof &amp; dormers), erection of a single-storey rear extension, associated external and internal alterations to facilitate subdivision of the part ground floor (retention of retail space) and upper floors into 3 x  one-bedroom self-contained flats."/>
    <s v="PF"/>
    <d v="2023-09-21T00:00:00"/>
    <d v="2023-11-16T00:00:00"/>
    <s v="Y"/>
    <s v="Nil"/>
    <m/>
    <s v="BF"/>
    <s v="CON"/>
    <x v="2"/>
    <x v="7"/>
    <n v="1.3936E-2"/>
    <m/>
    <x v="0"/>
    <m/>
    <s v="Open Market"/>
    <s v="MR"/>
    <s v=""/>
    <m/>
    <m/>
    <m/>
    <m/>
    <m/>
    <n v="0"/>
    <n v="3"/>
    <n v="-1"/>
    <n v="0"/>
    <n v="0"/>
    <n v="0"/>
    <n v="0"/>
    <n v="0"/>
    <n v="3"/>
    <n v="-1"/>
    <n v="0"/>
    <n v="0"/>
    <n v="0"/>
    <n v="0"/>
    <n v="0"/>
    <n v="0"/>
    <n v="0"/>
    <n v="0"/>
    <n v="0"/>
    <n v="0"/>
    <n v="0"/>
    <n v="0"/>
    <n v="0"/>
    <n v="0"/>
    <n v="0"/>
    <n v="0"/>
    <n v="0"/>
    <n v="0"/>
    <m/>
    <m/>
    <s v="Rest of Borough"/>
    <n v="15"/>
    <m/>
    <n v="0.5"/>
    <n v="0.5"/>
    <n v="0.5"/>
    <n v="0.5"/>
    <m/>
    <m/>
    <m/>
    <m/>
    <m/>
    <m/>
    <m/>
    <m/>
    <m/>
    <m/>
    <m/>
    <m/>
    <m/>
    <m/>
    <m/>
    <n v="2"/>
    <n v="2"/>
  </r>
  <r>
    <n v="7920"/>
    <x v="2"/>
    <s v="2023/3367"/>
    <s v="186 Garratt Lane"/>
    <s v=""/>
    <n v="525886"/>
    <n v="173713"/>
    <s v="Wandle"/>
    <m/>
    <m/>
    <n v="0"/>
    <n v="1"/>
    <n v="1"/>
    <n v="1"/>
    <n v="1"/>
    <m/>
    <s v="Determination as to whether prior approval is required for change of use from _x000a_cafe (Class E) to 1 x 1-bedroom residential flat (Class C3)."/>
    <s v="PAG"/>
    <d v="2023-09-08T00:00:00"/>
    <d v="2023-10-29T00:00:00"/>
    <s v="Y"/>
    <s v="Nil"/>
    <m/>
    <s v="BF"/>
    <s v="COU"/>
    <x v="2"/>
    <x v="8"/>
    <n v="7.0000000000000001E-3"/>
    <m/>
    <x v="0"/>
    <m/>
    <s v="Open Market"/>
    <s v="MR"/>
    <s v=""/>
    <m/>
    <m/>
    <m/>
    <m/>
    <m/>
    <n v="0"/>
    <n v="1"/>
    <n v="0"/>
    <n v="0"/>
    <n v="0"/>
    <n v="0"/>
    <n v="0"/>
    <n v="0"/>
    <n v="1"/>
    <n v="0"/>
    <n v="0"/>
    <n v="0"/>
    <n v="0"/>
    <n v="0"/>
    <n v="0"/>
    <n v="0"/>
    <n v="0"/>
    <n v="0"/>
    <n v="0"/>
    <n v="0"/>
    <n v="0"/>
    <n v="0"/>
    <n v="0"/>
    <n v="0"/>
    <n v="0"/>
    <n v="0"/>
    <n v="0"/>
    <n v="0"/>
    <m/>
    <m/>
    <s v="Wandle Valley"/>
    <n v="15"/>
    <m/>
    <n v="0.25"/>
    <n v="0.25"/>
    <n v="0.25"/>
    <n v="0.25"/>
    <m/>
    <m/>
    <m/>
    <m/>
    <m/>
    <m/>
    <m/>
    <m/>
    <m/>
    <m/>
    <m/>
    <m/>
    <m/>
    <m/>
    <m/>
    <n v="1"/>
    <n v="1"/>
  </r>
  <r>
    <n v="8040"/>
    <x v="2"/>
    <s v="2023/3403"/>
    <s v="New House, 83 Roehampton Lane"/>
    <s v=""/>
    <n v="522190"/>
    <n v="174835"/>
    <s v="Roehampton"/>
    <m/>
    <m/>
    <n v="6"/>
    <n v="8"/>
    <n v="2"/>
    <n v="8"/>
    <n v="2"/>
    <m/>
    <s v="Demolition of existing building and erection of 3 storey building (Class C2) to provide 8 x self contained apartments for assisted living with associated parking."/>
    <s v="PF"/>
    <d v="2023-09-11T00:00:00"/>
    <d v="2024-02-29T00:00:00"/>
    <s v="Y"/>
    <s v="Nil"/>
    <m/>
    <s v="BF"/>
    <s v="NB"/>
    <x v="2"/>
    <x v="3"/>
    <n v="9.2137999999999998E-2"/>
    <m/>
    <x v="0"/>
    <m/>
    <s v="Open Market"/>
    <s v="M"/>
    <s v=""/>
    <m/>
    <m/>
    <n v="7"/>
    <m/>
    <n v="1"/>
    <n v="0"/>
    <n v="2"/>
    <n v="0"/>
    <n v="0"/>
    <n v="0"/>
    <n v="0"/>
    <n v="0"/>
    <n v="0"/>
    <n v="2"/>
    <n v="0"/>
    <n v="0"/>
    <n v="0"/>
    <n v="0"/>
    <n v="0"/>
    <n v="0"/>
    <n v="0"/>
    <n v="0"/>
    <n v="0"/>
    <n v="0"/>
    <n v="0"/>
    <n v="0"/>
    <n v="0"/>
    <n v="0"/>
    <n v="0"/>
    <n v="0"/>
    <n v="0"/>
    <n v="0"/>
    <n v="0"/>
    <m/>
    <m/>
    <s v="Rest of Borough"/>
    <n v="10"/>
    <m/>
    <m/>
    <m/>
    <m/>
    <n v="0.66666666666666663"/>
    <n v="0.66666666666666663"/>
    <n v="0.66666666666666663"/>
    <m/>
    <m/>
    <m/>
    <m/>
    <m/>
    <m/>
    <m/>
    <m/>
    <m/>
    <m/>
    <m/>
    <m/>
    <m/>
    <n v="1.3333333333333333"/>
    <n v="2"/>
  </r>
  <r>
    <n v="5780"/>
    <x v="2"/>
    <s v="2023/3442"/>
    <s v="Land south of and west of 5 St James Drive, 124 Trinity Road"/>
    <s v=""/>
    <n v="527671"/>
    <n v="172854"/>
    <s v="Trinity"/>
    <m/>
    <m/>
    <n v="0"/>
    <n v="1"/>
    <n v="1"/>
    <n v="1"/>
    <n v="1"/>
    <m/>
    <s v="Erection of single-storey (plus roof level and basement level accommodation) dwellinghouse (1 x 2- bedroom) with associated alterations to Trinity Road boundary treatment, cycle and refuse storage and removal of tree."/>
    <s v="PF"/>
    <d v="2023-10-30T00:00:00"/>
    <d v="2024-02-29T00:00:00"/>
    <s v="Y"/>
    <s v="Nil"/>
    <m/>
    <s v="BF"/>
    <s v="NB"/>
    <x v="2"/>
    <x v="3"/>
    <n v="0"/>
    <m/>
    <x v="0"/>
    <m/>
    <s v="Open Market"/>
    <s v="M"/>
    <s v=""/>
    <m/>
    <m/>
    <m/>
    <m/>
    <m/>
    <n v="0"/>
    <n v="0"/>
    <n v="1"/>
    <n v="0"/>
    <n v="0"/>
    <n v="0"/>
    <n v="0"/>
    <n v="0"/>
    <n v="0"/>
    <n v="0"/>
    <n v="0"/>
    <n v="0"/>
    <n v="0"/>
    <n v="0"/>
    <n v="0"/>
    <n v="0"/>
    <n v="1"/>
    <n v="0"/>
    <n v="0"/>
    <n v="0"/>
    <n v="0"/>
    <n v="0"/>
    <n v="0"/>
    <n v="0"/>
    <n v="0"/>
    <n v="0"/>
    <n v="0"/>
    <n v="0"/>
    <m/>
    <m/>
    <s v="Rest of Borough"/>
    <n v="7"/>
    <m/>
    <m/>
    <n v="0.25"/>
    <n v="0.25"/>
    <n v="0.25"/>
    <n v="0.25"/>
    <m/>
    <m/>
    <m/>
    <m/>
    <m/>
    <m/>
    <m/>
    <m/>
    <m/>
    <m/>
    <m/>
    <m/>
    <m/>
    <m/>
    <n v="1"/>
    <n v="1"/>
  </r>
  <r>
    <n v="7157"/>
    <x v="2"/>
    <s v="2023/3473"/>
    <s v="40 Lavender Hill"/>
    <s v=""/>
    <n v="528409"/>
    <n v="175769"/>
    <s v="Shaftesbury &amp; Queenstown"/>
    <m/>
    <m/>
    <n v="1"/>
    <n v="3"/>
    <n v="2"/>
    <n v="3"/>
    <n v="2"/>
    <m/>
    <s v="Alterations including erection of additional floor of accommodation in connection with the conversion of the existing flat above the ground floor commercial premises for the creation of 3 x 1 bedroom unit. Formation of 3 external balconies to the rear."/>
    <s v="PF"/>
    <d v="2023-10-11T00:00:00"/>
    <d v="2023-12-05T00:00:00"/>
    <s v="Y"/>
    <s v="Nil"/>
    <m/>
    <s v="BF"/>
    <s v="MIX"/>
    <x v="2"/>
    <x v="5"/>
    <n v="8.2500000000000004E-2"/>
    <m/>
    <x v="0"/>
    <m/>
    <s v="Open Market"/>
    <s v="MR"/>
    <s v=""/>
    <m/>
    <m/>
    <m/>
    <m/>
    <m/>
    <n v="0"/>
    <n v="3"/>
    <n v="0"/>
    <n v="-1"/>
    <n v="0"/>
    <n v="0"/>
    <n v="0"/>
    <n v="0"/>
    <n v="3"/>
    <n v="0"/>
    <n v="-1"/>
    <n v="0"/>
    <n v="0"/>
    <n v="0"/>
    <n v="0"/>
    <n v="0"/>
    <n v="0"/>
    <n v="0"/>
    <n v="0"/>
    <n v="0"/>
    <n v="0"/>
    <n v="0"/>
    <n v="0"/>
    <n v="0"/>
    <n v="0"/>
    <n v="0"/>
    <n v="0"/>
    <n v="0"/>
    <m/>
    <m/>
    <s v="Rest of Borough"/>
    <n v="15"/>
    <m/>
    <n v="0.5"/>
    <n v="0.5"/>
    <n v="0.5"/>
    <n v="0.5"/>
    <m/>
    <m/>
    <m/>
    <m/>
    <m/>
    <m/>
    <m/>
    <m/>
    <m/>
    <m/>
    <m/>
    <m/>
    <m/>
    <m/>
    <m/>
    <n v="2"/>
    <n v="2"/>
  </r>
  <r>
    <n v="8042"/>
    <x v="2"/>
    <s v="2023/3485"/>
    <s v="2 Ingate Place"/>
    <s v=""/>
    <n v="528835"/>
    <n v="176682"/>
    <s v="Shaftesbury &amp; Queenstown"/>
    <m/>
    <m/>
    <n v="0"/>
    <n v="1"/>
    <n v="1"/>
    <n v="1"/>
    <n v="1"/>
    <m/>
    <s v="Determination as to whether prior approval is required for change of use of _x000a_commercial  use at ground and first floor levels from (Class E) to residential (Class C3)  to provide a 1 bedroom house with associated external refuse storage."/>
    <s v="PAG"/>
    <d v="2023-09-18T00:00:00"/>
    <d v="2023-12-18T00:00:00"/>
    <s v="Y"/>
    <s v="Nil"/>
    <m/>
    <s v="BF"/>
    <s v="COU"/>
    <x v="2"/>
    <x v="6"/>
    <n v="5.803E-3"/>
    <m/>
    <x v="0"/>
    <m/>
    <s v="Open Market"/>
    <s v="M"/>
    <s v=""/>
    <m/>
    <m/>
    <m/>
    <m/>
    <m/>
    <n v="0"/>
    <n v="1"/>
    <n v="0"/>
    <n v="0"/>
    <n v="0"/>
    <n v="0"/>
    <n v="0"/>
    <n v="0"/>
    <n v="1"/>
    <n v="0"/>
    <n v="0"/>
    <n v="0"/>
    <n v="0"/>
    <n v="0"/>
    <n v="0"/>
    <n v="0"/>
    <n v="0"/>
    <n v="0"/>
    <n v="0"/>
    <n v="0"/>
    <n v="0"/>
    <n v="0"/>
    <n v="0"/>
    <n v="0"/>
    <n v="0"/>
    <n v="0"/>
    <n v="0"/>
    <n v="0"/>
    <m/>
    <s v="Y"/>
    <s v="Nine Elms"/>
    <n v="15"/>
    <m/>
    <n v="0.25"/>
    <n v="0.25"/>
    <n v="0.25"/>
    <n v="0.25"/>
    <m/>
    <m/>
    <m/>
    <m/>
    <m/>
    <m/>
    <m/>
    <m/>
    <m/>
    <m/>
    <m/>
    <m/>
    <m/>
    <m/>
    <m/>
    <n v="1"/>
    <n v="1"/>
  </r>
  <r>
    <n v="8048"/>
    <x v="2"/>
    <s v="2023/3532"/>
    <s v="60 St Anns Hill"/>
    <s v=""/>
    <n v="526215"/>
    <n v="174024"/>
    <s v="Wandle"/>
    <m/>
    <m/>
    <n v="1"/>
    <n v="2"/>
    <n v="1"/>
    <n v="2"/>
    <n v="1"/>
    <m/>
    <s v="Conversion of property into 2 flats (1 x 3 bed and 1 x 2 bed). Erection of a single-storey rear/side extension at ground floor and enlargement of existing roof extension with roof and parapet wall raised."/>
    <s v="PF"/>
    <d v="2023-09-19T00:00:00"/>
    <d v="2023-11-24T00:00:00"/>
    <s v="Y"/>
    <s v="Nil"/>
    <m/>
    <s v="BF"/>
    <s v="CON"/>
    <x v="2"/>
    <x v="10"/>
    <n v="1.4598E-2"/>
    <m/>
    <x v="0"/>
    <m/>
    <s v="Open Market"/>
    <s v="MR"/>
    <s v=""/>
    <m/>
    <m/>
    <m/>
    <m/>
    <m/>
    <n v="0"/>
    <n v="0"/>
    <n v="1"/>
    <n v="1"/>
    <n v="-1"/>
    <n v="0"/>
    <n v="0"/>
    <n v="0"/>
    <n v="0"/>
    <n v="1"/>
    <n v="1"/>
    <n v="0"/>
    <n v="0"/>
    <n v="0"/>
    <n v="0"/>
    <n v="0"/>
    <n v="0"/>
    <n v="0"/>
    <n v="-1"/>
    <n v="0"/>
    <n v="0"/>
    <n v="0"/>
    <n v="0"/>
    <n v="0"/>
    <n v="0"/>
    <n v="0"/>
    <n v="0"/>
    <n v="0"/>
    <m/>
    <m/>
    <s v="Rest of Borough"/>
    <n v="15"/>
    <m/>
    <n v="0.25"/>
    <n v="0.25"/>
    <n v="0.25"/>
    <n v="0.25"/>
    <m/>
    <m/>
    <m/>
    <m/>
    <m/>
    <m/>
    <m/>
    <m/>
    <m/>
    <m/>
    <m/>
    <m/>
    <m/>
    <m/>
    <m/>
    <n v="1"/>
    <n v="1"/>
  </r>
  <r>
    <n v="8051"/>
    <x v="2"/>
    <s v="2023/3597"/>
    <s v="2 Dagnan Road"/>
    <s v=""/>
    <n v="528905"/>
    <n v="173984"/>
    <s v="Balham"/>
    <m/>
    <m/>
    <n v="0"/>
    <n v="2"/>
    <n v="2"/>
    <n v="2"/>
    <n v="2"/>
    <m/>
    <s v="Alterations including erection of hip to gable roof extension to main roof, extension above two storey back addition (with French doors) and formation of a roof terrace with a high wall surround. Replacement of first floor window with French doors and safety balustrade. Erection of a single storey rear/side extension in connection with change of use of existing retail unit (Class E) to provide 1 x 2-bedroom and 1 x 3-bedroom flats, with associated cycle and refuse storage private outside amenity space (Class C3). Demolition of front boundary wall, erection of a replacement front boundary wall, and landscaping."/>
    <s v="PF"/>
    <d v="2023-09-26T00:00:00"/>
    <d v="2023-12-15T00:00:00"/>
    <s v="Y"/>
    <s v="Nil"/>
    <m/>
    <s v="BF"/>
    <s v="MIX"/>
    <x v="2"/>
    <x v="4"/>
    <n v="1.1306E-2"/>
    <m/>
    <x v="0"/>
    <m/>
    <s v="Open Market"/>
    <s v="M"/>
    <s v=""/>
    <m/>
    <m/>
    <m/>
    <m/>
    <m/>
    <n v="0"/>
    <n v="0"/>
    <n v="1"/>
    <n v="1"/>
    <n v="0"/>
    <n v="0"/>
    <n v="0"/>
    <n v="0"/>
    <n v="0"/>
    <n v="1"/>
    <n v="1"/>
    <n v="0"/>
    <n v="0"/>
    <n v="0"/>
    <n v="0"/>
    <n v="0"/>
    <n v="0"/>
    <n v="0"/>
    <n v="0"/>
    <n v="0"/>
    <n v="0"/>
    <n v="0"/>
    <n v="0"/>
    <n v="0"/>
    <n v="0"/>
    <n v="0"/>
    <n v="0"/>
    <n v="0"/>
    <m/>
    <m/>
    <s v="Rest of Borough"/>
    <n v="15"/>
    <m/>
    <n v="0.5"/>
    <n v="0.5"/>
    <n v="0.5"/>
    <n v="0.5"/>
    <m/>
    <m/>
    <m/>
    <m/>
    <m/>
    <m/>
    <m/>
    <m/>
    <m/>
    <m/>
    <m/>
    <m/>
    <m/>
    <m/>
    <m/>
    <n v="2"/>
    <n v="2"/>
  </r>
  <r>
    <n v="6968"/>
    <x v="2"/>
    <s v="2023/3648"/>
    <s v="68 West Hill"/>
    <s v=""/>
    <n v="524972"/>
    <n v="174632"/>
    <s v="East Putney"/>
    <m/>
    <m/>
    <n v="0"/>
    <n v="3"/>
    <n v="3"/>
    <n v="3"/>
    <n v="3"/>
    <m/>
    <s v="Determination as to whether prior approval is required for change of use from Non-Residential Institutions (Class E) to residential (Class C3) and to 3 x 1-bedroom flat"/>
    <s v="PAG"/>
    <d v="2023-09-28T00:00:00"/>
    <d v="2023-11-17T00:00:00"/>
    <s v="Y"/>
    <s v="Nil"/>
    <m/>
    <s v="BF"/>
    <s v="COU"/>
    <x v="2"/>
    <x v="6"/>
    <n v="5.333333E-3"/>
    <m/>
    <x v="0"/>
    <m/>
    <s v="Open Market"/>
    <s v="M"/>
    <s v=""/>
    <m/>
    <m/>
    <m/>
    <m/>
    <m/>
    <n v="0"/>
    <n v="3"/>
    <n v="0"/>
    <n v="0"/>
    <n v="0"/>
    <n v="0"/>
    <n v="0"/>
    <n v="0"/>
    <n v="3"/>
    <n v="0"/>
    <n v="0"/>
    <n v="0"/>
    <n v="0"/>
    <n v="0"/>
    <n v="0"/>
    <n v="0"/>
    <n v="0"/>
    <n v="0"/>
    <n v="0"/>
    <n v="0"/>
    <n v="0"/>
    <n v="0"/>
    <n v="0"/>
    <n v="0"/>
    <n v="0"/>
    <n v="0"/>
    <n v="0"/>
    <n v="0"/>
    <m/>
    <m/>
    <s v="Rest of Borough"/>
    <n v="15"/>
    <m/>
    <n v="0.75"/>
    <n v="0.75"/>
    <n v="0.75"/>
    <n v="0.75"/>
    <m/>
    <m/>
    <m/>
    <m/>
    <m/>
    <m/>
    <m/>
    <m/>
    <m/>
    <m/>
    <m/>
    <m/>
    <m/>
    <m/>
    <m/>
    <n v="3"/>
    <n v="3"/>
  </r>
  <r>
    <n v="7344"/>
    <x v="2"/>
    <s v="2023/3690"/>
    <s v="Unit D, Molasses House, Clove Hitch Quay (Plantation Wharf)"/>
    <s v=""/>
    <n v="526471"/>
    <n v="175874"/>
    <s v="St Mary's"/>
    <m/>
    <m/>
    <n v="0"/>
    <n v="3"/>
    <n v="3"/>
    <n v="3"/>
    <n v="3"/>
    <m/>
    <s v="Determination as to whether prior approval is required for change of use from office at ground floor level from (Class E) to residential (Class C3) to provide 1 x 2-bedroom flat and 2 x studio flats."/>
    <s v="PAG"/>
    <d v="2023-10-12T00:00:00"/>
    <d v="2023-12-04T00:00:00"/>
    <s v="Y"/>
    <s v="Nil"/>
    <m/>
    <s v="BF"/>
    <s v="COU"/>
    <x v="2"/>
    <x v="6"/>
    <n v="0"/>
    <m/>
    <x v="0"/>
    <m/>
    <s v="Open Market"/>
    <s v="M"/>
    <s v=""/>
    <m/>
    <m/>
    <m/>
    <m/>
    <m/>
    <n v="2"/>
    <n v="0"/>
    <n v="1"/>
    <n v="0"/>
    <n v="0"/>
    <n v="0"/>
    <n v="0"/>
    <n v="2"/>
    <n v="0"/>
    <n v="1"/>
    <n v="0"/>
    <n v="0"/>
    <n v="0"/>
    <n v="0"/>
    <n v="0"/>
    <n v="0"/>
    <n v="0"/>
    <n v="0"/>
    <n v="0"/>
    <n v="0"/>
    <n v="0"/>
    <n v="0"/>
    <n v="0"/>
    <n v="0"/>
    <n v="0"/>
    <n v="0"/>
    <n v="0"/>
    <n v="0"/>
    <m/>
    <m/>
    <s v="Wandsworth riverside"/>
    <n v="15"/>
    <m/>
    <n v="0.75"/>
    <n v="0.75"/>
    <n v="0.75"/>
    <n v="0.75"/>
    <m/>
    <m/>
    <m/>
    <m/>
    <m/>
    <m/>
    <m/>
    <m/>
    <m/>
    <m/>
    <m/>
    <m/>
    <m/>
    <m/>
    <m/>
    <n v="3"/>
    <n v="3"/>
  </r>
  <r>
    <n v="8018"/>
    <x v="2"/>
    <s v="2023/3708"/>
    <s v="195 Garratt Lane"/>
    <s v=""/>
    <n v="525892"/>
    <n v="173924"/>
    <s v="Wandle"/>
    <m/>
    <m/>
    <n v="1"/>
    <n v="3"/>
    <n v="2"/>
    <n v="3"/>
    <n v="2"/>
    <m/>
    <s v="Alterations including erection of mansard roof extension to main rear roof, including raising the ridge by 300mm. Extension above two-storey back addition with French doors and formation of a roof terrace with glazed 1.7m screen surround; Installation of French doors and safety railings to first and second floor back addition replacing existing windows; installation of 2 x windows to second floor, and replacement windows to first floor side elevation of back addition, in connection with the conversion of the existing 1 x 3-bedroom flat to 3 x 1-bedroom flats. Associated cycle and refuse storage."/>
    <s v="PF"/>
    <d v="2023-10-23T00:00:00"/>
    <d v="2023-12-18T00:00:00"/>
    <s v="Y"/>
    <s v="Nil"/>
    <m/>
    <s v="BF"/>
    <s v="CON"/>
    <x v="2"/>
    <x v="5"/>
    <n v="7.012E-3"/>
    <m/>
    <x v="0"/>
    <m/>
    <s v="Open Market"/>
    <s v="MR"/>
    <s v=""/>
    <m/>
    <m/>
    <m/>
    <m/>
    <m/>
    <n v="0"/>
    <n v="3"/>
    <n v="0"/>
    <n v="-1"/>
    <n v="0"/>
    <n v="0"/>
    <n v="0"/>
    <n v="0"/>
    <n v="3"/>
    <n v="0"/>
    <n v="-1"/>
    <n v="0"/>
    <n v="0"/>
    <n v="0"/>
    <n v="0"/>
    <n v="0"/>
    <n v="0"/>
    <n v="0"/>
    <n v="0"/>
    <n v="0"/>
    <n v="0"/>
    <n v="0"/>
    <n v="0"/>
    <n v="0"/>
    <n v="0"/>
    <n v="0"/>
    <n v="0"/>
    <n v="0"/>
    <m/>
    <m/>
    <s v="Wandle Valley"/>
    <n v="15"/>
    <m/>
    <n v="0.5"/>
    <n v="0.5"/>
    <n v="0.5"/>
    <n v="0.5"/>
    <m/>
    <m/>
    <m/>
    <m/>
    <m/>
    <m/>
    <m/>
    <m/>
    <m/>
    <m/>
    <m/>
    <m/>
    <m/>
    <m/>
    <m/>
    <n v="2"/>
    <n v="2"/>
  </r>
  <r>
    <n v="4135"/>
    <x v="2"/>
    <s v="2023/3713"/>
    <s v="177 Garratt Lane"/>
    <s v=""/>
    <n v="525885"/>
    <n v="173983"/>
    <s v="Wandle"/>
    <m/>
    <m/>
    <n v="1"/>
    <n v="1"/>
    <n v="0"/>
    <n v="1"/>
    <n v="0"/>
    <m/>
    <s v="Alterations including installation of replacement shopfront, erection of single-storey rear side extension, in connection with the change of use of part ground floor to class C3 to replace the existing studio flat to a 1 x 1 bedroom flat with associated cycle and refuse storage. Change of use of remaining existing ground floor and basement commercial unit to Class E(a), professional services Class E(c), Indoor sport, recreation or fitness Class E(d), health services Class E(e), offices Class E(g)(i)"/>
    <s v="PF"/>
    <d v="2023-10-23T00:00:00"/>
    <d v="2023-12-18T00:00:00"/>
    <s v="Y"/>
    <s v="Nil"/>
    <m/>
    <s v="BF"/>
    <s v="COU"/>
    <x v="2"/>
    <x v="7"/>
    <n v="0"/>
    <m/>
    <x v="0"/>
    <m/>
    <s v="Open Market"/>
    <s v="MR"/>
    <s v=""/>
    <m/>
    <m/>
    <m/>
    <m/>
    <m/>
    <n v="-1"/>
    <n v="1"/>
    <n v="0"/>
    <n v="0"/>
    <n v="0"/>
    <n v="0"/>
    <n v="0"/>
    <n v="-1"/>
    <n v="1"/>
    <n v="0"/>
    <n v="0"/>
    <n v="0"/>
    <n v="0"/>
    <n v="0"/>
    <n v="0"/>
    <n v="0"/>
    <n v="0"/>
    <n v="0"/>
    <n v="0"/>
    <n v="0"/>
    <n v="0"/>
    <n v="0"/>
    <n v="0"/>
    <n v="0"/>
    <n v="0"/>
    <n v="0"/>
    <n v="0"/>
    <n v="0"/>
    <m/>
    <m/>
    <s v="Wandle Valley"/>
    <n v="15"/>
    <m/>
    <n v="0"/>
    <n v="0"/>
    <n v="0"/>
    <n v="0"/>
    <m/>
    <m/>
    <m/>
    <m/>
    <m/>
    <m/>
    <m/>
    <m/>
    <m/>
    <m/>
    <m/>
    <m/>
    <m/>
    <m/>
    <m/>
    <n v="0"/>
    <n v="0"/>
  </r>
  <r>
    <n v="8062"/>
    <x v="2"/>
    <s v="2023/3746"/>
    <s v="28 Trinity Road"/>
    <s v=""/>
    <n v="527960"/>
    <n v="172420"/>
    <s v="Trinity"/>
    <m/>
    <m/>
    <n v="2"/>
    <n v="3"/>
    <n v="1"/>
    <n v="3"/>
    <n v="1"/>
    <m/>
    <s v="Alterations including erection of single storey side/rear extension; mansard roof extension to main rear roof to form additional storey; extension above back addition and formation of roof terrace with 1.7m obscured glass screening and access dormer above extension above back addition. Installation of windows to ground floor side elevation and new entrance; installation/replacement of side windows and installation of rear French doors with railings at first floor. Part change of use from commercial (Class E) to residential (Class C3) in connection with creation of 2 x 1-bedroom and 1 x 3-bedroom flats."/>
    <s v="PF"/>
    <d v="2023-10-05T00:00:00"/>
    <d v="2024-01-19T00:00:00"/>
    <s v="Y"/>
    <s v="Nil"/>
    <m/>
    <s v="BF"/>
    <s v="COU"/>
    <x v="2"/>
    <x v="8"/>
    <n v="1.4348E-2"/>
    <m/>
    <x v="0"/>
    <m/>
    <s v="Open Market"/>
    <s v="M"/>
    <s v=""/>
    <m/>
    <m/>
    <m/>
    <m/>
    <m/>
    <n v="0"/>
    <n v="0"/>
    <n v="0"/>
    <n v="1"/>
    <n v="0"/>
    <n v="0"/>
    <n v="0"/>
    <n v="0"/>
    <n v="0"/>
    <n v="0"/>
    <n v="1"/>
    <n v="0"/>
    <n v="0"/>
    <n v="0"/>
    <n v="0"/>
    <n v="0"/>
    <n v="0"/>
    <n v="0"/>
    <n v="0"/>
    <n v="0"/>
    <n v="0"/>
    <n v="0"/>
    <n v="0"/>
    <n v="0"/>
    <n v="0"/>
    <n v="0"/>
    <n v="0"/>
    <n v="0"/>
    <m/>
    <m/>
    <s v="Rest of Borough"/>
    <n v="15"/>
    <m/>
    <n v="0.25"/>
    <n v="0.25"/>
    <n v="0.25"/>
    <n v="0.25"/>
    <m/>
    <m/>
    <m/>
    <m/>
    <m/>
    <m/>
    <m/>
    <m/>
    <m/>
    <m/>
    <m/>
    <m/>
    <m/>
    <m/>
    <m/>
    <n v="1"/>
    <n v="1"/>
  </r>
  <r>
    <n v="7978"/>
    <x v="2"/>
    <s v="2023/3764"/>
    <s v="834-836 Garratt Lane"/>
    <s v=""/>
    <n v="526962"/>
    <n v="171741"/>
    <s v="Tooting Broadway"/>
    <m/>
    <m/>
    <n v="0"/>
    <n v="1"/>
    <n v="1"/>
    <n v="1"/>
    <n v="1"/>
    <m/>
    <s v="Determination as to whether prior approval is required for change of use from retail (Class E) to 1 x 1-bedroom flat (class C3)_x000d_."/>
    <s v="PAG"/>
    <d v="2023-10-06T00:00:00"/>
    <d v="2023-11-10T00:00:00"/>
    <s v="Y"/>
    <s v="Nil"/>
    <m/>
    <s v="BF"/>
    <s v="COU"/>
    <x v="2"/>
    <x v="4"/>
    <n v="6.2500000000000003E-3"/>
    <m/>
    <x v="0"/>
    <m/>
    <s v="Open Market"/>
    <s v="MR"/>
    <s v=""/>
    <m/>
    <m/>
    <m/>
    <m/>
    <m/>
    <n v="0"/>
    <n v="1"/>
    <n v="0"/>
    <n v="0"/>
    <n v="0"/>
    <n v="0"/>
    <n v="0"/>
    <n v="0"/>
    <n v="1"/>
    <n v="0"/>
    <n v="0"/>
    <n v="0"/>
    <n v="0"/>
    <n v="0"/>
    <n v="0"/>
    <n v="0"/>
    <n v="0"/>
    <n v="0"/>
    <n v="0"/>
    <n v="0"/>
    <n v="0"/>
    <n v="0"/>
    <n v="0"/>
    <n v="0"/>
    <n v="0"/>
    <n v="0"/>
    <n v="0"/>
    <n v="0"/>
    <m/>
    <m/>
    <s v="Rest of Borough"/>
    <n v="15"/>
    <m/>
    <n v="0.25"/>
    <n v="0.25"/>
    <n v="0.25"/>
    <n v="0.25"/>
    <m/>
    <m/>
    <m/>
    <m/>
    <m/>
    <m/>
    <m/>
    <m/>
    <m/>
    <m/>
    <m/>
    <m/>
    <m/>
    <m/>
    <m/>
    <n v="1"/>
    <n v="1"/>
  </r>
  <r>
    <n v="3456"/>
    <x v="2"/>
    <s v="2023/3860"/>
    <s v="45 Lynwood Road"/>
    <s v=""/>
    <n v="527908"/>
    <n v="171935"/>
    <s v="Tooting Bec"/>
    <m/>
    <m/>
    <n v="1"/>
    <n v="0"/>
    <n v="-1"/>
    <n v="0"/>
    <n v="-1"/>
    <m/>
    <s v="Use of existing dwellinghouse as a childrens home"/>
    <s v="LDC Prop"/>
    <d v="2023-10-13T00:00:00"/>
    <d v="2023-12-07T00:00:00"/>
    <s v="Y"/>
    <s v="Nil"/>
    <m/>
    <s v="BF"/>
    <s v="COU"/>
    <x v="2"/>
    <x v="9"/>
    <n v="1.2999999999999999E-2"/>
    <m/>
    <x v="0"/>
    <m/>
    <s v="Open Market"/>
    <s v="M"/>
    <s v=""/>
    <m/>
    <m/>
    <m/>
    <m/>
    <m/>
    <n v="0"/>
    <n v="0"/>
    <n v="0"/>
    <n v="0"/>
    <n v="0"/>
    <n v="-1"/>
    <n v="0"/>
    <n v="0"/>
    <n v="0"/>
    <n v="0"/>
    <n v="0"/>
    <n v="0"/>
    <n v="0"/>
    <n v="0"/>
    <n v="0"/>
    <n v="0"/>
    <n v="0"/>
    <n v="0"/>
    <n v="0"/>
    <n v="-1"/>
    <n v="0"/>
    <n v="0"/>
    <n v="0"/>
    <n v="0"/>
    <n v="0"/>
    <n v="0"/>
    <n v="0"/>
    <n v="0"/>
    <m/>
    <m/>
    <s v="Rest of Borough"/>
    <n v="15"/>
    <m/>
    <n v="-0.25"/>
    <n v="-0.25"/>
    <n v="-0.25"/>
    <n v="-0.25"/>
    <m/>
    <m/>
    <m/>
    <m/>
    <m/>
    <m/>
    <m/>
    <m/>
    <m/>
    <m/>
    <m/>
    <m/>
    <m/>
    <m/>
    <m/>
    <n v="-1"/>
    <n v="-1"/>
  </r>
  <r>
    <n v="7711"/>
    <x v="2"/>
    <s v="2022/4594"/>
    <s v="Land and Garages Between Phelps House and The Platt Christian Centre, Felsham Road (Platt South)"/>
    <s v=""/>
    <n v="523281"/>
    <n v="175733"/>
    <s v="Thamesfield"/>
    <d v="2024-02-28T00:00:00"/>
    <m/>
    <n v="0"/>
    <n v="8"/>
    <n v="8"/>
    <n v="8"/>
    <n v="8"/>
    <m/>
    <s v="Variation of condition 2 (in accordance approved drawings) of planning permission dated 25/04/2022 ref 2021/2879 (Demolition of existing garages and erection of a four storey building providing 9 x 1-bed and 2 x 2-bed flats, with roof terraces and balconies to all elevations and covered refuse and cycle storage.) to allow a reduction in the number of dwellings to 8, alterations to fenestration, alterations to roof design, omission of basement plant level, and various minor design amendments."/>
    <s v="S73"/>
    <d v="2022-12-06T00:00:00"/>
    <d v="2023-03-07T00:00:00"/>
    <m/>
    <s v="Nil"/>
    <m/>
    <s v="BF"/>
    <s v="NB"/>
    <x v="2"/>
    <x v="3"/>
    <n v="1.4375000000000001E-2"/>
    <m/>
    <x v="0"/>
    <m/>
    <s v="Social/Affordable Rent"/>
    <s v="AL"/>
    <s v=""/>
    <m/>
    <m/>
    <n v="6"/>
    <m/>
    <n v="2"/>
    <n v="0"/>
    <n v="3"/>
    <n v="2"/>
    <n v="3"/>
    <n v="0"/>
    <n v="0"/>
    <n v="0"/>
    <n v="0"/>
    <n v="3"/>
    <n v="2"/>
    <n v="3"/>
    <n v="0"/>
    <n v="0"/>
    <n v="0"/>
    <n v="0"/>
    <n v="0"/>
    <n v="0"/>
    <n v="0"/>
    <n v="0"/>
    <n v="0"/>
    <n v="0"/>
    <n v="0"/>
    <n v="0"/>
    <n v="0"/>
    <n v="0"/>
    <n v="0"/>
    <n v="0"/>
    <n v="0"/>
    <m/>
    <m/>
    <s v="Rest of Borough"/>
    <n v="8"/>
    <m/>
    <m/>
    <n v="8"/>
    <m/>
    <m/>
    <m/>
    <m/>
    <m/>
    <m/>
    <m/>
    <m/>
    <m/>
    <m/>
    <m/>
    <m/>
    <m/>
    <m/>
    <m/>
    <m/>
    <m/>
    <n v="8"/>
    <n v="8"/>
  </r>
  <r>
    <n v="7779"/>
    <x v="2"/>
    <s v="2021/1445"/>
    <s v="36-44 Aldrington Road"/>
    <s v=""/>
    <n v="529455"/>
    <n v="171646"/>
    <s v="Furzedown"/>
    <m/>
    <m/>
    <n v="0"/>
    <n v="34"/>
    <n v="34"/>
    <n v="34"/>
    <n v="34"/>
    <s v="Y"/>
    <s v="Demolition of existing single storey garages, residents refuse and ancillary storage sheds and redevelopment of the site for affordable residential units within a part three, four and six storey building together with ancillary residents storage, car parking, bicycle storage, refuse storage, landscaping and communal amenity space."/>
    <s v="PFLA"/>
    <d v="2021-03-26T00:00:00"/>
    <d v="2022-01-04T00:00:00"/>
    <m/>
    <s v="Nil"/>
    <m/>
    <s v="BF"/>
    <s v="NB"/>
    <x v="1"/>
    <x v="0"/>
    <n v="5.2999999999999999E-2"/>
    <m/>
    <x v="0"/>
    <m/>
    <s v="Social/Affordable Rent"/>
    <s v="AL"/>
    <s v=""/>
    <m/>
    <m/>
    <m/>
    <m/>
    <m/>
    <n v="0"/>
    <n v="14"/>
    <n v="16"/>
    <n v="4"/>
    <n v="0"/>
    <n v="0"/>
    <n v="0"/>
    <n v="0"/>
    <n v="14"/>
    <n v="16"/>
    <n v="0"/>
    <n v="0"/>
    <n v="0"/>
    <n v="0"/>
    <n v="0"/>
    <n v="0"/>
    <n v="0"/>
    <n v="4"/>
    <n v="0"/>
    <n v="0"/>
    <n v="0"/>
    <n v="0"/>
    <n v="0"/>
    <n v="0"/>
    <n v="0"/>
    <n v="0"/>
    <n v="0"/>
    <n v="0"/>
    <m/>
    <m/>
    <s v="Rest of Borough"/>
    <n v="8"/>
    <m/>
    <m/>
    <m/>
    <m/>
    <n v="34"/>
    <m/>
    <m/>
    <m/>
    <m/>
    <m/>
    <m/>
    <m/>
    <m/>
    <m/>
    <m/>
    <m/>
    <m/>
    <m/>
    <m/>
    <m/>
    <n v="34"/>
    <n v="34"/>
  </r>
  <r>
    <n v="7835"/>
    <x v="2"/>
    <s v="2022/1694"/>
    <s v="223 Balham High Road"/>
    <s v="Market"/>
    <n v="528255"/>
    <n v="172659"/>
    <s v="South Balham"/>
    <m/>
    <m/>
    <n v="0"/>
    <n v="37"/>
    <n v="37"/>
    <n v="42"/>
    <n v="42"/>
    <s v="Y"/>
    <s v="Demolition of existing ground floor commercial unit and erection of a part 3/4/5 storey building with basement to provide commercial (Class E) on the basement and front ground floor and 42 residential units (Class C3) to the rear ground floor and above with private and communal amenity spaces. Provision of cycle storage, refuse storage and landscaping."/>
    <s v="PFLA"/>
    <d v="2022-04-25T00:00:00"/>
    <d v="2023-03-08T00:00:00"/>
    <m/>
    <s v="Nil"/>
    <m/>
    <s v="BF"/>
    <s v="NB"/>
    <x v="1"/>
    <x v="0"/>
    <n v="0.34520000000000001"/>
    <m/>
    <x v="0"/>
    <m/>
    <s v="Open Market"/>
    <s v="M"/>
    <s v=""/>
    <m/>
    <m/>
    <m/>
    <m/>
    <m/>
    <n v="1"/>
    <n v="18"/>
    <n v="14"/>
    <n v="4"/>
    <n v="0"/>
    <n v="0"/>
    <n v="0"/>
    <n v="1"/>
    <n v="18"/>
    <n v="14"/>
    <n v="4"/>
    <n v="0"/>
    <n v="0"/>
    <n v="0"/>
    <n v="0"/>
    <n v="0"/>
    <n v="0"/>
    <n v="0"/>
    <n v="0"/>
    <n v="0"/>
    <n v="0"/>
    <n v="0"/>
    <n v="0"/>
    <n v="0"/>
    <n v="0"/>
    <n v="0"/>
    <n v="0"/>
    <n v="0"/>
    <m/>
    <m/>
    <s v="Rest of Borough"/>
    <n v="8"/>
    <m/>
    <m/>
    <m/>
    <m/>
    <n v="37"/>
    <m/>
    <m/>
    <m/>
    <m/>
    <m/>
    <m/>
    <m/>
    <m/>
    <m/>
    <m/>
    <m/>
    <m/>
    <m/>
    <m/>
    <m/>
    <n v="37"/>
    <n v="37"/>
  </r>
  <r>
    <n v="7835"/>
    <x v="2"/>
    <s v="2022/1694"/>
    <s v="223 Balham High Road"/>
    <s v="LDN Affordable Rent"/>
    <n v="528255"/>
    <n v="172659"/>
    <s v="South Balham"/>
    <m/>
    <m/>
    <n v="0"/>
    <n v="5"/>
    <n v="5"/>
    <n v="42"/>
    <n v="42"/>
    <s v="Y"/>
    <s v="Demolition of existing ground floor commercial unit and erection of a part 3/4/5 storey building with basement to provide commercial (Class E) on the basement and front ground floor and 42 residential units (Class C3) to the rear ground floor and above with private and communal amenity spaces. Provision of cycle storage, refuse storage and landscaping."/>
    <s v="PFLA"/>
    <d v="2022-04-25T00:00:00"/>
    <d v="2023-03-08T00:00:00"/>
    <m/>
    <s v="Nil"/>
    <m/>
    <s v="BF"/>
    <s v="NB"/>
    <x v="1"/>
    <x v="0"/>
    <n v="4.6600000000000003E-2"/>
    <m/>
    <x v="0"/>
    <m/>
    <s v="Social/Affordable Rent"/>
    <s v="AL"/>
    <s v=""/>
    <m/>
    <m/>
    <m/>
    <m/>
    <m/>
    <n v="0"/>
    <n v="0"/>
    <n v="0"/>
    <n v="5"/>
    <n v="0"/>
    <n v="0"/>
    <n v="0"/>
    <n v="0"/>
    <n v="0"/>
    <n v="0"/>
    <n v="5"/>
    <n v="0"/>
    <n v="0"/>
    <n v="0"/>
    <n v="0"/>
    <n v="0"/>
    <n v="0"/>
    <n v="0"/>
    <n v="0"/>
    <n v="0"/>
    <n v="0"/>
    <n v="0"/>
    <n v="0"/>
    <n v="0"/>
    <n v="0"/>
    <n v="0"/>
    <n v="0"/>
    <n v="0"/>
    <m/>
    <m/>
    <s v="Rest of Borough"/>
    <n v="8"/>
    <m/>
    <m/>
    <m/>
    <m/>
    <n v="5"/>
    <m/>
    <m/>
    <m/>
    <m/>
    <m/>
    <m/>
    <m/>
    <m/>
    <m/>
    <m/>
    <m/>
    <m/>
    <m/>
    <m/>
    <m/>
    <n v="5"/>
    <n v="5"/>
  </r>
  <r>
    <n v="8007"/>
    <x v="2"/>
    <s v="2023/2779"/>
    <s v="Garages and car parking spaces west of 27-33 and 34-40 Highcross Way, Bessborough Road"/>
    <s v=""/>
    <n v="522475"/>
    <n v="173430"/>
    <s v="Roehampton"/>
    <m/>
    <m/>
    <n v="0"/>
    <n v="8"/>
    <n v="8"/>
    <n v="8"/>
    <n v="8"/>
    <m/>
    <s v="Demolition of all existing structures and garages and erection of a part single, part two/three storey building to provide eight (8) independent supported housing units (Use Class C3) with associated cycle, vehicle parking and landscaping."/>
    <s v="PF"/>
    <d v="2023-07-24T00:00:00"/>
    <d v="2023-10-26T00:00:00"/>
    <s v="Y"/>
    <s v="Nil"/>
    <m/>
    <s v="BF"/>
    <s v="NB"/>
    <x v="2"/>
    <x v="3"/>
    <n v="2.5340000000000001E-2"/>
    <m/>
    <x v="0"/>
    <m/>
    <s v="Social/Affordable Rent"/>
    <s v="AS"/>
    <s v=""/>
    <m/>
    <m/>
    <m/>
    <m/>
    <m/>
    <n v="0"/>
    <n v="8"/>
    <n v="0"/>
    <n v="0"/>
    <n v="0"/>
    <n v="0"/>
    <n v="0"/>
    <n v="0"/>
    <n v="8"/>
    <n v="0"/>
    <n v="0"/>
    <n v="0"/>
    <n v="0"/>
    <n v="0"/>
    <n v="0"/>
    <n v="0"/>
    <n v="0"/>
    <n v="0"/>
    <n v="0"/>
    <n v="0"/>
    <n v="0"/>
    <n v="0"/>
    <n v="0"/>
    <n v="0"/>
    <n v="0"/>
    <n v="0"/>
    <n v="0"/>
    <n v="0"/>
    <m/>
    <m/>
    <s v="Rest of Borough"/>
    <n v="8"/>
    <m/>
    <m/>
    <m/>
    <n v="8"/>
    <m/>
    <m/>
    <m/>
    <m/>
    <m/>
    <m/>
    <m/>
    <m/>
    <m/>
    <m/>
    <m/>
    <m/>
    <m/>
    <m/>
    <m/>
    <m/>
    <n v="8"/>
    <n v="8"/>
  </r>
  <r>
    <n v="2710"/>
    <x v="2"/>
    <s v="2023/3888"/>
    <s v="84-88 Mitcham Road"/>
    <s v=""/>
    <n v="527620"/>
    <n v="171253"/>
    <s v="Tooting Broadway"/>
    <m/>
    <m/>
    <n v="0"/>
    <n v="2"/>
    <n v="2"/>
    <n v="2"/>
    <n v="2"/>
    <m/>
    <s v="Alterations including additional side and rear windows in connection with conversion of part ground floor and upper floors of 88 Mitcham Road from Commercial, Business and Service (Class Ea) to residential (Class C3) to create 1 x 3 bedroom and 1 x 2-bedroom flats. Formation of roof terrace at first and second floor levels with 1.7m high screen, reconfiguration of existing first floor flat and provision of cycle/refuse stores."/>
    <s v="PF"/>
    <d v="2023-11-16T00:00:00"/>
    <d v="2024-03-28T00:00:00"/>
    <s v="Y"/>
    <s v="Nil"/>
    <m/>
    <s v="BF"/>
    <s v="COU"/>
    <x v="2"/>
    <x v="6"/>
    <n v="0"/>
    <m/>
    <x v="0"/>
    <m/>
    <s v="Open Market"/>
    <s v="M"/>
    <s v=""/>
    <m/>
    <m/>
    <m/>
    <m/>
    <m/>
    <n v="0"/>
    <n v="0"/>
    <n v="1"/>
    <n v="1"/>
    <n v="0"/>
    <n v="0"/>
    <n v="0"/>
    <n v="0"/>
    <n v="0"/>
    <n v="1"/>
    <n v="1"/>
    <n v="0"/>
    <n v="0"/>
    <n v="0"/>
    <n v="0"/>
    <n v="0"/>
    <n v="0"/>
    <n v="0"/>
    <n v="0"/>
    <n v="0"/>
    <n v="0"/>
    <n v="0"/>
    <n v="0"/>
    <n v="0"/>
    <n v="0"/>
    <n v="0"/>
    <n v="0"/>
    <n v="0"/>
    <s v="Tooting"/>
    <m/>
    <s v="Tooting"/>
    <n v="15"/>
    <m/>
    <n v="0.5"/>
    <n v="0.5"/>
    <n v="0.5"/>
    <n v="0.5"/>
    <m/>
    <m/>
    <m/>
    <m/>
    <m/>
    <m/>
    <m/>
    <m/>
    <m/>
    <m/>
    <m/>
    <m/>
    <m/>
    <m/>
    <m/>
    <n v="2"/>
    <n v="2"/>
  </r>
  <r>
    <n v="2530"/>
    <x v="2"/>
    <s v="2023/4002"/>
    <s v="193-197 Upper Tooting Road"/>
    <s v=""/>
    <n v="527684"/>
    <n v="171814"/>
    <s v="Tooting Bec"/>
    <m/>
    <m/>
    <n v="0"/>
    <n v="2"/>
    <n v="2"/>
    <n v="2"/>
    <n v="2"/>
    <m/>
    <s v="Alterations including part change of use of rear ground floors from commercial (Class E) to residential (Class C3) in connection with creation of 2 x studio flats with amenity space. Alterations and relocation of rear external staircase to first floor; infill front extension to commercial units and alterations to shopfronts."/>
    <s v="PF"/>
    <d v="2023-11-23T00:00:00"/>
    <d v="2024-02-22T00:00:00"/>
    <s v="Y"/>
    <s v="Nil"/>
    <m/>
    <s v="BF"/>
    <s v="COU"/>
    <x v="2"/>
    <x v="4"/>
    <n v="0"/>
    <m/>
    <x v="0"/>
    <m/>
    <s v="Open Market"/>
    <s v="MR"/>
    <s v=""/>
    <m/>
    <m/>
    <m/>
    <m/>
    <m/>
    <n v="2"/>
    <n v="0"/>
    <n v="0"/>
    <n v="0"/>
    <n v="0"/>
    <n v="0"/>
    <n v="0"/>
    <n v="2"/>
    <n v="0"/>
    <n v="0"/>
    <n v="0"/>
    <n v="0"/>
    <n v="0"/>
    <n v="0"/>
    <n v="0"/>
    <n v="0"/>
    <n v="0"/>
    <n v="0"/>
    <n v="0"/>
    <n v="0"/>
    <n v="0"/>
    <n v="0"/>
    <n v="0"/>
    <n v="0"/>
    <n v="0"/>
    <n v="0"/>
    <n v="0"/>
    <n v="0"/>
    <s v="Tooting"/>
    <m/>
    <s v="Tooting"/>
    <n v="15"/>
    <m/>
    <n v="0.5"/>
    <n v="0.5"/>
    <n v="0.5"/>
    <n v="0.5"/>
    <m/>
    <m/>
    <m/>
    <m/>
    <m/>
    <m/>
    <m/>
    <m/>
    <m/>
    <m/>
    <m/>
    <m/>
    <m/>
    <m/>
    <m/>
    <n v="2"/>
    <n v="2"/>
  </r>
  <r>
    <n v="8030"/>
    <x v="2"/>
    <s v="2023/4187"/>
    <s v="Unit 1 Thorpe Court, 864 Garratt lane"/>
    <s v=""/>
    <n v="527078"/>
    <n v="171660"/>
    <s v="Tooting Broadway"/>
    <m/>
    <m/>
    <n v="0"/>
    <n v="1"/>
    <n v="1"/>
    <n v="1"/>
    <n v="1"/>
    <m/>
    <s v="Determination as to whether prior approval is required for change of use from retail (Class E) at ground floor level to residential (Class C3) to provide 1-bedroom flat."/>
    <s v="PAG"/>
    <d v="2023-11-09T00:00:00"/>
    <d v="2023-12-29T00:00:00"/>
    <s v="Y"/>
    <s v="Nil"/>
    <m/>
    <s v="BF"/>
    <s v="COU"/>
    <x v="2"/>
    <x v="4"/>
    <n v="7.3649999999999993E-2"/>
    <m/>
    <x v="0"/>
    <m/>
    <s v="Open Market"/>
    <s v="M"/>
    <s v=""/>
    <m/>
    <m/>
    <m/>
    <m/>
    <m/>
    <n v="0"/>
    <n v="1"/>
    <n v="0"/>
    <n v="0"/>
    <n v="0"/>
    <n v="0"/>
    <n v="0"/>
    <n v="0"/>
    <n v="1"/>
    <n v="0"/>
    <n v="0"/>
    <n v="0"/>
    <n v="0"/>
    <n v="0"/>
    <n v="0"/>
    <n v="0"/>
    <n v="0"/>
    <n v="0"/>
    <n v="0"/>
    <n v="0"/>
    <n v="0"/>
    <n v="0"/>
    <n v="0"/>
    <n v="0"/>
    <n v="0"/>
    <n v="0"/>
    <n v="0"/>
    <n v="0"/>
    <m/>
    <m/>
    <s v="Rest of Borough"/>
    <n v="15"/>
    <m/>
    <n v="0.25"/>
    <n v="0.25"/>
    <n v="0.25"/>
    <n v="0.25"/>
    <m/>
    <m/>
    <m/>
    <m/>
    <m/>
    <m/>
    <m/>
    <m/>
    <m/>
    <m/>
    <m/>
    <m/>
    <m/>
    <m/>
    <m/>
    <n v="1"/>
    <n v="1"/>
  </r>
  <r>
    <n v="8070"/>
    <x v="2"/>
    <s v="2023/4304"/>
    <s v="116 A Putney High Street"/>
    <s v=""/>
    <n v="523997"/>
    <n v="175267"/>
    <s v="Thamesfield"/>
    <m/>
    <m/>
    <n v="1"/>
    <n v="3"/>
    <n v="2"/>
    <n v="3"/>
    <n v="2"/>
    <m/>
    <s v="Alterations including erection of a roof extension to main roof to provide an additional level of accommodation; extensions to the rear at  first/second and third floor level in connection with 1 x 1-bedroom and 2 x 2-bedroom flats, with associated cycle and refuse storage and internal reconfiguration."/>
    <s v="PF"/>
    <d v="2023-11-16T00:00:00"/>
    <d v="2024-01-11T00:00:00"/>
    <s v="Y"/>
    <s v="Nil"/>
    <m/>
    <s v="BF"/>
    <s v="CON"/>
    <x v="2"/>
    <x v="5"/>
    <n v="1.2977000000000001E-2"/>
    <m/>
    <x v="0"/>
    <m/>
    <s v="Open Market"/>
    <s v="MR"/>
    <s v=""/>
    <m/>
    <m/>
    <m/>
    <m/>
    <m/>
    <n v="0"/>
    <n v="1"/>
    <n v="2"/>
    <n v="0"/>
    <n v="0"/>
    <n v="-1"/>
    <n v="0"/>
    <n v="0"/>
    <n v="1"/>
    <n v="2"/>
    <n v="0"/>
    <n v="0"/>
    <n v="-1"/>
    <n v="0"/>
    <n v="0"/>
    <n v="0"/>
    <n v="0"/>
    <n v="0"/>
    <n v="0"/>
    <n v="0"/>
    <n v="0"/>
    <n v="0"/>
    <n v="0"/>
    <n v="0"/>
    <n v="0"/>
    <n v="0"/>
    <n v="0"/>
    <n v="0"/>
    <s v="Putney"/>
    <m/>
    <s v="Putney"/>
    <n v="15"/>
    <m/>
    <n v="0.5"/>
    <n v="0.5"/>
    <n v="0.5"/>
    <n v="0.5"/>
    <m/>
    <m/>
    <m/>
    <m/>
    <m/>
    <m/>
    <m/>
    <m/>
    <m/>
    <m/>
    <m/>
    <m/>
    <m/>
    <m/>
    <m/>
    <n v="2"/>
    <n v="2"/>
  </r>
  <r>
    <n v="8072"/>
    <x v="2"/>
    <s v="2023/4400"/>
    <s v="Garages to the east of Playground and north of 32, Swanton Gardens"/>
    <s v=""/>
    <n v="523983"/>
    <n v="173273"/>
    <s v="West Hill"/>
    <m/>
    <m/>
    <n v="0"/>
    <n v="3"/>
    <n v="3"/>
    <n v="3"/>
    <n v="3"/>
    <m/>
    <s v="Demolition of existing garages and erection of 3-storey building to provide 1 x 1-bedroom and 2 x 2-bedroom flats with associated vehicle and cycle parking, refuse storage and landscaping."/>
    <s v="PF"/>
    <d v="2023-11-23T00:00:00"/>
    <d v="2024-02-01T00:00:00"/>
    <s v="Y"/>
    <s v="Nil"/>
    <m/>
    <s v="BF"/>
    <s v="NB"/>
    <x v="2"/>
    <x v="3"/>
    <n v="4.7775999999999999E-2"/>
    <m/>
    <x v="0"/>
    <m/>
    <s v="Social/Affordable Rent"/>
    <s v="AS"/>
    <s v=""/>
    <m/>
    <m/>
    <m/>
    <m/>
    <m/>
    <n v="0"/>
    <n v="1"/>
    <n v="2"/>
    <n v="0"/>
    <n v="0"/>
    <n v="0"/>
    <n v="0"/>
    <n v="0"/>
    <n v="1"/>
    <n v="2"/>
    <n v="0"/>
    <n v="0"/>
    <n v="0"/>
    <n v="0"/>
    <n v="0"/>
    <n v="0"/>
    <n v="0"/>
    <n v="0"/>
    <n v="0"/>
    <n v="0"/>
    <n v="0"/>
    <n v="0"/>
    <n v="0"/>
    <n v="0"/>
    <n v="0"/>
    <n v="0"/>
    <n v="0"/>
    <n v="0"/>
    <m/>
    <m/>
    <s v="Rest of Borough"/>
    <n v="7"/>
    <m/>
    <m/>
    <n v="0.75"/>
    <n v="0.75"/>
    <n v="0.75"/>
    <n v="0.75"/>
    <m/>
    <m/>
    <m/>
    <m/>
    <m/>
    <m/>
    <m/>
    <m/>
    <m/>
    <m/>
    <m/>
    <m/>
    <m/>
    <m/>
    <n v="3"/>
    <n v="3"/>
  </r>
  <r>
    <n v="8073"/>
    <x v="2"/>
    <s v="2023/4401"/>
    <s v="Garages to the South East of 63-75, Skeena Hill"/>
    <s v=""/>
    <n v="524179"/>
    <n v="173612"/>
    <s v="West Hill"/>
    <m/>
    <m/>
    <n v="0"/>
    <n v="6"/>
    <n v="6"/>
    <n v="6"/>
    <n v="6"/>
    <m/>
    <s v="Demolition of existing garages and erection of 2-storey building to provide 3 x 1-bedroom and 3 x 2-bedroom flats with associated car and cycle parking, refuse storage and landscaping."/>
    <s v="PF"/>
    <d v="2023-11-23T00:00:00"/>
    <d v="2024-02-26T00:00:00"/>
    <s v="Y"/>
    <s v="Nil"/>
    <m/>
    <s v="BF"/>
    <s v="NB"/>
    <x v="2"/>
    <x v="3"/>
    <n v="0.120961"/>
    <m/>
    <x v="0"/>
    <m/>
    <s v="Social/Affordable Rent"/>
    <s v="AS"/>
    <s v=""/>
    <m/>
    <m/>
    <n v="3"/>
    <m/>
    <m/>
    <n v="0"/>
    <n v="3"/>
    <n v="3"/>
    <n v="0"/>
    <n v="0"/>
    <n v="0"/>
    <n v="0"/>
    <n v="0"/>
    <n v="3"/>
    <n v="3"/>
    <n v="0"/>
    <n v="0"/>
    <n v="0"/>
    <n v="0"/>
    <n v="0"/>
    <n v="0"/>
    <n v="0"/>
    <n v="0"/>
    <n v="0"/>
    <n v="0"/>
    <n v="0"/>
    <n v="0"/>
    <n v="0"/>
    <n v="0"/>
    <n v="0"/>
    <n v="0"/>
    <n v="0"/>
    <n v="0"/>
    <m/>
    <m/>
    <s v="Rest of Borough"/>
    <n v="8"/>
    <m/>
    <m/>
    <m/>
    <m/>
    <n v="6"/>
    <m/>
    <m/>
    <m/>
    <m/>
    <m/>
    <m/>
    <m/>
    <m/>
    <m/>
    <m/>
    <m/>
    <m/>
    <m/>
    <m/>
    <m/>
    <n v="6"/>
    <n v="6"/>
  </r>
  <r>
    <n v="8076"/>
    <x v="2"/>
    <s v="2023/4432"/>
    <s v="21 Battersea Church Road"/>
    <s v=""/>
    <n v="527089"/>
    <n v="177085"/>
    <s v="St Mary's"/>
    <m/>
    <m/>
    <n v="2"/>
    <n v="1"/>
    <n v="-1"/>
    <n v="1"/>
    <n v="-1"/>
    <m/>
    <s v="Alterations in connection with conversion of two flats into single dwelling house."/>
    <s v="PF"/>
    <d v="2023-11-27T00:00:00"/>
    <d v="2024-01-18T00:00:00"/>
    <s v="Y"/>
    <s v="Nil"/>
    <m/>
    <s v="BF"/>
    <s v="CON"/>
    <x v="2"/>
    <x v="11"/>
    <n v="1.3335E-2"/>
    <m/>
    <x v="0"/>
    <m/>
    <s v="Open Market"/>
    <s v="MR"/>
    <s v=""/>
    <m/>
    <m/>
    <m/>
    <m/>
    <m/>
    <n v="0"/>
    <n v="-1"/>
    <n v="-1"/>
    <n v="1"/>
    <n v="0"/>
    <n v="0"/>
    <n v="0"/>
    <n v="0"/>
    <n v="-1"/>
    <n v="-1"/>
    <n v="0"/>
    <n v="0"/>
    <n v="0"/>
    <n v="0"/>
    <n v="0"/>
    <n v="0"/>
    <n v="0"/>
    <n v="1"/>
    <n v="0"/>
    <n v="0"/>
    <n v="0"/>
    <n v="0"/>
    <n v="0"/>
    <n v="0"/>
    <n v="0"/>
    <n v="0"/>
    <n v="0"/>
    <n v="0"/>
    <m/>
    <m/>
    <s v="Wandsworth riverside"/>
    <n v="15"/>
    <m/>
    <n v="-0.25"/>
    <n v="-0.25"/>
    <n v="-0.25"/>
    <n v="-0.25"/>
    <m/>
    <m/>
    <m/>
    <m/>
    <m/>
    <m/>
    <m/>
    <m/>
    <m/>
    <m/>
    <m/>
    <m/>
    <m/>
    <m/>
    <m/>
    <n v="-1"/>
    <n v="-1"/>
  </r>
  <r>
    <n v="8085"/>
    <x v="2"/>
    <s v="2023/4501"/>
    <s v="157 157A 159, Blackshaw Road"/>
    <s v="Market Rent"/>
    <n v="526648"/>
    <n v="171469"/>
    <s v="Tooting Broadway"/>
    <m/>
    <m/>
    <n v="3"/>
    <n v="4"/>
    <n v="1"/>
    <n v="4"/>
    <n v="1"/>
    <m/>
    <s v="Alterations including erection of a dormer extension to main rear roof, erection of a first floor side/rear extension and single storey rear extension and single storey side extension to three flats and conversion of upper floor flat into two x 1-bedroom flats. Alterations to fenestration."/>
    <s v="PF"/>
    <d v="2023-12-21T00:00:00"/>
    <d v="2024-03-26T00:00:00"/>
    <s v="Y"/>
    <s v="Nil"/>
    <m/>
    <s v="BF"/>
    <s v="CON"/>
    <x v="2"/>
    <x v="5"/>
    <n v="6.0000000000000001E-3"/>
    <m/>
    <x v="0"/>
    <m/>
    <s v="Open Market"/>
    <s v="MR"/>
    <s v=""/>
    <m/>
    <m/>
    <m/>
    <m/>
    <m/>
    <n v="0"/>
    <n v="1"/>
    <n v="0"/>
    <n v="0"/>
    <n v="0"/>
    <n v="0"/>
    <n v="0"/>
    <n v="0"/>
    <n v="1"/>
    <n v="0"/>
    <n v="0"/>
    <n v="0"/>
    <n v="0"/>
    <n v="0"/>
    <n v="0"/>
    <n v="0"/>
    <n v="0"/>
    <n v="0"/>
    <n v="0"/>
    <n v="0"/>
    <n v="0"/>
    <n v="0"/>
    <n v="0"/>
    <n v="0"/>
    <n v="0"/>
    <n v="0"/>
    <n v="0"/>
    <n v="0"/>
    <m/>
    <m/>
    <s v="Rest of Borough"/>
    <n v="15"/>
    <m/>
    <n v="0.25"/>
    <n v="0.25"/>
    <n v="0.25"/>
    <n v="0.25"/>
    <m/>
    <m/>
    <m/>
    <m/>
    <m/>
    <m/>
    <m/>
    <m/>
    <m/>
    <m/>
    <m/>
    <m/>
    <m/>
    <m/>
    <m/>
    <n v="1"/>
    <n v="1"/>
  </r>
  <r>
    <n v="7939"/>
    <x v="2"/>
    <s v="2023/4632"/>
    <s v="The Grapes Public House, 39 Fairfield Street"/>
    <s v=""/>
    <n v="525806"/>
    <n v="174853"/>
    <s v="Wandsworth Town"/>
    <m/>
    <m/>
    <n v="0"/>
    <n v="1"/>
    <n v="1"/>
    <n v="1"/>
    <n v="1"/>
    <m/>
    <s v="Retention of existing public house and erection of 1no. single-storey dwelling (Class C3) with associated landscaping following demolition of outbuilding. (see also Listed Building Consent application 2023/4692 Part demolition of existing brick wall.)"/>
    <s v="PF"/>
    <d v="2024-01-19T00:00:00"/>
    <d v="2024-03-14T00:00:00"/>
    <s v="Y"/>
    <s v="Nil"/>
    <m/>
    <s v="BF"/>
    <s v="NB"/>
    <x v="2"/>
    <x v="8"/>
    <n v="0"/>
    <m/>
    <x v="0"/>
    <m/>
    <s v="Open Market"/>
    <s v="M"/>
    <s v=""/>
    <m/>
    <m/>
    <m/>
    <m/>
    <m/>
    <n v="0"/>
    <n v="1"/>
    <n v="0"/>
    <n v="0"/>
    <n v="0"/>
    <n v="0"/>
    <n v="0"/>
    <n v="0"/>
    <n v="0"/>
    <n v="0"/>
    <n v="0"/>
    <n v="0"/>
    <n v="0"/>
    <n v="0"/>
    <n v="0"/>
    <n v="1"/>
    <n v="0"/>
    <n v="0"/>
    <n v="0"/>
    <n v="0"/>
    <n v="0"/>
    <n v="0"/>
    <n v="0"/>
    <n v="0"/>
    <n v="0"/>
    <n v="0"/>
    <n v="0"/>
    <n v="0"/>
    <m/>
    <m/>
    <s v="Wandsworth Town, including the Wandle Delta Masterplan Area"/>
    <n v="7"/>
    <m/>
    <m/>
    <n v="0.25"/>
    <n v="0.25"/>
    <n v="0.25"/>
    <n v="0.25"/>
    <m/>
    <m/>
    <m/>
    <m/>
    <m/>
    <m/>
    <m/>
    <m/>
    <m/>
    <m/>
    <m/>
    <m/>
    <m/>
    <m/>
    <n v="1"/>
    <n v="1"/>
  </r>
  <r>
    <n v="8093"/>
    <x v="2"/>
    <s v="2023/4669"/>
    <s v="96 Mitcham Lane"/>
    <s v=""/>
    <n v="529331"/>
    <n v="171177"/>
    <s v="Furzedown"/>
    <m/>
    <m/>
    <n v="0"/>
    <n v="2"/>
    <n v="2"/>
    <n v="2"/>
    <n v="2"/>
    <m/>
    <s v="Determination as to whether prior notification is required for change of use from retail (Class E) to 1 x 1-bedroom and 1 x studio flats (Class C3)."/>
    <s v="PAG"/>
    <d v="2024-01-03T00:00:00"/>
    <d v="2024-02-07T00:00:00"/>
    <s v="Y"/>
    <s v="Nil"/>
    <m/>
    <s v="BF"/>
    <s v="COU"/>
    <x v="2"/>
    <x v="4"/>
    <n v="8.9999999999999993E-3"/>
    <m/>
    <x v="0"/>
    <m/>
    <s v="Open Market"/>
    <s v="MR"/>
    <s v=""/>
    <m/>
    <m/>
    <m/>
    <m/>
    <m/>
    <n v="1"/>
    <n v="1"/>
    <n v="0"/>
    <n v="0"/>
    <n v="0"/>
    <n v="0"/>
    <n v="0"/>
    <n v="1"/>
    <n v="1"/>
    <n v="0"/>
    <n v="0"/>
    <n v="0"/>
    <n v="0"/>
    <n v="0"/>
    <n v="0"/>
    <n v="0"/>
    <n v="0"/>
    <n v="0"/>
    <n v="0"/>
    <n v="0"/>
    <n v="0"/>
    <n v="0"/>
    <n v="0"/>
    <n v="0"/>
    <n v="0"/>
    <n v="0"/>
    <n v="0"/>
    <n v="0"/>
    <m/>
    <m/>
    <s v="Rest of Borough"/>
    <n v="15"/>
    <m/>
    <n v="0.5"/>
    <n v="0.5"/>
    <n v="0.5"/>
    <n v="0.5"/>
    <m/>
    <m/>
    <m/>
    <m/>
    <m/>
    <m/>
    <m/>
    <m/>
    <m/>
    <m/>
    <m/>
    <m/>
    <m/>
    <m/>
    <m/>
    <n v="2"/>
    <n v="2"/>
  </r>
  <r>
    <n v="8055"/>
    <x v="2"/>
    <s v="2023/4715"/>
    <s v="94 Mitcham Lane"/>
    <s v=""/>
    <n v="529336"/>
    <n v="171182"/>
    <s v="Furzedown"/>
    <m/>
    <m/>
    <n v="0"/>
    <n v="2"/>
    <n v="2"/>
    <n v="2"/>
    <n v="2"/>
    <m/>
    <s v="Determination as to whether prior approval is required for change of use from retail (Class E) to 1 x studio and 1 x 1-bedroom flats (Class C3)."/>
    <s v="PAG"/>
    <d v="2024-01-02T00:00:00"/>
    <d v="2024-02-07T00:00:00"/>
    <s v="Y"/>
    <s v="Nil"/>
    <m/>
    <s v="BF"/>
    <s v="COU"/>
    <x v="2"/>
    <x v="4"/>
    <n v="8.9999999999999993E-3"/>
    <m/>
    <x v="0"/>
    <m/>
    <s v="Open Market"/>
    <s v="MR"/>
    <s v=""/>
    <m/>
    <m/>
    <m/>
    <m/>
    <m/>
    <n v="1"/>
    <n v="1"/>
    <n v="0"/>
    <n v="0"/>
    <n v="0"/>
    <n v="0"/>
    <n v="0"/>
    <n v="1"/>
    <n v="1"/>
    <n v="0"/>
    <n v="0"/>
    <n v="0"/>
    <n v="0"/>
    <n v="0"/>
    <n v="0"/>
    <n v="0"/>
    <n v="0"/>
    <n v="0"/>
    <n v="0"/>
    <n v="0"/>
    <n v="0"/>
    <n v="0"/>
    <n v="0"/>
    <n v="0"/>
    <n v="0"/>
    <n v="0"/>
    <n v="0"/>
    <n v="0"/>
    <m/>
    <m/>
    <s v="Rest of Borough"/>
    <n v="15"/>
    <m/>
    <n v="0.5"/>
    <n v="0.5"/>
    <n v="0.5"/>
    <n v="0.5"/>
    <m/>
    <m/>
    <m/>
    <m/>
    <m/>
    <m/>
    <m/>
    <m/>
    <m/>
    <m/>
    <m/>
    <m/>
    <m/>
    <m/>
    <m/>
    <n v="2"/>
    <n v="2"/>
  </r>
  <r>
    <n v="8096"/>
    <x v="2"/>
    <s v="2023/4888"/>
    <s v="14 Dryburgh Road"/>
    <s v=""/>
    <n v="522957"/>
    <n v="175580"/>
    <s v="Thamesfield"/>
    <m/>
    <m/>
    <n v="1"/>
    <n v="1"/>
    <n v="0"/>
    <n v="1"/>
    <n v="-2"/>
    <m/>
    <s v="Conversion of three flats into a 5-bedroom single-dwelling to include the demolition of the existing rear addition and erection of a single-storey rear/side extension. Installation of crittal style glazing and skylights, new side door to easter elevation alongside new window. Alterations to include brick renovation and redocoration of all brick elevations. All existing timber windows to be replaced with hardwood sash and casement windows and reinstatement of front door. Demolition of existing front boundary brick wall and replaced with 9 inch thickness brick wall and wrought iron railings. Installation of sliding wrought iron secure vehicle access gates, landscaping and all other associated works."/>
    <s v="PF"/>
    <d v="2023-12-20T00:00:00"/>
    <d v="2024-02-26T00:00:00"/>
    <s v="Y"/>
    <s v="Nil"/>
    <m/>
    <s v="BF"/>
    <s v="CON"/>
    <x v="2"/>
    <x v="11"/>
    <n v="5.3206000000000003E-2"/>
    <m/>
    <x v="0"/>
    <m/>
    <s v="Open Market"/>
    <s v="M"/>
    <s v=""/>
    <m/>
    <m/>
    <m/>
    <m/>
    <m/>
    <n v="0"/>
    <n v="0"/>
    <n v="0"/>
    <n v="0"/>
    <n v="-1"/>
    <n v="1"/>
    <n v="0"/>
    <n v="0"/>
    <n v="0"/>
    <n v="0"/>
    <n v="0"/>
    <n v="-1"/>
    <n v="0"/>
    <n v="0"/>
    <n v="0"/>
    <n v="0"/>
    <n v="0"/>
    <n v="0"/>
    <n v="0"/>
    <n v="1"/>
    <n v="0"/>
    <n v="0"/>
    <n v="0"/>
    <n v="0"/>
    <n v="0"/>
    <n v="0"/>
    <n v="0"/>
    <n v="0"/>
    <m/>
    <m/>
    <s v="Rest of Borough"/>
    <n v="15"/>
    <m/>
    <n v="0"/>
    <n v="0"/>
    <n v="0"/>
    <n v="0"/>
    <m/>
    <m/>
    <m/>
    <m/>
    <m/>
    <m/>
    <m/>
    <m/>
    <m/>
    <m/>
    <m/>
    <m/>
    <m/>
    <m/>
    <m/>
    <n v="0"/>
    <n v="0"/>
  </r>
  <r>
    <n v="8096"/>
    <x v="2"/>
    <s v="2023/4888"/>
    <s v="14 Dryburgh Road"/>
    <s v=""/>
    <n v="522957"/>
    <n v="175580"/>
    <s v="Thamesfield"/>
    <m/>
    <m/>
    <n v="2"/>
    <n v="0"/>
    <n v="-2"/>
    <n v="1"/>
    <n v="-2"/>
    <m/>
    <s v="Conversion of three flats into a 5-bedroom single-dwelling to include the demolition of the existing rear addition and erection of a single-storey rear/side extension. Installation of crittal style glazing and skylights, new side door to easter elevation alongside new window. Alterations to include brick renovation and redocoration of all brick elevations. All existing timber windows to be replaced with hardwood sash and casement windows and reinstatement of front door. Demolition of existing front boundary brick wall and replaced with 9 inch thickness brick wall and wrought iron railings. Installation of sliding wrought iron secure vehicle access gates, landscaping and all other associated works."/>
    <s v="PF"/>
    <d v="2023-12-20T00:00:00"/>
    <d v="2024-02-26T00:00:00"/>
    <s v="Y"/>
    <s v="Nil"/>
    <m/>
    <s v="BF"/>
    <s v="CON"/>
    <x v="2"/>
    <x v="11"/>
    <n v="0"/>
    <m/>
    <x v="0"/>
    <m/>
    <s v="Intermediate"/>
    <s v="IRL"/>
    <s v=""/>
    <m/>
    <m/>
    <m/>
    <m/>
    <m/>
    <n v="-1"/>
    <n v="-1"/>
    <n v="0"/>
    <n v="0"/>
    <n v="0"/>
    <n v="0"/>
    <n v="0"/>
    <n v="-1"/>
    <n v="-1"/>
    <n v="0"/>
    <n v="0"/>
    <n v="0"/>
    <n v="0"/>
    <n v="0"/>
    <n v="0"/>
    <n v="0"/>
    <n v="0"/>
    <n v="0"/>
    <n v="0"/>
    <n v="0"/>
    <n v="0"/>
    <n v="0"/>
    <n v="0"/>
    <n v="0"/>
    <n v="0"/>
    <n v="0"/>
    <n v="0"/>
    <n v="0"/>
    <m/>
    <m/>
    <s v="Rest of Borough"/>
    <n v="15"/>
    <m/>
    <n v="-0.5"/>
    <n v="-0.5"/>
    <n v="-0.5"/>
    <n v="-0.5"/>
    <m/>
    <m/>
    <m/>
    <m/>
    <m/>
    <m/>
    <m/>
    <m/>
    <m/>
    <m/>
    <m/>
    <m/>
    <m/>
    <m/>
    <m/>
    <n v="-2"/>
    <n v="-2"/>
  </r>
  <r>
    <n v="5218"/>
    <x v="2"/>
    <s v="2024/0125"/>
    <s v="Tailors Court, 2 North Drive"/>
    <s v=""/>
    <n v="529350"/>
    <n v="171755"/>
    <s v="Furzedown"/>
    <m/>
    <m/>
    <n v="0"/>
    <n v="1"/>
    <n v="1"/>
    <n v="1"/>
    <n v="1"/>
    <m/>
    <s v="Conversion of assisted bathroom and ancillary rooms into a self-contained one-bedroom flat."/>
    <s v="PF"/>
    <d v="2024-01-22T00:00:00"/>
    <d v="2024-03-18T00:00:00"/>
    <s v="Y"/>
    <s v="Nil"/>
    <m/>
    <s v="BF"/>
    <s v="CON"/>
    <x v="2"/>
    <x v="2"/>
    <n v="0"/>
    <m/>
    <x v="0"/>
    <m/>
    <s v="Open Market"/>
    <s v="MR"/>
    <s v=""/>
    <m/>
    <m/>
    <m/>
    <m/>
    <m/>
    <n v="0"/>
    <n v="1"/>
    <n v="0"/>
    <n v="0"/>
    <n v="0"/>
    <n v="0"/>
    <n v="0"/>
    <n v="0"/>
    <n v="1"/>
    <n v="0"/>
    <n v="0"/>
    <n v="0"/>
    <n v="0"/>
    <n v="0"/>
    <n v="0"/>
    <n v="0"/>
    <n v="0"/>
    <n v="0"/>
    <n v="0"/>
    <n v="0"/>
    <n v="0"/>
    <n v="0"/>
    <n v="0"/>
    <n v="0"/>
    <n v="0"/>
    <n v="0"/>
    <n v="0"/>
    <n v="0"/>
    <m/>
    <m/>
    <s v="Rest of Borough"/>
    <n v="15"/>
    <m/>
    <n v="0.25"/>
    <n v="0.25"/>
    <n v="0.25"/>
    <n v="0.25"/>
    <m/>
    <m/>
    <m/>
    <m/>
    <m/>
    <m/>
    <m/>
    <m/>
    <m/>
    <m/>
    <m/>
    <m/>
    <m/>
    <m/>
    <m/>
    <n v="1"/>
    <n v="1"/>
  </r>
  <r>
    <n v="8108"/>
    <x v="2"/>
    <s v="2024/0257"/>
    <s v="71 Mysore Road"/>
    <s v="House to small HMO"/>
    <n v="527895"/>
    <n v="175352"/>
    <s v="Lavender"/>
    <m/>
    <m/>
    <n v="1"/>
    <n v="1"/>
    <n v="0"/>
    <n v="1"/>
    <n v="0"/>
    <m/>
    <s v="Change of use from residential dwelling house (Class C3) to HMO use (Class C4)."/>
    <s v="LDC Prop"/>
    <d v="2024-01-25T00:00:00"/>
    <d v="2024-03-18T00:00:00"/>
    <s v="Y"/>
    <s v="Nil"/>
    <m/>
    <s v="BF"/>
    <s v="COU"/>
    <x v="2"/>
    <x v="10"/>
    <n v="1.1512E-2"/>
    <m/>
    <x v="0"/>
    <m/>
    <s v="Open Market"/>
    <s v="MR"/>
    <s v=""/>
    <m/>
    <m/>
    <m/>
    <m/>
    <m/>
    <n v="0"/>
    <n v="0"/>
    <n v="0"/>
    <n v="-1"/>
    <n v="0"/>
    <n v="1"/>
    <n v="0"/>
    <n v="0"/>
    <n v="0"/>
    <n v="0"/>
    <n v="0"/>
    <n v="0"/>
    <n v="0"/>
    <n v="0"/>
    <n v="0"/>
    <n v="0"/>
    <n v="0"/>
    <n v="-1"/>
    <n v="0"/>
    <n v="1"/>
    <n v="0"/>
    <n v="0"/>
    <n v="0"/>
    <n v="0"/>
    <n v="0"/>
    <n v="0"/>
    <n v="0"/>
    <n v="0"/>
    <m/>
    <m/>
    <s v="Clapham Junction and York Road / Winstanley Regeneration Area"/>
    <n v="15"/>
    <m/>
    <n v="0"/>
    <n v="0"/>
    <n v="0"/>
    <n v="0"/>
    <m/>
    <m/>
    <m/>
    <m/>
    <m/>
    <m/>
    <m/>
    <m/>
    <m/>
    <m/>
    <m/>
    <m/>
    <m/>
    <m/>
    <m/>
    <n v="0"/>
    <n v="0"/>
  </r>
  <r>
    <n v="2502"/>
    <x v="3"/>
    <s v="2021/4679"/>
    <s v="Springfield Hospital site, 61 Glenburnie Road"/>
    <s v=""/>
    <n v="527221"/>
    <n v="172443"/>
    <s v="Wandsworth Common"/>
    <m/>
    <m/>
    <n v="0"/>
    <n v="32"/>
    <n v="32"/>
    <n v="32"/>
    <n v="32"/>
    <s v="Y"/>
    <s v="Alterations, restoration and repair works in connection with the proposed conversion of Fir Tower, Oak Tower and Teak Tower within part of the Main Building (Grade II listed) to  residential use (Class C3) to provide 32 flats (10 x one-bedroom; 16 x two-bedroom and 6 x three-bedroom), together with associated landscaping and servicing works. [See associated listed building application ref. 2021/4827]. NOTE: This is a standalone application that falls outside that covered by the outline planning permission (ref. 2010/3703 dated 20/06/2012, as varied by applications no. 2014/6585 dated 04/06/2015; 2016/4760 dated 24/04/2018 and 2019/2495 dated 28/02/2020, and associated Reserved Matters applications for the conversion of the remainder of the Main Building."/>
    <s v="SLA"/>
    <d v="2021-12-03T00:00:00"/>
    <m/>
    <m/>
    <s v="Nil"/>
    <m/>
    <s v="BF"/>
    <s v="CON"/>
    <x v="5"/>
    <x v="0"/>
    <n v="7.1199999999999999E-2"/>
    <m/>
    <x v="0"/>
    <m/>
    <s v="Open Market"/>
    <s v="M"/>
    <s v="9.1"/>
    <m/>
    <m/>
    <m/>
    <m/>
    <m/>
    <n v="0"/>
    <n v="10"/>
    <n v="16"/>
    <n v="6"/>
    <n v="0"/>
    <n v="0"/>
    <n v="0"/>
    <n v="0"/>
    <n v="10"/>
    <n v="16"/>
    <n v="6"/>
    <n v="0"/>
    <n v="0"/>
    <n v="0"/>
    <n v="0"/>
    <n v="0"/>
    <n v="0"/>
    <n v="0"/>
    <n v="0"/>
    <n v="0"/>
    <n v="0"/>
    <n v="0"/>
    <n v="0"/>
    <n v="0"/>
    <n v="0"/>
    <n v="0"/>
    <n v="0"/>
    <n v="0"/>
    <m/>
    <m/>
    <s v="Rest of Borough"/>
    <n v="17"/>
    <m/>
    <m/>
    <m/>
    <m/>
    <m/>
    <m/>
    <n v="8"/>
    <n v="8"/>
    <n v="8"/>
    <n v="8"/>
    <m/>
    <m/>
    <m/>
    <m/>
    <m/>
    <m/>
    <m/>
    <m/>
    <m/>
    <m/>
    <n v="0"/>
    <n v="32"/>
  </r>
  <r>
    <n v="7911"/>
    <x v="3"/>
    <s v="2022/4356"/>
    <s v="The Kalos Centre, 48 Endlesham Road"/>
    <s v=""/>
    <n v="528292"/>
    <n v="173674"/>
    <s v="Balham"/>
    <m/>
    <m/>
    <n v="0"/>
    <n v="9"/>
    <n v="9"/>
    <n v="9"/>
    <n v="9"/>
    <m/>
    <s v="Demolition of the existing building and erection of a part-single, part-three storey building to provide a community centre at ground floor level (Class F), and 8 x studio and 1 x 1-bed flats above (Class C3), with associated landscaping, refuse and cycle storage."/>
    <s v="SLA"/>
    <d v="2022-10-26T00:00:00"/>
    <m/>
    <m/>
    <s v="Nil"/>
    <m/>
    <s v="BF"/>
    <s v="NB"/>
    <x v="2"/>
    <x v="3"/>
    <n v="1.7299999999999999E-2"/>
    <m/>
    <x v="0"/>
    <m/>
    <s v="Social/Affordable Rent"/>
    <s v="AL"/>
    <s v=""/>
    <m/>
    <m/>
    <m/>
    <m/>
    <m/>
    <n v="8"/>
    <n v="1"/>
    <n v="0"/>
    <n v="0"/>
    <n v="0"/>
    <n v="0"/>
    <n v="0"/>
    <n v="8"/>
    <n v="1"/>
    <n v="0"/>
    <n v="0"/>
    <n v="0"/>
    <n v="0"/>
    <n v="0"/>
    <n v="0"/>
    <n v="0"/>
    <n v="0"/>
    <n v="0"/>
    <n v="0"/>
    <n v="0"/>
    <n v="0"/>
    <n v="0"/>
    <n v="0"/>
    <n v="0"/>
    <n v="0"/>
    <n v="0"/>
    <n v="0"/>
    <n v="0"/>
    <m/>
    <m/>
    <s v="Rest of Borough"/>
    <n v="9"/>
    <m/>
    <m/>
    <m/>
    <m/>
    <m/>
    <m/>
    <n v="3"/>
    <n v="3"/>
    <n v="3"/>
    <m/>
    <m/>
    <m/>
    <m/>
    <m/>
    <m/>
    <m/>
    <m/>
    <m/>
    <m/>
    <m/>
    <n v="0"/>
    <n v="9"/>
  </r>
  <r>
    <n v="7736"/>
    <x v="3"/>
    <s v="2023/0892"/>
    <s v="57-59 Lombard Road"/>
    <s v="Discount Market Rent"/>
    <n v="526746"/>
    <n v="176088"/>
    <s v="St Mary's"/>
    <m/>
    <m/>
    <n v="0"/>
    <n v="28"/>
    <n v="28"/>
    <n v="294"/>
    <n v="294"/>
    <s v="Y"/>
    <s v="Proposed erection of a mixed-use development up to 24 storeys comprising of Build to Rent residential units (Class C3) with affordable housing, ground floor retail (approximately 316 sqm GIA floorspace Class E), landscaping and all associated works."/>
    <s v="SLA"/>
    <d v="2023-03-07T00:00:00"/>
    <m/>
    <m/>
    <s v="Nil"/>
    <m/>
    <s v="BF"/>
    <s v="NB"/>
    <x v="1"/>
    <x v="0"/>
    <n v="1.2200000000000001E-2"/>
    <m/>
    <x v="0"/>
    <m/>
    <s v="Intermediate"/>
    <s v="IRD"/>
    <s v=""/>
    <m/>
    <m/>
    <n v="24"/>
    <m/>
    <n v="4"/>
    <n v="0"/>
    <n v="8"/>
    <n v="20"/>
    <n v="0"/>
    <n v="0"/>
    <n v="0"/>
    <n v="0"/>
    <n v="0"/>
    <n v="8"/>
    <n v="20"/>
    <n v="0"/>
    <n v="0"/>
    <n v="0"/>
    <n v="0"/>
    <n v="0"/>
    <n v="0"/>
    <n v="0"/>
    <n v="0"/>
    <n v="0"/>
    <n v="0"/>
    <n v="0"/>
    <n v="0"/>
    <n v="0"/>
    <n v="0"/>
    <n v="0"/>
    <n v="0"/>
    <n v="0"/>
    <n v="0"/>
    <m/>
    <m/>
    <s v="Clapham Junction and York Road / Winstanley Regeneration Area"/>
    <n v="9"/>
    <m/>
    <m/>
    <m/>
    <m/>
    <m/>
    <m/>
    <n v="9.3333333333333339"/>
    <n v="9.3333333333333339"/>
    <n v="9.3333333333333339"/>
    <m/>
    <m/>
    <m/>
    <m/>
    <m/>
    <m/>
    <m/>
    <m/>
    <m/>
    <m/>
    <m/>
    <n v="0"/>
    <n v="28"/>
  </r>
  <r>
    <n v="7736"/>
    <x v="3"/>
    <s v="2023/0892"/>
    <s v="57-59 Lombard Road"/>
    <s v="London Affordable Rent"/>
    <n v="526746"/>
    <n v="176088"/>
    <s v="St Mary's"/>
    <m/>
    <m/>
    <n v="0"/>
    <n v="62"/>
    <n v="62"/>
    <n v="294"/>
    <n v="294"/>
    <s v="Y"/>
    <s v="Proposed erection of a mixed-use development up to 24 storeys comprising of Build to Rent residential units (Class C3) with affordable housing, ground floor retail (approximately 316 sqm GIA floorspace Class E), landscaping and all associated works."/>
    <s v="SLA"/>
    <d v="2023-03-07T00:00:00"/>
    <m/>
    <m/>
    <s v="Nil"/>
    <m/>
    <s v="BF"/>
    <s v="NB"/>
    <x v="1"/>
    <x v="0"/>
    <n v="2.7199999999999998E-2"/>
    <m/>
    <x v="0"/>
    <m/>
    <s v="Social/Affordable Rent"/>
    <s v="AL"/>
    <s v=""/>
    <m/>
    <m/>
    <n v="52"/>
    <m/>
    <n v="10"/>
    <n v="0"/>
    <n v="13"/>
    <n v="33"/>
    <n v="16"/>
    <n v="0"/>
    <n v="0"/>
    <n v="0"/>
    <n v="0"/>
    <n v="13"/>
    <n v="33"/>
    <n v="16"/>
    <n v="0"/>
    <n v="0"/>
    <n v="0"/>
    <n v="0"/>
    <n v="0"/>
    <n v="0"/>
    <n v="0"/>
    <n v="0"/>
    <n v="0"/>
    <n v="0"/>
    <n v="0"/>
    <n v="0"/>
    <n v="0"/>
    <n v="0"/>
    <n v="0"/>
    <n v="0"/>
    <n v="0"/>
    <m/>
    <m/>
    <s v="Clapham Junction and York Road / Winstanley Regeneration Area"/>
    <n v="9"/>
    <m/>
    <m/>
    <m/>
    <m/>
    <m/>
    <m/>
    <n v="20.666666666666668"/>
    <n v="20.666666666666668"/>
    <n v="20.666666666666668"/>
    <m/>
    <m/>
    <m/>
    <m/>
    <m/>
    <m/>
    <m/>
    <m/>
    <m/>
    <m/>
    <m/>
    <n v="0"/>
    <n v="62"/>
  </r>
  <r>
    <n v="7736"/>
    <x v="3"/>
    <s v="2023/0892"/>
    <s v="57-59 Lombard Road"/>
    <s v="Market"/>
    <n v="526746"/>
    <n v="176088"/>
    <s v="St Mary's"/>
    <m/>
    <m/>
    <n v="0"/>
    <n v="204"/>
    <n v="204"/>
    <n v="294"/>
    <n v="294"/>
    <s v="Y"/>
    <s v="Proposed erection of a mixed-use development up to 24 storeys comprising of Build to Rent residential units (Class C3) with affordable housing, ground floor retail (approximately 316 sqm GIA floorspace Class E), landscaping and all associated works."/>
    <s v="SLA"/>
    <d v="2023-03-07T00:00:00"/>
    <m/>
    <m/>
    <s v="Nil"/>
    <m/>
    <s v="BF"/>
    <s v="NB"/>
    <x v="1"/>
    <x v="0"/>
    <n v="8.9499999999999996E-2"/>
    <m/>
    <x v="0"/>
    <m/>
    <s v="Open Market"/>
    <s v="MR"/>
    <s v=""/>
    <m/>
    <m/>
    <n v="187"/>
    <m/>
    <n v="17"/>
    <n v="22"/>
    <n v="88"/>
    <n v="82"/>
    <n v="12"/>
    <n v="0"/>
    <n v="0"/>
    <n v="0"/>
    <n v="22"/>
    <n v="88"/>
    <n v="82"/>
    <n v="12"/>
    <n v="0"/>
    <n v="0"/>
    <n v="0"/>
    <n v="0"/>
    <n v="0"/>
    <n v="0"/>
    <n v="0"/>
    <n v="0"/>
    <n v="0"/>
    <n v="0"/>
    <n v="0"/>
    <n v="0"/>
    <n v="0"/>
    <n v="0"/>
    <n v="0"/>
    <n v="0"/>
    <n v="0"/>
    <m/>
    <m/>
    <s v="Clapham Junction and York Road / Winstanley Regeneration Area"/>
    <n v="9"/>
    <m/>
    <m/>
    <m/>
    <m/>
    <m/>
    <m/>
    <n v="68"/>
    <n v="68"/>
    <n v="68"/>
    <m/>
    <m/>
    <m/>
    <m/>
    <m/>
    <m/>
    <m/>
    <m/>
    <m/>
    <m/>
    <m/>
    <n v="0"/>
    <n v="204"/>
  </r>
  <r>
    <n v="8087"/>
    <x v="3"/>
    <s v="2023/4762"/>
    <s v="Land adjacent to Farnborough House , Rushmere House &amp; Chilcombe House, Fontley Way"/>
    <s v="Social Rent"/>
    <n v="522170"/>
    <n v="173469"/>
    <s v="Roehampton"/>
    <m/>
    <m/>
    <n v="0"/>
    <n v="38"/>
    <n v="38"/>
    <n v="38"/>
    <n v="38"/>
    <s v="Y"/>
    <s v="Demolition of all existing structures and erection of three, residential  blocks (five-storeys) comprising of 38 units (12 x 1-bedroom, 18 x 2-bedroom and 8 x 3-bedroom flats) with associated landscaping/tree planting, car parking, cycle, refuse storage and play area"/>
    <s v="SLA"/>
    <d v="2023-12-19T00:00:00"/>
    <m/>
    <m/>
    <s v="Nil"/>
    <m/>
    <s v="BF"/>
    <s v="NB"/>
    <x v="1"/>
    <x v="0"/>
    <n v="1.053879"/>
    <m/>
    <x v="0"/>
    <m/>
    <s v="Social/Affordable Rent"/>
    <s v="AS"/>
    <s v=""/>
    <m/>
    <m/>
    <m/>
    <m/>
    <m/>
    <n v="0"/>
    <n v="12"/>
    <n v="18"/>
    <n v="8"/>
    <n v="0"/>
    <n v="0"/>
    <n v="0"/>
    <n v="0"/>
    <n v="12"/>
    <n v="18"/>
    <n v="8"/>
    <n v="0"/>
    <n v="0"/>
    <n v="0"/>
    <n v="0"/>
    <n v="0"/>
    <n v="0"/>
    <n v="0"/>
    <n v="0"/>
    <n v="0"/>
    <n v="0"/>
    <n v="0"/>
    <n v="0"/>
    <n v="0"/>
    <n v="0"/>
    <n v="0"/>
    <n v="0"/>
    <n v="0"/>
    <m/>
    <m/>
    <s v="Rest of Borough"/>
    <n v="9"/>
    <m/>
    <m/>
    <m/>
    <m/>
    <m/>
    <m/>
    <n v="12.666666666666666"/>
    <n v="12.666666666666666"/>
    <n v="12.666666666666666"/>
    <m/>
    <m/>
    <m/>
    <m/>
    <m/>
    <m/>
    <m/>
    <m/>
    <m/>
    <m/>
    <m/>
    <n v="0"/>
    <n v="38"/>
  </r>
  <r>
    <n v="7571"/>
    <x v="4"/>
    <m/>
    <s v="36-46 St John's Road and 17 Severus Road"/>
    <m/>
    <n v="527351"/>
    <n v="175329"/>
    <s v="Lavender"/>
    <m/>
    <m/>
    <n v="0"/>
    <n v="7"/>
    <n v="7"/>
    <n v="10"/>
    <n v="10"/>
    <s v="Y"/>
    <s v="Redevelopment"/>
    <s v="NONE"/>
    <m/>
    <m/>
    <m/>
    <s v="Nil"/>
    <m/>
    <s v="BF"/>
    <s v="NB"/>
    <x v="1"/>
    <x v="0"/>
    <n v="0"/>
    <m/>
    <x v="0"/>
    <m/>
    <s v="Open Market"/>
    <s v="M"/>
    <s v="CJ7"/>
    <m/>
    <n v="0"/>
    <n v="0"/>
    <n v="0"/>
    <n v="0"/>
    <n v="0"/>
    <n v="0"/>
    <n v="0"/>
    <n v="0"/>
    <n v="0"/>
    <n v="0"/>
    <n v="7"/>
    <n v="0"/>
    <n v="0"/>
    <n v="0"/>
    <n v="0"/>
    <n v="0"/>
    <n v="0"/>
    <n v="7"/>
    <n v="0"/>
    <n v="0"/>
    <n v="0"/>
    <n v="0"/>
    <n v="0"/>
    <n v="0"/>
    <n v="0"/>
    <n v="0"/>
    <n v="0"/>
    <n v="0"/>
    <n v="0"/>
    <n v="0"/>
    <n v="0"/>
    <n v="0"/>
    <s v="Clapham Junction"/>
    <m/>
    <s v="Clapham Junction Spatial Area Strategy"/>
    <n v="19"/>
    <m/>
    <m/>
    <m/>
    <n v="7"/>
    <m/>
    <m/>
    <m/>
    <m/>
    <m/>
    <m/>
    <m/>
    <m/>
    <m/>
    <m/>
    <m/>
    <m/>
    <m/>
    <m/>
    <m/>
    <m/>
    <n v="7"/>
    <n v="7"/>
  </r>
  <r>
    <n v="7571"/>
    <x v="4"/>
    <m/>
    <s v="36-46 St John's Road and 17 Severus Road"/>
    <m/>
    <n v="527351"/>
    <n v="175329"/>
    <s v="Lavender"/>
    <m/>
    <m/>
    <n v="0"/>
    <n v="2"/>
    <n v="2"/>
    <n v="10"/>
    <n v="10"/>
    <s v="Y"/>
    <s v="Redevelopment"/>
    <s v="NONE"/>
    <m/>
    <m/>
    <m/>
    <s v="Nil"/>
    <m/>
    <s v="BF"/>
    <s v="NB"/>
    <x v="1"/>
    <x v="0"/>
    <n v="0"/>
    <m/>
    <x v="0"/>
    <m/>
    <s v="Social/Affordable Rent"/>
    <s v="AA"/>
    <s v="CJ7"/>
    <m/>
    <n v="0"/>
    <n v="0"/>
    <n v="0"/>
    <n v="0"/>
    <n v="0"/>
    <n v="0"/>
    <n v="0"/>
    <n v="0"/>
    <n v="0"/>
    <n v="0"/>
    <n v="2"/>
    <n v="0"/>
    <n v="0"/>
    <n v="0"/>
    <n v="0"/>
    <n v="0"/>
    <n v="0"/>
    <n v="2"/>
    <n v="0"/>
    <n v="0"/>
    <n v="0"/>
    <n v="0"/>
    <n v="0"/>
    <n v="0"/>
    <n v="0"/>
    <n v="0"/>
    <n v="0"/>
    <n v="0"/>
    <n v="0"/>
    <n v="0"/>
    <n v="0"/>
    <n v="0"/>
    <s v="Clapham Junction"/>
    <m/>
    <s v="Clapham Junction Spatial Area Strategy"/>
    <n v="19"/>
    <m/>
    <m/>
    <m/>
    <n v="2"/>
    <m/>
    <m/>
    <m/>
    <m/>
    <m/>
    <m/>
    <m/>
    <m/>
    <m/>
    <m/>
    <m/>
    <m/>
    <m/>
    <m/>
    <m/>
    <m/>
    <n v="2"/>
    <n v="2"/>
  </r>
  <r>
    <n v="7571"/>
    <x v="4"/>
    <m/>
    <s v="36-46 St John's Road and 17 Severus Road"/>
    <m/>
    <n v="527351"/>
    <n v="175329"/>
    <s v="Lavender"/>
    <m/>
    <m/>
    <n v="0"/>
    <n v="1"/>
    <n v="1"/>
    <n v="10"/>
    <n v="10"/>
    <s v="Y"/>
    <s v="Redevelopment"/>
    <s v="NONE"/>
    <m/>
    <m/>
    <m/>
    <s v="Nil"/>
    <m/>
    <s v="BF"/>
    <s v="NB"/>
    <x v="1"/>
    <x v="0"/>
    <n v="0"/>
    <m/>
    <x v="0"/>
    <m/>
    <s v="Intermediate"/>
    <s v="IU"/>
    <s v="CJ7"/>
    <m/>
    <n v="0"/>
    <n v="0"/>
    <n v="0"/>
    <n v="0"/>
    <n v="0"/>
    <n v="0"/>
    <n v="0"/>
    <n v="0"/>
    <n v="0"/>
    <n v="0"/>
    <n v="1"/>
    <n v="0"/>
    <n v="0"/>
    <n v="0"/>
    <n v="0"/>
    <n v="0"/>
    <n v="0"/>
    <n v="1"/>
    <n v="0"/>
    <n v="0"/>
    <n v="0"/>
    <n v="0"/>
    <n v="0"/>
    <n v="0"/>
    <n v="0"/>
    <n v="0"/>
    <n v="0"/>
    <n v="0"/>
    <n v="0"/>
    <n v="0"/>
    <n v="0"/>
    <n v="0"/>
    <s v="Clapham Junction"/>
    <m/>
    <s v="Clapham Junction Spatial Area Strategy"/>
    <n v="19"/>
    <m/>
    <m/>
    <m/>
    <n v="1"/>
    <m/>
    <m/>
    <m/>
    <m/>
    <m/>
    <m/>
    <m/>
    <m/>
    <m/>
    <m/>
    <m/>
    <m/>
    <m/>
    <m/>
    <m/>
    <m/>
    <n v="1"/>
    <n v="1"/>
  </r>
  <r>
    <n v="7572"/>
    <x v="4"/>
    <m/>
    <s v="55-61 Putney High Road (Former M&amp;S site), SW15 1SP"/>
    <m/>
    <n v="524096"/>
    <n v="175411"/>
    <s v="Thamesfield"/>
    <m/>
    <m/>
    <n v="0"/>
    <n v="5"/>
    <n v="5"/>
    <n v="5"/>
    <n v="5"/>
    <m/>
    <s v="Redevelopment"/>
    <s v="NONE"/>
    <m/>
    <m/>
    <m/>
    <s v="Nil"/>
    <m/>
    <s v="BF"/>
    <s v="NB"/>
    <x v="2"/>
    <x v="3"/>
    <n v="0"/>
    <m/>
    <x v="0"/>
    <m/>
    <s v="Open Market"/>
    <s v="M"/>
    <s v="PUT6"/>
    <m/>
    <n v="0"/>
    <n v="0"/>
    <n v="0"/>
    <n v="0"/>
    <n v="0"/>
    <n v="0"/>
    <n v="0"/>
    <n v="0"/>
    <n v="0"/>
    <n v="0"/>
    <n v="5"/>
    <n v="0"/>
    <n v="0"/>
    <n v="0"/>
    <n v="0"/>
    <n v="0"/>
    <n v="0"/>
    <n v="5"/>
    <n v="0"/>
    <n v="0"/>
    <n v="0"/>
    <n v="0"/>
    <n v="0"/>
    <n v="0"/>
    <n v="0"/>
    <n v="0"/>
    <n v="0"/>
    <n v="0"/>
    <n v="0"/>
    <n v="0"/>
    <n v="0"/>
    <n v="0"/>
    <s v="Putney"/>
    <m/>
    <s v="Putney Town Centre"/>
    <n v="19"/>
    <m/>
    <m/>
    <m/>
    <n v="5"/>
    <m/>
    <m/>
    <m/>
    <m/>
    <m/>
    <m/>
    <m/>
    <m/>
    <m/>
    <m/>
    <m/>
    <m/>
    <m/>
    <m/>
    <m/>
    <m/>
    <n v="5"/>
    <n v="5"/>
  </r>
  <r>
    <n v="7386"/>
    <x v="4"/>
    <m/>
    <s v="Crewkerne Court Garages, Battersea Church Road (Somerset Estate)"/>
    <m/>
    <n v="526944"/>
    <n v="176965"/>
    <s v="St Mary's"/>
    <m/>
    <m/>
    <n v="0"/>
    <n v="53"/>
    <n v="53"/>
    <n v="81"/>
    <n v="81"/>
    <s v="Y"/>
    <s v="Redevelopment"/>
    <s v="NONE"/>
    <m/>
    <m/>
    <m/>
    <s v="Nil"/>
    <m/>
    <s v="BF"/>
    <s v="NB"/>
    <x v="1"/>
    <x v="0"/>
    <n v="0"/>
    <m/>
    <x v="0"/>
    <m/>
    <s v="Open Market"/>
    <s v="M"/>
    <s v="RIV11"/>
    <m/>
    <n v="0"/>
    <n v="0"/>
    <n v="0"/>
    <n v="0"/>
    <n v="0"/>
    <n v="0"/>
    <n v="0"/>
    <n v="0"/>
    <n v="0"/>
    <n v="0"/>
    <n v="53"/>
    <n v="0"/>
    <n v="0"/>
    <n v="0"/>
    <n v="0"/>
    <n v="0"/>
    <n v="0"/>
    <n v="53"/>
    <n v="0"/>
    <n v="0"/>
    <n v="0"/>
    <n v="0"/>
    <n v="0"/>
    <n v="0"/>
    <n v="0"/>
    <n v="0"/>
    <n v="0"/>
    <n v="0"/>
    <n v="0"/>
    <n v="0"/>
    <n v="0"/>
    <n v="0"/>
    <m/>
    <m/>
    <s v="Wandsworth riverside"/>
    <n v="19"/>
    <m/>
    <m/>
    <m/>
    <n v="53"/>
    <m/>
    <m/>
    <m/>
    <m/>
    <m/>
    <m/>
    <m/>
    <m/>
    <m/>
    <m/>
    <m/>
    <m/>
    <m/>
    <m/>
    <m/>
    <m/>
    <n v="53"/>
    <n v="53"/>
  </r>
  <r>
    <n v="7386"/>
    <x v="4"/>
    <m/>
    <s v="Crewkerne Court Garages, Battersea Church Road (Somerset Estate)"/>
    <m/>
    <n v="526944"/>
    <n v="176965"/>
    <s v="St Mary's"/>
    <m/>
    <m/>
    <n v="0"/>
    <n v="14"/>
    <n v="14"/>
    <n v="81"/>
    <n v="81"/>
    <s v="Y"/>
    <s v="Redevelopment"/>
    <s v="NONE"/>
    <m/>
    <m/>
    <m/>
    <s v="Nil"/>
    <m/>
    <s v="BF"/>
    <s v="NB"/>
    <x v="1"/>
    <x v="0"/>
    <n v="0"/>
    <m/>
    <x v="0"/>
    <m/>
    <s v="Social/Affordable Rent"/>
    <s v="AA"/>
    <s v="RIV11"/>
    <m/>
    <n v="0"/>
    <n v="0"/>
    <n v="0"/>
    <n v="0"/>
    <n v="0"/>
    <n v="0"/>
    <n v="0"/>
    <n v="0"/>
    <n v="0"/>
    <n v="0"/>
    <n v="14"/>
    <n v="0"/>
    <n v="0"/>
    <n v="0"/>
    <n v="0"/>
    <n v="0"/>
    <n v="0"/>
    <n v="14"/>
    <n v="0"/>
    <n v="0"/>
    <n v="0"/>
    <n v="0"/>
    <n v="0"/>
    <n v="0"/>
    <n v="0"/>
    <n v="0"/>
    <n v="0"/>
    <n v="0"/>
    <n v="0"/>
    <n v="0"/>
    <n v="0"/>
    <n v="0"/>
    <m/>
    <m/>
    <s v="Wandsworth riverside"/>
    <n v="19"/>
    <m/>
    <m/>
    <m/>
    <n v="14"/>
    <m/>
    <m/>
    <m/>
    <m/>
    <m/>
    <m/>
    <m/>
    <m/>
    <m/>
    <m/>
    <m/>
    <m/>
    <m/>
    <m/>
    <m/>
    <m/>
    <n v="14"/>
    <n v="14"/>
  </r>
  <r>
    <n v="7386"/>
    <x v="4"/>
    <m/>
    <s v="Crewkerne Court Garages, Battersea Church Road (Somerset Estate)"/>
    <m/>
    <n v="526944"/>
    <n v="176965"/>
    <s v="St Mary's"/>
    <m/>
    <m/>
    <n v="0"/>
    <n v="14"/>
    <n v="14"/>
    <n v="81"/>
    <n v="81"/>
    <s v="Y"/>
    <s v="Redevelopment"/>
    <s v="NONE"/>
    <m/>
    <m/>
    <m/>
    <s v="Nil"/>
    <m/>
    <s v="BF"/>
    <s v="NB"/>
    <x v="1"/>
    <x v="0"/>
    <n v="0"/>
    <m/>
    <x v="0"/>
    <m/>
    <s v="Intermediate"/>
    <s v="IU"/>
    <s v="RIV11"/>
    <m/>
    <n v="0"/>
    <n v="0"/>
    <n v="0"/>
    <n v="0"/>
    <n v="0"/>
    <n v="0"/>
    <n v="0"/>
    <n v="0"/>
    <n v="0"/>
    <n v="0"/>
    <n v="14"/>
    <n v="0"/>
    <n v="0"/>
    <n v="0"/>
    <n v="0"/>
    <n v="0"/>
    <n v="0"/>
    <n v="14"/>
    <n v="0"/>
    <n v="0"/>
    <n v="0"/>
    <n v="0"/>
    <n v="0"/>
    <n v="0"/>
    <n v="0"/>
    <n v="0"/>
    <n v="0"/>
    <n v="0"/>
    <n v="0"/>
    <n v="0"/>
    <n v="0"/>
    <n v="0"/>
    <m/>
    <m/>
    <s v="Wandsworth riverside"/>
    <n v="19"/>
    <m/>
    <m/>
    <m/>
    <n v="14"/>
    <m/>
    <m/>
    <m/>
    <m/>
    <m/>
    <m/>
    <m/>
    <m/>
    <m/>
    <m/>
    <m/>
    <m/>
    <m/>
    <m/>
    <m/>
    <m/>
    <n v="14"/>
    <n v="14"/>
  </r>
  <r>
    <n v="6899"/>
    <x v="4"/>
    <m/>
    <s v="Land on the corner of Grant Road and, Falcon Road"/>
    <m/>
    <n v="527207"/>
    <n v="175690"/>
    <s v="Falconbrook"/>
    <m/>
    <m/>
    <n v="0"/>
    <n v="158"/>
    <n v="158"/>
    <n v="243"/>
    <n v="243"/>
    <s v="Y"/>
    <s v="Redevelopment"/>
    <s v="NONE"/>
    <m/>
    <m/>
    <m/>
    <s v="Nil"/>
    <m/>
    <s v="BF"/>
    <s v="NB"/>
    <x v="1"/>
    <x v="0"/>
    <n v="0"/>
    <m/>
    <x v="0"/>
    <m/>
    <s v="Open Market"/>
    <s v="M"/>
    <s v="CJ3"/>
    <m/>
    <n v="0"/>
    <n v="0"/>
    <n v="0"/>
    <n v="0"/>
    <n v="0"/>
    <n v="0"/>
    <n v="0"/>
    <n v="0"/>
    <n v="0"/>
    <n v="0"/>
    <n v="158"/>
    <n v="0"/>
    <n v="0"/>
    <n v="0"/>
    <n v="0"/>
    <n v="0"/>
    <n v="0"/>
    <n v="158"/>
    <n v="0"/>
    <n v="0"/>
    <n v="0"/>
    <n v="0"/>
    <n v="0"/>
    <n v="0"/>
    <n v="0"/>
    <n v="0"/>
    <n v="0"/>
    <n v="0"/>
    <n v="0"/>
    <n v="0"/>
    <n v="0"/>
    <n v="0"/>
    <s v="Clapham Junction"/>
    <m/>
    <s v="Clapham Junction Spatial Area Strategy"/>
    <n v="19"/>
    <m/>
    <m/>
    <m/>
    <n v="158"/>
    <m/>
    <m/>
    <m/>
    <m/>
    <m/>
    <m/>
    <m/>
    <m/>
    <m/>
    <m/>
    <m/>
    <m/>
    <m/>
    <m/>
    <m/>
    <m/>
    <n v="158"/>
    <n v="158"/>
  </r>
  <r>
    <n v="6899"/>
    <x v="4"/>
    <m/>
    <s v="Land on the corner of Grant Road and, Falcon Road"/>
    <m/>
    <n v="527207"/>
    <n v="175690"/>
    <s v="Falconbrook"/>
    <m/>
    <m/>
    <n v="0"/>
    <n v="43"/>
    <n v="43"/>
    <n v="243"/>
    <n v="243"/>
    <s v="Y"/>
    <s v="Redevelopment"/>
    <s v="NONE"/>
    <m/>
    <m/>
    <m/>
    <s v="Nil"/>
    <m/>
    <s v="BF"/>
    <s v="NB"/>
    <x v="1"/>
    <x v="0"/>
    <n v="0"/>
    <m/>
    <x v="0"/>
    <m/>
    <s v="Social/Affordable Rent"/>
    <s v="AA"/>
    <s v="CJ3"/>
    <m/>
    <n v="0"/>
    <n v="0"/>
    <n v="0"/>
    <n v="0"/>
    <n v="0"/>
    <n v="0"/>
    <n v="0"/>
    <n v="0"/>
    <n v="0"/>
    <n v="0"/>
    <n v="43"/>
    <n v="0"/>
    <n v="0"/>
    <n v="0"/>
    <n v="0"/>
    <n v="0"/>
    <n v="0"/>
    <n v="43"/>
    <n v="0"/>
    <n v="0"/>
    <n v="0"/>
    <n v="0"/>
    <n v="0"/>
    <n v="0"/>
    <n v="0"/>
    <n v="0"/>
    <n v="0"/>
    <n v="0"/>
    <n v="0"/>
    <n v="0"/>
    <n v="0"/>
    <n v="0"/>
    <s v="Clapham Junction"/>
    <m/>
    <s v="Clapham Junction Spatial Area Strategy"/>
    <n v="19"/>
    <m/>
    <m/>
    <m/>
    <n v="43"/>
    <m/>
    <m/>
    <m/>
    <m/>
    <m/>
    <m/>
    <m/>
    <m/>
    <m/>
    <m/>
    <m/>
    <m/>
    <m/>
    <m/>
    <m/>
    <m/>
    <n v="43"/>
    <n v="43"/>
  </r>
  <r>
    <n v="6899"/>
    <x v="4"/>
    <m/>
    <s v="Land on the corner of Grant Road and, Falcon Road"/>
    <m/>
    <n v="527207"/>
    <n v="175690"/>
    <s v="Falconbrook"/>
    <m/>
    <m/>
    <n v="0"/>
    <n v="42"/>
    <n v="42"/>
    <n v="243"/>
    <n v="243"/>
    <s v="Y"/>
    <s v="Redevelopment"/>
    <s v="NONE"/>
    <m/>
    <m/>
    <m/>
    <s v="Nil"/>
    <m/>
    <s v="BF"/>
    <s v="NB"/>
    <x v="1"/>
    <x v="0"/>
    <n v="0"/>
    <m/>
    <x v="0"/>
    <m/>
    <s v="Intermediate"/>
    <s v="IU"/>
    <s v="CJ3"/>
    <m/>
    <n v="0"/>
    <n v="0"/>
    <n v="0"/>
    <n v="0"/>
    <n v="0"/>
    <n v="0"/>
    <n v="0"/>
    <n v="0"/>
    <n v="0"/>
    <n v="0"/>
    <n v="42"/>
    <n v="0"/>
    <n v="0"/>
    <n v="0"/>
    <n v="0"/>
    <n v="0"/>
    <n v="0"/>
    <n v="42"/>
    <n v="0"/>
    <n v="0"/>
    <n v="0"/>
    <n v="0"/>
    <n v="0"/>
    <n v="0"/>
    <n v="0"/>
    <n v="0"/>
    <n v="0"/>
    <n v="0"/>
    <n v="0"/>
    <n v="0"/>
    <n v="0"/>
    <n v="0"/>
    <s v="Clapham Junction"/>
    <m/>
    <s v="Clapham Junction Spatial Area Strategy"/>
    <n v="19"/>
    <m/>
    <m/>
    <m/>
    <n v="42"/>
    <m/>
    <m/>
    <m/>
    <m/>
    <m/>
    <m/>
    <m/>
    <m/>
    <m/>
    <m/>
    <m/>
    <m/>
    <m/>
    <m/>
    <m/>
    <m/>
    <n v="42"/>
    <n v="42"/>
  </r>
  <r>
    <n v="7541"/>
    <x v="4"/>
    <m/>
    <s v="104 Friars Avenue, Roehampton Vale Campus Kingston University, SW15 3DW"/>
    <m/>
    <n v="521608"/>
    <n v="172378"/>
    <s v="Roehampton"/>
    <m/>
    <m/>
    <n v="0"/>
    <n v="6"/>
    <n v="6"/>
    <n v="6"/>
    <n v="6"/>
    <m/>
    <s v="Redevelopment"/>
    <s v="NONE"/>
    <m/>
    <m/>
    <m/>
    <s v="Nil"/>
    <m/>
    <s v="BF"/>
    <s v="NB"/>
    <x v="2"/>
    <x v="3"/>
    <n v="0"/>
    <m/>
    <x v="0"/>
    <m/>
    <s v="Open Market"/>
    <s v="M"/>
    <m/>
    <m/>
    <n v="0"/>
    <n v="0"/>
    <n v="0"/>
    <n v="0"/>
    <n v="0"/>
    <n v="0"/>
    <n v="0"/>
    <n v="0"/>
    <n v="0"/>
    <n v="0"/>
    <n v="6"/>
    <n v="0"/>
    <n v="0"/>
    <n v="0"/>
    <n v="0"/>
    <n v="0"/>
    <n v="0"/>
    <n v="6"/>
    <n v="0"/>
    <n v="0"/>
    <n v="0"/>
    <n v="0"/>
    <n v="0"/>
    <n v="0"/>
    <n v="0"/>
    <n v="0"/>
    <n v="0"/>
    <n v="0"/>
    <n v="0"/>
    <n v="0"/>
    <n v="0"/>
    <n v="0"/>
    <m/>
    <m/>
    <s v="Rest of Borough"/>
    <n v="19"/>
    <m/>
    <m/>
    <m/>
    <m/>
    <m/>
    <n v="6"/>
    <m/>
    <m/>
    <m/>
    <m/>
    <m/>
    <m/>
    <m/>
    <m/>
    <m/>
    <m/>
    <m/>
    <m/>
    <m/>
    <m/>
    <n v="6"/>
    <n v="6"/>
  </r>
  <r>
    <n v="6867"/>
    <x v="4"/>
    <m/>
    <s v="259-311 Battersea Park Road, SW 11 (Doddington Estate part)"/>
    <m/>
    <n v="528331.56229999894"/>
    <n v="176668.96749999901"/>
    <s v="Battersea Park"/>
    <m/>
    <m/>
    <n v="0"/>
    <n v="13"/>
    <n v="13"/>
    <n v="20"/>
    <n v="20"/>
    <s v="Y"/>
    <s v="Redevelopment"/>
    <s v="NONE"/>
    <m/>
    <m/>
    <m/>
    <s v="Nil"/>
    <m/>
    <s v="BF"/>
    <s v="NB"/>
    <x v="1"/>
    <x v="0"/>
    <n v="0"/>
    <m/>
    <x v="0"/>
    <m/>
    <s v="Open Market"/>
    <s v="M"/>
    <s v="OUT2"/>
    <m/>
    <n v="0"/>
    <n v="0"/>
    <n v="0"/>
    <n v="0"/>
    <n v="0"/>
    <n v="0"/>
    <n v="0"/>
    <n v="0"/>
    <n v="0"/>
    <n v="0"/>
    <n v="13"/>
    <n v="0"/>
    <n v="0"/>
    <n v="0"/>
    <n v="0"/>
    <n v="0"/>
    <n v="0"/>
    <n v="13"/>
    <n v="0"/>
    <n v="0"/>
    <n v="0"/>
    <n v="0"/>
    <n v="0"/>
    <n v="0"/>
    <n v="0"/>
    <n v="0"/>
    <n v="0"/>
    <n v="0"/>
    <n v="0"/>
    <n v="0"/>
    <n v="0"/>
    <n v="0"/>
    <m/>
    <m/>
    <s v="Rest of Borough"/>
    <n v="19"/>
    <m/>
    <m/>
    <m/>
    <m/>
    <m/>
    <m/>
    <m/>
    <m/>
    <m/>
    <n v="1.0833333333333333"/>
    <n v="1.0833333333333333"/>
    <n v="1.0833333333333333"/>
    <n v="1.0833333333333333"/>
    <n v="1.0833333333333333"/>
    <n v="1.0833333333333333"/>
    <n v="1.0833333333333333"/>
    <n v="1.0833333333333333"/>
    <n v="1.0833333333333333"/>
    <n v="1.0833333333333333"/>
    <n v="1.0833333333333333"/>
    <n v="0"/>
    <n v="2.1666666666666665"/>
  </r>
  <r>
    <n v="6867"/>
    <x v="4"/>
    <m/>
    <s v="259-311 Battersea Park Road, SW 11 (Doddington Estate part)"/>
    <m/>
    <n v="528331.56229999894"/>
    <n v="176668.96749999901"/>
    <s v="Battersea Park"/>
    <m/>
    <m/>
    <n v="0"/>
    <n v="4"/>
    <n v="4"/>
    <n v="20"/>
    <n v="20"/>
    <s v="Y"/>
    <s v="Redevelopment"/>
    <s v="NONE"/>
    <m/>
    <m/>
    <m/>
    <s v="Nil"/>
    <m/>
    <s v="BF"/>
    <s v="NB"/>
    <x v="1"/>
    <x v="0"/>
    <n v="0"/>
    <m/>
    <x v="0"/>
    <m/>
    <s v="Social/Affordable Rent"/>
    <s v="AA"/>
    <s v="OUT2"/>
    <m/>
    <n v="0"/>
    <n v="0"/>
    <n v="0"/>
    <n v="0"/>
    <n v="0"/>
    <n v="0"/>
    <n v="0"/>
    <n v="0"/>
    <n v="0"/>
    <n v="0"/>
    <n v="4"/>
    <n v="0"/>
    <n v="0"/>
    <n v="0"/>
    <n v="0"/>
    <n v="0"/>
    <n v="0"/>
    <n v="4"/>
    <n v="0"/>
    <n v="0"/>
    <n v="0"/>
    <n v="0"/>
    <n v="0"/>
    <n v="0"/>
    <n v="0"/>
    <n v="0"/>
    <n v="0"/>
    <n v="0"/>
    <n v="0"/>
    <n v="0"/>
    <n v="0"/>
    <n v="0"/>
    <m/>
    <m/>
    <s v="Rest of Borough"/>
    <n v="19"/>
    <m/>
    <m/>
    <m/>
    <m/>
    <m/>
    <m/>
    <m/>
    <m/>
    <m/>
    <n v="0.33333333333333331"/>
    <n v="0.33333333333333331"/>
    <n v="0.33333333333333331"/>
    <n v="0.33333333333333331"/>
    <n v="0.33333333333333331"/>
    <n v="0.33333333333333331"/>
    <n v="0.33333333333333331"/>
    <n v="0.33333333333333331"/>
    <n v="0.33333333333333331"/>
    <n v="0.33333333333333331"/>
    <n v="0.33333333333333331"/>
    <n v="0"/>
    <n v="0.66666666666666663"/>
  </r>
  <r>
    <n v="6867"/>
    <x v="4"/>
    <m/>
    <s v="259-311 Battersea Park Road, SW 11 (Doddington Estate part)"/>
    <m/>
    <n v="528331.56229999894"/>
    <n v="176668.96749999901"/>
    <s v="Battersea Park"/>
    <m/>
    <m/>
    <n v="0"/>
    <n v="3"/>
    <n v="3"/>
    <n v="20"/>
    <n v="20"/>
    <s v="Y"/>
    <s v="Redevelopment"/>
    <s v="NONE"/>
    <m/>
    <m/>
    <m/>
    <s v="Nil"/>
    <m/>
    <s v="BF"/>
    <s v="NB"/>
    <x v="1"/>
    <x v="0"/>
    <n v="0"/>
    <m/>
    <x v="0"/>
    <m/>
    <s v="Intermediate"/>
    <s v="IU"/>
    <s v="OUT2"/>
    <m/>
    <n v="0"/>
    <n v="0"/>
    <n v="0"/>
    <n v="0"/>
    <n v="0"/>
    <n v="0"/>
    <n v="0"/>
    <n v="0"/>
    <n v="0"/>
    <n v="0"/>
    <n v="3"/>
    <n v="0"/>
    <n v="0"/>
    <n v="0"/>
    <n v="0"/>
    <n v="0"/>
    <n v="0"/>
    <n v="3"/>
    <n v="0"/>
    <n v="0"/>
    <n v="0"/>
    <n v="0"/>
    <n v="0"/>
    <n v="0"/>
    <n v="0"/>
    <n v="0"/>
    <n v="0"/>
    <n v="0"/>
    <n v="0"/>
    <n v="0"/>
    <n v="0"/>
    <n v="0"/>
    <m/>
    <m/>
    <s v="Rest of Borough"/>
    <n v="19"/>
    <m/>
    <m/>
    <m/>
    <m/>
    <m/>
    <m/>
    <m/>
    <m/>
    <m/>
    <n v="0.25"/>
    <n v="0.25"/>
    <n v="0.25"/>
    <n v="0.25"/>
    <n v="0.25"/>
    <n v="0.25"/>
    <n v="0.25"/>
    <n v="0.25"/>
    <n v="0.25"/>
    <n v="0.25"/>
    <n v="0.25"/>
    <n v="0"/>
    <n v="0.5"/>
  </r>
  <r>
    <n v="223"/>
    <x v="4"/>
    <m/>
    <s v="282 Mitcham Lane, SW16"/>
    <m/>
    <n v="528890"/>
    <n v="170545"/>
    <s v="Furzedown"/>
    <m/>
    <m/>
    <n v="0"/>
    <n v="2"/>
    <n v="2"/>
    <n v="2"/>
    <n v="2"/>
    <m/>
    <s v="Redevelopment"/>
    <s v="NONE"/>
    <m/>
    <m/>
    <m/>
    <s v="Nil"/>
    <m/>
    <s v="BF"/>
    <s v="NB"/>
    <x v="2"/>
    <x v="3"/>
    <n v="0"/>
    <m/>
    <x v="0"/>
    <m/>
    <s v="Open Market"/>
    <s v="M"/>
    <m/>
    <m/>
    <n v="0"/>
    <n v="0"/>
    <n v="0"/>
    <n v="0"/>
    <n v="0"/>
    <n v="0"/>
    <n v="0"/>
    <n v="0"/>
    <n v="0"/>
    <n v="0"/>
    <n v="2"/>
    <n v="0"/>
    <n v="0"/>
    <n v="0"/>
    <n v="0"/>
    <n v="0"/>
    <n v="0"/>
    <n v="2"/>
    <n v="0"/>
    <n v="0"/>
    <n v="0"/>
    <n v="0"/>
    <n v="0"/>
    <n v="0"/>
    <n v="0"/>
    <n v="0"/>
    <n v="0"/>
    <n v="0"/>
    <n v="0"/>
    <n v="0"/>
    <n v="0"/>
    <n v="0"/>
    <m/>
    <m/>
    <s v="Rest of Borough"/>
    <n v="19"/>
    <m/>
    <m/>
    <m/>
    <m/>
    <m/>
    <n v="2"/>
    <m/>
    <m/>
    <m/>
    <m/>
    <m/>
    <m/>
    <m/>
    <m/>
    <m/>
    <m/>
    <m/>
    <m/>
    <m/>
    <m/>
    <n v="2"/>
    <n v="2"/>
  </r>
  <r>
    <n v="6869"/>
    <x v="4"/>
    <m/>
    <s v="36 Lombard Road"/>
    <m/>
    <n v="526639"/>
    <n v="176128"/>
    <s v="St Mary's"/>
    <m/>
    <m/>
    <n v="0"/>
    <n v="42"/>
    <n v="42"/>
    <n v="64"/>
    <n v="64"/>
    <s v="Y"/>
    <s v="Redevelopment"/>
    <s v="NONE"/>
    <m/>
    <m/>
    <m/>
    <s v="Nil"/>
    <m/>
    <s v="BF"/>
    <s v="NB"/>
    <x v="1"/>
    <x v="0"/>
    <n v="0"/>
    <m/>
    <x v="0"/>
    <m/>
    <s v="Open Market"/>
    <s v="M"/>
    <s v="RIV6"/>
    <m/>
    <n v="0"/>
    <n v="0"/>
    <n v="0"/>
    <n v="0"/>
    <n v="0"/>
    <n v="0"/>
    <n v="0"/>
    <n v="0"/>
    <n v="0"/>
    <n v="0"/>
    <n v="42"/>
    <n v="0"/>
    <n v="0"/>
    <n v="0"/>
    <n v="0"/>
    <n v="0"/>
    <n v="0"/>
    <n v="42"/>
    <n v="0"/>
    <n v="0"/>
    <n v="0"/>
    <n v="0"/>
    <n v="0"/>
    <n v="0"/>
    <n v="0"/>
    <n v="0"/>
    <n v="0"/>
    <n v="0"/>
    <n v="0"/>
    <n v="0"/>
    <n v="0"/>
    <n v="0"/>
    <m/>
    <m/>
    <s v="Wandsworth riverside"/>
    <n v="19"/>
    <m/>
    <m/>
    <m/>
    <m/>
    <m/>
    <n v="2.625"/>
    <n v="2.625"/>
    <n v="2.625"/>
    <n v="2.625"/>
    <n v="2.625"/>
    <n v="2.625"/>
    <n v="2.625"/>
    <n v="2.625"/>
    <n v="2.625"/>
    <n v="2.625"/>
    <n v="2.625"/>
    <n v="2.625"/>
    <n v="2.625"/>
    <n v="2.625"/>
    <n v="2.625"/>
    <n v="2.625"/>
    <n v="15.75"/>
  </r>
  <r>
    <n v="6869"/>
    <x v="4"/>
    <m/>
    <s v="36 Lombard Road"/>
    <m/>
    <n v="526639"/>
    <n v="176128"/>
    <s v="St Mary's"/>
    <m/>
    <m/>
    <n v="0"/>
    <n v="11"/>
    <n v="11"/>
    <n v="64"/>
    <n v="64"/>
    <s v="Y"/>
    <s v="Redevelopment"/>
    <s v="NONE"/>
    <m/>
    <m/>
    <m/>
    <s v="Nil"/>
    <m/>
    <s v="BF"/>
    <s v="NB"/>
    <x v="1"/>
    <x v="0"/>
    <n v="0"/>
    <m/>
    <x v="0"/>
    <m/>
    <s v="Social/Affordable Rent"/>
    <s v="AA"/>
    <s v="RIV6"/>
    <m/>
    <n v="0"/>
    <n v="0"/>
    <n v="0"/>
    <n v="0"/>
    <n v="0"/>
    <n v="0"/>
    <n v="0"/>
    <n v="0"/>
    <n v="0"/>
    <n v="0"/>
    <n v="11"/>
    <n v="0"/>
    <n v="0"/>
    <n v="0"/>
    <n v="0"/>
    <n v="0"/>
    <n v="0"/>
    <n v="11"/>
    <n v="0"/>
    <n v="0"/>
    <n v="0"/>
    <n v="0"/>
    <n v="0"/>
    <n v="0"/>
    <n v="0"/>
    <n v="0"/>
    <n v="0"/>
    <n v="0"/>
    <n v="0"/>
    <n v="0"/>
    <n v="0"/>
    <n v="0"/>
    <m/>
    <m/>
    <s v="Wandsworth riverside"/>
    <n v="19"/>
    <m/>
    <m/>
    <m/>
    <m/>
    <m/>
    <n v="0.6875"/>
    <n v="0.6875"/>
    <n v="0.6875"/>
    <n v="0.6875"/>
    <n v="0.6875"/>
    <n v="0.6875"/>
    <n v="0.6875"/>
    <n v="0.6875"/>
    <n v="0.6875"/>
    <n v="0.6875"/>
    <n v="0.6875"/>
    <n v="0.6875"/>
    <n v="0.6875"/>
    <n v="0.6875"/>
    <n v="0.6875"/>
    <n v="0.6875"/>
    <n v="4.125"/>
  </r>
  <r>
    <n v="6869"/>
    <x v="4"/>
    <m/>
    <s v="36 Lombard Road"/>
    <m/>
    <n v="526639"/>
    <n v="176128"/>
    <s v="St Mary's"/>
    <m/>
    <m/>
    <n v="0"/>
    <n v="11"/>
    <n v="11"/>
    <n v="64"/>
    <n v="64"/>
    <s v="Y"/>
    <s v="Redevelopment"/>
    <s v="NONE"/>
    <m/>
    <m/>
    <m/>
    <s v="Nil"/>
    <m/>
    <s v="BF"/>
    <s v="NB"/>
    <x v="1"/>
    <x v="0"/>
    <n v="0"/>
    <m/>
    <x v="0"/>
    <m/>
    <s v="Intermediate"/>
    <s v="IU"/>
    <s v="RIV6"/>
    <m/>
    <n v="0"/>
    <n v="0"/>
    <n v="0"/>
    <n v="0"/>
    <n v="0"/>
    <n v="0"/>
    <n v="0"/>
    <n v="0"/>
    <n v="0"/>
    <n v="0"/>
    <n v="11"/>
    <n v="0"/>
    <n v="0"/>
    <n v="0"/>
    <n v="0"/>
    <n v="0"/>
    <n v="0"/>
    <n v="11"/>
    <n v="0"/>
    <n v="0"/>
    <n v="0"/>
    <n v="0"/>
    <n v="0"/>
    <n v="0"/>
    <n v="0"/>
    <n v="0"/>
    <n v="0"/>
    <n v="0"/>
    <n v="0"/>
    <n v="0"/>
    <n v="0"/>
    <n v="0"/>
    <m/>
    <m/>
    <s v="Wandsworth riverside"/>
    <n v="19"/>
    <m/>
    <m/>
    <m/>
    <m/>
    <m/>
    <n v="0.6875"/>
    <n v="0.6875"/>
    <n v="0.6875"/>
    <n v="0.6875"/>
    <n v="0.6875"/>
    <n v="0.6875"/>
    <n v="0.6875"/>
    <n v="0.6875"/>
    <n v="0.6875"/>
    <n v="0.6875"/>
    <n v="0.6875"/>
    <n v="0.6875"/>
    <n v="0.6875"/>
    <n v="0.6875"/>
    <n v="0.6875"/>
    <n v="0.6875"/>
    <n v="4.125"/>
  </r>
  <r>
    <n v="7580"/>
    <x v="4"/>
    <m/>
    <s v="50  56 Tooting High Street, Tooting, SW17"/>
    <m/>
    <n v="527411.84160000004"/>
    <n v="171480.26829999901"/>
    <s v="Tooting Broadway"/>
    <m/>
    <m/>
    <n v="0"/>
    <n v="5"/>
    <n v="5"/>
    <n v="5"/>
    <n v="5"/>
    <m/>
    <s v="Redevelopment"/>
    <s v="NONE"/>
    <m/>
    <m/>
    <m/>
    <s v="Nil"/>
    <m/>
    <s v="BF"/>
    <s v="NB"/>
    <x v="2"/>
    <x v="3"/>
    <n v="0"/>
    <m/>
    <x v="0"/>
    <m/>
    <s v="Open Market"/>
    <s v="M"/>
    <s v="TO3"/>
    <m/>
    <n v="0"/>
    <n v="0"/>
    <n v="0"/>
    <n v="0"/>
    <n v="0"/>
    <n v="0"/>
    <n v="0"/>
    <n v="0"/>
    <n v="0"/>
    <n v="0"/>
    <n v="5"/>
    <n v="0"/>
    <n v="0"/>
    <n v="0"/>
    <n v="0"/>
    <n v="0"/>
    <n v="0"/>
    <n v="5"/>
    <n v="0"/>
    <n v="0"/>
    <n v="0"/>
    <n v="0"/>
    <n v="0"/>
    <n v="0"/>
    <n v="0"/>
    <n v="0"/>
    <n v="0"/>
    <n v="0"/>
    <n v="0"/>
    <n v="0"/>
    <n v="0"/>
    <n v="0"/>
    <s v="Tooting"/>
    <m/>
    <s v="Tooting"/>
    <n v="19"/>
    <m/>
    <m/>
    <m/>
    <m/>
    <n v="1"/>
    <n v="1"/>
    <n v="1"/>
    <n v="1"/>
    <n v="1"/>
    <m/>
    <m/>
    <m/>
    <m/>
    <m/>
    <m/>
    <m/>
    <m/>
    <m/>
    <m/>
    <m/>
    <n v="2"/>
    <n v="5"/>
  </r>
  <r>
    <n v="3515"/>
    <x v="4"/>
    <m/>
    <s v="56-70, 56-66 Putney High Street (Wereldhave Site)"/>
    <m/>
    <n v="524039"/>
    <n v="175460"/>
    <s v="Thamesfield"/>
    <m/>
    <m/>
    <n v="0"/>
    <n v="63"/>
    <n v="63"/>
    <n v="97"/>
    <n v="97"/>
    <s v="Y"/>
    <s v="Redevelopment"/>
    <s v="NONE"/>
    <m/>
    <m/>
    <m/>
    <s v="Nil"/>
    <m/>
    <s v="BF"/>
    <s v="NB"/>
    <x v="1"/>
    <x v="0"/>
    <n v="0"/>
    <m/>
    <x v="0"/>
    <m/>
    <s v="Open Market"/>
    <s v="M"/>
    <s v="PUT1"/>
    <m/>
    <n v="0"/>
    <n v="0"/>
    <n v="0"/>
    <n v="0"/>
    <n v="0"/>
    <n v="0"/>
    <n v="0"/>
    <n v="0"/>
    <n v="0"/>
    <n v="0"/>
    <n v="63"/>
    <n v="0"/>
    <n v="0"/>
    <n v="0"/>
    <n v="0"/>
    <n v="0"/>
    <n v="0"/>
    <n v="63"/>
    <n v="0"/>
    <n v="0"/>
    <n v="0"/>
    <n v="0"/>
    <n v="0"/>
    <n v="0"/>
    <n v="0"/>
    <n v="0"/>
    <n v="0"/>
    <n v="0"/>
    <n v="0"/>
    <n v="0"/>
    <n v="0"/>
    <n v="0"/>
    <s v="Putney"/>
    <m/>
    <s v="Putney Town Centre"/>
    <n v="19"/>
    <m/>
    <m/>
    <m/>
    <m/>
    <m/>
    <m/>
    <m/>
    <n v="15.75"/>
    <n v="15.75"/>
    <n v="15.75"/>
    <n v="15.75"/>
    <m/>
    <m/>
    <m/>
    <m/>
    <m/>
    <m/>
    <m/>
    <m/>
    <m/>
    <n v="0"/>
    <n v="63"/>
  </r>
  <r>
    <n v="3515"/>
    <x v="4"/>
    <m/>
    <s v="56-70, 56-66 Putney High Street (Wereldhave Site)"/>
    <m/>
    <n v="524039"/>
    <n v="175460"/>
    <s v="Thamesfield"/>
    <m/>
    <m/>
    <n v="0"/>
    <n v="17"/>
    <n v="17"/>
    <n v="97"/>
    <n v="97"/>
    <s v="Y"/>
    <s v="Redevelopment"/>
    <s v="NONE"/>
    <m/>
    <m/>
    <m/>
    <s v="Nil"/>
    <m/>
    <s v="BF"/>
    <s v="NB"/>
    <x v="1"/>
    <x v="0"/>
    <n v="0"/>
    <m/>
    <x v="0"/>
    <m/>
    <s v="Social/Affordable Rent"/>
    <s v="AA"/>
    <s v="PUT1"/>
    <m/>
    <n v="0"/>
    <n v="0"/>
    <n v="0"/>
    <n v="0"/>
    <n v="0"/>
    <n v="0"/>
    <n v="0"/>
    <n v="0"/>
    <n v="0"/>
    <n v="0"/>
    <n v="17"/>
    <n v="0"/>
    <n v="0"/>
    <n v="0"/>
    <n v="0"/>
    <n v="0"/>
    <n v="0"/>
    <n v="17"/>
    <n v="0"/>
    <n v="0"/>
    <n v="0"/>
    <n v="0"/>
    <n v="0"/>
    <n v="0"/>
    <n v="0"/>
    <n v="0"/>
    <n v="0"/>
    <n v="0"/>
    <n v="0"/>
    <n v="0"/>
    <n v="0"/>
    <n v="0"/>
    <s v="Putney"/>
    <m/>
    <s v="Putney Town Centre"/>
    <n v="19"/>
    <m/>
    <m/>
    <m/>
    <m/>
    <m/>
    <m/>
    <m/>
    <n v="4.25"/>
    <n v="4.25"/>
    <n v="4.25"/>
    <n v="4.25"/>
    <m/>
    <m/>
    <m/>
    <m/>
    <m/>
    <m/>
    <m/>
    <m/>
    <m/>
    <n v="0"/>
    <n v="17"/>
  </r>
  <r>
    <n v="3515"/>
    <x v="4"/>
    <m/>
    <s v="56-70, 56-66 Putney High Street (Wereldhave Site)"/>
    <m/>
    <n v="524039"/>
    <n v="175460"/>
    <s v="Thamesfield"/>
    <m/>
    <m/>
    <n v="0"/>
    <n v="17"/>
    <n v="17"/>
    <n v="97"/>
    <n v="97"/>
    <s v="Y"/>
    <s v="Redevelopment"/>
    <s v="NONE"/>
    <m/>
    <m/>
    <m/>
    <s v="Nil"/>
    <m/>
    <s v="BF"/>
    <s v="NB"/>
    <x v="1"/>
    <x v="0"/>
    <n v="0"/>
    <m/>
    <x v="0"/>
    <m/>
    <s v="Intermediate"/>
    <s v="IU"/>
    <s v="PUT1"/>
    <m/>
    <n v="0"/>
    <n v="0"/>
    <n v="0"/>
    <n v="0"/>
    <n v="0"/>
    <n v="0"/>
    <n v="0"/>
    <n v="0"/>
    <n v="0"/>
    <n v="0"/>
    <n v="17"/>
    <n v="0"/>
    <n v="0"/>
    <n v="0"/>
    <n v="0"/>
    <n v="0"/>
    <n v="0"/>
    <n v="17"/>
    <n v="0"/>
    <n v="0"/>
    <n v="0"/>
    <n v="0"/>
    <n v="0"/>
    <n v="0"/>
    <n v="0"/>
    <n v="0"/>
    <n v="0"/>
    <n v="0"/>
    <n v="0"/>
    <n v="0"/>
    <n v="0"/>
    <n v="0"/>
    <s v="Putney"/>
    <m/>
    <s v="Putney Town Centre"/>
    <n v="19"/>
    <m/>
    <m/>
    <m/>
    <m/>
    <m/>
    <m/>
    <m/>
    <n v="4.25"/>
    <n v="4.25"/>
    <n v="4.25"/>
    <n v="4.25"/>
    <m/>
    <m/>
    <m/>
    <m/>
    <m/>
    <m/>
    <m/>
    <m/>
    <m/>
    <n v="0"/>
    <n v="17"/>
  </r>
  <r>
    <n v="7132"/>
    <x v="4"/>
    <m/>
    <s v="65-71 Wandsworth High Street incl. Spread Eagle Public House; Wandsworth High Street and 5 Garratt Lane, SW18"/>
    <m/>
    <n v="525690.77379999903"/>
    <n v="174603.17490000001"/>
    <s v="Wandsworth Town"/>
    <m/>
    <m/>
    <n v="0"/>
    <n v="7"/>
    <n v="7"/>
    <n v="7"/>
    <n v="7"/>
    <m/>
    <s v="Redevelopment"/>
    <s v="NONE"/>
    <m/>
    <m/>
    <m/>
    <s v="Nil"/>
    <m/>
    <s v="BF"/>
    <s v="NB"/>
    <x v="2"/>
    <x v="3"/>
    <n v="0"/>
    <m/>
    <x v="0"/>
    <m/>
    <s v="Open Market"/>
    <s v="M"/>
    <s v="WT18"/>
    <m/>
    <n v="0"/>
    <n v="0"/>
    <n v="0"/>
    <n v="0"/>
    <n v="0"/>
    <n v="0"/>
    <n v="0"/>
    <n v="0"/>
    <n v="0"/>
    <n v="0"/>
    <n v="7"/>
    <n v="0"/>
    <n v="0"/>
    <n v="0"/>
    <n v="0"/>
    <n v="0"/>
    <n v="0"/>
    <n v="7"/>
    <n v="0"/>
    <n v="0"/>
    <n v="0"/>
    <n v="0"/>
    <n v="0"/>
    <n v="0"/>
    <n v="0"/>
    <n v="0"/>
    <n v="0"/>
    <n v="0"/>
    <n v="0"/>
    <n v="0"/>
    <n v="0"/>
    <n v="0"/>
    <s v="Wandsworth"/>
    <m/>
    <s v="Wandsworth Town, including the Wandle Delta Masterplan Area"/>
    <n v="19"/>
    <m/>
    <m/>
    <m/>
    <m/>
    <m/>
    <m/>
    <m/>
    <m/>
    <m/>
    <n v="0.58333333333333337"/>
    <n v="0.58333333333333337"/>
    <n v="0.58333333333333337"/>
    <n v="0.58333333333333337"/>
    <n v="0.58333333333333337"/>
    <n v="0.58333333333333337"/>
    <n v="0.58333333333333337"/>
    <n v="0.58333333333333337"/>
    <n v="0.58333333333333337"/>
    <n v="0.58333333333333337"/>
    <n v="0.58333333333333337"/>
    <n v="0"/>
    <n v="1.1666666666666667"/>
  </r>
  <r>
    <n v="7587"/>
    <x v="4"/>
    <m/>
    <s v="70 - 90 Putney Bridge Road and 1-2 Adelaide Road, SW18"/>
    <m/>
    <n v="525271.18099999905"/>
    <n v="174956.73670000001"/>
    <s v="Wandsworth Town"/>
    <m/>
    <m/>
    <n v="0"/>
    <n v="16"/>
    <n v="16"/>
    <n v="25"/>
    <n v="25"/>
    <s v="Y"/>
    <s v="Redevelopment"/>
    <s v="NONE"/>
    <m/>
    <m/>
    <m/>
    <s v="Nil"/>
    <m/>
    <s v="BF"/>
    <s v="NB"/>
    <x v="1"/>
    <x v="0"/>
    <n v="0"/>
    <m/>
    <x v="0"/>
    <m/>
    <s v="Open Market"/>
    <s v="M"/>
    <s v="WT21"/>
    <m/>
    <n v="0"/>
    <n v="0"/>
    <n v="0"/>
    <n v="0"/>
    <n v="0"/>
    <n v="0"/>
    <n v="0"/>
    <n v="0"/>
    <n v="0"/>
    <n v="0"/>
    <n v="16"/>
    <n v="0"/>
    <n v="0"/>
    <n v="0"/>
    <n v="0"/>
    <n v="0"/>
    <n v="0"/>
    <n v="16"/>
    <n v="0"/>
    <n v="0"/>
    <n v="0"/>
    <n v="0"/>
    <n v="0"/>
    <n v="0"/>
    <n v="0"/>
    <n v="0"/>
    <n v="0"/>
    <n v="0"/>
    <n v="0"/>
    <n v="0"/>
    <n v="0"/>
    <n v="0"/>
    <m/>
    <m/>
    <s v="Wandsworth Town, including the Wandle Delta Masterplan Area"/>
    <n v="19"/>
    <m/>
    <m/>
    <m/>
    <m/>
    <n v="16"/>
    <m/>
    <m/>
    <m/>
    <m/>
    <m/>
    <m/>
    <m/>
    <m/>
    <m/>
    <m/>
    <m/>
    <m/>
    <m/>
    <m/>
    <m/>
    <n v="16"/>
    <n v="16"/>
  </r>
  <r>
    <n v="7587"/>
    <x v="4"/>
    <m/>
    <s v="70 - 90 Putney Bridge Road and 1-2 Adelaide Road, SW18"/>
    <m/>
    <n v="525271.18099999905"/>
    <n v="174956.73670000001"/>
    <s v="Wandsworth Town"/>
    <m/>
    <m/>
    <n v="0"/>
    <n v="5"/>
    <n v="5"/>
    <n v="25"/>
    <n v="25"/>
    <s v="Y"/>
    <s v="Redevelopment"/>
    <s v="NONE"/>
    <m/>
    <m/>
    <m/>
    <s v="Nil"/>
    <m/>
    <s v="BF"/>
    <s v="NB"/>
    <x v="1"/>
    <x v="0"/>
    <n v="0"/>
    <m/>
    <x v="0"/>
    <m/>
    <s v="Social/Affordable Rent"/>
    <s v="AA"/>
    <s v="WT21"/>
    <m/>
    <n v="0"/>
    <n v="0"/>
    <n v="0"/>
    <n v="0"/>
    <n v="0"/>
    <n v="0"/>
    <n v="0"/>
    <n v="0"/>
    <n v="0"/>
    <n v="0"/>
    <n v="5"/>
    <n v="0"/>
    <n v="0"/>
    <n v="0"/>
    <n v="0"/>
    <n v="0"/>
    <n v="0"/>
    <n v="5"/>
    <n v="0"/>
    <n v="0"/>
    <n v="0"/>
    <n v="0"/>
    <n v="0"/>
    <n v="0"/>
    <n v="0"/>
    <n v="0"/>
    <n v="0"/>
    <n v="0"/>
    <n v="0"/>
    <n v="0"/>
    <n v="0"/>
    <n v="0"/>
    <m/>
    <m/>
    <s v="Wandsworth Town, including the Wandle Delta Masterplan Area"/>
    <n v="19"/>
    <m/>
    <m/>
    <m/>
    <m/>
    <n v="5"/>
    <m/>
    <m/>
    <m/>
    <m/>
    <m/>
    <m/>
    <m/>
    <m/>
    <m/>
    <m/>
    <m/>
    <m/>
    <m/>
    <m/>
    <m/>
    <n v="5"/>
    <n v="5"/>
  </r>
  <r>
    <n v="7587"/>
    <x v="4"/>
    <m/>
    <s v="70 - 90 Putney Bridge Road and 1-2 Adelaide Road, SW18"/>
    <m/>
    <n v="525271.18099999905"/>
    <n v="174956.73670000001"/>
    <s v="Wandsworth Town"/>
    <m/>
    <m/>
    <n v="0"/>
    <n v="4"/>
    <n v="4"/>
    <n v="25"/>
    <n v="25"/>
    <s v="Y"/>
    <s v="Redevelopment"/>
    <s v="NONE"/>
    <m/>
    <m/>
    <m/>
    <s v="Nil"/>
    <m/>
    <s v="BF"/>
    <s v="NB"/>
    <x v="1"/>
    <x v="0"/>
    <n v="0"/>
    <m/>
    <x v="0"/>
    <m/>
    <s v="Intermediate"/>
    <s v="IU"/>
    <s v="WT21"/>
    <m/>
    <n v="0"/>
    <n v="0"/>
    <n v="0"/>
    <n v="0"/>
    <n v="0"/>
    <n v="0"/>
    <n v="0"/>
    <n v="0"/>
    <n v="0"/>
    <n v="0"/>
    <n v="4"/>
    <n v="0"/>
    <n v="0"/>
    <n v="0"/>
    <n v="0"/>
    <n v="0"/>
    <n v="0"/>
    <n v="4"/>
    <n v="0"/>
    <n v="0"/>
    <n v="0"/>
    <n v="0"/>
    <n v="0"/>
    <n v="0"/>
    <n v="0"/>
    <n v="0"/>
    <n v="0"/>
    <n v="0"/>
    <n v="0"/>
    <n v="0"/>
    <n v="0"/>
    <n v="0"/>
    <m/>
    <m/>
    <s v="Wandsworth Town, including the Wandle Delta Masterplan Area"/>
    <n v="19"/>
    <m/>
    <m/>
    <m/>
    <m/>
    <n v="4"/>
    <m/>
    <m/>
    <m/>
    <m/>
    <m/>
    <m/>
    <m/>
    <m/>
    <m/>
    <m/>
    <m/>
    <m/>
    <m/>
    <m/>
    <m/>
    <n v="4"/>
    <n v="4"/>
  </r>
  <r>
    <n v="6871"/>
    <x v="4"/>
    <m/>
    <s v="80 Gwynne Road, 19 Lombard Road"/>
    <m/>
    <n v="526746"/>
    <n v="176345"/>
    <s v="St Mary's"/>
    <m/>
    <m/>
    <n v="0"/>
    <n v="46"/>
    <n v="46"/>
    <n v="71"/>
    <n v="71"/>
    <s v="Y"/>
    <s v="Redevelopment"/>
    <s v="NONE"/>
    <m/>
    <m/>
    <m/>
    <s v="Nil"/>
    <m/>
    <s v="BF"/>
    <s v="NB"/>
    <x v="1"/>
    <x v="0"/>
    <n v="0"/>
    <m/>
    <x v="0"/>
    <m/>
    <s v="Open Market"/>
    <s v="M"/>
    <s v="RIV8"/>
    <m/>
    <n v="0"/>
    <n v="0"/>
    <n v="0"/>
    <n v="0"/>
    <n v="0"/>
    <n v="0"/>
    <n v="0"/>
    <n v="0"/>
    <n v="0"/>
    <n v="0"/>
    <n v="46"/>
    <n v="0"/>
    <n v="0"/>
    <n v="0"/>
    <n v="0"/>
    <n v="0"/>
    <n v="0"/>
    <n v="46"/>
    <n v="0"/>
    <n v="0"/>
    <n v="0"/>
    <n v="0"/>
    <n v="0"/>
    <n v="0"/>
    <n v="0"/>
    <n v="0"/>
    <n v="0"/>
    <n v="0"/>
    <n v="0"/>
    <n v="0"/>
    <n v="0"/>
    <n v="0"/>
    <m/>
    <m/>
    <s v="Wandsworth riverside"/>
    <n v="19"/>
    <m/>
    <m/>
    <m/>
    <m/>
    <m/>
    <n v="2.875"/>
    <n v="2.875"/>
    <n v="2.875"/>
    <n v="2.875"/>
    <n v="2.875"/>
    <n v="2.875"/>
    <n v="2.875"/>
    <n v="2.875"/>
    <n v="2.875"/>
    <n v="2.875"/>
    <n v="2.875"/>
    <n v="2.875"/>
    <n v="2.875"/>
    <n v="2.875"/>
    <n v="2.875"/>
    <n v="2.875"/>
    <n v="17.25"/>
  </r>
  <r>
    <n v="6871"/>
    <x v="4"/>
    <m/>
    <s v="80 Gwynne Road, 19 Lombard Road"/>
    <m/>
    <n v="526746"/>
    <n v="176345"/>
    <s v="St Mary's"/>
    <m/>
    <m/>
    <n v="0"/>
    <n v="13"/>
    <n v="13"/>
    <n v="71"/>
    <n v="71"/>
    <s v="Y"/>
    <s v="Redevelopment"/>
    <s v="NONE"/>
    <m/>
    <m/>
    <m/>
    <s v="Nil"/>
    <m/>
    <s v="BF"/>
    <s v="NB"/>
    <x v="1"/>
    <x v="0"/>
    <n v="0"/>
    <m/>
    <x v="0"/>
    <m/>
    <s v="Social/Affordable Rent"/>
    <s v="AA"/>
    <s v="RIV8"/>
    <m/>
    <n v="0"/>
    <n v="0"/>
    <n v="0"/>
    <n v="0"/>
    <n v="0"/>
    <n v="0"/>
    <n v="0"/>
    <n v="0"/>
    <n v="0"/>
    <n v="0"/>
    <n v="13"/>
    <n v="0"/>
    <n v="0"/>
    <n v="0"/>
    <n v="0"/>
    <n v="0"/>
    <n v="0"/>
    <n v="13"/>
    <n v="0"/>
    <n v="0"/>
    <n v="0"/>
    <n v="0"/>
    <n v="0"/>
    <n v="0"/>
    <n v="0"/>
    <n v="0"/>
    <n v="0"/>
    <n v="0"/>
    <n v="0"/>
    <n v="0"/>
    <n v="0"/>
    <n v="0"/>
    <m/>
    <m/>
    <s v="Wandsworth riverside"/>
    <n v="19"/>
    <m/>
    <m/>
    <m/>
    <m/>
    <m/>
    <n v="0.8125"/>
    <n v="0.8125"/>
    <n v="0.8125"/>
    <n v="0.8125"/>
    <n v="0.8125"/>
    <n v="0.8125"/>
    <n v="0.8125"/>
    <n v="0.8125"/>
    <n v="0.8125"/>
    <n v="0.8125"/>
    <n v="0.8125"/>
    <n v="0.8125"/>
    <n v="0.8125"/>
    <n v="0.8125"/>
    <n v="0.8125"/>
    <n v="0.8125"/>
    <n v="4.875"/>
  </r>
  <r>
    <n v="6871"/>
    <x v="4"/>
    <m/>
    <s v="80 Gwynne Road, 19 Lombard Road"/>
    <m/>
    <n v="526746"/>
    <n v="176345"/>
    <s v="St Mary's"/>
    <m/>
    <m/>
    <n v="0"/>
    <n v="12"/>
    <n v="12"/>
    <n v="71"/>
    <n v="71"/>
    <s v="Y"/>
    <s v="Redevelopment"/>
    <s v="NONE"/>
    <m/>
    <m/>
    <m/>
    <s v="Nil"/>
    <m/>
    <s v="BF"/>
    <s v="NB"/>
    <x v="1"/>
    <x v="0"/>
    <n v="0"/>
    <m/>
    <x v="0"/>
    <m/>
    <s v="Intermediate"/>
    <s v="IU"/>
    <s v="RIV8"/>
    <m/>
    <n v="0"/>
    <n v="0"/>
    <n v="0"/>
    <n v="0"/>
    <n v="0"/>
    <n v="0"/>
    <n v="0"/>
    <n v="0"/>
    <n v="0"/>
    <n v="0"/>
    <n v="12"/>
    <n v="0"/>
    <n v="0"/>
    <n v="0"/>
    <n v="0"/>
    <n v="0"/>
    <n v="0"/>
    <n v="12"/>
    <n v="0"/>
    <n v="0"/>
    <n v="0"/>
    <n v="0"/>
    <n v="0"/>
    <n v="0"/>
    <n v="0"/>
    <n v="0"/>
    <n v="0"/>
    <n v="0"/>
    <n v="0"/>
    <n v="0"/>
    <n v="0"/>
    <n v="0"/>
    <m/>
    <m/>
    <s v="Wandsworth riverside"/>
    <n v="19"/>
    <m/>
    <m/>
    <m/>
    <m/>
    <m/>
    <n v="0.75"/>
    <n v="0.75"/>
    <n v="0.75"/>
    <n v="0.75"/>
    <n v="0.75"/>
    <n v="0.75"/>
    <n v="0.75"/>
    <n v="0.75"/>
    <n v="0.75"/>
    <n v="0.75"/>
    <n v="0.75"/>
    <n v="0.75"/>
    <n v="0.75"/>
    <n v="0.75"/>
    <n v="0.75"/>
    <n v="0.75"/>
    <n v="4.5"/>
  </r>
  <r>
    <n v="7546"/>
    <x v="4"/>
    <m/>
    <s v="8-10 Chelverton Road, Putney Bus Garage, SW15 1RH"/>
    <m/>
    <n v="523936"/>
    <n v="175285"/>
    <s v="Thamesfield"/>
    <m/>
    <m/>
    <n v="0"/>
    <n v="1"/>
    <n v="1"/>
    <n v="1"/>
    <n v="1"/>
    <m/>
    <s v="Redevelopment"/>
    <s v="NONE"/>
    <m/>
    <m/>
    <m/>
    <s v="Nil"/>
    <m/>
    <s v="BF"/>
    <s v="NB"/>
    <x v="2"/>
    <x v="3"/>
    <n v="0"/>
    <m/>
    <x v="0"/>
    <m/>
    <s v="Open Market"/>
    <s v="M"/>
    <m/>
    <m/>
    <n v="0"/>
    <n v="0"/>
    <n v="0"/>
    <n v="0"/>
    <n v="0"/>
    <n v="0"/>
    <n v="0"/>
    <n v="0"/>
    <n v="0"/>
    <n v="0"/>
    <n v="1"/>
    <n v="0"/>
    <n v="0"/>
    <n v="0"/>
    <n v="0"/>
    <n v="0"/>
    <n v="0"/>
    <n v="1"/>
    <n v="0"/>
    <n v="0"/>
    <n v="0"/>
    <n v="0"/>
    <n v="0"/>
    <n v="0"/>
    <n v="0"/>
    <n v="0"/>
    <n v="0"/>
    <n v="0"/>
    <n v="0"/>
    <n v="0"/>
    <n v="0"/>
    <n v="0"/>
    <s v="Putney"/>
    <m/>
    <s v="Putney Town Centre"/>
    <n v="19"/>
    <m/>
    <m/>
    <m/>
    <m/>
    <m/>
    <n v="1"/>
    <m/>
    <m/>
    <m/>
    <m/>
    <m/>
    <m/>
    <m/>
    <m/>
    <m/>
    <m/>
    <m/>
    <m/>
    <m/>
    <m/>
    <n v="1"/>
    <n v="1"/>
  </r>
  <r>
    <n v="6897"/>
    <x v="4"/>
    <m/>
    <s v="Asda, Lidl and Boots Sites, Falcon Lane"/>
    <m/>
    <n v="527569"/>
    <n v="175602"/>
    <s v="Shaftesbury &amp; Queenstown"/>
    <m/>
    <m/>
    <n v="0"/>
    <n v="51"/>
    <n v="51"/>
    <n v="79"/>
    <n v="79"/>
    <s v="Y"/>
    <s v="Redevelopment"/>
    <s v="NONE"/>
    <m/>
    <m/>
    <m/>
    <s v="Nil"/>
    <m/>
    <s v="BF"/>
    <s v="NB"/>
    <x v="1"/>
    <x v="0"/>
    <n v="0"/>
    <m/>
    <x v="0"/>
    <m/>
    <s v="Open Market"/>
    <s v="M"/>
    <s v="CJ1"/>
    <m/>
    <n v="0"/>
    <n v="0"/>
    <n v="0"/>
    <n v="0"/>
    <n v="0"/>
    <n v="0"/>
    <n v="0"/>
    <n v="0"/>
    <n v="0"/>
    <n v="0"/>
    <n v="51"/>
    <n v="0"/>
    <n v="0"/>
    <n v="0"/>
    <n v="0"/>
    <n v="0"/>
    <n v="0"/>
    <n v="51"/>
    <n v="0"/>
    <n v="0"/>
    <n v="0"/>
    <n v="0"/>
    <n v="0"/>
    <n v="0"/>
    <n v="0"/>
    <n v="0"/>
    <n v="0"/>
    <n v="0"/>
    <n v="0"/>
    <n v="0"/>
    <n v="0"/>
    <n v="0"/>
    <s v="Clapham Junction"/>
    <m/>
    <s v="Clapham Junction Spatial Area Strategy"/>
    <n v="19"/>
    <m/>
    <m/>
    <m/>
    <m/>
    <m/>
    <m/>
    <m/>
    <m/>
    <m/>
    <n v="4.25"/>
    <n v="4.25"/>
    <n v="4.25"/>
    <n v="4.25"/>
    <n v="4.25"/>
    <n v="4.25"/>
    <n v="4.25"/>
    <n v="4.25"/>
    <n v="4.25"/>
    <n v="4.25"/>
    <n v="4.25"/>
    <n v="0"/>
    <n v="8.5"/>
  </r>
  <r>
    <n v="6897"/>
    <x v="4"/>
    <m/>
    <s v="Asda, Lidl and Boots Sites, Falcon Lane"/>
    <m/>
    <n v="527569"/>
    <n v="175602"/>
    <s v="Shaftesbury &amp; Queenstown"/>
    <m/>
    <m/>
    <n v="0"/>
    <n v="14"/>
    <n v="14"/>
    <n v="79"/>
    <n v="79"/>
    <s v="Y"/>
    <s v="Redevelopment"/>
    <s v="NONE"/>
    <m/>
    <m/>
    <m/>
    <s v="Nil"/>
    <m/>
    <s v="BF"/>
    <s v="NB"/>
    <x v="1"/>
    <x v="0"/>
    <n v="0"/>
    <m/>
    <x v="0"/>
    <m/>
    <s v="Social/Affordable Rent"/>
    <s v="AA"/>
    <s v="CJ1"/>
    <m/>
    <n v="0"/>
    <n v="0"/>
    <n v="0"/>
    <n v="0"/>
    <n v="0"/>
    <n v="0"/>
    <n v="0"/>
    <n v="0"/>
    <n v="0"/>
    <n v="0"/>
    <n v="14"/>
    <n v="0"/>
    <n v="0"/>
    <n v="0"/>
    <n v="0"/>
    <n v="0"/>
    <n v="0"/>
    <n v="14"/>
    <n v="0"/>
    <n v="0"/>
    <n v="0"/>
    <n v="0"/>
    <n v="0"/>
    <n v="0"/>
    <n v="0"/>
    <n v="0"/>
    <n v="0"/>
    <n v="0"/>
    <n v="0"/>
    <n v="0"/>
    <n v="0"/>
    <n v="0"/>
    <s v="Clapham Junction"/>
    <m/>
    <s v="Clapham Junction Spatial Area Strategy"/>
    <n v="19"/>
    <m/>
    <m/>
    <m/>
    <m/>
    <m/>
    <m/>
    <m/>
    <m/>
    <m/>
    <n v="1.1666666666666667"/>
    <n v="1.1666666666666667"/>
    <n v="1.1666666666666667"/>
    <n v="1.1666666666666667"/>
    <n v="1.1666666666666667"/>
    <n v="1.1666666666666667"/>
    <n v="1.1666666666666667"/>
    <n v="1.1666666666666667"/>
    <n v="1.1666666666666667"/>
    <n v="1.1666666666666667"/>
    <n v="1.1666666666666667"/>
    <n v="0"/>
    <n v="2.3333333333333335"/>
  </r>
  <r>
    <n v="6897"/>
    <x v="4"/>
    <m/>
    <s v="Asda, Lidl and Boots Sites, Falcon Lane"/>
    <m/>
    <n v="527569"/>
    <n v="175602"/>
    <s v="Shaftesbury &amp; Queenstown"/>
    <m/>
    <m/>
    <n v="0"/>
    <n v="14"/>
    <n v="14"/>
    <n v="79"/>
    <n v="79"/>
    <s v="Y"/>
    <s v="Redevelopment"/>
    <s v="NONE"/>
    <m/>
    <m/>
    <m/>
    <s v="Nil"/>
    <m/>
    <s v="BF"/>
    <s v="NB"/>
    <x v="1"/>
    <x v="0"/>
    <n v="0"/>
    <m/>
    <x v="0"/>
    <m/>
    <s v="Intermediate"/>
    <s v="IU"/>
    <s v="CJ1"/>
    <m/>
    <n v="0"/>
    <n v="0"/>
    <n v="0"/>
    <n v="0"/>
    <n v="0"/>
    <n v="0"/>
    <n v="0"/>
    <n v="0"/>
    <n v="0"/>
    <n v="0"/>
    <n v="14"/>
    <n v="0"/>
    <n v="0"/>
    <n v="0"/>
    <n v="0"/>
    <n v="0"/>
    <n v="0"/>
    <n v="14"/>
    <n v="0"/>
    <n v="0"/>
    <n v="0"/>
    <n v="0"/>
    <n v="0"/>
    <n v="0"/>
    <n v="0"/>
    <n v="0"/>
    <n v="0"/>
    <n v="0"/>
    <n v="0"/>
    <n v="0"/>
    <n v="0"/>
    <n v="0"/>
    <s v="Clapham Junction"/>
    <m/>
    <s v="Clapham Junction Spatial Area Strategy"/>
    <n v="19"/>
    <m/>
    <m/>
    <m/>
    <m/>
    <m/>
    <m/>
    <m/>
    <m/>
    <m/>
    <n v="1.1666666666666667"/>
    <n v="1.1666666666666667"/>
    <n v="1.1666666666666667"/>
    <n v="1.1666666666666667"/>
    <n v="1.1666666666666667"/>
    <n v="1.1666666666666667"/>
    <n v="1.1666666666666667"/>
    <n v="1.1666666666666667"/>
    <n v="1.1666666666666667"/>
    <n v="1.1666666666666667"/>
    <n v="1.1666666666666667"/>
    <n v="0"/>
    <n v="2.3333333333333335"/>
  </r>
  <r>
    <n v="7387"/>
    <x v="4"/>
    <m/>
    <s v="Ashburton Community Centre, Westleigh Avenue (Ashburton South Estate)"/>
    <m/>
    <n v="523041"/>
    <n v="174501"/>
    <s v="West Putney"/>
    <m/>
    <m/>
    <n v="0"/>
    <n v="1"/>
    <n v="1"/>
    <n v="1"/>
    <n v="1"/>
    <m/>
    <s v="Redevelopment"/>
    <s v="NONE"/>
    <m/>
    <m/>
    <m/>
    <s v="Nil"/>
    <m/>
    <s v="BF"/>
    <s v="NB"/>
    <x v="2"/>
    <x v="3"/>
    <n v="0"/>
    <m/>
    <x v="0"/>
    <m/>
    <s v="Open Market"/>
    <s v="M"/>
    <m/>
    <m/>
    <n v="0"/>
    <n v="0"/>
    <n v="0"/>
    <n v="0"/>
    <n v="0"/>
    <n v="0"/>
    <n v="0"/>
    <n v="0"/>
    <n v="0"/>
    <n v="0"/>
    <n v="1"/>
    <n v="0"/>
    <n v="0"/>
    <n v="0"/>
    <n v="0"/>
    <n v="0"/>
    <n v="0"/>
    <n v="1"/>
    <n v="0"/>
    <n v="0"/>
    <n v="0"/>
    <n v="0"/>
    <n v="0"/>
    <n v="0"/>
    <n v="0"/>
    <n v="0"/>
    <n v="0"/>
    <n v="0"/>
    <n v="0"/>
    <n v="0"/>
    <n v="0"/>
    <n v="0"/>
    <m/>
    <m/>
    <s v="Rest of Borough"/>
    <n v="19"/>
    <m/>
    <m/>
    <m/>
    <m/>
    <m/>
    <n v="1"/>
    <m/>
    <m/>
    <m/>
    <m/>
    <m/>
    <m/>
    <m/>
    <m/>
    <m/>
    <m/>
    <m/>
    <m/>
    <m/>
    <m/>
    <n v="1"/>
    <n v="1"/>
  </r>
  <r>
    <n v="6910"/>
    <x v="4"/>
    <m/>
    <s v="Balham Health Centre, 120 Bedford Hill"/>
    <m/>
    <n v="528743"/>
    <n v="172931"/>
    <s v="South Balham"/>
    <m/>
    <m/>
    <n v="0"/>
    <n v="29"/>
    <n v="29"/>
    <n v="44"/>
    <n v="44"/>
    <s v="Y"/>
    <s v="Redevelopment"/>
    <s v="NONE"/>
    <m/>
    <m/>
    <m/>
    <s v="Nil"/>
    <m/>
    <s v="BF"/>
    <s v="NB"/>
    <x v="1"/>
    <x v="0"/>
    <n v="0"/>
    <m/>
    <x v="0"/>
    <m/>
    <s v="Open Market"/>
    <s v="M"/>
    <s v="OUT1"/>
    <m/>
    <n v="0"/>
    <n v="0"/>
    <n v="0"/>
    <n v="0"/>
    <n v="0"/>
    <n v="0"/>
    <n v="0"/>
    <n v="0"/>
    <n v="0"/>
    <n v="0"/>
    <n v="29"/>
    <n v="0"/>
    <n v="0"/>
    <n v="0"/>
    <n v="0"/>
    <n v="0"/>
    <n v="0"/>
    <n v="29"/>
    <n v="0"/>
    <n v="0"/>
    <n v="0"/>
    <n v="0"/>
    <n v="0"/>
    <n v="0"/>
    <n v="0"/>
    <n v="0"/>
    <n v="0"/>
    <n v="0"/>
    <n v="0"/>
    <n v="0"/>
    <n v="0"/>
    <n v="0"/>
    <m/>
    <m/>
    <s v="Rest of Borough"/>
    <n v="19"/>
    <m/>
    <m/>
    <m/>
    <m/>
    <m/>
    <n v="1.8125"/>
    <n v="1.8125"/>
    <n v="1.8125"/>
    <n v="1.8125"/>
    <n v="1.8125"/>
    <n v="1.8125"/>
    <n v="1.8125"/>
    <n v="1.8125"/>
    <n v="1.8125"/>
    <n v="1.8125"/>
    <n v="1.8125"/>
    <n v="1.8125"/>
    <n v="1.8125"/>
    <n v="1.8125"/>
    <n v="1.8125"/>
    <n v="1.8125"/>
    <n v="10.875"/>
  </r>
  <r>
    <n v="6910"/>
    <x v="4"/>
    <m/>
    <s v="Balham Health Centre, 120 Bedford Hill"/>
    <m/>
    <n v="528743"/>
    <n v="172931"/>
    <s v="South Balham"/>
    <m/>
    <m/>
    <n v="0"/>
    <n v="8"/>
    <n v="8"/>
    <n v="44"/>
    <n v="44"/>
    <s v="Y"/>
    <s v="Redevelopment"/>
    <s v="NONE"/>
    <m/>
    <m/>
    <m/>
    <s v="Nil"/>
    <m/>
    <s v="BF"/>
    <s v="NB"/>
    <x v="1"/>
    <x v="0"/>
    <n v="0"/>
    <m/>
    <x v="0"/>
    <m/>
    <s v="Social/Affordable Rent"/>
    <s v="AA"/>
    <s v="OUT1"/>
    <m/>
    <n v="0"/>
    <n v="0"/>
    <n v="0"/>
    <n v="0"/>
    <n v="0"/>
    <n v="0"/>
    <n v="0"/>
    <n v="0"/>
    <n v="0"/>
    <n v="0"/>
    <n v="8"/>
    <n v="0"/>
    <n v="0"/>
    <n v="0"/>
    <n v="0"/>
    <n v="0"/>
    <n v="0"/>
    <n v="8"/>
    <n v="0"/>
    <n v="0"/>
    <n v="0"/>
    <n v="0"/>
    <n v="0"/>
    <n v="0"/>
    <n v="0"/>
    <n v="0"/>
    <n v="0"/>
    <n v="0"/>
    <n v="0"/>
    <n v="0"/>
    <n v="0"/>
    <n v="0"/>
    <m/>
    <m/>
    <s v="Rest of Borough"/>
    <n v="19"/>
    <m/>
    <m/>
    <m/>
    <m/>
    <m/>
    <n v="0.5"/>
    <n v="0.5"/>
    <n v="0.5"/>
    <n v="0.5"/>
    <n v="0.5"/>
    <n v="0.5"/>
    <n v="0.5"/>
    <n v="0.5"/>
    <n v="0.5"/>
    <n v="0.5"/>
    <n v="0.5"/>
    <n v="0.5"/>
    <n v="0.5"/>
    <n v="0.5"/>
    <n v="0.5"/>
    <n v="0.5"/>
    <n v="3"/>
  </r>
  <r>
    <n v="6910"/>
    <x v="4"/>
    <m/>
    <s v="Balham Health Centre, 120 Bedford Hill"/>
    <m/>
    <n v="528743"/>
    <n v="172931"/>
    <s v="South Balham"/>
    <m/>
    <m/>
    <n v="0"/>
    <n v="7"/>
    <n v="7"/>
    <n v="44"/>
    <n v="44"/>
    <s v="Y"/>
    <s v="Redevelopment"/>
    <s v="NONE"/>
    <m/>
    <m/>
    <m/>
    <s v="Nil"/>
    <m/>
    <s v="BF"/>
    <s v="NB"/>
    <x v="1"/>
    <x v="0"/>
    <n v="0"/>
    <m/>
    <x v="0"/>
    <m/>
    <s v="Intermediate"/>
    <s v="IU"/>
    <s v="OUT1"/>
    <m/>
    <n v="0"/>
    <n v="0"/>
    <n v="0"/>
    <n v="0"/>
    <n v="0"/>
    <n v="0"/>
    <n v="0"/>
    <n v="0"/>
    <n v="0"/>
    <n v="0"/>
    <n v="7"/>
    <n v="0"/>
    <n v="0"/>
    <n v="0"/>
    <n v="0"/>
    <n v="0"/>
    <n v="0"/>
    <n v="7"/>
    <n v="0"/>
    <n v="0"/>
    <n v="0"/>
    <n v="0"/>
    <n v="0"/>
    <n v="0"/>
    <n v="0"/>
    <n v="0"/>
    <n v="0"/>
    <n v="0"/>
    <n v="0"/>
    <n v="0"/>
    <n v="0"/>
    <n v="0"/>
    <m/>
    <m/>
    <s v="Rest of Borough"/>
    <n v="19"/>
    <m/>
    <m/>
    <m/>
    <m/>
    <m/>
    <n v="0.4375"/>
    <n v="0.4375"/>
    <n v="0.4375"/>
    <n v="0.4375"/>
    <n v="0.4375"/>
    <n v="0.4375"/>
    <n v="0.4375"/>
    <n v="0.4375"/>
    <n v="0.4375"/>
    <n v="0.4375"/>
    <n v="0.4375"/>
    <n v="0.4375"/>
    <n v="0.4375"/>
    <n v="0.4375"/>
    <n v="0.4375"/>
    <n v="0.4375"/>
    <n v="2.625"/>
  </r>
  <r>
    <n v="7575"/>
    <x v="4"/>
    <m/>
    <s v="Battersea Park Road (between Stewarts Road and Thessally road)"/>
    <m/>
    <n v="529080.52989999903"/>
    <n v="177186.61449999901"/>
    <s v="Shaftesbury &amp; Queenstown"/>
    <m/>
    <m/>
    <n v="0"/>
    <n v="109"/>
    <n v="109"/>
    <n v="168"/>
    <n v="168"/>
    <s v="Y"/>
    <s v="Redevelopment"/>
    <s v="NONE"/>
    <m/>
    <m/>
    <m/>
    <s v="Nil"/>
    <m/>
    <s v="BF"/>
    <s v="NB"/>
    <x v="1"/>
    <x v="0"/>
    <n v="0"/>
    <m/>
    <x v="0"/>
    <m/>
    <s v="Open Market"/>
    <s v="M"/>
    <s v="NE13"/>
    <m/>
    <n v="0"/>
    <n v="0"/>
    <n v="0"/>
    <n v="0"/>
    <n v="0"/>
    <n v="0"/>
    <n v="0"/>
    <n v="0"/>
    <n v="0"/>
    <n v="0"/>
    <n v="109"/>
    <n v="0"/>
    <n v="0"/>
    <n v="0"/>
    <n v="0"/>
    <n v="0"/>
    <n v="0"/>
    <n v="109"/>
    <n v="0"/>
    <n v="0"/>
    <n v="0"/>
    <n v="0"/>
    <n v="0"/>
    <n v="0"/>
    <n v="0"/>
    <n v="0"/>
    <n v="0"/>
    <n v="0"/>
    <n v="0"/>
    <n v="0"/>
    <n v="0"/>
    <n v="0"/>
    <m/>
    <s v="Y"/>
    <s v="Nine Elms Vauxhall Opportunity Area"/>
    <n v="20"/>
    <m/>
    <m/>
    <m/>
    <m/>
    <n v="21.8"/>
    <n v="21.8"/>
    <n v="21.8"/>
    <n v="21.8"/>
    <n v="21.8"/>
    <m/>
    <m/>
    <m/>
    <m/>
    <m/>
    <m/>
    <m/>
    <m/>
    <m/>
    <m/>
    <m/>
    <n v="43.6"/>
    <n v="109"/>
  </r>
  <r>
    <n v="7575"/>
    <x v="4"/>
    <m/>
    <s v="Battersea Park Road (between Stewarts Road and Thessally road)"/>
    <m/>
    <n v="529080.52989999903"/>
    <n v="177186.61449999901"/>
    <s v="Shaftesbury &amp; Queenstown"/>
    <m/>
    <m/>
    <n v="0"/>
    <n v="30"/>
    <n v="30"/>
    <n v="168"/>
    <n v="168"/>
    <s v="Y"/>
    <s v="Redevelopment"/>
    <s v="NONE"/>
    <m/>
    <m/>
    <m/>
    <s v="Nil"/>
    <m/>
    <s v="BF"/>
    <s v="NB"/>
    <x v="1"/>
    <x v="0"/>
    <n v="0"/>
    <m/>
    <x v="0"/>
    <m/>
    <s v="Social/Affordable Rent"/>
    <s v="AA"/>
    <s v="NE13"/>
    <m/>
    <n v="0"/>
    <n v="0"/>
    <n v="0"/>
    <n v="0"/>
    <n v="0"/>
    <n v="0"/>
    <n v="0"/>
    <n v="0"/>
    <n v="0"/>
    <n v="0"/>
    <n v="30"/>
    <n v="0"/>
    <n v="0"/>
    <n v="0"/>
    <n v="0"/>
    <n v="0"/>
    <n v="0"/>
    <n v="30"/>
    <n v="0"/>
    <n v="0"/>
    <n v="0"/>
    <n v="0"/>
    <n v="0"/>
    <n v="0"/>
    <n v="0"/>
    <n v="0"/>
    <n v="0"/>
    <n v="0"/>
    <n v="0"/>
    <n v="0"/>
    <n v="0"/>
    <n v="0"/>
    <m/>
    <s v="Y"/>
    <s v="Nine Elms Vauxhall Opportunity Area"/>
    <n v="20"/>
    <m/>
    <m/>
    <m/>
    <m/>
    <n v="6"/>
    <n v="6"/>
    <n v="6"/>
    <n v="6"/>
    <n v="6"/>
    <m/>
    <m/>
    <m/>
    <m/>
    <m/>
    <m/>
    <m/>
    <m/>
    <m/>
    <m/>
    <m/>
    <n v="12"/>
    <n v="30"/>
  </r>
  <r>
    <n v="7575"/>
    <x v="4"/>
    <m/>
    <s v="Battersea Park Road (between Stewarts Road and Thessally road)"/>
    <m/>
    <n v="529080.52989999903"/>
    <n v="177186.61449999901"/>
    <s v="Shaftesbury &amp; Queenstown"/>
    <m/>
    <m/>
    <n v="0"/>
    <n v="29"/>
    <n v="29"/>
    <n v="168"/>
    <n v="168"/>
    <s v="Y"/>
    <s v="Redevelopment"/>
    <s v="NONE"/>
    <m/>
    <m/>
    <m/>
    <s v="Nil"/>
    <m/>
    <s v="BF"/>
    <s v="NB"/>
    <x v="1"/>
    <x v="0"/>
    <n v="0"/>
    <m/>
    <x v="0"/>
    <m/>
    <s v="Intermediate"/>
    <s v="IU"/>
    <s v="NE13"/>
    <m/>
    <n v="0"/>
    <n v="0"/>
    <n v="0"/>
    <n v="0"/>
    <n v="0"/>
    <n v="0"/>
    <n v="0"/>
    <n v="0"/>
    <n v="0"/>
    <n v="0"/>
    <n v="29"/>
    <n v="0"/>
    <n v="0"/>
    <n v="0"/>
    <n v="0"/>
    <n v="0"/>
    <n v="0"/>
    <n v="29"/>
    <n v="0"/>
    <n v="0"/>
    <n v="0"/>
    <n v="0"/>
    <n v="0"/>
    <n v="0"/>
    <n v="0"/>
    <n v="0"/>
    <n v="0"/>
    <n v="0"/>
    <n v="0"/>
    <n v="0"/>
    <n v="0"/>
    <n v="0"/>
    <m/>
    <s v="Y"/>
    <s v="Nine Elms Vauxhall Opportunity Area"/>
    <n v="20"/>
    <m/>
    <m/>
    <m/>
    <m/>
    <n v="5.8"/>
    <n v="5.8"/>
    <n v="5.8"/>
    <n v="5.8"/>
    <n v="5.8"/>
    <m/>
    <m/>
    <m/>
    <m/>
    <m/>
    <m/>
    <m/>
    <m/>
    <m/>
    <m/>
    <m/>
    <n v="11.6"/>
    <n v="29"/>
  </r>
  <r>
    <n v="4437"/>
    <x v="4"/>
    <m/>
    <s v="Bridgelane Medical Group Practice, 20 Bridge Ln, Battersea, London SW11 3AD"/>
    <m/>
    <n v="527446.42059999902"/>
    <n v="176521.567799999"/>
    <s v="St Mary's"/>
    <m/>
    <m/>
    <n v="0"/>
    <n v="5"/>
    <n v="5"/>
    <n v="5"/>
    <n v="5"/>
    <m/>
    <s v="Redevelopment"/>
    <s v="NONE"/>
    <m/>
    <m/>
    <m/>
    <s v="Nil"/>
    <m/>
    <s v="BF"/>
    <s v="NB"/>
    <x v="2"/>
    <x v="3"/>
    <n v="0"/>
    <m/>
    <x v="0"/>
    <m/>
    <s v="Open Market"/>
    <s v="M"/>
    <s v="OUT5"/>
    <m/>
    <n v="0"/>
    <n v="0"/>
    <n v="0"/>
    <n v="0"/>
    <n v="0"/>
    <n v="0"/>
    <n v="0"/>
    <n v="0"/>
    <n v="0"/>
    <n v="0"/>
    <n v="5"/>
    <n v="0"/>
    <n v="0"/>
    <n v="0"/>
    <n v="0"/>
    <n v="0"/>
    <n v="0"/>
    <n v="5"/>
    <n v="0"/>
    <n v="0"/>
    <n v="0"/>
    <n v="0"/>
    <n v="0"/>
    <n v="0"/>
    <n v="0"/>
    <n v="0"/>
    <n v="0"/>
    <n v="0"/>
    <n v="0"/>
    <n v="0"/>
    <n v="0"/>
    <n v="0"/>
    <m/>
    <m/>
    <s v="Rest of Borough"/>
    <n v="19"/>
    <m/>
    <m/>
    <m/>
    <m/>
    <n v="0.5"/>
    <n v="0.5"/>
    <n v="0.5"/>
    <n v="0.5"/>
    <n v="0.5"/>
    <n v="0.5"/>
    <n v="0.5"/>
    <n v="0.5"/>
    <n v="0.5"/>
    <n v="0.5"/>
    <m/>
    <m/>
    <m/>
    <m/>
    <m/>
    <m/>
    <n v="1"/>
    <n v="3.5"/>
  </r>
  <r>
    <n v="4472"/>
    <x v="4"/>
    <m/>
    <s v="Brooks Court, 1-10 Cringle Street"/>
    <m/>
    <n v="529267"/>
    <n v="177387"/>
    <s v="Nine Elms"/>
    <m/>
    <m/>
    <n v="0"/>
    <n v="24"/>
    <n v="24"/>
    <n v="37"/>
    <n v="37"/>
    <s v="Y"/>
    <s v="Redevelopment"/>
    <s v="NONE"/>
    <m/>
    <m/>
    <m/>
    <s v="Nil"/>
    <m/>
    <s v="BF"/>
    <s v="NB"/>
    <x v="1"/>
    <x v="0"/>
    <n v="0"/>
    <m/>
    <x v="0"/>
    <m/>
    <s v="Open Market"/>
    <s v="M"/>
    <s v="NE5"/>
    <m/>
    <n v="0"/>
    <n v="0"/>
    <n v="0"/>
    <n v="0"/>
    <n v="0"/>
    <n v="0"/>
    <n v="0"/>
    <n v="0"/>
    <n v="0"/>
    <n v="0"/>
    <n v="24"/>
    <n v="0"/>
    <n v="0"/>
    <n v="0"/>
    <n v="0"/>
    <n v="0"/>
    <n v="0"/>
    <n v="24"/>
    <n v="0"/>
    <n v="0"/>
    <n v="0"/>
    <n v="0"/>
    <n v="0"/>
    <n v="0"/>
    <n v="0"/>
    <n v="0"/>
    <n v="0"/>
    <n v="0"/>
    <n v="0"/>
    <n v="0"/>
    <n v="0"/>
    <n v="0"/>
    <m/>
    <s v="Y"/>
    <s v="Nine Elms Vauxhall Opportunity Area"/>
    <n v="20"/>
    <m/>
    <m/>
    <m/>
    <m/>
    <m/>
    <n v="24"/>
    <m/>
    <m/>
    <m/>
    <m/>
    <m/>
    <m/>
    <m/>
    <m/>
    <m/>
    <m/>
    <m/>
    <m/>
    <m/>
    <m/>
    <n v="24"/>
    <n v="24"/>
  </r>
  <r>
    <n v="4472"/>
    <x v="4"/>
    <m/>
    <s v="Brooks Court, 1-10 Cringle Street"/>
    <m/>
    <n v="529267"/>
    <n v="177387"/>
    <s v="Nine Elms"/>
    <m/>
    <m/>
    <n v="0"/>
    <n v="7"/>
    <n v="7"/>
    <n v="37"/>
    <n v="37"/>
    <s v="Y"/>
    <s v="Redevelopment"/>
    <s v="NONE"/>
    <m/>
    <m/>
    <m/>
    <s v="Nil"/>
    <m/>
    <s v="BF"/>
    <s v="NB"/>
    <x v="1"/>
    <x v="0"/>
    <n v="0"/>
    <m/>
    <x v="0"/>
    <m/>
    <s v="Social/Affordable Rent"/>
    <s v="AA"/>
    <s v="NE5"/>
    <m/>
    <n v="0"/>
    <n v="0"/>
    <n v="0"/>
    <n v="0"/>
    <n v="0"/>
    <n v="0"/>
    <n v="0"/>
    <n v="0"/>
    <n v="0"/>
    <n v="0"/>
    <n v="7"/>
    <n v="0"/>
    <n v="0"/>
    <n v="0"/>
    <n v="0"/>
    <n v="0"/>
    <n v="0"/>
    <n v="7"/>
    <n v="0"/>
    <n v="0"/>
    <n v="0"/>
    <n v="0"/>
    <n v="0"/>
    <n v="0"/>
    <n v="0"/>
    <n v="0"/>
    <n v="0"/>
    <n v="0"/>
    <n v="0"/>
    <n v="0"/>
    <n v="0"/>
    <n v="0"/>
    <m/>
    <s v="Y"/>
    <s v="Nine Elms Vauxhall Opportunity Area"/>
    <n v="20"/>
    <m/>
    <m/>
    <m/>
    <m/>
    <m/>
    <n v="7"/>
    <m/>
    <m/>
    <m/>
    <m/>
    <m/>
    <m/>
    <m/>
    <m/>
    <m/>
    <m/>
    <m/>
    <m/>
    <m/>
    <m/>
    <n v="7"/>
    <n v="7"/>
  </r>
  <r>
    <n v="4472"/>
    <x v="4"/>
    <m/>
    <s v="Brooks Court, 1-10 Cringle Street"/>
    <m/>
    <n v="529267"/>
    <n v="177387"/>
    <s v="Nine Elms"/>
    <m/>
    <m/>
    <n v="0"/>
    <n v="6"/>
    <n v="6"/>
    <n v="37"/>
    <n v="37"/>
    <s v="Y"/>
    <s v="Redevelopment"/>
    <s v="NONE"/>
    <m/>
    <m/>
    <m/>
    <s v="Nil"/>
    <m/>
    <s v="BF"/>
    <s v="NB"/>
    <x v="1"/>
    <x v="0"/>
    <n v="0"/>
    <m/>
    <x v="0"/>
    <m/>
    <s v="Intermediate"/>
    <s v="IU"/>
    <s v="NE5"/>
    <m/>
    <n v="0"/>
    <n v="0"/>
    <n v="0"/>
    <n v="0"/>
    <n v="0"/>
    <n v="0"/>
    <n v="0"/>
    <n v="0"/>
    <n v="0"/>
    <n v="0"/>
    <n v="6"/>
    <n v="0"/>
    <n v="0"/>
    <n v="0"/>
    <n v="0"/>
    <n v="0"/>
    <n v="0"/>
    <n v="6"/>
    <n v="0"/>
    <n v="0"/>
    <n v="0"/>
    <n v="0"/>
    <n v="0"/>
    <n v="0"/>
    <n v="0"/>
    <n v="0"/>
    <n v="0"/>
    <n v="0"/>
    <n v="0"/>
    <n v="0"/>
    <n v="0"/>
    <n v="0"/>
    <m/>
    <s v="Y"/>
    <s v="Nine Elms Vauxhall Opportunity Area"/>
    <n v="20"/>
    <m/>
    <m/>
    <m/>
    <m/>
    <m/>
    <n v="6"/>
    <m/>
    <m/>
    <m/>
    <m/>
    <m/>
    <m/>
    <m/>
    <m/>
    <m/>
    <m/>
    <m/>
    <m/>
    <m/>
    <m/>
    <n v="6"/>
    <n v="6"/>
  </r>
  <r>
    <n v="6877"/>
    <x v="4"/>
    <m/>
    <s v="Cable and Wireless Ballymore Site 6, 2a Battersea Park Road"/>
    <m/>
    <n v="529311"/>
    <n v="177427"/>
    <s v="Nine Elms"/>
    <m/>
    <m/>
    <n v="0"/>
    <n v="100"/>
    <n v="100"/>
    <n v="154"/>
    <n v="154"/>
    <s v="Y"/>
    <s v="Redevelopment"/>
    <s v="NONE"/>
    <m/>
    <m/>
    <m/>
    <s v="Nil"/>
    <m/>
    <s v="BF"/>
    <s v="NB"/>
    <x v="1"/>
    <x v="0"/>
    <n v="0"/>
    <m/>
    <x v="0"/>
    <m/>
    <s v="Open Market"/>
    <s v="M"/>
    <s v="NE1"/>
    <m/>
    <n v="0"/>
    <n v="0"/>
    <n v="0"/>
    <n v="0"/>
    <n v="0"/>
    <n v="0"/>
    <n v="0"/>
    <n v="0"/>
    <n v="0"/>
    <n v="0"/>
    <n v="100"/>
    <n v="0"/>
    <n v="0"/>
    <n v="0"/>
    <n v="0"/>
    <n v="0"/>
    <n v="0"/>
    <n v="100"/>
    <n v="0"/>
    <n v="0"/>
    <n v="0"/>
    <n v="0"/>
    <n v="0"/>
    <n v="0"/>
    <n v="0"/>
    <n v="0"/>
    <n v="0"/>
    <n v="0"/>
    <n v="0"/>
    <n v="0"/>
    <n v="0"/>
    <n v="0"/>
    <m/>
    <s v="Y"/>
    <s v="Nine Elms Vauxhall Opportunity Area"/>
    <n v="20"/>
    <m/>
    <m/>
    <m/>
    <m/>
    <m/>
    <n v="100"/>
    <m/>
    <m/>
    <m/>
    <m/>
    <m/>
    <m/>
    <m/>
    <m/>
    <m/>
    <m/>
    <m/>
    <m/>
    <m/>
    <m/>
    <n v="100"/>
    <n v="100"/>
  </r>
  <r>
    <n v="6877"/>
    <x v="4"/>
    <m/>
    <s v="Cable and Wireless Ballymore Site 6, 2a Battersea Park Road"/>
    <m/>
    <n v="529311"/>
    <n v="177427"/>
    <s v="Nine Elms"/>
    <m/>
    <m/>
    <n v="0"/>
    <n v="27"/>
    <n v="27"/>
    <n v="154"/>
    <n v="154"/>
    <s v="Y"/>
    <s v="Redevelopment"/>
    <s v="NONE"/>
    <m/>
    <m/>
    <m/>
    <s v="Nil"/>
    <m/>
    <s v="BF"/>
    <s v="NB"/>
    <x v="1"/>
    <x v="0"/>
    <n v="0"/>
    <m/>
    <x v="0"/>
    <m/>
    <s v="Social/Affordable Rent"/>
    <s v="AA"/>
    <s v="NE1"/>
    <m/>
    <n v="0"/>
    <n v="0"/>
    <n v="0"/>
    <n v="0"/>
    <n v="0"/>
    <n v="0"/>
    <n v="0"/>
    <n v="0"/>
    <n v="0"/>
    <n v="0"/>
    <n v="27"/>
    <n v="0"/>
    <n v="0"/>
    <n v="0"/>
    <n v="0"/>
    <n v="0"/>
    <n v="0"/>
    <n v="27"/>
    <n v="0"/>
    <n v="0"/>
    <n v="0"/>
    <n v="0"/>
    <n v="0"/>
    <n v="0"/>
    <n v="0"/>
    <n v="0"/>
    <n v="0"/>
    <n v="0"/>
    <n v="0"/>
    <n v="0"/>
    <n v="0"/>
    <n v="0"/>
    <m/>
    <s v="Y"/>
    <s v="Nine Elms Vauxhall Opportunity Area"/>
    <n v="20"/>
    <m/>
    <m/>
    <m/>
    <m/>
    <m/>
    <n v="27"/>
    <m/>
    <m/>
    <m/>
    <m/>
    <m/>
    <m/>
    <m/>
    <m/>
    <m/>
    <m/>
    <m/>
    <m/>
    <m/>
    <m/>
    <n v="27"/>
    <n v="27"/>
  </r>
  <r>
    <n v="6877"/>
    <x v="4"/>
    <m/>
    <s v="Cable and Wireless Ballymore Site 6, 2a Battersea Park Road"/>
    <m/>
    <n v="529311"/>
    <n v="177427"/>
    <s v="Nine Elms"/>
    <m/>
    <m/>
    <n v="0"/>
    <n v="27"/>
    <n v="27"/>
    <n v="154"/>
    <n v="154"/>
    <s v="Y"/>
    <s v="Redevelopment"/>
    <s v="NONE"/>
    <m/>
    <m/>
    <m/>
    <s v="Nil"/>
    <m/>
    <s v="BF"/>
    <s v="NB"/>
    <x v="1"/>
    <x v="0"/>
    <n v="0"/>
    <m/>
    <x v="0"/>
    <m/>
    <s v="Intermediate"/>
    <s v="IU"/>
    <s v="NE1"/>
    <m/>
    <n v="0"/>
    <n v="0"/>
    <n v="0"/>
    <n v="0"/>
    <n v="0"/>
    <n v="0"/>
    <n v="0"/>
    <n v="0"/>
    <n v="0"/>
    <n v="0"/>
    <n v="27"/>
    <n v="0"/>
    <n v="0"/>
    <n v="0"/>
    <n v="0"/>
    <n v="0"/>
    <n v="0"/>
    <n v="27"/>
    <n v="0"/>
    <n v="0"/>
    <n v="0"/>
    <n v="0"/>
    <n v="0"/>
    <n v="0"/>
    <n v="0"/>
    <n v="0"/>
    <n v="0"/>
    <n v="0"/>
    <n v="0"/>
    <n v="0"/>
    <n v="0"/>
    <n v="0"/>
    <m/>
    <s v="Y"/>
    <s v="Nine Elms Vauxhall Opportunity Area"/>
    <n v="20"/>
    <m/>
    <m/>
    <m/>
    <m/>
    <m/>
    <n v="27"/>
    <m/>
    <m/>
    <m/>
    <m/>
    <m/>
    <m/>
    <m/>
    <m/>
    <m/>
    <m/>
    <m/>
    <m/>
    <m/>
    <m/>
    <n v="27"/>
    <n v="27"/>
  </r>
  <r>
    <n v="4510"/>
    <x v="4"/>
    <m/>
    <s v="Cemex Battersea Plant, Cringle Street (Kirtling Wharf)"/>
    <m/>
    <n v="529218"/>
    <n v="177561"/>
    <s v="Nine Elms"/>
    <m/>
    <m/>
    <n v="0"/>
    <n v="8"/>
    <n v="8"/>
    <n v="12"/>
    <n v="12"/>
    <s v="Y"/>
    <s v="Redevelopment"/>
    <s v="NONE"/>
    <m/>
    <m/>
    <m/>
    <s v="Nil"/>
    <m/>
    <s v="BF"/>
    <s v="MIX"/>
    <x v="1"/>
    <x v="0"/>
    <n v="0"/>
    <m/>
    <x v="0"/>
    <m/>
    <s v="Open Market"/>
    <s v="M"/>
    <s v="NE9"/>
    <m/>
    <n v="0"/>
    <n v="0"/>
    <n v="0"/>
    <n v="0"/>
    <n v="0"/>
    <n v="0"/>
    <n v="0"/>
    <n v="0"/>
    <n v="0"/>
    <n v="0"/>
    <n v="8"/>
    <n v="0"/>
    <n v="0"/>
    <n v="0"/>
    <n v="0"/>
    <n v="0"/>
    <n v="0"/>
    <n v="8"/>
    <n v="0"/>
    <n v="0"/>
    <n v="0"/>
    <n v="0"/>
    <n v="0"/>
    <n v="0"/>
    <n v="0"/>
    <n v="0"/>
    <n v="0"/>
    <n v="0"/>
    <n v="0"/>
    <n v="0"/>
    <n v="0"/>
    <n v="0"/>
    <m/>
    <s v="Y"/>
    <s v="Nine Elms Vauxhall Opportunity Area"/>
    <n v="20"/>
    <m/>
    <m/>
    <m/>
    <m/>
    <n v="8"/>
    <m/>
    <m/>
    <m/>
    <m/>
    <m/>
    <m/>
    <m/>
    <m/>
    <m/>
    <m/>
    <m/>
    <m/>
    <m/>
    <m/>
    <m/>
    <n v="8"/>
    <n v="8"/>
  </r>
  <r>
    <n v="4510"/>
    <x v="4"/>
    <m/>
    <s v="Cemex Battersea Plant, Cringle Street (Kirtling Wharf)"/>
    <m/>
    <n v="529218"/>
    <n v="177561"/>
    <s v="Nine Elms"/>
    <m/>
    <m/>
    <n v="0"/>
    <n v="2"/>
    <n v="2"/>
    <n v="12"/>
    <n v="12"/>
    <s v="Y"/>
    <s v="Redevelopment"/>
    <s v="NONE"/>
    <m/>
    <m/>
    <m/>
    <s v="Nil"/>
    <m/>
    <s v="BF"/>
    <s v="MIX"/>
    <x v="1"/>
    <x v="0"/>
    <n v="0"/>
    <m/>
    <x v="0"/>
    <m/>
    <s v="Intermediate"/>
    <s v="IU"/>
    <s v="NE9"/>
    <m/>
    <n v="0"/>
    <n v="0"/>
    <n v="0"/>
    <n v="0"/>
    <n v="0"/>
    <n v="0"/>
    <n v="0"/>
    <n v="0"/>
    <n v="0"/>
    <n v="0"/>
    <n v="2"/>
    <n v="0"/>
    <n v="0"/>
    <n v="0"/>
    <n v="0"/>
    <n v="0"/>
    <n v="0"/>
    <n v="2"/>
    <n v="0"/>
    <n v="0"/>
    <n v="0"/>
    <n v="0"/>
    <n v="0"/>
    <n v="0"/>
    <n v="0"/>
    <n v="0"/>
    <n v="0"/>
    <n v="0"/>
    <n v="0"/>
    <n v="0"/>
    <n v="0"/>
    <n v="0"/>
    <m/>
    <s v="Y"/>
    <s v="Nine Elms Vauxhall Opportunity Area"/>
    <n v="20"/>
    <m/>
    <m/>
    <m/>
    <m/>
    <n v="2"/>
    <m/>
    <m/>
    <m/>
    <m/>
    <m/>
    <m/>
    <m/>
    <m/>
    <m/>
    <m/>
    <m/>
    <m/>
    <m/>
    <m/>
    <m/>
    <n v="2"/>
    <n v="2"/>
  </r>
  <r>
    <n v="4510"/>
    <x v="4"/>
    <m/>
    <s v="Cemex Battersea Plant, Cringle Street (Kirtling Wharf)"/>
    <m/>
    <n v="529218"/>
    <n v="177561"/>
    <s v="Nine Elms"/>
    <m/>
    <m/>
    <n v="0"/>
    <n v="2"/>
    <n v="2"/>
    <n v="12"/>
    <n v="12"/>
    <s v="Y"/>
    <s v="Redevelopment"/>
    <s v="NONE"/>
    <m/>
    <m/>
    <m/>
    <s v="Nil"/>
    <m/>
    <s v="BF"/>
    <s v="MIX"/>
    <x v="1"/>
    <x v="0"/>
    <n v="0"/>
    <m/>
    <x v="0"/>
    <m/>
    <s v="Social/Affordable Rent"/>
    <s v="AA"/>
    <s v="NE9"/>
    <m/>
    <n v="0"/>
    <n v="0"/>
    <n v="0"/>
    <n v="0"/>
    <n v="0"/>
    <n v="0"/>
    <n v="0"/>
    <n v="0"/>
    <n v="0"/>
    <n v="0"/>
    <n v="2"/>
    <n v="0"/>
    <n v="0"/>
    <n v="0"/>
    <n v="0"/>
    <n v="0"/>
    <n v="0"/>
    <n v="2"/>
    <n v="0"/>
    <n v="0"/>
    <n v="0"/>
    <n v="0"/>
    <n v="0"/>
    <n v="0"/>
    <n v="0"/>
    <n v="0"/>
    <n v="0"/>
    <n v="0"/>
    <n v="0"/>
    <n v="0"/>
    <n v="0"/>
    <n v="0"/>
    <m/>
    <s v="Y"/>
    <s v="Nine Elms Vauxhall Opportunity Area"/>
    <n v="20"/>
    <m/>
    <m/>
    <m/>
    <m/>
    <n v="2"/>
    <m/>
    <m/>
    <m/>
    <m/>
    <m/>
    <m/>
    <m/>
    <m/>
    <m/>
    <m/>
    <m/>
    <m/>
    <m/>
    <m/>
    <m/>
    <n v="2"/>
    <n v="2"/>
  </r>
  <r>
    <n v="6904"/>
    <x v="4"/>
    <m/>
    <s v="Chelsea Cars and KwikFit, Armoury Way"/>
    <m/>
    <n v="525354"/>
    <n v="174734"/>
    <s v="Wandsworth Town"/>
    <m/>
    <m/>
    <n v="0"/>
    <n v="7"/>
    <n v="7"/>
    <n v="11"/>
    <n v="11"/>
    <s v="Y"/>
    <s v="Redevelopment"/>
    <s v="NONE"/>
    <m/>
    <m/>
    <m/>
    <s v="Nil"/>
    <m/>
    <s v="BF"/>
    <s v="NB"/>
    <x v="1"/>
    <x v="0"/>
    <n v="0"/>
    <m/>
    <x v="0"/>
    <m/>
    <s v="Open Market"/>
    <s v="M"/>
    <s v="WT1"/>
    <m/>
    <n v="0"/>
    <n v="0"/>
    <n v="0"/>
    <n v="0"/>
    <n v="0"/>
    <n v="0"/>
    <n v="0"/>
    <n v="0"/>
    <n v="0"/>
    <n v="0"/>
    <n v="7"/>
    <n v="0"/>
    <n v="0"/>
    <n v="0"/>
    <n v="0"/>
    <n v="0"/>
    <n v="0"/>
    <n v="7"/>
    <n v="0"/>
    <n v="0"/>
    <n v="0"/>
    <n v="0"/>
    <n v="0"/>
    <n v="0"/>
    <n v="0"/>
    <n v="0"/>
    <n v="0"/>
    <n v="0"/>
    <n v="0"/>
    <n v="0"/>
    <n v="0"/>
    <n v="0"/>
    <s v="Wandsworth"/>
    <m/>
    <s v="Wandsworth Town, including the Wandle Delta Masterplan Area"/>
    <n v="19"/>
    <m/>
    <m/>
    <m/>
    <m/>
    <m/>
    <n v="1.4"/>
    <n v="1.4"/>
    <n v="1.4"/>
    <n v="1.4"/>
    <n v="1.4"/>
    <m/>
    <m/>
    <m/>
    <m/>
    <m/>
    <m/>
    <m/>
    <m/>
    <m/>
    <m/>
    <n v="1.4"/>
    <n v="7"/>
  </r>
  <r>
    <n v="6904"/>
    <x v="4"/>
    <m/>
    <s v="Chelsea Cars and KwikFit, Armoury Way"/>
    <m/>
    <n v="525354"/>
    <n v="174734"/>
    <s v="Wandsworth Town"/>
    <m/>
    <m/>
    <n v="0"/>
    <n v="2"/>
    <n v="2"/>
    <n v="11"/>
    <n v="11"/>
    <s v="Y"/>
    <s v="Redevelopment"/>
    <s v="NONE"/>
    <m/>
    <m/>
    <m/>
    <s v="Nil"/>
    <m/>
    <s v="BF"/>
    <s v="NB"/>
    <x v="1"/>
    <x v="0"/>
    <n v="0"/>
    <m/>
    <x v="0"/>
    <m/>
    <s v="Social/Affordable Rent"/>
    <s v="AA"/>
    <s v="WT1"/>
    <m/>
    <n v="0"/>
    <n v="0"/>
    <n v="0"/>
    <n v="0"/>
    <n v="0"/>
    <n v="0"/>
    <n v="0"/>
    <n v="0"/>
    <n v="0"/>
    <n v="0"/>
    <n v="2"/>
    <n v="0"/>
    <n v="0"/>
    <n v="0"/>
    <n v="0"/>
    <n v="0"/>
    <n v="0"/>
    <n v="2"/>
    <n v="0"/>
    <n v="0"/>
    <n v="0"/>
    <n v="0"/>
    <n v="0"/>
    <n v="0"/>
    <n v="0"/>
    <n v="0"/>
    <n v="0"/>
    <n v="0"/>
    <n v="0"/>
    <n v="0"/>
    <n v="0"/>
    <n v="0"/>
    <s v="Wandsworth"/>
    <m/>
    <s v="Wandsworth Town, including the Wandle Delta Masterplan Area"/>
    <n v="19"/>
    <m/>
    <m/>
    <m/>
    <m/>
    <m/>
    <n v="0.4"/>
    <n v="0.4"/>
    <n v="0.4"/>
    <n v="0.4"/>
    <n v="0.4"/>
    <m/>
    <m/>
    <m/>
    <m/>
    <m/>
    <m/>
    <m/>
    <m/>
    <m/>
    <m/>
    <n v="0.4"/>
    <n v="2"/>
  </r>
  <r>
    <n v="6904"/>
    <x v="4"/>
    <m/>
    <s v="Chelsea Cars and KwikFit, Armoury Way"/>
    <m/>
    <n v="525354"/>
    <n v="174734"/>
    <s v="Wandsworth Town"/>
    <m/>
    <m/>
    <n v="0"/>
    <n v="2"/>
    <n v="2"/>
    <n v="11"/>
    <n v="11"/>
    <s v="Y"/>
    <s v="Redevelopment"/>
    <s v="NONE"/>
    <m/>
    <m/>
    <m/>
    <s v="Nil"/>
    <m/>
    <s v="BF"/>
    <s v="NB"/>
    <x v="1"/>
    <x v="0"/>
    <n v="0"/>
    <m/>
    <x v="0"/>
    <m/>
    <s v="Intermediate"/>
    <s v="IU"/>
    <s v="WT1"/>
    <m/>
    <n v="0"/>
    <n v="0"/>
    <n v="0"/>
    <n v="0"/>
    <n v="0"/>
    <n v="0"/>
    <n v="0"/>
    <n v="0"/>
    <n v="0"/>
    <n v="0"/>
    <n v="2"/>
    <n v="0"/>
    <n v="0"/>
    <n v="0"/>
    <n v="0"/>
    <n v="0"/>
    <n v="0"/>
    <n v="2"/>
    <n v="0"/>
    <n v="0"/>
    <n v="0"/>
    <n v="0"/>
    <n v="0"/>
    <n v="0"/>
    <n v="0"/>
    <n v="0"/>
    <n v="0"/>
    <n v="0"/>
    <n v="0"/>
    <n v="0"/>
    <n v="0"/>
    <n v="0"/>
    <s v="Wandsworth"/>
    <m/>
    <s v="Wandsworth Town, including the Wandle Delta Masterplan Area"/>
    <n v="19"/>
    <m/>
    <m/>
    <m/>
    <m/>
    <m/>
    <n v="0.4"/>
    <n v="0.4"/>
    <n v="0.4"/>
    <n v="0.4"/>
    <n v="0.4"/>
    <m/>
    <m/>
    <m/>
    <m/>
    <m/>
    <m/>
    <m/>
    <m/>
    <m/>
    <m/>
    <n v="0.4"/>
    <n v="2"/>
  </r>
  <r>
    <n v="7573"/>
    <x v="4"/>
    <m/>
    <s v="Clapham Junction Station Approach, SW12"/>
    <m/>
    <n v="527299.08160000003"/>
    <n v="175481.82680000001"/>
    <s v="Falconbrook"/>
    <m/>
    <m/>
    <n v="0"/>
    <n v="131"/>
    <n v="131"/>
    <n v="202"/>
    <n v="202"/>
    <s v="Y"/>
    <s v="Redevelopment"/>
    <s v="NONE"/>
    <m/>
    <m/>
    <m/>
    <s v="Nil"/>
    <m/>
    <s v="BF"/>
    <s v="NB"/>
    <x v="1"/>
    <x v="0"/>
    <n v="0"/>
    <m/>
    <x v="0"/>
    <m/>
    <s v="Open Market"/>
    <s v="M"/>
    <s v="CJ2"/>
    <m/>
    <n v="0"/>
    <n v="0"/>
    <n v="0"/>
    <n v="0"/>
    <n v="0"/>
    <n v="0"/>
    <n v="0"/>
    <n v="0"/>
    <n v="0"/>
    <n v="0"/>
    <n v="131"/>
    <n v="0"/>
    <n v="0"/>
    <n v="0"/>
    <n v="0"/>
    <n v="0"/>
    <n v="0"/>
    <n v="131"/>
    <n v="0"/>
    <n v="0"/>
    <n v="0"/>
    <n v="0"/>
    <n v="0"/>
    <n v="0"/>
    <n v="0"/>
    <n v="0"/>
    <n v="0"/>
    <n v="0"/>
    <n v="0"/>
    <n v="0"/>
    <n v="0"/>
    <n v="0"/>
    <s v="Clapham Junction"/>
    <m/>
    <s v="Clapham Junction Spatial Area Strategy"/>
    <n v="19"/>
    <m/>
    <m/>
    <m/>
    <m/>
    <m/>
    <n v="13.1"/>
    <n v="13.1"/>
    <n v="13.1"/>
    <n v="13.1"/>
    <n v="13.1"/>
    <n v="13.1"/>
    <n v="13.1"/>
    <n v="13.1"/>
    <n v="13.1"/>
    <n v="13.1"/>
    <m/>
    <m/>
    <m/>
    <m/>
    <m/>
    <n v="13.1"/>
    <n v="78.599999999999994"/>
  </r>
  <r>
    <n v="7573"/>
    <x v="4"/>
    <m/>
    <s v="Clapham Junction Station Approach, SW12"/>
    <m/>
    <n v="527299.08160000003"/>
    <n v="175481.82680000001"/>
    <s v="Falconbrook"/>
    <m/>
    <m/>
    <n v="0"/>
    <n v="36"/>
    <n v="36"/>
    <n v="202"/>
    <n v="202"/>
    <s v="Y"/>
    <s v="Redevelopment"/>
    <s v="NONE"/>
    <m/>
    <m/>
    <m/>
    <s v="Nil"/>
    <m/>
    <s v="BF"/>
    <s v="NB"/>
    <x v="1"/>
    <x v="0"/>
    <n v="0"/>
    <m/>
    <x v="0"/>
    <m/>
    <s v="Social/Affordable Rent"/>
    <s v="AA"/>
    <s v="CJ2"/>
    <m/>
    <n v="0"/>
    <n v="0"/>
    <n v="0"/>
    <n v="0"/>
    <n v="0"/>
    <n v="0"/>
    <n v="0"/>
    <n v="0"/>
    <n v="0"/>
    <n v="0"/>
    <n v="36"/>
    <n v="0"/>
    <n v="0"/>
    <n v="0"/>
    <n v="0"/>
    <n v="0"/>
    <n v="0"/>
    <n v="36"/>
    <n v="0"/>
    <n v="0"/>
    <n v="0"/>
    <n v="0"/>
    <n v="0"/>
    <n v="0"/>
    <n v="0"/>
    <n v="0"/>
    <n v="0"/>
    <n v="0"/>
    <n v="0"/>
    <n v="0"/>
    <n v="0"/>
    <n v="0"/>
    <s v="Clapham Junction"/>
    <m/>
    <s v="Clapham Junction Spatial Area Strategy"/>
    <n v="19"/>
    <m/>
    <m/>
    <m/>
    <m/>
    <m/>
    <n v="3.6"/>
    <n v="3.6"/>
    <n v="3.6"/>
    <n v="3.6"/>
    <n v="3.6"/>
    <n v="3.6"/>
    <n v="3.6"/>
    <n v="3.6"/>
    <n v="3.6"/>
    <n v="3.6"/>
    <m/>
    <m/>
    <m/>
    <m/>
    <m/>
    <n v="3.6"/>
    <n v="21.6"/>
  </r>
  <r>
    <n v="7573"/>
    <x v="4"/>
    <m/>
    <s v="Clapham Junction Station Approach, SW12"/>
    <m/>
    <n v="527299.08160000003"/>
    <n v="175481.82680000001"/>
    <s v="Falconbrook"/>
    <m/>
    <m/>
    <n v="0"/>
    <n v="35"/>
    <n v="35"/>
    <n v="202"/>
    <n v="202"/>
    <s v="Y"/>
    <s v="Redevelopment"/>
    <s v="NONE"/>
    <m/>
    <m/>
    <m/>
    <s v="Nil"/>
    <m/>
    <s v="BF"/>
    <s v="NB"/>
    <x v="1"/>
    <x v="0"/>
    <n v="0"/>
    <m/>
    <x v="0"/>
    <m/>
    <s v="Intermediate"/>
    <s v="IU"/>
    <s v="CJ2"/>
    <m/>
    <n v="0"/>
    <n v="0"/>
    <n v="0"/>
    <n v="0"/>
    <n v="0"/>
    <n v="0"/>
    <n v="0"/>
    <n v="0"/>
    <n v="0"/>
    <n v="0"/>
    <n v="35"/>
    <n v="0"/>
    <n v="0"/>
    <n v="0"/>
    <n v="0"/>
    <n v="0"/>
    <n v="0"/>
    <n v="35"/>
    <n v="0"/>
    <n v="0"/>
    <n v="0"/>
    <n v="0"/>
    <n v="0"/>
    <n v="0"/>
    <n v="0"/>
    <n v="0"/>
    <n v="0"/>
    <n v="0"/>
    <n v="0"/>
    <n v="0"/>
    <n v="0"/>
    <n v="0"/>
    <s v="Clapham Junction"/>
    <m/>
    <s v="Clapham Junction Spatial Area Strategy"/>
    <n v="19"/>
    <m/>
    <m/>
    <m/>
    <m/>
    <m/>
    <n v="3.5"/>
    <n v="3.5"/>
    <n v="3.5"/>
    <n v="3.5"/>
    <n v="3.5"/>
    <n v="3.5"/>
    <n v="3.5"/>
    <n v="3.5"/>
    <n v="3.5"/>
    <n v="3.5"/>
    <m/>
    <m/>
    <m/>
    <m/>
    <m/>
    <n v="3.5"/>
    <n v="21"/>
  </r>
  <r>
    <n v="58"/>
    <x v="4"/>
    <m/>
    <s v="Cloisters Business Centre, Battersea Park Road"/>
    <m/>
    <n v="528810"/>
    <n v="177019"/>
    <s v="Nine Elms"/>
    <m/>
    <m/>
    <n v="0"/>
    <n v="2"/>
    <n v="2"/>
    <n v="2"/>
    <n v="2"/>
    <m/>
    <s v="Redevelopment"/>
    <s v="NONE"/>
    <m/>
    <m/>
    <m/>
    <s v="Nil"/>
    <m/>
    <s v="BF"/>
    <s v="NB"/>
    <x v="2"/>
    <x v="3"/>
    <n v="0"/>
    <m/>
    <x v="0"/>
    <m/>
    <s v="Open Market"/>
    <s v="M"/>
    <m/>
    <m/>
    <n v="0"/>
    <n v="0"/>
    <n v="0"/>
    <n v="0"/>
    <n v="0"/>
    <n v="0"/>
    <n v="0"/>
    <n v="0"/>
    <n v="0"/>
    <n v="0"/>
    <n v="2"/>
    <n v="0"/>
    <n v="0"/>
    <n v="0"/>
    <n v="0"/>
    <n v="0"/>
    <n v="0"/>
    <n v="2"/>
    <n v="0"/>
    <n v="0"/>
    <n v="0"/>
    <n v="0"/>
    <n v="0"/>
    <n v="0"/>
    <n v="0"/>
    <n v="0"/>
    <n v="0"/>
    <n v="0"/>
    <n v="0"/>
    <n v="0"/>
    <n v="0"/>
    <n v="0"/>
    <m/>
    <s v="Y"/>
    <s v="Nine Elms Vauxhall Opportunity Area"/>
    <n v="20"/>
    <m/>
    <m/>
    <m/>
    <m/>
    <m/>
    <m/>
    <n v="2"/>
    <m/>
    <m/>
    <m/>
    <m/>
    <m/>
    <m/>
    <m/>
    <m/>
    <m/>
    <m/>
    <m/>
    <m/>
    <m/>
    <n v="0"/>
    <n v="2"/>
  </r>
  <r>
    <n v="8056"/>
    <x v="4"/>
    <m/>
    <s v="Battersea Ring Main"/>
    <m/>
    <n v="529149"/>
    <n v="177464"/>
    <s v="Nine Elms"/>
    <m/>
    <m/>
    <n v="0"/>
    <n v="65"/>
    <n v="65"/>
    <n v="100"/>
    <n v="100"/>
    <s v="Y"/>
    <s v="Redevelopment"/>
    <s v="NONE"/>
    <m/>
    <m/>
    <m/>
    <s v="Nil"/>
    <m/>
    <s v="BF"/>
    <s v="MIX"/>
    <x v="1"/>
    <x v="0"/>
    <n v="0"/>
    <m/>
    <x v="0"/>
    <m/>
    <s v="Open Market"/>
    <s v="M"/>
    <s v="NE14"/>
    <m/>
    <n v="0"/>
    <n v="0"/>
    <n v="0"/>
    <n v="0"/>
    <n v="0"/>
    <n v="0"/>
    <n v="0"/>
    <n v="0"/>
    <n v="0"/>
    <n v="0"/>
    <n v="65"/>
    <n v="0"/>
    <n v="0"/>
    <n v="0"/>
    <n v="0"/>
    <n v="0"/>
    <n v="0"/>
    <n v="65"/>
    <n v="0"/>
    <n v="0"/>
    <n v="0"/>
    <n v="0"/>
    <n v="0"/>
    <n v="0"/>
    <n v="0"/>
    <n v="0"/>
    <n v="0"/>
    <n v="0"/>
    <n v="0"/>
    <n v="0"/>
    <n v="0"/>
    <n v="0"/>
    <m/>
    <s v="Y"/>
    <s v="Nine Elms Vauxhall Opportunity Area"/>
    <n v="20"/>
    <m/>
    <m/>
    <m/>
    <m/>
    <m/>
    <m/>
    <n v="21.666666666666668"/>
    <n v="21.666666666666668"/>
    <n v="21.666666666666668"/>
    <m/>
    <m/>
    <m/>
    <m/>
    <m/>
    <m/>
    <m/>
    <m/>
    <m/>
    <m/>
    <m/>
    <n v="0"/>
    <n v="65"/>
  </r>
  <r>
    <n v="8056"/>
    <x v="4"/>
    <m/>
    <s v="Battersea Ring Main"/>
    <m/>
    <n v="529149"/>
    <n v="177464"/>
    <s v="Nine Elms"/>
    <m/>
    <m/>
    <n v="0"/>
    <n v="18"/>
    <n v="18"/>
    <n v="100"/>
    <n v="100"/>
    <s v="Y"/>
    <s v="Redevelopment"/>
    <s v="NONE"/>
    <m/>
    <m/>
    <m/>
    <s v="Nil"/>
    <m/>
    <s v="BF"/>
    <s v="MIX"/>
    <x v="1"/>
    <x v="0"/>
    <n v="0"/>
    <m/>
    <x v="0"/>
    <m/>
    <s v="Social/Affordable Rent"/>
    <s v="AA"/>
    <s v="NE14"/>
    <m/>
    <n v="0"/>
    <n v="0"/>
    <n v="0"/>
    <n v="0"/>
    <n v="0"/>
    <n v="0"/>
    <n v="0"/>
    <n v="0"/>
    <n v="0"/>
    <n v="0"/>
    <n v="18"/>
    <n v="0"/>
    <n v="0"/>
    <n v="0"/>
    <n v="0"/>
    <n v="0"/>
    <n v="0"/>
    <n v="18"/>
    <n v="0"/>
    <n v="0"/>
    <n v="0"/>
    <n v="0"/>
    <n v="0"/>
    <n v="0"/>
    <n v="0"/>
    <n v="0"/>
    <n v="0"/>
    <n v="0"/>
    <n v="0"/>
    <n v="0"/>
    <n v="0"/>
    <n v="0"/>
    <m/>
    <s v="Y"/>
    <s v="Nine Elms Vauxhall Opportunity Area"/>
    <n v="20"/>
    <m/>
    <m/>
    <m/>
    <m/>
    <m/>
    <m/>
    <n v="6"/>
    <n v="6"/>
    <n v="6"/>
    <m/>
    <m/>
    <m/>
    <m/>
    <m/>
    <m/>
    <m/>
    <m/>
    <m/>
    <m/>
    <m/>
    <n v="0"/>
    <n v="18"/>
  </r>
  <r>
    <n v="8056"/>
    <x v="4"/>
    <m/>
    <s v="Battersea Ring Main"/>
    <m/>
    <n v="529149"/>
    <n v="177464"/>
    <s v="Nine Elms"/>
    <m/>
    <m/>
    <n v="0"/>
    <n v="17"/>
    <n v="17"/>
    <n v="100"/>
    <n v="100"/>
    <s v="Y"/>
    <s v="Redevelopment"/>
    <s v="NONE"/>
    <m/>
    <m/>
    <m/>
    <s v="Nil"/>
    <m/>
    <s v="BF"/>
    <s v="MIX"/>
    <x v="1"/>
    <x v="0"/>
    <n v="0"/>
    <m/>
    <x v="0"/>
    <m/>
    <s v="Intermediate"/>
    <s v="IU"/>
    <s v="NE14"/>
    <m/>
    <n v="0"/>
    <n v="0"/>
    <n v="0"/>
    <n v="0"/>
    <n v="0"/>
    <n v="0"/>
    <n v="0"/>
    <n v="0"/>
    <n v="0"/>
    <n v="0"/>
    <n v="17"/>
    <n v="0"/>
    <n v="0"/>
    <n v="0"/>
    <n v="0"/>
    <n v="0"/>
    <n v="0"/>
    <n v="17"/>
    <n v="0"/>
    <n v="0"/>
    <n v="0"/>
    <n v="0"/>
    <n v="0"/>
    <n v="0"/>
    <n v="0"/>
    <n v="0"/>
    <n v="0"/>
    <n v="0"/>
    <n v="0"/>
    <n v="0"/>
    <n v="0"/>
    <n v="0"/>
    <m/>
    <s v="Y"/>
    <s v="Nine Elms Vauxhall Opportunity Area"/>
    <n v="20"/>
    <m/>
    <m/>
    <m/>
    <m/>
    <m/>
    <m/>
    <n v="5.666666666666667"/>
    <n v="5.666666666666667"/>
    <n v="5.666666666666667"/>
    <m/>
    <m/>
    <m/>
    <m/>
    <m/>
    <m/>
    <m/>
    <m/>
    <m/>
    <m/>
    <m/>
    <n v="0"/>
    <n v="17"/>
  </r>
  <r>
    <n v="4509"/>
    <x v="4"/>
    <m/>
    <s v="Cringle Dock, Nine Elms, SW8"/>
    <m/>
    <n v="529144.33070000005"/>
    <n v="177568.643099999"/>
    <s v="Nine Elms"/>
    <m/>
    <m/>
    <n v="0"/>
    <n v="14"/>
    <n v="14"/>
    <n v="21"/>
    <n v="21"/>
    <s v="Y"/>
    <s v="Redevelopment"/>
    <s v="NONE"/>
    <m/>
    <m/>
    <m/>
    <s v="Nil"/>
    <m/>
    <s v="BF"/>
    <s v="NB"/>
    <x v="1"/>
    <x v="0"/>
    <n v="0"/>
    <m/>
    <x v="0"/>
    <m/>
    <s v="Open Market"/>
    <s v="M"/>
    <s v="NE11"/>
    <m/>
    <n v="0"/>
    <n v="0"/>
    <n v="0"/>
    <n v="0"/>
    <n v="0"/>
    <n v="0"/>
    <n v="0"/>
    <n v="0"/>
    <n v="0"/>
    <n v="0"/>
    <n v="14"/>
    <n v="0"/>
    <n v="0"/>
    <n v="0"/>
    <n v="0"/>
    <n v="0"/>
    <n v="0"/>
    <n v="14"/>
    <n v="0"/>
    <n v="0"/>
    <n v="0"/>
    <n v="0"/>
    <n v="0"/>
    <n v="0"/>
    <n v="0"/>
    <n v="0"/>
    <n v="0"/>
    <n v="0"/>
    <n v="0"/>
    <n v="0"/>
    <n v="0"/>
    <n v="0"/>
    <m/>
    <s v="Y"/>
    <s v="Nine Elms Vauxhall Opportunity Area"/>
    <n v="20"/>
    <m/>
    <m/>
    <m/>
    <m/>
    <n v="2.8"/>
    <n v="2.8"/>
    <n v="2.8"/>
    <n v="2.8"/>
    <n v="2.8"/>
    <m/>
    <m/>
    <m/>
    <m/>
    <m/>
    <m/>
    <m/>
    <m/>
    <m/>
    <m/>
    <m/>
    <n v="5.6"/>
    <n v="14"/>
  </r>
  <r>
    <n v="4509"/>
    <x v="4"/>
    <m/>
    <s v="Cringle Dock, Nine Elms, SW8"/>
    <m/>
    <n v="529144.33070000005"/>
    <n v="177568.643099999"/>
    <s v="Nine Elms"/>
    <m/>
    <m/>
    <n v="0"/>
    <n v="4"/>
    <n v="4"/>
    <n v="21"/>
    <n v="21"/>
    <s v="Y"/>
    <s v="Redevelopment"/>
    <s v="NONE"/>
    <m/>
    <m/>
    <m/>
    <s v="Nil"/>
    <m/>
    <s v="BF"/>
    <s v="NB"/>
    <x v="1"/>
    <x v="0"/>
    <n v="0"/>
    <m/>
    <x v="0"/>
    <m/>
    <s v="Social/Affordable Rent"/>
    <s v="AA"/>
    <s v="NE11"/>
    <m/>
    <n v="0"/>
    <n v="0"/>
    <n v="0"/>
    <n v="0"/>
    <n v="0"/>
    <n v="0"/>
    <n v="0"/>
    <n v="0"/>
    <n v="0"/>
    <n v="0"/>
    <n v="4"/>
    <n v="0"/>
    <n v="0"/>
    <n v="0"/>
    <n v="0"/>
    <n v="0"/>
    <n v="0"/>
    <n v="4"/>
    <n v="0"/>
    <n v="0"/>
    <n v="0"/>
    <n v="0"/>
    <n v="0"/>
    <n v="0"/>
    <n v="0"/>
    <n v="0"/>
    <n v="0"/>
    <n v="0"/>
    <n v="0"/>
    <n v="0"/>
    <n v="0"/>
    <n v="0"/>
    <m/>
    <s v="Y"/>
    <s v="Nine Elms Vauxhall Opportunity Area"/>
    <n v="20"/>
    <m/>
    <m/>
    <m/>
    <m/>
    <n v="0.8"/>
    <n v="0.8"/>
    <n v="0.8"/>
    <n v="0.8"/>
    <n v="0.8"/>
    <m/>
    <m/>
    <m/>
    <m/>
    <m/>
    <m/>
    <m/>
    <m/>
    <m/>
    <m/>
    <m/>
    <n v="1.6"/>
    <n v="4"/>
  </r>
  <r>
    <n v="4509"/>
    <x v="4"/>
    <m/>
    <s v="Cringle Dock, Nine Elms, SW8"/>
    <m/>
    <n v="529144.33070000005"/>
    <n v="177568.643099999"/>
    <s v="Nine Elms"/>
    <m/>
    <m/>
    <n v="0"/>
    <n v="3"/>
    <n v="3"/>
    <n v="21"/>
    <n v="21"/>
    <s v="Y"/>
    <s v="Redevelopment"/>
    <s v="NONE"/>
    <m/>
    <m/>
    <m/>
    <s v="Nil"/>
    <m/>
    <s v="BF"/>
    <s v="NB"/>
    <x v="1"/>
    <x v="0"/>
    <n v="0"/>
    <m/>
    <x v="0"/>
    <m/>
    <s v="Intermediate"/>
    <s v="IU"/>
    <s v="NE11"/>
    <m/>
    <n v="0"/>
    <n v="0"/>
    <n v="0"/>
    <n v="0"/>
    <n v="0"/>
    <n v="0"/>
    <n v="0"/>
    <n v="0"/>
    <n v="0"/>
    <n v="0"/>
    <n v="3"/>
    <n v="0"/>
    <n v="0"/>
    <n v="0"/>
    <n v="0"/>
    <n v="0"/>
    <n v="0"/>
    <n v="3"/>
    <n v="0"/>
    <n v="0"/>
    <n v="0"/>
    <n v="0"/>
    <n v="0"/>
    <n v="0"/>
    <n v="0"/>
    <n v="0"/>
    <n v="0"/>
    <n v="0"/>
    <n v="0"/>
    <n v="0"/>
    <n v="0"/>
    <n v="0"/>
    <m/>
    <s v="Y"/>
    <s v="Nine Elms Vauxhall Opportunity Area"/>
    <n v="20"/>
    <m/>
    <m/>
    <m/>
    <m/>
    <n v="0.6"/>
    <n v="0.6"/>
    <n v="0.6"/>
    <n v="0.6"/>
    <n v="0.6"/>
    <m/>
    <m/>
    <m/>
    <m/>
    <m/>
    <m/>
    <m/>
    <m/>
    <m/>
    <m/>
    <m/>
    <n v="1.2"/>
    <n v="3"/>
  </r>
  <r>
    <n v="6876"/>
    <x v="4"/>
    <m/>
    <s v="Dovercourt site, York Road, SW11"/>
    <m/>
    <n v="526665"/>
    <n v="176051"/>
    <s v="St Mary's"/>
    <m/>
    <m/>
    <n v="0"/>
    <n v="182"/>
    <n v="182"/>
    <n v="280"/>
    <n v="280"/>
    <s v="Y"/>
    <s v="Redevelopment"/>
    <s v="NONE"/>
    <m/>
    <m/>
    <m/>
    <s v="Nil"/>
    <m/>
    <s v="BF"/>
    <s v="NB"/>
    <x v="1"/>
    <x v="0"/>
    <n v="0"/>
    <m/>
    <x v="0"/>
    <m/>
    <s v="Open Market"/>
    <s v="M"/>
    <s v="RIV2"/>
    <m/>
    <n v="0"/>
    <n v="0"/>
    <n v="0"/>
    <n v="0"/>
    <n v="0"/>
    <n v="0"/>
    <n v="0"/>
    <n v="0"/>
    <n v="0"/>
    <n v="0"/>
    <n v="182"/>
    <n v="0"/>
    <n v="0"/>
    <n v="0"/>
    <n v="0"/>
    <n v="0"/>
    <n v="0"/>
    <n v="182"/>
    <n v="0"/>
    <n v="0"/>
    <n v="0"/>
    <n v="0"/>
    <n v="0"/>
    <n v="0"/>
    <n v="0"/>
    <n v="0"/>
    <n v="0"/>
    <n v="0"/>
    <n v="0"/>
    <n v="0"/>
    <n v="0"/>
    <n v="0"/>
    <m/>
    <m/>
    <s v="Clapham Junction Spatial Area Strategy"/>
    <n v="19"/>
    <m/>
    <m/>
    <m/>
    <m/>
    <m/>
    <n v="11.375"/>
    <n v="11.375"/>
    <n v="11.375"/>
    <n v="11.375"/>
    <n v="11.375"/>
    <n v="11.375"/>
    <n v="11.375"/>
    <n v="11.375"/>
    <n v="11.375"/>
    <n v="11.375"/>
    <n v="11.375"/>
    <n v="11.375"/>
    <n v="11.375"/>
    <n v="11.375"/>
    <n v="11.375"/>
    <n v="11.375"/>
    <n v="68.25"/>
  </r>
  <r>
    <n v="6876"/>
    <x v="4"/>
    <m/>
    <s v="Dovercourt site, York Road, SW11"/>
    <m/>
    <n v="526665"/>
    <n v="176051"/>
    <s v="St Mary's"/>
    <m/>
    <m/>
    <n v="0"/>
    <n v="49"/>
    <n v="49"/>
    <n v="280"/>
    <n v="280"/>
    <s v="Y"/>
    <s v="Redevelopment"/>
    <s v="NONE"/>
    <m/>
    <m/>
    <m/>
    <s v="Nil"/>
    <m/>
    <s v="BF"/>
    <s v="NB"/>
    <x v="1"/>
    <x v="0"/>
    <n v="0"/>
    <m/>
    <x v="0"/>
    <m/>
    <s v="Social/Affordable Rent"/>
    <s v="AA"/>
    <s v="RIV2"/>
    <m/>
    <n v="0"/>
    <n v="0"/>
    <n v="0"/>
    <n v="0"/>
    <n v="0"/>
    <n v="0"/>
    <n v="0"/>
    <n v="0"/>
    <n v="0"/>
    <n v="0"/>
    <n v="49"/>
    <n v="0"/>
    <n v="0"/>
    <n v="0"/>
    <n v="0"/>
    <n v="0"/>
    <n v="0"/>
    <n v="49"/>
    <n v="0"/>
    <n v="0"/>
    <n v="0"/>
    <n v="0"/>
    <n v="0"/>
    <n v="0"/>
    <n v="0"/>
    <n v="0"/>
    <n v="0"/>
    <n v="0"/>
    <n v="0"/>
    <n v="0"/>
    <n v="0"/>
    <n v="0"/>
    <m/>
    <m/>
    <s v="Clapham Junction Spatial Area Strategy"/>
    <n v="19"/>
    <m/>
    <m/>
    <m/>
    <m/>
    <m/>
    <n v="3.0625"/>
    <n v="3.0625"/>
    <n v="3.0625"/>
    <n v="3.0625"/>
    <n v="3.0625"/>
    <n v="3.0625"/>
    <n v="3.0625"/>
    <n v="3.0625"/>
    <n v="3.0625"/>
    <n v="3.0625"/>
    <n v="3.0625"/>
    <n v="3.0625"/>
    <n v="3.0625"/>
    <n v="3.0625"/>
    <n v="3.0625"/>
    <n v="3.0625"/>
    <n v="18.375"/>
  </r>
  <r>
    <n v="6876"/>
    <x v="4"/>
    <m/>
    <s v="Dovercourt site, York Road, SW11"/>
    <m/>
    <n v="526665"/>
    <n v="176051"/>
    <s v="St Mary's"/>
    <m/>
    <m/>
    <n v="0"/>
    <n v="49"/>
    <n v="49"/>
    <n v="280"/>
    <n v="280"/>
    <s v="Y"/>
    <s v="Redevelopment"/>
    <s v="NONE"/>
    <m/>
    <m/>
    <m/>
    <s v="Nil"/>
    <m/>
    <s v="BF"/>
    <s v="NB"/>
    <x v="1"/>
    <x v="0"/>
    <n v="0"/>
    <m/>
    <x v="0"/>
    <m/>
    <s v="Intermediate"/>
    <s v="IU"/>
    <s v="RIV2"/>
    <m/>
    <n v="0"/>
    <n v="0"/>
    <n v="0"/>
    <n v="0"/>
    <n v="0"/>
    <n v="0"/>
    <n v="0"/>
    <n v="0"/>
    <n v="0"/>
    <n v="0"/>
    <n v="49"/>
    <n v="0"/>
    <n v="0"/>
    <n v="0"/>
    <n v="0"/>
    <n v="0"/>
    <n v="0"/>
    <n v="49"/>
    <n v="0"/>
    <n v="0"/>
    <n v="0"/>
    <n v="0"/>
    <n v="0"/>
    <n v="0"/>
    <n v="0"/>
    <n v="0"/>
    <n v="0"/>
    <n v="0"/>
    <n v="0"/>
    <n v="0"/>
    <n v="0"/>
    <n v="0"/>
    <m/>
    <m/>
    <s v="Clapham Junction Spatial Area Strategy"/>
    <n v="19"/>
    <m/>
    <m/>
    <m/>
    <m/>
    <m/>
    <n v="3.0625"/>
    <n v="3.0625"/>
    <n v="3.0625"/>
    <n v="3.0625"/>
    <n v="3.0625"/>
    <n v="3.0625"/>
    <n v="3.0625"/>
    <n v="3.0625"/>
    <n v="3.0625"/>
    <n v="3.0625"/>
    <n v="3.0625"/>
    <n v="3.0625"/>
    <n v="3.0625"/>
    <n v="3.0625"/>
    <n v="3.0625"/>
    <n v="3.0625"/>
    <n v="18.375"/>
  </r>
  <r>
    <n v="6895"/>
    <x v="4"/>
    <m/>
    <s v="Feathers Wharf, The Causeway"/>
    <m/>
    <n v="525545"/>
    <n v="175231"/>
    <s v="St Mary's"/>
    <m/>
    <m/>
    <n v="0"/>
    <n v="92"/>
    <n v="92"/>
    <n v="141"/>
    <n v="141"/>
    <s v="Y"/>
    <s v="Redevelopment"/>
    <s v="NONE"/>
    <m/>
    <m/>
    <m/>
    <s v="Nil"/>
    <m/>
    <s v="BF"/>
    <s v="NB"/>
    <x v="1"/>
    <x v="0"/>
    <n v="0"/>
    <m/>
    <x v="0"/>
    <m/>
    <s v="Open Market"/>
    <s v="M"/>
    <s v="WT9"/>
    <m/>
    <n v="0"/>
    <n v="0"/>
    <n v="0"/>
    <n v="0"/>
    <n v="0"/>
    <n v="0"/>
    <n v="0"/>
    <n v="0"/>
    <n v="0"/>
    <n v="0"/>
    <n v="92"/>
    <n v="0"/>
    <n v="0"/>
    <n v="0"/>
    <n v="0"/>
    <n v="0"/>
    <n v="0"/>
    <n v="92"/>
    <n v="0"/>
    <n v="0"/>
    <n v="0"/>
    <n v="0"/>
    <n v="0"/>
    <n v="0"/>
    <n v="0"/>
    <n v="0"/>
    <n v="0"/>
    <n v="0"/>
    <n v="0"/>
    <n v="0"/>
    <n v="0"/>
    <n v="0"/>
    <m/>
    <m/>
    <s v="Wandsworth Town, including the Wandle Delta Masterplan Area"/>
    <n v="19"/>
    <m/>
    <m/>
    <m/>
    <m/>
    <m/>
    <m/>
    <m/>
    <m/>
    <m/>
    <n v="7.666666666666667"/>
    <n v="7.666666666666667"/>
    <n v="7.666666666666667"/>
    <n v="7.666666666666667"/>
    <n v="7.666666666666667"/>
    <n v="7.666666666666667"/>
    <n v="7.666666666666667"/>
    <n v="7.666666666666667"/>
    <n v="7.666666666666667"/>
    <n v="7.666666666666667"/>
    <n v="7.666666666666667"/>
    <n v="0"/>
    <n v="15.333333333333334"/>
  </r>
  <r>
    <n v="6895"/>
    <x v="4"/>
    <m/>
    <s v="Feathers Wharf, The Causeway"/>
    <m/>
    <n v="525545"/>
    <n v="175231"/>
    <s v="St Mary's"/>
    <m/>
    <m/>
    <n v="0"/>
    <n v="25"/>
    <n v="25"/>
    <n v="141"/>
    <n v="141"/>
    <s v="Y"/>
    <s v="Redevelopment"/>
    <s v="NONE"/>
    <m/>
    <m/>
    <m/>
    <s v="Nil"/>
    <m/>
    <s v="BF"/>
    <s v="NB"/>
    <x v="1"/>
    <x v="0"/>
    <n v="0"/>
    <m/>
    <x v="0"/>
    <m/>
    <s v="Social/Affordable Rent"/>
    <s v="AA"/>
    <s v="WT9"/>
    <m/>
    <n v="0"/>
    <n v="0"/>
    <n v="0"/>
    <n v="0"/>
    <n v="0"/>
    <n v="0"/>
    <n v="0"/>
    <n v="0"/>
    <n v="0"/>
    <n v="0"/>
    <n v="25"/>
    <n v="0"/>
    <n v="0"/>
    <n v="0"/>
    <n v="0"/>
    <n v="0"/>
    <n v="0"/>
    <n v="25"/>
    <n v="0"/>
    <n v="0"/>
    <n v="0"/>
    <n v="0"/>
    <n v="0"/>
    <n v="0"/>
    <n v="0"/>
    <n v="0"/>
    <n v="0"/>
    <n v="0"/>
    <n v="0"/>
    <n v="0"/>
    <n v="0"/>
    <n v="0"/>
    <m/>
    <m/>
    <s v="Wandsworth Town, including the Wandle Delta Masterplan Area"/>
    <n v="19"/>
    <m/>
    <m/>
    <m/>
    <m/>
    <m/>
    <m/>
    <m/>
    <m/>
    <m/>
    <n v="2.0833333333333335"/>
    <n v="2.0833333333333335"/>
    <n v="2.0833333333333335"/>
    <n v="2.0833333333333335"/>
    <n v="2.0833333333333335"/>
    <n v="2.0833333333333335"/>
    <n v="2.0833333333333335"/>
    <n v="2.0833333333333335"/>
    <n v="2.0833333333333335"/>
    <n v="2.0833333333333335"/>
    <n v="2.0833333333333335"/>
    <n v="0"/>
    <n v="4.166666666666667"/>
  </r>
  <r>
    <n v="6895"/>
    <x v="4"/>
    <m/>
    <s v="Feathers Wharf, The Causeway"/>
    <m/>
    <n v="525545"/>
    <n v="175231"/>
    <s v="St Mary's"/>
    <m/>
    <m/>
    <n v="0"/>
    <n v="24"/>
    <n v="24"/>
    <n v="141"/>
    <n v="141"/>
    <s v="Y"/>
    <s v="Redevelopment"/>
    <s v="NONE"/>
    <m/>
    <m/>
    <m/>
    <s v="Nil"/>
    <m/>
    <s v="BF"/>
    <s v="NB"/>
    <x v="1"/>
    <x v="0"/>
    <n v="0"/>
    <m/>
    <x v="0"/>
    <m/>
    <s v="Intermediate"/>
    <s v="IU"/>
    <s v="WT9"/>
    <m/>
    <n v="0"/>
    <n v="0"/>
    <n v="0"/>
    <n v="0"/>
    <n v="0"/>
    <n v="0"/>
    <n v="0"/>
    <n v="0"/>
    <n v="0"/>
    <n v="0"/>
    <n v="24"/>
    <n v="0"/>
    <n v="0"/>
    <n v="0"/>
    <n v="0"/>
    <n v="0"/>
    <n v="0"/>
    <n v="24"/>
    <n v="0"/>
    <n v="0"/>
    <n v="0"/>
    <n v="0"/>
    <n v="0"/>
    <n v="0"/>
    <n v="0"/>
    <n v="0"/>
    <n v="0"/>
    <n v="0"/>
    <n v="0"/>
    <n v="0"/>
    <n v="0"/>
    <n v="0"/>
    <m/>
    <m/>
    <s v="Wandsworth Town, including the Wandle Delta Masterplan Area"/>
    <n v="19"/>
    <m/>
    <m/>
    <m/>
    <m/>
    <m/>
    <m/>
    <m/>
    <m/>
    <m/>
    <n v="2"/>
    <n v="2"/>
    <n v="2"/>
    <n v="2"/>
    <n v="2"/>
    <n v="2"/>
    <n v="2"/>
    <n v="2"/>
    <n v="2"/>
    <n v="2"/>
    <n v="2"/>
    <n v="0"/>
    <n v="4"/>
  </r>
  <r>
    <n v="6905"/>
    <x v="4"/>
    <m/>
    <s v="Frogmore Depot, Dormay Street"/>
    <m/>
    <n v="525428"/>
    <n v="174978"/>
    <s v="Wandsworth Town"/>
    <m/>
    <m/>
    <n v="0"/>
    <n v="112"/>
    <n v="112"/>
    <n v="172"/>
    <n v="172"/>
    <s v="Y"/>
    <s v="Redevelopment"/>
    <s v="NONE"/>
    <m/>
    <m/>
    <m/>
    <s v="Nil"/>
    <m/>
    <s v="BF"/>
    <s v="NB"/>
    <x v="1"/>
    <x v="0"/>
    <n v="0"/>
    <m/>
    <x v="0"/>
    <m/>
    <s v="Open Market"/>
    <s v="M"/>
    <s v="WT6"/>
    <m/>
    <n v="0"/>
    <n v="0"/>
    <n v="0"/>
    <n v="0"/>
    <n v="0"/>
    <n v="0"/>
    <n v="0"/>
    <n v="0"/>
    <n v="0"/>
    <n v="0"/>
    <n v="112"/>
    <n v="0"/>
    <n v="0"/>
    <n v="0"/>
    <n v="0"/>
    <n v="0"/>
    <n v="0"/>
    <n v="112"/>
    <n v="0"/>
    <n v="0"/>
    <n v="0"/>
    <n v="0"/>
    <n v="0"/>
    <n v="0"/>
    <n v="0"/>
    <n v="0"/>
    <n v="0"/>
    <n v="0"/>
    <n v="0"/>
    <n v="0"/>
    <n v="0"/>
    <n v="0"/>
    <m/>
    <m/>
    <s v="Wandsworth Town, including the Wandle Delta Masterplan Area"/>
    <n v="19"/>
    <m/>
    <m/>
    <m/>
    <m/>
    <m/>
    <n v="11.2"/>
    <n v="11.2"/>
    <n v="11.2"/>
    <n v="11.2"/>
    <n v="11.2"/>
    <n v="11.2"/>
    <n v="11.2"/>
    <n v="11.2"/>
    <n v="11.2"/>
    <n v="11.2"/>
    <m/>
    <m/>
    <m/>
    <m/>
    <m/>
    <n v="11.2"/>
    <n v="67.2"/>
  </r>
  <r>
    <n v="6905"/>
    <x v="4"/>
    <m/>
    <s v="Frogmore Depot, Dormay Street"/>
    <m/>
    <n v="525428"/>
    <n v="174978"/>
    <s v="Wandsworth Town"/>
    <m/>
    <m/>
    <n v="0"/>
    <n v="30"/>
    <n v="30"/>
    <n v="172"/>
    <n v="172"/>
    <s v="Y"/>
    <s v="Redevelopment"/>
    <s v="NONE"/>
    <m/>
    <m/>
    <m/>
    <s v="Nil"/>
    <m/>
    <s v="BF"/>
    <s v="NB"/>
    <x v="1"/>
    <x v="0"/>
    <n v="0"/>
    <m/>
    <x v="0"/>
    <m/>
    <s v="Social/Affordable Rent"/>
    <s v="AA"/>
    <s v="WT6"/>
    <m/>
    <n v="0"/>
    <n v="0"/>
    <n v="0"/>
    <n v="0"/>
    <n v="0"/>
    <n v="0"/>
    <n v="0"/>
    <n v="0"/>
    <n v="0"/>
    <n v="0"/>
    <n v="30"/>
    <n v="0"/>
    <n v="0"/>
    <n v="0"/>
    <n v="0"/>
    <n v="0"/>
    <n v="0"/>
    <n v="30"/>
    <n v="0"/>
    <n v="0"/>
    <n v="0"/>
    <n v="0"/>
    <n v="0"/>
    <n v="0"/>
    <n v="0"/>
    <n v="0"/>
    <n v="0"/>
    <n v="0"/>
    <n v="0"/>
    <n v="0"/>
    <n v="0"/>
    <n v="0"/>
    <m/>
    <m/>
    <s v="Wandsworth Town, including the Wandle Delta Masterplan Area"/>
    <n v="19"/>
    <m/>
    <m/>
    <m/>
    <m/>
    <m/>
    <n v="3"/>
    <n v="3"/>
    <n v="3"/>
    <n v="3"/>
    <n v="3"/>
    <n v="3"/>
    <n v="3"/>
    <n v="3"/>
    <n v="3"/>
    <n v="3"/>
    <m/>
    <m/>
    <m/>
    <m/>
    <m/>
    <n v="3"/>
    <n v="18"/>
  </r>
  <r>
    <n v="6905"/>
    <x v="4"/>
    <m/>
    <s v="Frogmore Depot, Dormay Street"/>
    <m/>
    <n v="525428"/>
    <n v="174978"/>
    <s v="Wandsworth Town"/>
    <m/>
    <m/>
    <n v="0"/>
    <n v="30"/>
    <n v="30"/>
    <n v="172"/>
    <n v="172"/>
    <s v="Y"/>
    <s v="Redevelopment"/>
    <s v="NONE"/>
    <m/>
    <m/>
    <m/>
    <s v="Nil"/>
    <m/>
    <s v="BF"/>
    <s v="NB"/>
    <x v="1"/>
    <x v="0"/>
    <n v="0"/>
    <m/>
    <x v="0"/>
    <m/>
    <s v="Intermediate"/>
    <s v="IU"/>
    <s v="WT6"/>
    <m/>
    <n v="0"/>
    <n v="0"/>
    <n v="0"/>
    <n v="0"/>
    <n v="0"/>
    <n v="0"/>
    <n v="0"/>
    <n v="0"/>
    <n v="0"/>
    <n v="0"/>
    <n v="30"/>
    <n v="0"/>
    <n v="0"/>
    <n v="0"/>
    <n v="0"/>
    <n v="0"/>
    <n v="0"/>
    <n v="30"/>
    <n v="0"/>
    <n v="0"/>
    <n v="0"/>
    <n v="0"/>
    <n v="0"/>
    <n v="0"/>
    <n v="0"/>
    <n v="0"/>
    <n v="0"/>
    <n v="0"/>
    <n v="0"/>
    <n v="0"/>
    <n v="0"/>
    <n v="0"/>
    <m/>
    <m/>
    <s v="Wandsworth Town, including the Wandle Delta Masterplan Area"/>
    <n v="19"/>
    <m/>
    <m/>
    <m/>
    <m/>
    <m/>
    <n v="3"/>
    <n v="3"/>
    <n v="3"/>
    <n v="3"/>
    <n v="3"/>
    <n v="3"/>
    <n v="3"/>
    <n v="3"/>
    <n v="3"/>
    <n v="3"/>
    <m/>
    <m/>
    <m/>
    <m/>
    <m/>
    <n v="3"/>
    <n v="18"/>
  </r>
  <r>
    <n v="6874"/>
    <x v="4"/>
    <m/>
    <s v="Gartons Industrial Estate, Gartons Way"/>
    <m/>
    <n v="526442"/>
    <n v="175680"/>
    <s v="St Mary's"/>
    <m/>
    <m/>
    <n v="0"/>
    <n v="50"/>
    <n v="50"/>
    <n v="77"/>
    <n v="77"/>
    <s v="Y"/>
    <s v="Redevelopment"/>
    <s v="NONE"/>
    <m/>
    <m/>
    <m/>
    <s v="Nil"/>
    <m/>
    <s v="BF"/>
    <s v="NB"/>
    <x v="1"/>
    <x v="0"/>
    <n v="0"/>
    <m/>
    <x v="0"/>
    <m/>
    <s v="Open Market"/>
    <s v="M"/>
    <s v="RIV4"/>
    <m/>
    <n v="0"/>
    <n v="0"/>
    <n v="0"/>
    <n v="0"/>
    <n v="0"/>
    <n v="0"/>
    <n v="0"/>
    <n v="0"/>
    <n v="0"/>
    <n v="0"/>
    <n v="50"/>
    <n v="0"/>
    <n v="0"/>
    <n v="0"/>
    <n v="0"/>
    <n v="0"/>
    <n v="0"/>
    <n v="50"/>
    <n v="0"/>
    <n v="0"/>
    <n v="0"/>
    <n v="0"/>
    <n v="0"/>
    <n v="0"/>
    <n v="0"/>
    <n v="0"/>
    <n v="0"/>
    <n v="0"/>
    <n v="0"/>
    <n v="0"/>
    <n v="0"/>
    <n v="0"/>
    <m/>
    <m/>
    <s v="Wandsworth riverside"/>
    <n v="19"/>
    <m/>
    <m/>
    <m/>
    <m/>
    <m/>
    <n v="3.125"/>
    <n v="3.125"/>
    <n v="3.125"/>
    <n v="3.125"/>
    <n v="3.125"/>
    <n v="3.125"/>
    <n v="3.125"/>
    <n v="3.125"/>
    <n v="3.125"/>
    <n v="3.125"/>
    <n v="3.125"/>
    <n v="3.125"/>
    <n v="3.125"/>
    <n v="3.125"/>
    <n v="3.125"/>
    <n v="3.125"/>
    <n v="18.75"/>
  </r>
  <r>
    <n v="6874"/>
    <x v="4"/>
    <m/>
    <s v="Gartons Industrial Estate, Gartons Way"/>
    <m/>
    <n v="526442"/>
    <n v="175680"/>
    <s v="St Mary's"/>
    <m/>
    <m/>
    <n v="0"/>
    <n v="14"/>
    <n v="14"/>
    <n v="77"/>
    <n v="77"/>
    <s v="Y"/>
    <s v="Redevelopment"/>
    <s v="NONE"/>
    <m/>
    <m/>
    <m/>
    <s v="Nil"/>
    <m/>
    <s v="BF"/>
    <s v="NB"/>
    <x v="1"/>
    <x v="0"/>
    <n v="0"/>
    <m/>
    <x v="0"/>
    <m/>
    <s v="Social/Affordable Rent"/>
    <s v="AA"/>
    <s v="RIV4"/>
    <m/>
    <n v="0"/>
    <n v="0"/>
    <n v="0"/>
    <n v="0"/>
    <n v="0"/>
    <n v="0"/>
    <n v="0"/>
    <n v="0"/>
    <n v="0"/>
    <n v="0"/>
    <n v="14"/>
    <n v="0"/>
    <n v="0"/>
    <n v="0"/>
    <n v="0"/>
    <n v="0"/>
    <n v="0"/>
    <n v="14"/>
    <n v="0"/>
    <n v="0"/>
    <n v="0"/>
    <n v="0"/>
    <n v="0"/>
    <n v="0"/>
    <n v="0"/>
    <n v="0"/>
    <n v="0"/>
    <n v="0"/>
    <n v="0"/>
    <n v="0"/>
    <n v="0"/>
    <n v="0"/>
    <m/>
    <m/>
    <s v="Wandsworth riverside"/>
    <n v="19"/>
    <m/>
    <m/>
    <m/>
    <m/>
    <m/>
    <n v="0.875"/>
    <n v="0.875"/>
    <n v="0.875"/>
    <n v="0.875"/>
    <n v="0.875"/>
    <n v="0.875"/>
    <n v="0.875"/>
    <n v="0.875"/>
    <n v="0.875"/>
    <n v="0.875"/>
    <n v="0.875"/>
    <n v="0.875"/>
    <n v="0.875"/>
    <n v="0.875"/>
    <n v="0.875"/>
    <n v="0.875"/>
    <n v="5.25"/>
  </r>
  <r>
    <n v="6874"/>
    <x v="4"/>
    <m/>
    <s v="Gartons Industrial Estate, Gartons Way"/>
    <m/>
    <n v="526442"/>
    <n v="175680"/>
    <s v="St Mary's"/>
    <m/>
    <m/>
    <n v="0"/>
    <n v="13"/>
    <n v="13"/>
    <n v="77"/>
    <n v="77"/>
    <s v="Y"/>
    <s v="Redevelopment"/>
    <s v="NONE"/>
    <m/>
    <m/>
    <m/>
    <s v="Nil"/>
    <m/>
    <s v="BF"/>
    <s v="NB"/>
    <x v="1"/>
    <x v="0"/>
    <n v="0"/>
    <m/>
    <x v="0"/>
    <m/>
    <s v="Intermediate"/>
    <s v="IU"/>
    <s v="RIV4"/>
    <m/>
    <n v="0"/>
    <n v="0"/>
    <n v="0"/>
    <n v="0"/>
    <n v="0"/>
    <n v="0"/>
    <n v="0"/>
    <n v="0"/>
    <n v="0"/>
    <n v="0"/>
    <n v="13"/>
    <n v="0"/>
    <n v="0"/>
    <n v="0"/>
    <n v="0"/>
    <n v="0"/>
    <n v="0"/>
    <n v="13"/>
    <n v="0"/>
    <n v="0"/>
    <n v="0"/>
    <n v="0"/>
    <n v="0"/>
    <n v="0"/>
    <n v="0"/>
    <n v="0"/>
    <n v="0"/>
    <n v="0"/>
    <n v="0"/>
    <n v="0"/>
    <n v="0"/>
    <n v="0"/>
    <m/>
    <m/>
    <s v="Wandsworth riverside"/>
    <n v="19"/>
    <m/>
    <m/>
    <m/>
    <m/>
    <m/>
    <n v="0.8125"/>
    <n v="0.8125"/>
    <n v="0.8125"/>
    <n v="0.8125"/>
    <n v="0.8125"/>
    <n v="0.8125"/>
    <n v="0.8125"/>
    <n v="0.8125"/>
    <n v="0.8125"/>
    <n v="0.8125"/>
    <n v="0.8125"/>
    <n v="0.8125"/>
    <n v="0.8125"/>
    <n v="0.8125"/>
    <n v="0.8125"/>
    <n v="0.8125"/>
    <n v="4.875"/>
  </r>
  <r>
    <n v="6892"/>
    <x v="4"/>
    <m/>
    <s v="Hunts Trucks and adjoining gasholder, Armoury Way"/>
    <m/>
    <n v="525690"/>
    <n v="174971"/>
    <s v="Wandsworth Town"/>
    <m/>
    <m/>
    <n v="0"/>
    <n v="300"/>
    <n v="300"/>
    <n v="462"/>
    <n v="462"/>
    <s v="Y"/>
    <s v="Redevelopment"/>
    <s v="NONE"/>
    <m/>
    <m/>
    <m/>
    <s v="Nil"/>
    <m/>
    <s v="BF"/>
    <s v="NB"/>
    <x v="1"/>
    <x v="0"/>
    <n v="0"/>
    <m/>
    <x v="0"/>
    <m/>
    <s v="Open Market"/>
    <s v="M"/>
    <s v="WT4"/>
    <m/>
    <n v="0"/>
    <n v="0"/>
    <n v="0"/>
    <n v="0"/>
    <n v="0"/>
    <n v="0"/>
    <n v="0"/>
    <n v="0"/>
    <n v="0"/>
    <n v="0"/>
    <n v="300"/>
    <n v="0"/>
    <n v="0"/>
    <n v="0"/>
    <n v="0"/>
    <n v="0"/>
    <n v="0"/>
    <n v="300"/>
    <n v="0"/>
    <n v="0"/>
    <n v="0"/>
    <n v="0"/>
    <n v="0"/>
    <n v="0"/>
    <n v="0"/>
    <n v="0"/>
    <n v="0"/>
    <n v="0"/>
    <n v="0"/>
    <n v="0"/>
    <n v="0"/>
    <n v="0"/>
    <m/>
    <m/>
    <s v="Wandsworth Town, including the Wandle Delta Masterplan Area"/>
    <n v="19"/>
    <m/>
    <m/>
    <m/>
    <n v="30"/>
    <n v="30"/>
    <n v="30"/>
    <n v="30"/>
    <n v="30"/>
    <n v="30"/>
    <n v="30"/>
    <n v="30"/>
    <n v="30"/>
    <n v="30"/>
    <m/>
    <m/>
    <m/>
    <m/>
    <m/>
    <m/>
    <m/>
    <n v="90"/>
    <n v="240"/>
  </r>
  <r>
    <n v="6892"/>
    <x v="4"/>
    <m/>
    <s v="Hunts Trucks and adjoining gasholder, Armoury Way"/>
    <m/>
    <n v="525690"/>
    <n v="174971"/>
    <s v="Wandsworth Town"/>
    <m/>
    <m/>
    <n v="0"/>
    <n v="81"/>
    <n v="81"/>
    <n v="462"/>
    <n v="462"/>
    <s v="Y"/>
    <s v="Redevelopment"/>
    <s v="NONE"/>
    <m/>
    <m/>
    <m/>
    <s v="Nil"/>
    <m/>
    <s v="BF"/>
    <s v="NB"/>
    <x v="1"/>
    <x v="0"/>
    <n v="0"/>
    <m/>
    <x v="0"/>
    <m/>
    <s v="Social/Affordable Rent"/>
    <s v="AA"/>
    <s v="WT4"/>
    <m/>
    <n v="0"/>
    <n v="0"/>
    <n v="0"/>
    <n v="0"/>
    <n v="0"/>
    <n v="0"/>
    <n v="0"/>
    <n v="0"/>
    <n v="0"/>
    <n v="0"/>
    <n v="81"/>
    <n v="0"/>
    <n v="0"/>
    <n v="0"/>
    <n v="0"/>
    <n v="0"/>
    <n v="0"/>
    <n v="81"/>
    <n v="0"/>
    <n v="0"/>
    <n v="0"/>
    <n v="0"/>
    <n v="0"/>
    <n v="0"/>
    <n v="0"/>
    <n v="0"/>
    <n v="0"/>
    <n v="0"/>
    <n v="0"/>
    <n v="0"/>
    <n v="0"/>
    <n v="0"/>
    <m/>
    <m/>
    <s v="Wandsworth Town, including the Wandle Delta Masterplan Area"/>
    <n v="19"/>
    <m/>
    <m/>
    <m/>
    <n v="8.1"/>
    <n v="8.1"/>
    <n v="8.1"/>
    <n v="8.1"/>
    <n v="8.1"/>
    <n v="8.1"/>
    <n v="8.1"/>
    <n v="8.1"/>
    <n v="8.1"/>
    <n v="8.1"/>
    <m/>
    <m/>
    <m/>
    <m/>
    <m/>
    <m/>
    <m/>
    <n v="24.299999999999997"/>
    <n v="64.8"/>
  </r>
  <r>
    <n v="6892"/>
    <x v="4"/>
    <m/>
    <s v="Hunts Trucks and adjoining gasholder, Armoury Way"/>
    <m/>
    <n v="525690"/>
    <n v="174971"/>
    <s v="Wandsworth Town"/>
    <m/>
    <m/>
    <n v="0"/>
    <n v="81"/>
    <n v="81"/>
    <n v="462"/>
    <n v="462"/>
    <s v="Y"/>
    <s v="Redevelopment"/>
    <s v="NONE"/>
    <m/>
    <m/>
    <m/>
    <s v="Nil"/>
    <m/>
    <s v="BF"/>
    <s v="NB"/>
    <x v="1"/>
    <x v="0"/>
    <n v="0"/>
    <m/>
    <x v="0"/>
    <m/>
    <s v="Intermediate"/>
    <s v="IU"/>
    <s v="WT4"/>
    <m/>
    <n v="0"/>
    <n v="0"/>
    <n v="0"/>
    <n v="0"/>
    <n v="0"/>
    <n v="0"/>
    <n v="0"/>
    <n v="0"/>
    <n v="0"/>
    <n v="0"/>
    <n v="81"/>
    <n v="0"/>
    <n v="0"/>
    <n v="0"/>
    <n v="0"/>
    <n v="0"/>
    <n v="0"/>
    <n v="81"/>
    <n v="0"/>
    <n v="0"/>
    <n v="0"/>
    <n v="0"/>
    <n v="0"/>
    <n v="0"/>
    <n v="0"/>
    <n v="0"/>
    <n v="0"/>
    <n v="0"/>
    <n v="0"/>
    <n v="0"/>
    <n v="0"/>
    <n v="0"/>
    <m/>
    <m/>
    <s v="Wandsworth Town, including the Wandle Delta Masterplan Area"/>
    <n v="19"/>
    <m/>
    <m/>
    <m/>
    <n v="8.1"/>
    <n v="8.1"/>
    <n v="8.1"/>
    <n v="8.1"/>
    <n v="8.1"/>
    <n v="8.1"/>
    <n v="8.1"/>
    <n v="8.1"/>
    <n v="8.1"/>
    <n v="8.1"/>
    <m/>
    <m/>
    <m/>
    <m/>
    <m/>
    <m/>
    <m/>
    <n v="24.299999999999997"/>
    <n v="64.8"/>
  </r>
  <r>
    <n v="6901"/>
    <x v="4"/>
    <m/>
    <s v="Jubilee House and cinema, 230-232 Putney Bridge Road"/>
    <m/>
    <n v="524170"/>
    <n v="175517"/>
    <s v="Thamesfield"/>
    <m/>
    <m/>
    <n v="0"/>
    <n v="5"/>
    <n v="5"/>
    <n v="5"/>
    <n v="5"/>
    <m/>
    <s v="Redevelopment"/>
    <s v="NONE"/>
    <m/>
    <m/>
    <m/>
    <s v="Nil"/>
    <m/>
    <s v="BF"/>
    <s v="NB"/>
    <x v="2"/>
    <x v="3"/>
    <n v="0"/>
    <m/>
    <x v="0"/>
    <m/>
    <s v="Open Market"/>
    <s v="M"/>
    <s v="PUT2"/>
    <m/>
    <n v="0"/>
    <n v="0"/>
    <n v="0"/>
    <n v="0"/>
    <n v="0"/>
    <n v="0"/>
    <n v="0"/>
    <n v="0"/>
    <n v="0"/>
    <n v="0"/>
    <n v="5"/>
    <n v="0"/>
    <n v="0"/>
    <n v="0"/>
    <n v="0"/>
    <n v="0"/>
    <n v="0"/>
    <n v="5"/>
    <n v="0"/>
    <n v="0"/>
    <n v="0"/>
    <n v="0"/>
    <n v="0"/>
    <n v="0"/>
    <n v="0"/>
    <n v="0"/>
    <n v="0"/>
    <n v="0"/>
    <n v="0"/>
    <n v="0"/>
    <n v="0"/>
    <n v="0"/>
    <s v="Putney"/>
    <m/>
    <s v="Putney Town Centre"/>
    <n v="19"/>
    <m/>
    <m/>
    <m/>
    <m/>
    <m/>
    <m/>
    <m/>
    <m/>
    <m/>
    <n v="0.41666666666666669"/>
    <n v="0.41666666666666669"/>
    <n v="0.41666666666666669"/>
    <n v="0.41666666666666669"/>
    <n v="0.41666666666666669"/>
    <n v="0.41666666666666669"/>
    <n v="0.41666666666666669"/>
    <n v="0.41666666666666669"/>
    <n v="0.41666666666666669"/>
    <n v="0.41666666666666669"/>
    <n v="0.41666666666666669"/>
    <n v="0"/>
    <n v="0.83333333333333337"/>
  </r>
  <r>
    <n v="6893"/>
    <x v="4"/>
    <m/>
    <s v="Keltbray Site Wentworth House and adjacent land at, Dormay Street"/>
    <m/>
    <n v="525561"/>
    <n v="174936"/>
    <s v="Wandsworth Town"/>
    <m/>
    <m/>
    <n v="0"/>
    <n v="20"/>
    <n v="20"/>
    <n v="31"/>
    <n v="31"/>
    <s v="Y"/>
    <s v="Redevelopment"/>
    <s v="NONE"/>
    <m/>
    <m/>
    <m/>
    <s v="Nil"/>
    <m/>
    <s v="BF"/>
    <s v="NB"/>
    <x v="1"/>
    <x v="0"/>
    <n v="0"/>
    <m/>
    <x v="0"/>
    <m/>
    <s v="Open Market"/>
    <s v="M"/>
    <s v="WT5"/>
    <m/>
    <n v="0"/>
    <n v="0"/>
    <n v="0"/>
    <n v="0"/>
    <n v="0"/>
    <n v="0"/>
    <n v="0"/>
    <n v="0"/>
    <n v="0"/>
    <n v="0"/>
    <n v="20"/>
    <n v="0"/>
    <n v="0"/>
    <n v="0"/>
    <n v="0"/>
    <n v="0"/>
    <n v="0"/>
    <n v="20"/>
    <n v="0"/>
    <n v="0"/>
    <n v="0"/>
    <n v="0"/>
    <n v="0"/>
    <n v="0"/>
    <n v="0"/>
    <n v="0"/>
    <n v="0"/>
    <n v="0"/>
    <n v="0"/>
    <n v="0"/>
    <n v="0"/>
    <n v="0"/>
    <m/>
    <m/>
    <s v="Wandsworth Town, including the Wandle Delta Masterplan Area"/>
    <n v="19"/>
    <m/>
    <m/>
    <m/>
    <m/>
    <m/>
    <n v="1.25"/>
    <n v="1.25"/>
    <n v="1.25"/>
    <n v="1.25"/>
    <n v="1.25"/>
    <n v="1.25"/>
    <n v="1.25"/>
    <n v="1.25"/>
    <n v="1.25"/>
    <n v="1.25"/>
    <n v="1.25"/>
    <n v="1.25"/>
    <n v="1.25"/>
    <n v="1.25"/>
    <n v="1.25"/>
    <n v="1.25"/>
    <n v="7.5"/>
  </r>
  <r>
    <n v="6893"/>
    <x v="4"/>
    <m/>
    <s v="Keltbray Site Wentworth House and adjacent land at, Dormay Street"/>
    <m/>
    <n v="525561"/>
    <n v="174936"/>
    <s v="Wandsworth Town"/>
    <m/>
    <m/>
    <n v="0"/>
    <n v="6"/>
    <n v="6"/>
    <n v="31"/>
    <n v="31"/>
    <s v="Y"/>
    <s v="Redevelopment"/>
    <s v="NONE"/>
    <m/>
    <m/>
    <m/>
    <s v="Nil"/>
    <m/>
    <s v="BF"/>
    <s v="NB"/>
    <x v="1"/>
    <x v="0"/>
    <n v="0"/>
    <m/>
    <x v="0"/>
    <m/>
    <s v="Social/Affordable Rent"/>
    <s v="AA"/>
    <s v="WT5"/>
    <m/>
    <n v="0"/>
    <n v="0"/>
    <n v="0"/>
    <n v="0"/>
    <n v="0"/>
    <n v="0"/>
    <n v="0"/>
    <n v="0"/>
    <n v="0"/>
    <n v="0"/>
    <n v="6"/>
    <n v="0"/>
    <n v="0"/>
    <n v="0"/>
    <n v="0"/>
    <n v="0"/>
    <n v="0"/>
    <n v="6"/>
    <n v="0"/>
    <n v="0"/>
    <n v="0"/>
    <n v="0"/>
    <n v="0"/>
    <n v="0"/>
    <n v="0"/>
    <n v="0"/>
    <n v="0"/>
    <n v="0"/>
    <n v="0"/>
    <n v="0"/>
    <n v="0"/>
    <n v="0"/>
    <m/>
    <m/>
    <s v="Wandsworth Town, including the Wandle Delta Masterplan Area"/>
    <n v="19"/>
    <m/>
    <m/>
    <m/>
    <m/>
    <m/>
    <n v="0.375"/>
    <n v="0.375"/>
    <n v="0.375"/>
    <n v="0.375"/>
    <n v="0.375"/>
    <n v="0.375"/>
    <n v="0.375"/>
    <n v="0.375"/>
    <n v="0.375"/>
    <n v="0.375"/>
    <n v="0.375"/>
    <n v="0.375"/>
    <n v="0.375"/>
    <n v="0.375"/>
    <n v="0.375"/>
    <n v="0.375"/>
    <n v="2.25"/>
  </r>
  <r>
    <n v="6893"/>
    <x v="4"/>
    <m/>
    <s v="Keltbray Site Wentworth House and adjacent land at, Dormay Street"/>
    <m/>
    <n v="525561"/>
    <n v="174936"/>
    <s v="Wandsworth Town"/>
    <m/>
    <m/>
    <n v="0"/>
    <n v="5"/>
    <n v="5"/>
    <n v="31"/>
    <n v="31"/>
    <s v="Y"/>
    <s v="Redevelopment"/>
    <s v="NONE"/>
    <m/>
    <m/>
    <m/>
    <s v="Nil"/>
    <m/>
    <s v="BF"/>
    <s v="NB"/>
    <x v="1"/>
    <x v="0"/>
    <n v="0"/>
    <m/>
    <x v="0"/>
    <m/>
    <s v="Intermediate"/>
    <s v="IU"/>
    <s v="WT5"/>
    <m/>
    <n v="0"/>
    <n v="0"/>
    <n v="0"/>
    <n v="0"/>
    <n v="0"/>
    <n v="0"/>
    <n v="0"/>
    <n v="0"/>
    <n v="0"/>
    <n v="0"/>
    <n v="5"/>
    <n v="0"/>
    <n v="0"/>
    <n v="0"/>
    <n v="0"/>
    <n v="0"/>
    <n v="0"/>
    <n v="5"/>
    <n v="0"/>
    <n v="0"/>
    <n v="0"/>
    <n v="0"/>
    <n v="0"/>
    <n v="0"/>
    <n v="0"/>
    <n v="0"/>
    <n v="0"/>
    <n v="0"/>
    <n v="0"/>
    <n v="0"/>
    <n v="0"/>
    <n v="0"/>
    <m/>
    <m/>
    <s v="Wandsworth Town, including the Wandle Delta Masterplan Area"/>
    <n v="19"/>
    <m/>
    <m/>
    <m/>
    <m/>
    <m/>
    <n v="0.3125"/>
    <n v="0.3125"/>
    <n v="0.3125"/>
    <n v="0.3125"/>
    <n v="0.3125"/>
    <n v="0.3125"/>
    <n v="0.3125"/>
    <n v="0.3125"/>
    <n v="0.3125"/>
    <n v="0.3125"/>
    <n v="0.3125"/>
    <n v="0.3125"/>
    <n v="0.3125"/>
    <n v="0.3125"/>
    <n v="0.3125"/>
    <n v="0.3125"/>
    <n v="1.875"/>
  </r>
  <r>
    <n v="7542"/>
    <x v="4"/>
    <m/>
    <s v="Land adjacent to 102 Roehampton Vale, SW15 3RX"/>
    <m/>
    <n v="521741"/>
    <n v="172550"/>
    <s v="Roehampton"/>
    <m/>
    <m/>
    <n v="0"/>
    <n v="2"/>
    <n v="2"/>
    <n v="2"/>
    <n v="2"/>
    <m/>
    <s v="Redevelopment"/>
    <s v="NONE"/>
    <m/>
    <m/>
    <m/>
    <s v="Nil"/>
    <m/>
    <s v="BF"/>
    <s v="NB"/>
    <x v="2"/>
    <x v="3"/>
    <n v="0"/>
    <m/>
    <x v="0"/>
    <m/>
    <s v="Open Market"/>
    <s v="M"/>
    <m/>
    <m/>
    <n v="0"/>
    <n v="0"/>
    <n v="0"/>
    <n v="0"/>
    <n v="0"/>
    <n v="0"/>
    <n v="0"/>
    <n v="0"/>
    <n v="0"/>
    <n v="0"/>
    <n v="2"/>
    <n v="0"/>
    <n v="0"/>
    <n v="0"/>
    <n v="0"/>
    <n v="0"/>
    <n v="0"/>
    <n v="2"/>
    <n v="0"/>
    <n v="0"/>
    <n v="0"/>
    <n v="0"/>
    <n v="0"/>
    <n v="0"/>
    <n v="0"/>
    <n v="0"/>
    <n v="0"/>
    <n v="0"/>
    <n v="0"/>
    <n v="0"/>
    <n v="0"/>
    <n v="0"/>
    <m/>
    <m/>
    <s v="Rest of Borough"/>
    <n v="19"/>
    <m/>
    <m/>
    <m/>
    <m/>
    <m/>
    <n v="2"/>
    <m/>
    <m/>
    <m/>
    <m/>
    <m/>
    <m/>
    <m/>
    <m/>
    <m/>
    <m/>
    <m/>
    <m/>
    <m/>
    <m/>
    <n v="2"/>
    <n v="2"/>
  </r>
  <r>
    <n v="4484"/>
    <x v="4"/>
    <m/>
    <s v="Land at Clapham Junction station, SW11"/>
    <m/>
    <n v="526998.49629999895"/>
    <n v="175370.1955"/>
    <s v="Falconbrook"/>
    <m/>
    <m/>
    <n v="0"/>
    <n v="54"/>
    <n v="54"/>
    <n v="83"/>
    <n v="83"/>
    <s v="Y"/>
    <s v="Redevelopment"/>
    <s v="NONE"/>
    <m/>
    <m/>
    <m/>
    <s v="Nil"/>
    <m/>
    <s v="BF"/>
    <s v="NB"/>
    <x v="1"/>
    <x v="0"/>
    <n v="0"/>
    <m/>
    <x v="0"/>
    <m/>
    <s v="Open Market"/>
    <s v="M"/>
    <s v="CJ4"/>
    <m/>
    <n v="0"/>
    <n v="0"/>
    <n v="0"/>
    <n v="0"/>
    <n v="0"/>
    <n v="0"/>
    <n v="0"/>
    <n v="0"/>
    <n v="0"/>
    <n v="0"/>
    <n v="54"/>
    <n v="0"/>
    <n v="0"/>
    <n v="0"/>
    <n v="0"/>
    <n v="0"/>
    <n v="0"/>
    <n v="54"/>
    <n v="0"/>
    <n v="0"/>
    <n v="0"/>
    <n v="0"/>
    <n v="0"/>
    <n v="0"/>
    <n v="0"/>
    <n v="0"/>
    <n v="0"/>
    <n v="0"/>
    <n v="0"/>
    <n v="0"/>
    <n v="0"/>
    <n v="0"/>
    <m/>
    <m/>
    <s v="Clapham Junction Spatial Area Strategy"/>
    <n v="19"/>
    <m/>
    <m/>
    <m/>
    <m/>
    <m/>
    <m/>
    <m/>
    <m/>
    <m/>
    <m/>
    <m/>
    <m/>
    <m/>
    <m/>
    <n v="7.7142857142857144"/>
    <n v="7.7142857142857144"/>
    <n v="7.7142857142857144"/>
    <n v="7.7142857142857144"/>
    <n v="7.7142857142857144"/>
    <n v="7.7142857142857144"/>
    <n v="0"/>
    <n v="0"/>
  </r>
  <r>
    <n v="4484"/>
    <x v="4"/>
    <m/>
    <s v="Land at Clapham Junction station, SW11"/>
    <m/>
    <n v="526998.49629999895"/>
    <n v="175370.1955"/>
    <s v="Falconbrook"/>
    <m/>
    <m/>
    <n v="0"/>
    <n v="15"/>
    <n v="15"/>
    <n v="83"/>
    <n v="83"/>
    <s v="Y"/>
    <s v="Redevelopment"/>
    <s v="NONE"/>
    <m/>
    <m/>
    <m/>
    <s v="Nil"/>
    <m/>
    <s v="BF"/>
    <s v="NB"/>
    <x v="1"/>
    <x v="0"/>
    <n v="0"/>
    <m/>
    <x v="0"/>
    <m/>
    <s v="Social/Affordable Rent"/>
    <s v="AA"/>
    <s v="CJ4"/>
    <m/>
    <n v="0"/>
    <n v="0"/>
    <n v="0"/>
    <n v="0"/>
    <n v="0"/>
    <n v="0"/>
    <n v="0"/>
    <n v="0"/>
    <n v="0"/>
    <n v="0"/>
    <n v="15"/>
    <n v="0"/>
    <n v="0"/>
    <n v="0"/>
    <n v="0"/>
    <n v="0"/>
    <n v="0"/>
    <n v="15"/>
    <n v="0"/>
    <n v="0"/>
    <n v="0"/>
    <n v="0"/>
    <n v="0"/>
    <n v="0"/>
    <n v="0"/>
    <n v="0"/>
    <n v="0"/>
    <n v="0"/>
    <n v="0"/>
    <n v="0"/>
    <n v="0"/>
    <n v="0"/>
    <m/>
    <m/>
    <s v="Clapham Junction Spatial Area Strategy"/>
    <n v="19"/>
    <m/>
    <m/>
    <m/>
    <m/>
    <m/>
    <m/>
    <m/>
    <m/>
    <m/>
    <m/>
    <m/>
    <m/>
    <m/>
    <m/>
    <n v="2.1428571428571428"/>
    <n v="2.1428571428571428"/>
    <n v="2.1428571428571428"/>
    <n v="2.1428571428571428"/>
    <n v="2.1428571428571428"/>
    <n v="2.1428571428571428"/>
    <n v="0"/>
    <n v="0"/>
  </r>
  <r>
    <n v="4484"/>
    <x v="4"/>
    <m/>
    <s v="Land at Clapham Junction station, SW11"/>
    <m/>
    <n v="526998.49629999895"/>
    <n v="175370.1955"/>
    <s v="Falconbrook"/>
    <m/>
    <m/>
    <n v="0"/>
    <n v="14"/>
    <n v="14"/>
    <n v="83"/>
    <n v="83"/>
    <s v="Y"/>
    <s v="Redevelopment"/>
    <s v="NONE"/>
    <m/>
    <m/>
    <m/>
    <s v="Nil"/>
    <m/>
    <s v="BF"/>
    <s v="NB"/>
    <x v="1"/>
    <x v="0"/>
    <n v="0"/>
    <m/>
    <x v="0"/>
    <m/>
    <s v="Intermediate"/>
    <s v="IU"/>
    <s v="CJ4"/>
    <m/>
    <n v="0"/>
    <n v="0"/>
    <n v="0"/>
    <n v="0"/>
    <n v="0"/>
    <n v="0"/>
    <n v="0"/>
    <n v="0"/>
    <n v="0"/>
    <n v="0"/>
    <n v="14"/>
    <n v="0"/>
    <n v="0"/>
    <n v="0"/>
    <n v="0"/>
    <n v="0"/>
    <n v="0"/>
    <n v="14"/>
    <n v="0"/>
    <n v="0"/>
    <n v="0"/>
    <n v="0"/>
    <n v="0"/>
    <n v="0"/>
    <n v="0"/>
    <n v="0"/>
    <n v="0"/>
    <n v="0"/>
    <n v="0"/>
    <n v="0"/>
    <n v="0"/>
    <n v="0"/>
    <m/>
    <m/>
    <s v="Clapham Junction Spatial Area Strategy"/>
    <n v="19"/>
    <m/>
    <m/>
    <m/>
    <m/>
    <m/>
    <m/>
    <m/>
    <m/>
    <m/>
    <m/>
    <m/>
    <m/>
    <m/>
    <m/>
    <n v="2"/>
    <n v="2"/>
    <n v="2"/>
    <n v="2"/>
    <n v="2"/>
    <n v="2"/>
    <n v="0"/>
    <n v="0"/>
  </r>
  <r>
    <n v="6896"/>
    <x v="4"/>
    <m/>
    <s v="Land at the Causeway, The Causeway"/>
    <m/>
    <n v="525597"/>
    <n v="175113"/>
    <s v="St Mary's"/>
    <m/>
    <m/>
    <n v="0"/>
    <n v="23"/>
    <n v="23"/>
    <n v="36"/>
    <n v="36"/>
    <s v="Y"/>
    <s v="Redevelopment"/>
    <s v="NONE"/>
    <m/>
    <m/>
    <m/>
    <s v="Nil"/>
    <m/>
    <s v="BF"/>
    <s v="NB"/>
    <x v="1"/>
    <x v="0"/>
    <n v="0"/>
    <m/>
    <x v="0"/>
    <m/>
    <s v="Open Market"/>
    <s v="M"/>
    <s v="WT10"/>
    <m/>
    <n v="0"/>
    <n v="0"/>
    <n v="0"/>
    <n v="0"/>
    <n v="0"/>
    <n v="0"/>
    <n v="0"/>
    <n v="0"/>
    <n v="0"/>
    <n v="0"/>
    <n v="23"/>
    <n v="0"/>
    <n v="0"/>
    <n v="0"/>
    <n v="0"/>
    <n v="0"/>
    <n v="0"/>
    <n v="23"/>
    <n v="0"/>
    <n v="0"/>
    <n v="0"/>
    <n v="0"/>
    <n v="0"/>
    <n v="0"/>
    <n v="0"/>
    <n v="0"/>
    <n v="0"/>
    <n v="0"/>
    <n v="0"/>
    <n v="0"/>
    <n v="0"/>
    <n v="0"/>
    <m/>
    <m/>
    <s v="Wandsworth Town, including the Wandle Delta Masterplan Area"/>
    <n v="19"/>
    <m/>
    <m/>
    <m/>
    <m/>
    <m/>
    <m/>
    <m/>
    <m/>
    <m/>
    <m/>
    <m/>
    <m/>
    <m/>
    <m/>
    <n v="3.2857142857142856"/>
    <n v="3.2857142857142856"/>
    <n v="3.2857142857142856"/>
    <n v="3.2857142857142856"/>
    <n v="3.2857142857142856"/>
    <n v="3.2857142857142856"/>
    <n v="0"/>
    <n v="0"/>
  </r>
  <r>
    <n v="6896"/>
    <x v="4"/>
    <m/>
    <s v="Land at the Causeway, The Causeway"/>
    <m/>
    <n v="525597"/>
    <n v="175113"/>
    <s v="St Mary's"/>
    <m/>
    <m/>
    <n v="0"/>
    <n v="7"/>
    <n v="7"/>
    <n v="36"/>
    <n v="36"/>
    <s v="Y"/>
    <s v="Redevelopment"/>
    <s v="NONE"/>
    <m/>
    <m/>
    <m/>
    <s v="Nil"/>
    <m/>
    <s v="BF"/>
    <s v="NB"/>
    <x v="1"/>
    <x v="0"/>
    <n v="0"/>
    <m/>
    <x v="0"/>
    <m/>
    <s v="Social/Affordable Rent"/>
    <s v="AA"/>
    <s v="WT10"/>
    <m/>
    <n v="0"/>
    <n v="0"/>
    <n v="0"/>
    <n v="0"/>
    <n v="0"/>
    <n v="0"/>
    <n v="0"/>
    <n v="0"/>
    <n v="0"/>
    <n v="0"/>
    <n v="7"/>
    <n v="0"/>
    <n v="0"/>
    <n v="0"/>
    <n v="0"/>
    <n v="0"/>
    <n v="0"/>
    <n v="7"/>
    <n v="0"/>
    <n v="0"/>
    <n v="0"/>
    <n v="0"/>
    <n v="0"/>
    <n v="0"/>
    <n v="0"/>
    <n v="0"/>
    <n v="0"/>
    <n v="0"/>
    <n v="0"/>
    <n v="0"/>
    <n v="0"/>
    <n v="0"/>
    <m/>
    <m/>
    <s v="Wandsworth Town, including the Wandle Delta Masterplan Area"/>
    <n v="19"/>
    <m/>
    <m/>
    <m/>
    <m/>
    <m/>
    <m/>
    <m/>
    <m/>
    <m/>
    <m/>
    <m/>
    <m/>
    <m/>
    <m/>
    <n v="1"/>
    <n v="1"/>
    <n v="1"/>
    <n v="1"/>
    <n v="1"/>
    <n v="1"/>
    <n v="0"/>
    <n v="0"/>
  </r>
  <r>
    <n v="6896"/>
    <x v="4"/>
    <m/>
    <s v="Land at the Causeway, The Causeway"/>
    <m/>
    <n v="525597"/>
    <n v="175113"/>
    <s v="St Mary's"/>
    <m/>
    <m/>
    <n v="0"/>
    <n v="6"/>
    <n v="6"/>
    <n v="36"/>
    <n v="36"/>
    <s v="Y"/>
    <s v="Redevelopment"/>
    <s v="NONE"/>
    <m/>
    <m/>
    <m/>
    <s v="Nil"/>
    <m/>
    <s v="BF"/>
    <s v="NB"/>
    <x v="1"/>
    <x v="0"/>
    <n v="0"/>
    <m/>
    <x v="0"/>
    <m/>
    <s v="Intermediate"/>
    <s v="IU"/>
    <s v="WT10"/>
    <m/>
    <n v="0"/>
    <n v="0"/>
    <n v="0"/>
    <n v="0"/>
    <n v="0"/>
    <n v="0"/>
    <n v="0"/>
    <n v="0"/>
    <n v="0"/>
    <n v="0"/>
    <n v="6"/>
    <n v="0"/>
    <n v="0"/>
    <n v="0"/>
    <n v="0"/>
    <n v="0"/>
    <n v="0"/>
    <n v="6"/>
    <n v="0"/>
    <n v="0"/>
    <n v="0"/>
    <n v="0"/>
    <n v="0"/>
    <n v="0"/>
    <n v="0"/>
    <n v="0"/>
    <n v="0"/>
    <n v="0"/>
    <n v="0"/>
    <n v="0"/>
    <n v="0"/>
    <n v="0"/>
    <m/>
    <m/>
    <s v="Wandsworth Town, including the Wandle Delta Masterplan Area"/>
    <n v="19"/>
    <m/>
    <m/>
    <m/>
    <m/>
    <m/>
    <m/>
    <m/>
    <m/>
    <m/>
    <m/>
    <m/>
    <m/>
    <m/>
    <m/>
    <n v="0.8571428571428571"/>
    <n v="0.8571428571428571"/>
    <n v="0.8571428571428571"/>
    <n v="0.8571428571428571"/>
    <n v="0.8571428571428571"/>
    <n v="0.8571428571428571"/>
    <n v="0"/>
    <n v="0"/>
  </r>
  <r>
    <n v="7540"/>
    <x v="4"/>
    <m/>
    <s v="Land South of Fawe Park Road, London, SW15 2EG"/>
    <m/>
    <n v="524772"/>
    <n v="175005"/>
    <s v="Thamesfield"/>
    <m/>
    <m/>
    <n v="0"/>
    <n v="9"/>
    <n v="9"/>
    <n v="9"/>
    <n v="9"/>
    <m/>
    <s v="Redevelopment"/>
    <s v="NONE"/>
    <m/>
    <m/>
    <m/>
    <s v="Nil"/>
    <m/>
    <s v="BF"/>
    <s v="NB"/>
    <x v="2"/>
    <x v="3"/>
    <n v="0"/>
    <m/>
    <x v="0"/>
    <m/>
    <s v="Open Market"/>
    <s v="M"/>
    <m/>
    <m/>
    <n v="0"/>
    <n v="0"/>
    <n v="0"/>
    <n v="0"/>
    <n v="0"/>
    <n v="0"/>
    <n v="0"/>
    <n v="0"/>
    <n v="0"/>
    <n v="0"/>
    <n v="9"/>
    <n v="0"/>
    <n v="0"/>
    <n v="0"/>
    <n v="0"/>
    <n v="0"/>
    <n v="0"/>
    <n v="9"/>
    <n v="0"/>
    <n v="0"/>
    <n v="0"/>
    <n v="0"/>
    <n v="0"/>
    <n v="0"/>
    <n v="0"/>
    <n v="0"/>
    <n v="0"/>
    <n v="0"/>
    <n v="0"/>
    <n v="0"/>
    <n v="0"/>
    <n v="0"/>
    <m/>
    <m/>
    <s v="Rest of Borough"/>
    <n v="19"/>
    <m/>
    <m/>
    <m/>
    <m/>
    <m/>
    <n v="9"/>
    <m/>
    <m/>
    <m/>
    <m/>
    <m/>
    <m/>
    <m/>
    <m/>
    <m/>
    <m/>
    <m/>
    <m/>
    <m/>
    <m/>
    <n v="9"/>
    <n v="9"/>
  </r>
  <r>
    <n v="6864"/>
    <x v="4"/>
    <m/>
    <s v="Market Area, Tooting High Street"/>
    <m/>
    <n v="527562"/>
    <n v="171554"/>
    <s v="Tooting Broadway"/>
    <m/>
    <m/>
    <n v="0"/>
    <n v="35"/>
    <n v="35"/>
    <n v="54"/>
    <n v="54"/>
    <s v="Y"/>
    <s v="Redevelopment"/>
    <s v="NONE"/>
    <m/>
    <m/>
    <m/>
    <s v="Nil"/>
    <m/>
    <s v="BF"/>
    <s v="NB"/>
    <x v="1"/>
    <x v="0"/>
    <n v="0"/>
    <m/>
    <x v="0"/>
    <m/>
    <s v="Open Market"/>
    <s v="M"/>
    <s v="TO1"/>
    <m/>
    <n v="0"/>
    <n v="0"/>
    <n v="0"/>
    <n v="0"/>
    <n v="0"/>
    <n v="0"/>
    <n v="0"/>
    <n v="0"/>
    <n v="0"/>
    <n v="0"/>
    <n v="35"/>
    <n v="0"/>
    <n v="0"/>
    <n v="0"/>
    <n v="0"/>
    <n v="0"/>
    <n v="0"/>
    <n v="35"/>
    <n v="0"/>
    <n v="0"/>
    <n v="0"/>
    <n v="0"/>
    <n v="0"/>
    <n v="0"/>
    <n v="0"/>
    <n v="0"/>
    <n v="0"/>
    <n v="0"/>
    <n v="0"/>
    <n v="0"/>
    <n v="0"/>
    <n v="0"/>
    <s v="Tooting"/>
    <m/>
    <s v="Tooting"/>
    <n v="19"/>
    <m/>
    <m/>
    <m/>
    <m/>
    <m/>
    <m/>
    <m/>
    <m/>
    <m/>
    <n v="2.9166666666666665"/>
    <n v="2.9166666666666665"/>
    <n v="2.9166666666666665"/>
    <n v="2.9166666666666665"/>
    <n v="2.9166666666666665"/>
    <n v="2.9166666666666665"/>
    <n v="2.9166666666666665"/>
    <n v="2.9166666666666665"/>
    <n v="2.9166666666666665"/>
    <n v="2.9166666666666665"/>
    <n v="2.9166666666666665"/>
    <n v="0"/>
    <n v="5.833333333333333"/>
  </r>
  <r>
    <n v="6864"/>
    <x v="4"/>
    <m/>
    <s v="Market Area, Tooting High Street"/>
    <m/>
    <n v="527562"/>
    <n v="171554"/>
    <s v="Tooting Broadway"/>
    <m/>
    <m/>
    <n v="0"/>
    <n v="10"/>
    <n v="10"/>
    <n v="54"/>
    <n v="54"/>
    <s v="Y"/>
    <s v="Redevelopment"/>
    <s v="NONE"/>
    <m/>
    <m/>
    <m/>
    <s v="Nil"/>
    <m/>
    <s v="BF"/>
    <s v="NB"/>
    <x v="1"/>
    <x v="0"/>
    <n v="0"/>
    <m/>
    <x v="0"/>
    <m/>
    <s v="Social/Affordable Rent"/>
    <s v="AA"/>
    <s v="TO1"/>
    <m/>
    <n v="0"/>
    <n v="0"/>
    <n v="0"/>
    <n v="0"/>
    <n v="0"/>
    <n v="0"/>
    <n v="0"/>
    <n v="0"/>
    <n v="0"/>
    <n v="0"/>
    <n v="10"/>
    <n v="0"/>
    <n v="0"/>
    <n v="0"/>
    <n v="0"/>
    <n v="0"/>
    <n v="0"/>
    <n v="10"/>
    <n v="0"/>
    <n v="0"/>
    <n v="0"/>
    <n v="0"/>
    <n v="0"/>
    <n v="0"/>
    <n v="0"/>
    <n v="0"/>
    <n v="0"/>
    <n v="0"/>
    <n v="0"/>
    <n v="0"/>
    <n v="0"/>
    <n v="0"/>
    <s v="Tooting"/>
    <m/>
    <s v="Tooting"/>
    <n v="19"/>
    <m/>
    <m/>
    <m/>
    <m/>
    <m/>
    <m/>
    <m/>
    <m/>
    <m/>
    <n v="0.83333333333333337"/>
    <n v="0.83333333333333337"/>
    <n v="0.83333333333333337"/>
    <n v="0.83333333333333337"/>
    <n v="0.83333333333333337"/>
    <n v="0.83333333333333337"/>
    <n v="0.83333333333333337"/>
    <n v="0.83333333333333337"/>
    <n v="0.83333333333333337"/>
    <n v="0.83333333333333337"/>
    <n v="0.83333333333333337"/>
    <n v="0"/>
    <n v="1.6666666666666667"/>
  </r>
  <r>
    <n v="6864"/>
    <x v="4"/>
    <m/>
    <s v="Market Area, Tooting High Street"/>
    <m/>
    <n v="527562"/>
    <n v="171554"/>
    <s v="Tooting Broadway"/>
    <m/>
    <m/>
    <n v="0"/>
    <n v="9"/>
    <n v="9"/>
    <n v="54"/>
    <n v="54"/>
    <s v="Y"/>
    <s v="Redevelopment"/>
    <s v="NONE"/>
    <m/>
    <m/>
    <m/>
    <s v="Nil"/>
    <m/>
    <s v="BF"/>
    <s v="NB"/>
    <x v="1"/>
    <x v="0"/>
    <n v="0"/>
    <m/>
    <x v="0"/>
    <m/>
    <s v="Intermediate"/>
    <s v="IU"/>
    <s v="TO1"/>
    <m/>
    <n v="0"/>
    <n v="0"/>
    <n v="0"/>
    <n v="0"/>
    <n v="0"/>
    <n v="0"/>
    <n v="0"/>
    <n v="0"/>
    <n v="0"/>
    <n v="0"/>
    <n v="9"/>
    <n v="0"/>
    <n v="0"/>
    <n v="0"/>
    <n v="0"/>
    <n v="0"/>
    <n v="0"/>
    <n v="9"/>
    <n v="0"/>
    <n v="0"/>
    <n v="0"/>
    <n v="0"/>
    <n v="0"/>
    <n v="0"/>
    <n v="0"/>
    <n v="0"/>
    <n v="0"/>
    <n v="0"/>
    <n v="0"/>
    <n v="0"/>
    <n v="0"/>
    <n v="0"/>
    <s v="Tooting"/>
    <m/>
    <s v="Tooting"/>
    <n v="19"/>
    <m/>
    <m/>
    <m/>
    <m/>
    <m/>
    <m/>
    <m/>
    <m/>
    <m/>
    <n v="0.75"/>
    <n v="0.75"/>
    <n v="0.75"/>
    <n v="0.75"/>
    <n v="0.75"/>
    <n v="0.75"/>
    <n v="0.75"/>
    <n v="0.75"/>
    <n v="0.75"/>
    <n v="0.75"/>
    <n v="0.75"/>
    <n v="0"/>
    <n v="1.5"/>
  </r>
  <r>
    <n v="3523"/>
    <x v="4"/>
    <m/>
    <s v="McDonald's, Swandon Way (1 Marl Road)"/>
    <m/>
    <n v="526043"/>
    <n v="175254"/>
    <s v="St Mary's"/>
    <m/>
    <m/>
    <n v="0"/>
    <n v="7"/>
    <n v="7"/>
    <n v="10"/>
    <n v="10"/>
    <s v="Y"/>
    <s v="Redevelopment"/>
    <s v="NONE"/>
    <m/>
    <m/>
    <m/>
    <s v="Nil"/>
    <m/>
    <s v="BF"/>
    <s v="NB"/>
    <x v="1"/>
    <x v="0"/>
    <n v="0"/>
    <m/>
    <x v="0"/>
    <m/>
    <s v="Open Market"/>
    <s v="M"/>
    <s v="WT14"/>
    <m/>
    <n v="0"/>
    <n v="0"/>
    <n v="0"/>
    <n v="0"/>
    <n v="0"/>
    <n v="0"/>
    <n v="0"/>
    <n v="0"/>
    <n v="0"/>
    <n v="0"/>
    <n v="7"/>
    <n v="0"/>
    <n v="0"/>
    <n v="0"/>
    <n v="0"/>
    <n v="0"/>
    <n v="0"/>
    <n v="7"/>
    <n v="0"/>
    <n v="0"/>
    <n v="0"/>
    <n v="0"/>
    <n v="0"/>
    <n v="0"/>
    <n v="0"/>
    <n v="0"/>
    <n v="0"/>
    <n v="0"/>
    <n v="0"/>
    <n v="0"/>
    <n v="0"/>
    <n v="0"/>
    <m/>
    <m/>
    <s v="Wandsworth Town, including the Wandle Delta Masterplan Area"/>
    <n v="19"/>
    <m/>
    <m/>
    <m/>
    <m/>
    <m/>
    <m/>
    <m/>
    <m/>
    <m/>
    <n v="0.58333333333333337"/>
    <n v="0.58333333333333337"/>
    <n v="0.58333333333333337"/>
    <n v="0.58333333333333337"/>
    <n v="0.58333333333333337"/>
    <n v="0.58333333333333337"/>
    <n v="0.58333333333333337"/>
    <n v="0.58333333333333337"/>
    <n v="0.58333333333333337"/>
    <n v="0.58333333333333337"/>
    <n v="0.58333333333333337"/>
    <n v="0"/>
    <n v="1.1666666666666667"/>
  </r>
  <r>
    <n v="3523"/>
    <x v="4"/>
    <m/>
    <s v="McDonald's, Swandon Way (1 Marl Road)"/>
    <m/>
    <n v="526043"/>
    <n v="175254"/>
    <s v="St Mary's"/>
    <m/>
    <m/>
    <n v="0"/>
    <n v="2"/>
    <n v="2"/>
    <n v="10"/>
    <n v="10"/>
    <s v="Y"/>
    <s v="Redevelopment"/>
    <s v="NONE"/>
    <m/>
    <m/>
    <m/>
    <s v="Nil"/>
    <m/>
    <s v="BF"/>
    <s v="NB"/>
    <x v="1"/>
    <x v="0"/>
    <n v="0"/>
    <m/>
    <x v="0"/>
    <m/>
    <s v="Social/Affordable Rent"/>
    <s v="AA"/>
    <s v="WT14"/>
    <m/>
    <n v="0"/>
    <n v="0"/>
    <n v="0"/>
    <n v="0"/>
    <n v="0"/>
    <n v="0"/>
    <n v="0"/>
    <n v="0"/>
    <n v="0"/>
    <n v="0"/>
    <n v="2"/>
    <n v="0"/>
    <n v="0"/>
    <n v="0"/>
    <n v="0"/>
    <n v="0"/>
    <n v="0"/>
    <n v="2"/>
    <n v="0"/>
    <n v="0"/>
    <n v="0"/>
    <n v="0"/>
    <n v="0"/>
    <n v="0"/>
    <n v="0"/>
    <n v="0"/>
    <n v="0"/>
    <n v="0"/>
    <n v="0"/>
    <n v="0"/>
    <n v="0"/>
    <n v="0"/>
    <m/>
    <m/>
    <s v="Wandsworth Town, including the Wandle Delta Masterplan Area"/>
    <n v="19"/>
    <m/>
    <m/>
    <m/>
    <m/>
    <m/>
    <m/>
    <m/>
    <m/>
    <m/>
    <n v="0.16666666666666666"/>
    <n v="0.16666666666666666"/>
    <n v="0.16666666666666666"/>
    <n v="0.16666666666666666"/>
    <n v="0.16666666666666666"/>
    <n v="0.16666666666666666"/>
    <n v="0.16666666666666666"/>
    <n v="0.16666666666666666"/>
    <n v="0.16666666666666666"/>
    <n v="0.16666666666666666"/>
    <n v="0.16666666666666666"/>
    <n v="0"/>
    <n v="0.33333333333333331"/>
  </r>
  <r>
    <n v="3523"/>
    <x v="4"/>
    <m/>
    <s v="McDonald's, Swandon Way (1 Marl Road)"/>
    <m/>
    <n v="526043"/>
    <n v="175254"/>
    <s v="St Mary's"/>
    <m/>
    <m/>
    <n v="0"/>
    <n v="1"/>
    <n v="1"/>
    <n v="10"/>
    <n v="10"/>
    <s v="Y"/>
    <s v="Redevelopment"/>
    <s v="NONE"/>
    <m/>
    <m/>
    <m/>
    <s v="Nil"/>
    <m/>
    <s v="BF"/>
    <s v="NB"/>
    <x v="1"/>
    <x v="0"/>
    <n v="0"/>
    <m/>
    <x v="0"/>
    <m/>
    <s v="Intermediate"/>
    <s v="IU"/>
    <s v="WT14"/>
    <m/>
    <n v="0"/>
    <n v="0"/>
    <n v="0"/>
    <n v="0"/>
    <n v="0"/>
    <n v="0"/>
    <n v="0"/>
    <n v="0"/>
    <n v="0"/>
    <n v="0"/>
    <n v="1"/>
    <n v="0"/>
    <n v="0"/>
    <n v="0"/>
    <n v="0"/>
    <n v="0"/>
    <n v="0"/>
    <n v="1"/>
    <n v="0"/>
    <n v="0"/>
    <n v="0"/>
    <n v="0"/>
    <n v="0"/>
    <n v="0"/>
    <n v="0"/>
    <n v="0"/>
    <n v="0"/>
    <n v="0"/>
    <n v="0"/>
    <n v="0"/>
    <n v="0"/>
    <n v="0"/>
    <m/>
    <m/>
    <s v="Wandsworth Town, including the Wandle Delta Masterplan Area"/>
    <n v="19"/>
    <m/>
    <m/>
    <m/>
    <m/>
    <m/>
    <m/>
    <m/>
    <m/>
    <m/>
    <n v="8.3333333333333329E-2"/>
    <n v="8.3333333333333329E-2"/>
    <n v="8.3333333333333329E-2"/>
    <n v="8.3333333333333329E-2"/>
    <n v="8.3333333333333329E-2"/>
    <n v="8.3333333333333329E-2"/>
    <n v="8.3333333333333329E-2"/>
    <n v="8.3333333333333329E-2"/>
    <n v="8.3333333333333329E-2"/>
    <n v="8.3333333333333329E-2"/>
    <n v="8.3333333333333329E-2"/>
    <n v="0"/>
    <n v="0.16666666666666666"/>
  </r>
  <r>
    <n v="3955"/>
    <x v="4"/>
    <m/>
    <s v="Mercedes Benz and Bemco, Bridgend Road"/>
    <m/>
    <n v="526045"/>
    <n v="175348"/>
    <s v="St Mary's"/>
    <m/>
    <m/>
    <n v="0"/>
    <n v="124"/>
    <n v="124"/>
    <n v="191"/>
    <n v="191"/>
    <s v="Y"/>
    <s v="Redevelopment"/>
    <s v="NONE"/>
    <m/>
    <m/>
    <m/>
    <s v="Nil"/>
    <m/>
    <s v="BF"/>
    <s v="NB"/>
    <x v="1"/>
    <x v="0"/>
    <n v="0"/>
    <m/>
    <x v="0"/>
    <m/>
    <s v="Open Market"/>
    <s v="M"/>
    <s v="WT15"/>
    <m/>
    <n v="0"/>
    <n v="0"/>
    <n v="0"/>
    <n v="0"/>
    <n v="0"/>
    <n v="0"/>
    <n v="0"/>
    <n v="0"/>
    <n v="0"/>
    <n v="0"/>
    <n v="124"/>
    <n v="0"/>
    <n v="0"/>
    <n v="0"/>
    <n v="0"/>
    <n v="0"/>
    <n v="0"/>
    <n v="124"/>
    <n v="0"/>
    <n v="0"/>
    <n v="0"/>
    <n v="0"/>
    <n v="0"/>
    <n v="0"/>
    <n v="0"/>
    <n v="0"/>
    <n v="0"/>
    <n v="0"/>
    <n v="0"/>
    <n v="0"/>
    <n v="0"/>
    <n v="0"/>
    <m/>
    <m/>
    <s v="Wandsworth Town, including the Wandle Delta Masterplan Area"/>
    <n v="19"/>
    <m/>
    <m/>
    <m/>
    <m/>
    <m/>
    <n v="7.75"/>
    <n v="7.75"/>
    <n v="7.75"/>
    <n v="7.75"/>
    <n v="7.75"/>
    <n v="7.75"/>
    <n v="7.75"/>
    <n v="7.75"/>
    <n v="7.75"/>
    <n v="7.75"/>
    <n v="7.75"/>
    <n v="7.75"/>
    <n v="7.75"/>
    <n v="7.75"/>
    <n v="7.75"/>
    <n v="7.75"/>
    <n v="46.5"/>
  </r>
  <r>
    <n v="3955"/>
    <x v="4"/>
    <m/>
    <s v="Mercedes Benz and Bemco, Bridgend Road"/>
    <m/>
    <n v="526045"/>
    <n v="175348"/>
    <s v="St Mary's"/>
    <m/>
    <m/>
    <n v="0"/>
    <n v="34"/>
    <n v="34"/>
    <n v="191"/>
    <n v="191"/>
    <s v="Y"/>
    <s v="Redevelopment"/>
    <s v="NONE"/>
    <m/>
    <m/>
    <m/>
    <s v="Nil"/>
    <m/>
    <s v="BF"/>
    <s v="NB"/>
    <x v="1"/>
    <x v="0"/>
    <n v="0"/>
    <m/>
    <x v="0"/>
    <m/>
    <s v="Social/Affordable Rent"/>
    <s v="AA"/>
    <s v="WT15"/>
    <m/>
    <n v="0"/>
    <n v="0"/>
    <n v="0"/>
    <n v="0"/>
    <n v="0"/>
    <n v="0"/>
    <n v="0"/>
    <n v="0"/>
    <n v="0"/>
    <n v="0"/>
    <n v="34"/>
    <n v="0"/>
    <n v="0"/>
    <n v="0"/>
    <n v="0"/>
    <n v="0"/>
    <n v="0"/>
    <n v="34"/>
    <n v="0"/>
    <n v="0"/>
    <n v="0"/>
    <n v="0"/>
    <n v="0"/>
    <n v="0"/>
    <n v="0"/>
    <n v="0"/>
    <n v="0"/>
    <n v="0"/>
    <n v="0"/>
    <n v="0"/>
    <n v="0"/>
    <n v="0"/>
    <m/>
    <m/>
    <s v="Wandsworth Town, including the Wandle Delta Masterplan Area"/>
    <n v="19"/>
    <m/>
    <m/>
    <m/>
    <m/>
    <m/>
    <n v="2.125"/>
    <n v="2.125"/>
    <n v="2.125"/>
    <n v="2.125"/>
    <n v="2.125"/>
    <n v="2.125"/>
    <n v="2.125"/>
    <n v="2.125"/>
    <n v="2.125"/>
    <n v="2.125"/>
    <n v="2.125"/>
    <n v="2.125"/>
    <n v="2.125"/>
    <n v="2.125"/>
    <n v="2.125"/>
    <n v="2.125"/>
    <n v="12.75"/>
  </r>
  <r>
    <n v="3955"/>
    <x v="4"/>
    <m/>
    <s v="Mercedes Benz and Bemco, Bridgend Road"/>
    <m/>
    <n v="526045"/>
    <n v="175348"/>
    <s v="St Mary's"/>
    <m/>
    <m/>
    <n v="0"/>
    <n v="33"/>
    <n v="33"/>
    <n v="191"/>
    <n v="191"/>
    <s v="Y"/>
    <s v="Redevelopment"/>
    <s v="NONE"/>
    <m/>
    <m/>
    <m/>
    <s v="Nil"/>
    <m/>
    <s v="BF"/>
    <s v="NB"/>
    <x v="1"/>
    <x v="0"/>
    <n v="0"/>
    <m/>
    <x v="0"/>
    <m/>
    <s v="Intermediate"/>
    <s v="IU"/>
    <s v="WT15"/>
    <m/>
    <n v="0"/>
    <n v="0"/>
    <n v="0"/>
    <n v="0"/>
    <n v="0"/>
    <n v="0"/>
    <n v="0"/>
    <n v="0"/>
    <n v="0"/>
    <n v="0"/>
    <n v="33"/>
    <n v="0"/>
    <n v="0"/>
    <n v="0"/>
    <n v="0"/>
    <n v="0"/>
    <n v="0"/>
    <n v="33"/>
    <n v="0"/>
    <n v="0"/>
    <n v="0"/>
    <n v="0"/>
    <n v="0"/>
    <n v="0"/>
    <n v="0"/>
    <n v="0"/>
    <n v="0"/>
    <n v="0"/>
    <n v="0"/>
    <n v="0"/>
    <n v="0"/>
    <n v="0"/>
    <m/>
    <m/>
    <s v="Wandsworth Town, including the Wandle Delta Masterplan Area"/>
    <n v="19"/>
    <m/>
    <m/>
    <m/>
    <m/>
    <m/>
    <n v="2.0625"/>
    <n v="2.0625"/>
    <n v="2.0625"/>
    <n v="2.0625"/>
    <n v="2.0625"/>
    <n v="2.0625"/>
    <n v="2.0625"/>
    <n v="2.0625"/>
    <n v="2.0625"/>
    <n v="2.0625"/>
    <n v="2.0625"/>
    <n v="2.0625"/>
    <n v="2.0625"/>
    <n v="2.0625"/>
    <n v="2.0625"/>
    <n v="2.0625"/>
    <n v="12.375"/>
  </r>
  <r>
    <n v="6890"/>
    <x v="4"/>
    <m/>
    <s v="Metropolitan Police Warehouse Garage, Ponton Road"/>
    <m/>
    <n v="529517"/>
    <n v="177263"/>
    <s v="Nine Elms"/>
    <m/>
    <m/>
    <n v="0"/>
    <n v="120"/>
    <n v="120"/>
    <n v="184"/>
    <n v="184"/>
    <s v="Y"/>
    <s v="Redevelopment"/>
    <s v="NONE"/>
    <m/>
    <m/>
    <m/>
    <s v="Nil"/>
    <m/>
    <s v="BF"/>
    <s v="NB"/>
    <x v="1"/>
    <x v="0"/>
    <n v="0"/>
    <m/>
    <x v="0"/>
    <m/>
    <s v="Open Market"/>
    <s v="M"/>
    <s v="NE4"/>
    <m/>
    <n v="0"/>
    <n v="0"/>
    <n v="0"/>
    <n v="0"/>
    <n v="0"/>
    <n v="0"/>
    <n v="0"/>
    <n v="0"/>
    <n v="0"/>
    <n v="0"/>
    <n v="120"/>
    <n v="0"/>
    <n v="0"/>
    <n v="0"/>
    <n v="0"/>
    <n v="0"/>
    <n v="0"/>
    <n v="120"/>
    <n v="0"/>
    <n v="0"/>
    <n v="0"/>
    <n v="0"/>
    <n v="0"/>
    <n v="0"/>
    <n v="0"/>
    <n v="0"/>
    <n v="0"/>
    <n v="0"/>
    <n v="0"/>
    <n v="0"/>
    <n v="0"/>
    <n v="0"/>
    <m/>
    <s v="Y"/>
    <s v="Nine Elms Vauxhall Opportunity Area"/>
    <n v="20"/>
    <m/>
    <m/>
    <m/>
    <m/>
    <n v="120"/>
    <m/>
    <m/>
    <m/>
    <m/>
    <m/>
    <m/>
    <m/>
    <m/>
    <m/>
    <m/>
    <m/>
    <m/>
    <m/>
    <m/>
    <m/>
    <n v="120"/>
    <n v="120"/>
  </r>
  <r>
    <n v="6890"/>
    <x v="4"/>
    <m/>
    <s v="Metropolitan Police Warehouse Garage, Ponton Road"/>
    <m/>
    <n v="529517"/>
    <n v="177263"/>
    <s v="Nine Elms"/>
    <m/>
    <m/>
    <n v="0"/>
    <n v="32"/>
    <n v="32"/>
    <n v="184"/>
    <n v="184"/>
    <s v="Y"/>
    <s v="Redevelopment"/>
    <s v="NONE"/>
    <m/>
    <m/>
    <m/>
    <s v="Nil"/>
    <m/>
    <s v="BF"/>
    <s v="NB"/>
    <x v="1"/>
    <x v="0"/>
    <n v="0"/>
    <m/>
    <x v="0"/>
    <m/>
    <s v="Social/Affordable Rent"/>
    <s v="AA"/>
    <s v="NE4"/>
    <m/>
    <n v="0"/>
    <n v="0"/>
    <n v="0"/>
    <n v="0"/>
    <n v="0"/>
    <n v="0"/>
    <n v="0"/>
    <n v="0"/>
    <n v="0"/>
    <n v="0"/>
    <n v="32"/>
    <n v="0"/>
    <n v="0"/>
    <n v="0"/>
    <n v="0"/>
    <n v="0"/>
    <n v="0"/>
    <n v="32"/>
    <n v="0"/>
    <n v="0"/>
    <n v="0"/>
    <n v="0"/>
    <n v="0"/>
    <n v="0"/>
    <n v="0"/>
    <n v="0"/>
    <n v="0"/>
    <n v="0"/>
    <n v="0"/>
    <n v="0"/>
    <n v="0"/>
    <n v="0"/>
    <m/>
    <s v="Y"/>
    <s v="Nine Elms Vauxhall Opportunity Area"/>
    <n v="20"/>
    <m/>
    <m/>
    <m/>
    <m/>
    <n v="32"/>
    <m/>
    <m/>
    <m/>
    <m/>
    <m/>
    <m/>
    <m/>
    <m/>
    <m/>
    <m/>
    <m/>
    <m/>
    <m/>
    <m/>
    <m/>
    <n v="32"/>
    <n v="32"/>
  </r>
  <r>
    <n v="6890"/>
    <x v="4"/>
    <m/>
    <s v="Metropolitan Police Warehouse Garage, Ponton Road"/>
    <m/>
    <n v="529517"/>
    <n v="177263"/>
    <s v="Nine Elms"/>
    <m/>
    <m/>
    <n v="0"/>
    <n v="32"/>
    <n v="32"/>
    <n v="184"/>
    <n v="184"/>
    <s v="Y"/>
    <s v="Redevelopment"/>
    <s v="NONE"/>
    <m/>
    <m/>
    <m/>
    <s v="Nil"/>
    <m/>
    <s v="BF"/>
    <s v="NB"/>
    <x v="1"/>
    <x v="0"/>
    <n v="0"/>
    <m/>
    <x v="0"/>
    <m/>
    <s v="Intermediate"/>
    <s v="IU"/>
    <s v="NE4"/>
    <m/>
    <n v="0"/>
    <n v="0"/>
    <n v="0"/>
    <n v="0"/>
    <n v="0"/>
    <n v="0"/>
    <n v="0"/>
    <n v="0"/>
    <n v="0"/>
    <n v="0"/>
    <n v="32"/>
    <n v="0"/>
    <n v="0"/>
    <n v="0"/>
    <n v="0"/>
    <n v="0"/>
    <n v="0"/>
    <n v="32"/>
    <n v="0"/>
    <n v="0"/>
    <n v="0"/>
    <n v="0"/>
    <n v="0"/>
    <n v="0"/>
    <n v="0"/>
    <n v="0"/>
    <n v="0"/>
    <n v="0"/>
    <n v="0"/>
    <n v="0"/>
    <n v="0"/>
    <n v="0"/>
    <m/>
    <s v="Y"/>
    <s v="Nine Elms Vauxhall Opportunity Area"/>
    <n v="20"/>
    <m/>
    <m/>
    <m/>
    <m/>
    <n v="32"/>
    <m/>
    <m/>
    <m/>
    <m/>
    <m/>
    <m/>
    <m/>
    <m/>
    <m/>
    <m/>
    <m/>
    <m/>
    <m/>
    <m/>
    <m/>
    <n v="32"/>
    <n v="32"/>
  </r>
  <r>
    <n v="7574"/>
    <x v="4"/>
    <m/>
    <s v="Middle Wharf, Nine Elms, SW8"/>
    <m/>
    <n v="529574.49120000005"/>
    <n v="177639.5822"/>
    <s v="Nine Elms"/>
    <m/>
    <m/>
    <n v="0"/>
    <n v="1"/>
    <n v="1"/>
    <n v="1"/>
    <n v="1"/>
    <m/>
    <s v="Redevelopment"/>
    <s v="NONE"/>
    <m/>
    <m/>
    <m/>
    <s v="Nil"/>
    <m/>
    <s v="BF"/>
    <s v="NB"/>
    <x v="2"/>
    <x v="3"/>
    <n v="0"/>
    <m/>
    <x v="0"/>
    <m/>
    <s v="Open Market"/>
    <s v="M"/>
    <s v="NE10"/>
    <m/>
    <n v="0"/>
    <n v="0"/>
    <n v="0"/>
    <n v="0"/>
    <n v="0"/>
    <n v="0"/>
    <n v="0"/>
    <n v="0"/>
    <n v="0"/>
    <n v="0"/>
    <n v="1"/>
    <n v="0"/>
    <n v="0"/>
    <n v="0"/>
    <n v="0"/>
    <n v="0"/>
    <n v="0"/>
    <n v="1"/>
    <n v="0"/>
    <n v="0"/>
    <n v="0"/>
    <n v="0"/>
    <n v="0"/>
    <n v="0"/>
    <n v="0"/>
    <n v="0"/>
    <n v="0"/>
    <n v="0"/>
    <n v="0"/>
    <n v="0"/>
    <n v="0"/>
    <n v="0"/>
    <m/>
    <s v="Y"/>
    <s v="Nine Elms Vauxhall Opportunity Area"/>
    <n v="20"/>
    <m/>
    <m/>
    <m/>
    <m/>
    <m/>
    <m/>
    <m/>
    <m/>
    <m/>
    <m/>
    <m/>
    <m/>
    <m/>
    <m/>
    <n v="0.14285714285714285"/>
    <n v="0.14285714285714285"/>
    <n v="0.14285714285714285"/>
    <n v="0.14285714285714285"/>
    <n v="0.14285714285714285"/>
    <n v="0.14285714285714285"/>
    <n v="0"/>
    <n v="0"/>
  </r>
  <r>
    <n v="7581"/>
    <x v="4"/>
    <m/>
    <s v="Mount Clare, Minstead Gardens, Roehampton, SW15"/>
    <m/>
    <n v="521612.7733"/>
    <n v="173961.022399999"/>
    <s v="Roehampton"/>
    <m/>
    <m/>
    <n v="0"/>
    <n v="85"/>
    <n v="85"/>
    <n v="130"/>
    <n v="130"/>
    <s v="Y"/>
    <s v="Redevelopment"/>
    <s v="NONE"/>
    <m/>
    <m/>
    <m/>
    <s v="Nil"/>
    <m/>
    <s v="BF"/>
    <s v="NB"/>
    <x v="1"/>
    <x v="0"/>
    <n v="0"/>
    <m/>
    <x v="0"/>
    <m/>
    <s v="Open Market"/>
    <s v="M"/>
    <s v="RO2"/>
    <m/>
    <n v="0"/>
    <n v="0"/>
    <n v="0"/>
    <n v="0"/>
    <n v="0"/>
    <n v="0"/>
    <n v="0"/>
    <n v="0"/>
    <n v="0"/>
    <n v="0"/>
    <n v="85"/>
    <n v="0"/>
    <n v="0"/>
    <n v="0"/>
    <n v="0"/>
    <n v="0"/>
    <n v="0"/>
    <n v="85"/>
    <n v="0"/>
    <n v="0"/>
    <n v="0"/>
    <n v="0"/>
    <n v="0"/>
    <n v="0"/>
    <n v="0"/>
    <n v="0"/>
    <n v="0"/>
    <n v="0"/>
    <n v="0"/>
    <n v="0"/>
    <n v="0"/>
    <n v="0"/>
    <m/>
    <m/>
    <s v="Roehampton Regeneration Area"/>
    <n v="19"/>
    <m/>
    <m/>
    <m/>
    <m/>
    <n v="5"/>
    <n v="5"/>
    <n v="5"/>
    <n v="5"/>
    <n v="5"/>
    <n v="5"/>
    <n v="5"/>
    <n v="5"/>
    <n v="5"/>
    <n v="5"/>
    <n v="5"/>
    <n v="5"/>
    <n v="5"/>
    <n v="5"/>
    <n v="5"/>
    <n v="5"/>
    <n v="10"/>
    <n v="35"/>
  </r>
  <r>
    <n v="7581"/>
    <x v="4"/>
    <m/>
    <s v="Mount Clare, Minstead Gardens, Roehampton, SW15"/>
    <m/>
    <n v="521612.7733"/>
    <n v="173961.022399999"/>
    <s v="Roehampton"/>
    <m/>
    <m/>
    <n v="0"/>
    <n v="23"/>
    <n v="23"/>
    <n v="130"/>
    <n v="130"/>
    <s v="Y"/>
    <s v="Redevelopment"/>
    <s v="NONE"/>
    <m/>
    <m/>
    <m/>
    <s v="Nil"/>
    <m/>
    <s v="BF"/>
    <s v="NB"/>
    <x v="1"/>
    <x v="0"/>
    <n v="0"/>
    <m/>
    <x v="0"/>
    <m/>
    <s v="Social/Affordable Rent"/>
    <s v="AA"/>
    <s v="RO2"/>
    <m/>
    <n v="0"/>
    <n v="0"/>
    <n v="0"/>
    <n v="0"/>
    <n v="0"/>
    <n v="0"/>
    <n v="0"/>
    <n v="0"/>
    <n v="0"/>
    <n v="0"/>
    <n v="23"/>
    <n v="0"/>
    <n v="0"/>
    <n v="0"/>
    <n v="0"/>
    <n v="0"/>
    <n v="0"/>
    <n v="23"/>
    <n v="0"/>
    <n v="0"/>
    <n v="0"/>
    <n v="0"/>
    <n v="0"/>
    <n v="0"/>
    <n v="0"/>
    <n v="0"/>
    <n v="0"/>
    <n v="0"/>
    <n v="0"/>
    <n v="0"/>
    <n v="0"/>
    <n v="0"/>
    <m/>
    <m/>
    <s v="Roehampton Regeneration Area"/>
    <n v="19"/>
    <m/>
    <m/>
    <m/>
    <m/>
    <n v="1.3529411764705883"/>
    <n v="1.3529411764705883"/>
    <n v="1.3529411764705883"/>
    <n v="1.3529411764705883"/>
    <n v="1.3529411764705883"/>
    <n v="1.3529411764705883"/>
    <n v="1.3529411764705883"/>
    <n v="1.3529411764705883"/>
    <n v="1.3529411764705883"/>
    <n v="1.3529411764705883"/>
    <n v="1.3529411764705883"/>
    <n v="1.3529411764705883"/>
    <n v="1.3529411764705883"/>
    <n v="1.3529411764705883"/>
    <n v="1.3529411764705883"/>
    <n v="1.3529411764705883"/>
    <n v="2.7058823529411766"/>
    <n v="9.4705882352941195"/>
  </r>
  <r>
    <n v="7581"/>
    <x v="4"/>
    <m/>
    <s v="Mount Clare, Minstead Gardens, Roehampton, SW15"/>
    <m/>
    <n v="521612.7733"/>
    <n v="173961.022399999"/>
    <s v="Roehampton"/>
    <m/>
    <m/>
    <n v="0"/>
    <n v="22"/>
    <n v="22"/>
    <n v="130"/>
    <n v="130"/>
    <s v="Y"/>
    <s v="Redevelopment"/>
    <s v="NONE"/>
    <m/>
    <m/>
    <m/>
    <s v="Nil"/>
    <m/>
    <s v="BF"/>
    <s v="NB"/>
    <x v="1"/>
    <x v="0"/>
    <n v="0"/>
    <m/>
    <x v="0"/>
    <m/>
    <s v="Intermediate"/>
    <s v="IU"/>
    <s v="RO2"/>
    <m/>
    <n v="0"/>
    <n v="0"/>
    <n v="0"/>
    <n v="0"/>
    <n v="0"/>
    <n v="0"/>
    <n v="0"/>
    <n v="0"/>
    <n v="0"/>
    <n v="0"/>
    <n v="22"/>
    <n v="0"/>
    <n v="0"/>
    <n v="0"/>
    <n v="0"/>
    <n v="0"/>
    <n v="0"/>
    <n v="22"/>
    <n v="0"/>
    <n v="0"/>
    <n v="0"/>
    <n v="0"/>
    <n v="0"/>
    <n v="0"/>
    <n v="0"/>
    <n v="0"/>
    <n v="0"/>
    <n v="0"/>
    <n v="0"/>
    <n v="0"/>
    <n v="0"/>
    <n v="0"/>
    <m/>
    <m/>
    <s v="Roehampton Regeneration Area"/>
    <n v="19"/>
    <m/>
    <m/>
    <m/>
    <m/>
    <n v="1.2941176470588236"/>
    <n v="1.2941176470588236"/>
    <n v="1.2941176470588236"/>
    <n v="1.2941176470588236"/>
    <n v="1.2941176470588236"/>
    <n v="1.2941176470588236"/>
    <n v="1.2941176470588236"/>
    <n v="1.2941176470588236"/>
    <n v="1.2941176470588236"/>
    <n v="1.2941176470588236"/>
    <n v="1.2941176470588236"/>
    <n v="1.2941176470588236"/>
    <n v="1.2941176470588236"/>
    <n v="1.2941176470588236"/>
    <n v="1.2941176470588236"/>
    <n v="1.2941176470588236"/>
    <n v="2.5882352941176472"/>
    <n v="9.0588235294117645"/>
  </r>
  <r>
    <n v="6906"/>
    <x v="4"/>
    <m/>
    <s v="Panorama Antennas, Dormay Street"/>
    <m/>
    <n v="525504"/>
    <n v="174901"/>
    <s v="Wandsworth Town"/>
    <m/>
    <m/>
    <n v="0"/>
    <n v="7"/>
    <n v="7"/>
    <n v="7"/>
    <n v="7"/>
    <m/>
    <s v="Redevelopment"/>
    <s v="NONE"/>
    <m/>
    <m/>
    <m/>
    <s v="Nil"/>
    <m/>
    <s v="BF"/>
    <s v="NB"/>
    <x v="2"/>
    <x v="3"/>
    <n v="0"/>
    <m/>
    <x v="0"/>
    <m/>
    <s v="Open Market"/>
    <s v="M"/>
    <s v="WT7"/>
    <m/>
    <n v="0"/>
    <n v="0"/>
    <n v="0"/>
    <n v="0"/>
    <n v="0"/>
    <n v="0"/>
    <n v="0"/>
    <n v="0"/>
    <n v="0"/>
    <n v="0"/>
    <n v="7"/>
    <n v="0"/>
    <n v="0"/>
    <n v="0"/>
    <n v="0"/>
    <n v="0"/>
    <n v="0"/>
    <n v="7"/>
    <n v="0"/>
    <n v="0"/>
    <n v="0"/>
    <n v="0"/>
    <n v="0"/>
    <n v="0"/>
    <n v="0"/>
    <n v="0"/>
    <n v="0"/>
    <n v="0"/>
    <n v="0"/>
    <n v="0"/>
    <n v="0"/>
    <n v="0"/>
    <m/>
    <m/>
    <s v="Wandsworth Town, including the Wandle Delta Masterplan Area"/>
    <n v="19"/>
    <m/>
    <m/>
    <m/>
    <m/>
    <m/>
    <n v="0.7"/>
    <n v="0.7"/>
    <n v="0.7"/>
    <n v="0.7"/>
    <n v="0.7"/>
    <n v="0.7"/>
    <n v="0.7"/>
    <n v="0.7"/>
    <n v="0.7"/>
    <n v="0.7"/>
    <m/>
    <m/>
    <m/>
    <m/>
    <m/>
    <n v="0.7"/>
    <n v="4.2"/>
  </r>
  <r>
    <n v="7535"/>
    <x v="4"/>
    <m/>
    <s v="Patmore Estate, Stewart's Road, Thessaly Road, SW8 4LB"/>
    <m/>
    <n v="529321"/>
    <n v="176863"/>
    <s v="Shaftesbury &amp; Queenstown"/>
    <m/>
    <m/>
    <n v="0"/>
    <n v="43"/>
    <n v="43"/>
    <n v="66"/>
    <n v="66"/>
    <s v="Y"/>
    <s v="Redevelopment"/>
    <s v="NONE"/>
    <m/>
    <m/>
    <m/>
    <s v="Nil"/>
    <m/>
    <s v="BF"/>
    <s v="NB"/>
    <x v="1"/>
    <x v="0"/>
    <n v="0"/>
    <m/>
    <x v="0"/>
    <m/>
    <s v="Open Market"/>
    <s v="M"/>
    <m/>
    <m/>
    <n v="0"/>
    <n v="0"/>
    <n v="0"/>
    <n v="0"/>
    <n v="0"/>
    <n v="0"/>
    <n v="0"/>
    <n v="0"/>
    <n v="0"/>
    <n v="0"/>
    <n v="43"/>
    <n v="0"/>
    <n v="0"/>
    <n v="0"/>
    <n v="0"/>
    <n v="0"/>
    <n v="0"/>
    <n v="43"/>
    <n v="0"/>
    <n v="0"/>
    <n v="0"/>
    <n v="0"/>
    <n v="0"/>
    <n v="0"/>
    <n v="0"/>
    <n v="0"/>
    <n v="0"/>
    <n v="0"/>
    <n v="0"/>
    <n v="0"/>
    <n v="0"/>
    <n v="0"/>
    <m/>
    <s v="Y"/>
    <s v="Nine Elms Vauxhall Opportunity Area"/>
    <n v="20"/>
    <m/>
    <m/>
    <m/>
    <m/>
    <m/>
    <m/>
    <n v="43"/>
    <m/>
    <m/>
    <m/>
    <m/>
    <m/>
    <m/>
    <m/>
    <m/>
    <m/>
    <m/>
    <m/>
    <m/>
    <m/>
    <n v="0"/>
    <n v="43"/>
  </r>
  <r>
    <n v="7535"/>
    <x v="4"/>
    <m/>
    <s v="Patmore Estate, Stewart's Road, Thessaly Road, SW8 4LB"/>
    <m/>
    <n v="529321"/>
    <n v="176863"/>
    <s v="Shaftesbury &amp; Queenstown"/>
    <m/>
    <m/>
    <n v="0"/>
    <n v="12"/>
    <n v="12"/>
    <n v="66"/>
    <n v="66"/>
    <s v="Y"/>
    <s v="Redevelopment"/>
    <s v="NONE"/>
    <m/>
    <m/>
    <m/>
    <s v="Nil"/>
    <m/>
    <s v="BF"/>
    <s v="NB"/>
    <x v="1"/>
    <x v="0"/>
    <n v="0"/>
    <m/>
    <x v="0"/>
    <m/>
    <s v="Social/Affordable Rent"/>
    <s v="AA"/>
    <m/>
    <m/>
    <n v="0"/>
    <n v="0"/>
    <n v="0"/>
    <n v="0"/>
    <n v="0"/>
    <n v="0"/>
    <n v="0"/>
    <n v="0"/>
    <n v="0"/>
    <n v="0"/>
    <n v="12"/>
    <n v="0"/>
    <n v="0"/>
    <n v="0"/>
    <n v="0"/>
    <n v="0"/>
    <n v="0"/>
    <n v="12"/>
    <n v="0"/>
    <n v="0"/>
    <n v="0"/>
    <n v="0"/>
    <n v="0"/>
    <n v="0"/>
    <n v="0"/>
    <n v="0"/>
    <n v="0"/>
    <n v="0"/>
    <n v="0"/>
    <n v="0"/>
    <n v="0"/>
    <n v="0"/>
    <m/>
    <s v="Y"/>
    <s v="Nine Elms Vauxhall Opportunity Area"/>
    <n v="20"/>
    <m/>
    <m/>
    <m/>
    <m/>
    <m/>
    <m/>
    <n v="12"/>
    <m/>
    <m/>
    <m/>
    <m/>
    <m/>
    <m/>
    <m/>
    <m/>
    <m/>
    <m/>
    <m/>
    <m/>
    <m/>
    <n v="0"/>
    <n v="12"/>
  </r>
  <r>
    <n v="7535"/>
    <x v="4"/>
    <m/>
    <s v="Patmore Estate, Stewart's Road, Thessaly Road, SW8 4LB"/>
    <m/>
    <n v="529321"/>
    <n v="176863"/>
    <s v="Shaftesbury &amp; Queenstown"/>
    <m/>
    <m/>
    <n v="0"/>
    <n v="11"/>
    <n v="11"/>
    <n v="66"/>
    <n v="66"/>
    <s v="Y"/>
    <s v="Redevelopment"/>
    <s v="NONE"/>
    <m/>
    <m/>
    <m/>
    <s v="Nil"/>
    <m/>
    <s v="BF"/>
    <s v="NB"/>
    <x v="1"/>
    <x v="0"/>
    <n v="0"/>
    <m/>
    <x v="0"/>
    <m/>
    <s v="Intermediate"/>
    <s v="IU"/>
    <m/>
    <m/>
    <n v="0"/>
    <n v="0"/>
    <n v="0"/>
    <n v="0"/>
    <n v="0"/>
    <n v="0"/>
    <n v="0"/>
    <n v="0"/>
    <n v="0"/>
    <n v="0"/>
    <n v="11"/>
    <n v="0"/>
    <n v="0"/>
    <n v="0"/>
    <n v="0"/>
    <n v="0"/>
    <n v="0"/>
    <n v="11"/>
    <n v="0"/>
    <n v="0"/>
    <n v="0"/>
    <n v="0"/>
    <n v="0"/>
    <n v="0"/>
    <n v="0"/>
    <n v="0"/>
    <n v="0"/>
    <n v="0"/>
    <n v="0"/>
    <n v="0"/>
    <n v="0"/>
    <n v="0"/>
    <m/>
    <s v="Y"/>
    <s v="Nine Elms Vauxhall Opportunity Area"/>
    <n v="20"/>
    <m/>
    <m/>
    <m/>
    <m/>
    <m/>
    <m/>
    <n v="11"/>
    <m/>
    <m/>
    <m/>
    <m/>
    <m/>
    <m/>
    <m/>
    <m/>
    <m/>
    <m/>
    <m/>
    <m/>
    <m/>
    <n v="0"/>
    <n v="11"/>
  </r>
  <r>
    <n v="4508"/>
    <x v="4"/>
    <m/>
    <s v="Pier Wharf, SW18"/>
    <m/>
    <n v="526001.90130000003"/>
    <n v="175434.07680000001"/>
    <s v="St Mary's"/>
    <m/>
    <m/>
    <n v="0"/>
    <n v="2"/>
    <n v="2"/>
    <n v="2"/>
    <n v="2"/>
    <m/>
    <s v="Redevelopment"/>
    <s v="NONE"/>
    <m/>
    <m/>
    <m/>
    <s v="Nil"/>
    <m/>
    <s v="BF"/>
    <s v="NB"/>
    <x v="2"/>
    <x v="3"/>
    <n v="0"/>
    <m/>
    <x v="0"/>
    <m/>
    <s v="Open Market"/>
    <s v="M"/>
    <s v="WT22"/>
    <m/>
    <n v="0"/>
    <n v="0"/>
    <n v="0"/>
    <n v="0"/>
    <n v="0"/>
    <n v="0"/>
    <n v="0"/>
    <n v="0"/>
    <n v="0"/>
    <n v="0"/>
    <n v="2"/>
    <n v="0"/>
    <n v="0"/>
    <n v="0"/>
    <n v="0"/>
    <n v="0"/>
    <n v="0"/>
    <n v="2"/>
    <n v="0"/>
    <n v="0"/>
    <n v="0"/>
    <n v="0"/>
    <n v="0"/>
    <n v="0"/>
    <n v="0"/>
    <n v="0"/>
    <n v="0"/>
    <n v="0"/>
    <n v="0"/>
    <n v="0"/>
    <n v="0"/>
    <n v="0"/>
    <m/>
    <m/>
    <s v="Wandsworth Town, including the Wandle Delta Masterplan Area"/>
    <n v="19"/>
    <m/>
    <m/>
    <m/>
    <m/>
    <m/>
    <m/>
    <m/>
    <m/>
    <m/>
    <m/>
    <m/>
    <m/>
    <m/>
    <m/>
    <m/>
    <m/>
    <m/>
    <m/>
    <m/>
    <n v="2"/>
    <n v="0"/>
    <n v="0"/>
  </r>
  <r>
    <n v="6902"/>
    <x v="4"/>
    <m/>
    <s v="Putney Telephone Exchange, Montserrat Road"/>
    <m/>
    <n v="524118"/>
    <n v="175366"/>
    <s v="Thamesfield"/>
    <m/>
    <m/>
    <n v="0"/>
    <n v="1"/>
    <n v="1"/>
    <n v="1"/>
    <n v="1"/>
    <m/>
    <s v="Redevelopment"/>
    <s v="NONE"/>
    <m/>
    <m/>
    <m/>
    <s v="Nil"/>
    <m/>
    <s v="BF"/>
    <s v="NB"/>
    <x v="2"/>
    <x v="3"/>
    <n v="0"/>
    <m/>
    <x v="0"/>
    <m/>
    <s v="Open Market"/>
    <s v="M"/>
    <s v="PUT4"/>
    <m/>
    <n v="0"/>
    <n v="0"/>
    <n v="0"/>
    <n v="0"/>
    <n v="0"/>
    <n v="0"/>
    <n v="0"/>
    <n v="0"/>
    <n v="0"/>
    <n v="0"/>
    <n v="1"/>
    <n v="0"/>
    <n v="0"/>
    <n v="0"/>
    <n v="0"/>
    <n v="0"/>
    <n v="0"/>
    <n v="1"/>
    <n v="0"/>
    <n v="0"/>
    <n v="0"/>
    <n v="0"/>
    <n v="0"/>
    <n v="0"/>
    <n v="0"/>
    <n v="0"/>
    <n v="0"/>
    <n v="0"/>
    <n v="0"/>
    <n v="0"/>
    <n v="0"/>
    <n v="0"/>
    <s v="Putney"/>
    <m/>
    <s v="Putney Town Centre"/>
    <n v="19"/>
    <m/>
    <m/>
    <m/>
    <m/>
    <m/>
    <n v="6.25E-2"/>
    <n v="6.25E-2"/>
    <n v="6.25E-2"/>
    <n v="6.25E-2"/>
    <n v="6.25E-2"/>
    <n v="6.25E-2"/>
    <n v="6.25E-2"/>
    <n v="6.25E-2"/>
    <n v="6.25E-2"/>
    <n v="6.25E-2"/>
    <n v="6.25E-2"/>
    <n v="6.25E-2"/>
    <n v="6.25E-2"/>
    <n v="6.25E-2"/>
    <n v="6.25E-2"/>
    <n v="6.25E-2"/>
    <n v="0.375"/>
  </r>
  <r>
    <n v="7582"/>
    <x v="4"/>
    <m/>
    <s v="Queen Mary's Hospital car park, SW15"/>
    <m/>
    <n v="522287.01610000001"/>
    <n v="174318.467299999"/>
    <s v="Roehampton"/>
    <m/>
    <m/>
    <n v="0"/>
    <n v="197"/>
    <n v="197"/>
    <n v="303"/>
    <n v="303"/>
    <s v="Y"/>
    <s v="Redevelopment"/>
    <s v="NONE"/>
    <m/>
    <m/>
    <m/>
    <s v="Nil"/>
    <m/>
    <s v="BF"/>
    <s v="NB"/>
    <x v="1"/>
    <x v="0"/>
    <n v="0"/>
    <m/>
    <x v="0"/>
    <m/>
    <s v="Open Market"/>
    <s v="M"/>
    <s v="RO3"/>
    <m/>
    <n v="0"/>
    <n v="0"/>
    <n v="0"/>
    <n v="0"/>
    <n v="0"/>
    <n v="0"/>
    <n v="0"/>
    <n v="0"/>
    <n v="0"/>
    <n v="0"/>
    <n v="197"/>
    <n v="0"/>
    <n v="0"/>
    <n v="0"/>
    <n v="0"/>
    <n v="0"/>
    <n v="0"/>
    <n v="197"/>
    <n v="0"/>
    <n v="0"/>
    <n v="0"/>
    <n v="0"/>
    <n v="0"/>
    <n v="0"/>
    <n v="0"/>
    <n v="0"/>
    <n v="0"/>
    <n v="0"/>
    <n v="0"/>
    <n v="0"/>
    <n v="0"/>
    <n v="0"/>
    <m/>
    <m/>
    <s v="Roehampton Regeneration Area"/>
    <n v="19"/>
    <m/>
    <m/>
    <m/>
    <m/>
    <m/>
    <m/>
    <m/>
    <m/>
    <n v="16.416666666666668"/>
    <n v="16.416666666666668"/>
    <n v="16.416666666666668"/>
    <n v="16.416666666666668"/>
    <n v="16.416666666666668"/>
    <n v="16.416666666666668"/>
    <n v="16.416666666666668"/>
    <n v="16.416666666666668"/>
    <n v="16.416666666666668"/>
    <n v="16.416666666666668"/>
    <n v="16.416666666666668"/>
    <n v="16.416666666666668"/>
    <n v="0"/>
    <n v="49.25"/>
  </r>
  <r>
    <n v="7582"/>
    <x v="4"/>
    <m/>
    <s v="Queen Mary's Hospital car park, SW15"/>
    <m/>
    <n v="522287.01610000001"/>
    <n v="174318.467299999"/>
    <s v="Roehampton"/>
    <m/>
    <m/>
    <n v="0"/>
    <n v="53"/>
    <n v="53"/>
    <n v="303"/>
    <n v="303"/>
    <s v="Y"/>
    <s v="Redevelopment"/>
    <s v="NONE"/>
    <m/>
    <m/>
    <m/>
    <s v="Nil"/>
    <m/>
    <s v="BF"/>
    <s v="NB"/>
    <x v="1"/>
    <x v="0"/>
    <n v="0"/>
    <m/>
    <x v="0"/>
    <m/>
    <s v="Social/Affordable Rent"/>
    <s v="AA"/>
    <s v="RO3"/>
    <m/>
    <n v="0"/>
    <n v="0"/>
    <n v="0"/>
    <n v="0"/>
    <n v="0"/>
    <n v="0"/>
    <n v="0"/>
    <n v="0"/>
    <n v="0"/>
    <n v="0"/>
    <n v="53"/>
    <n v="0"/>
    <n v="0"/>
    <n v="0"/>
    <n v="0"/>
    <n v="0"/>
    <n v="0"/>
    <n v="53"/>
    <n v="0"/>
    <n v="0"/>
    <n v="0"/>
    <n v="0"/>
    <n v="0"/>
    <n v="0"/>
    <n v="0"/>
    <n v="0"/>
    <n v="0"/>
    <n v="0"/>
    <n v="0"/>
    <n v="0"/>
    <n v="0"/>
    <n v="0"/>
    <m/>
    <m/>
    <s v="Roehampton Regeneration Area"/>
    <n v="19"/>
    <m/>
    <m/>
    <m/>
    <m/>
    <m/>
    <m/>
    <m/>
    <m/>
    <n v="4.416666666666667"/>
    <n v="4.416666666666667"/>
    <n v="4.416666666666667"/>
    <n v="4.416666666666667"/>
    <n v="4.416666666666667"/>
    <n v="4.416666666666667"/>
    <n v="4.416666666666667"/>
    <n v="4.416666666666667"/>
    <n v="4.416666666666667"/>
    <n v="4.416666666666667"/>
    <n v="4.416666666666667"/>
    <n v="4.416666666666667"/>
    <n v="0"/>
    <n v="13.25"/>
  </r>
  <r>
    <n v="7582"/>
    <x v="4"/>
    <m/>
    <s v="Queen Mary's Hospital car park, SW15"/>
    <m/>
    <n v="522287.01610000001"/>
    <n v="174318.467299999"/>
    <s v="Roehampton"/>
    <m/>
    <m/>
    <n v="0"/>
    <n v="53"/>
    <n v="53"/>
    <n v="303"/>
    <n v="303"/>
    <s v="Y"/>
    <s v="Redevelopment"/>
    <s v="NONE"/>
    <m/>
    <m/>
    <m/>
    <s v="Nil"/>
    <m/>
    <s v="BF"/>
    <s v="NB"/>
    <x v="1"/>
    <x v="0"/>
    <n v="0"/>
    <m/>
    <x v="0"/>
    <m/>
    <s v="Intermediate"/>
    <s v="IU"/>
    <s v="RO3"/>
    <m/>
    <n v="0"/>
    <n v="0"/>
    <n v="0"/>
    <n v="0"/>
    <n v="0"/>
    <n v="0"/>
    <n v="0"/>
    <n v="0"/>
    <n v="0"/>
    <n v="0"/>
    <n v="53"/>
    <n v="0"/>
    <n v="0"/>
    <n v="0"/>
    <n v="0"/>
    <n v="0"/>
    <n v="0"/>
    <n v="53"/>
    <n v="0"/>
    <n v="0"/>
    <n v="0"/>
    <n v="0"/>
    <n v="0"/>
    <n v="0"/>
    <n v="0"/>
    <n v="0"/>
    <n v="0"/>
    <n v="0"/>
    <n v="0"/>
    <n v="0"/>
    <n v="0"/>
    <n v="0"/>
    <m/>
    <m/>
    <s v="Roehampton Regeneration Area"/>
    <n v="19"/>
    <m/>
    <m/>
    <m/>
    <m/>
    <m/>
    <m/>
    <m/>
    <m/>
    <n v="4.416666666666667"/>
    <n v="4.416666666666667"/>
    <n v="4.416666666666667"/>
    <n v="4.416666666666667"/>
    <n v="4.416666666666667"/>
    <n v="4.416666666666667"/>
    <n v="4.416666666666667"/>
    <n v="4.416666666666667"/>
    <n v="4.416666666666667"/>
    <n v="4.416666666666667"/>
    <n v="4.416666666666667"/>
    <n v="4.416666666666667"/>
    <n v="0"/>
    <n v="13.25"/>
  </r>
  <r>
    <n v="7547"/>
    <x v="4"/>
    <m/>
    <s v="Railway arches , Grant Road, SW11 2NU"/>
    <m/>
    <n v="527126"/>
    <n v="175600"/>
    <s v="Falconbrook"/>
    <m/>
    <m/>
    <n v="0"/>
    <n v="9"/>
    <n v="9"/>
    <n v="14"/>
    <n v="14"/>
    <s v="Y"/>
    <s v="Redevelopment"/>
    <s v="NONE"/>
    <m/>
    <m/>
    <m/>
    <s v="Nil"/>
    <m/>
    <s v="BF"/>
    <s v="NB"/>
    <x v="1"/>
    <x v="0"/>
    <n v="0"/>
    <m/>
    <x v="0"/>
    <m/>
    <s v="Open Market"/>
    <s v="M"/>
    <m/>
    <m/>
    <n v="0"/>
    <n v="0"/>
    <n v="0"/>
    <n v="0"/>
    <n v="0"/>
    <n v="0"/>
    <n v="0"/>
    <n v="0"/>
    <n v="0"/>
    <n v="0"/>
    <n v="9"/>
    <n v="0"/>
    <n v="0"/>
    <n v="0"/>
    <n v="0"/>
    <n v="0"/>
    <n v="0"/>
    <n v="9"/>
    <n v="0"/>
    <n v="0"/>
    <n v="0"/>
    <n v="0"/>
    <n v="0"/>
    <n v="0"/>
    <n v="0"/>
    <n v="0"/>
    <n v="0"/>
    <n v="0"/>
    <n v="0"/>
    <n v="0"/>
    <n v="0"/>
    <n v="0"/>
    <s v="Clapham Junction"/>
    <m/>
    <s v="Clapham Junction Spatial Area Strategy"/>
    <n v="19"/>
    <m/>
    <m/>
    <m/>
    <m/>
    <m/>
    <n v="9"/>
    <m/>
    <m/>
    <m/>
    <m/>
    <m/>
    <m/>
    <m/>
    <m/>
    <m/>
    <m/>
    <m/>
    <m/>
    <m/>
    <m/>
    <n v="9"/>
    <n v="9"/>
  </r>
  <r>
    <n v="7547"/>
    <x v="4"/>
    <m/>
    <s v="Railway arches , Grant Road, SW11 2NU"/>
    <m/>
    <n v="527126"/>
    <n v="175600"/>
    <s v="Falconbrook"/>
    <m/>
    <m/>
    <n v="0"/>
    <n v="3"/>
    <n v="3"/>
    <n v="14"/>
    <n v="14"/>
    <s v="Y"/>
    <s v="Redevelopment"/>
    <s v="NONE"/>
    <m/>
    <m/>
    <m/>
    <s v="Nil"/>
    <m/>
    <s v="BF"/>
    <s v="NB"/>
    <x v="1"/>
    <x v="0"/>
    <n v="0"/>
    <m/>
    <x v="0"/>
    <m/>
    <s v="Social/Affordable Rent"/>
    <s v="AA"/>
    <m/>
    <m/>
    <n v="0"/>
    <n v="0"/>
    <n v="0"/>
    <n v="0"/>
    <n v="0"/>
    <n v="0"/>
    <n v="0"/>
    <n v="0"/>
    <n v="0"/>
    <n v="0"/>
    <n v="3"/>
    <n v="0"/>
    <n v="0"/>
    <n v="0"/>
    <n v="0"/>
    <n v="0"/>
    <n v="0"/>
    <n v="3"/>
    <n v="0"/>
    <n v="0"/>
    <n v="0"/>
    <n v="0"/>
    <n v="0"/>
    <n v="0"/>
    <n v="0"/>
    <n v="0"/>
    <n v="0"/>
    <n v="0"/>
    <n v="0"/>
    <n v="0"/>
    <n v="0"/>
    <n v="0"/>
    <s v="Clapham Junction"/>
    <m/>
    <s v="Clapham Junction Spatial Area Strategy"/>
    <n v="19"/>
    <m/>
    <m/>
    <m/>
    <m/>
    <m/>
    <n v="3"/>
    <m/>
    <m/>
    <m/>
    <m/>
    <m/>
    <m/>
    <m/>
    <m/>
    <m/>
    <m/>
    <m/>
    <m/>
    <m/>
    <m/>
    <n v="3"/>
    <n v="3"/>
  </r>
  <r>
    <n v="7547"/>
    <x v="4"/>
    <m/>
    <s v="Railway arches , Grant Road, SW11 2NU"/>
    <m/>
    <n v="527126"/>
    <n v="175600"/>
    <s v="Falconbrook"/>
    <m/>
    <m/>
    <n v="0"/>
    <n v="2"/>
    <n v="2"/>
    <n v="14"/>
    <n v="14"/>
    <s v="Y"/>
    <s v="Redevelopment"/>
    <s v="NONE"/>
    <m/>
    <m/>
    <m/>
    <s v="Nil"/>
    <m/>
    <s v="BF"/>
    <s v="NB"/>
    <x v="1"/>
    <x v="0"/>
    <n v="0"/>
    <m/>
    <x v="0"/>
    <m/>
    <s v="Intermediate"/>
    <s v="IU"/>
    <m/>
    <m/>
    <n v="0"/>
    <n v="0"/>
    <n v="0"/>
    <n v="0"/>
    <n v="0"/>
    <n v="0"/>
    <n v="0"/>
    <n v="0"/>
    <n v="0"/>
    <n v="0"/>
    <n v="2"/>
    <n v="0"/>
    <n v="0"/>
    <n v="0"/>
    <n v="0"/>
    <n v="0"/>
    <n v="0"/>
    <n v="2"/>
    <n v="0"/>
    <n v="0"/>
    <n v="0"/>
    <n v="0"/>
    <n v="0"/>
    <n v="0"/>
    <n v="0"/>
    <n v="0"/>
    <n v="0"/>
    <n v="0"/>
    <n v="0"/>
    <n v="0"/>
    <n v="0"/>
    <n v="0"/>
    <s v="Clapham Junction"/>
    <m/>
    <s v="Clapham Junction Spatial Area Strategy"/>
    <n v="19"/>
    <m/>
    <m/>
    <m/>
    <m/>
    <m/>
    <n v="2"/>
    <m/>
    <m/>
    <m/>
    <m/>
    <m/>
    <m/>
    <m/>
    <m/>
    <m/>
    <m/>
    <m/>
    <m/>
    <m/>
    <m/>
    <n v="2"/>
    <n v="2"/>
  </r>
  <r>
    <n v="7545"/>
    <x v="4"/>
    <m/>
    <s v="Railway arches adjacent to Battersea Dogs and Cats Home, 6 Battersea Park Road, SW8 4AA"/>
    <m/>
    <n v="528896"/>
    <n v="177124"/>
    <s v="Nine Elms"/>
    <m/>
    <m/>
    <n v="0"/>
    <n v="9"/>
    <n v="9"/>
    <n v="9"/>
    <n v="9"/>
    <m/>
    <s v="Redevelopment"/>
    <s v="NONE"/>
    <m/>
    <m/>
    <m/>
    <s v="Nil"/>
    <m/>
    <s v="BF"/>
    <s v="NB"/>
    <x v="2"/>
    <x v="3"/>
    <n v="0"/>
    <m/>
    <x v="0"/>
    <m/>
    <s v="Open Market"/>
    <s v="M"/>
    <m/>
    <m/>
    <n v="0"/>
    <n v="0"/>
    <n v="0"/>
    <n v="0"/>
    <n v="0"/>
    <n v="0"/>
    <n v="0"/>
    <n v="0"/>
    <n v="0"/>
    <n v="0"/>
    <n v="9"/>
    <n v="0"/>
    <n v="0"/>
    <n v="0"/>
    <n v="0"/>
    <n v="0"/>
    <n v="0"/>
    <n v="9"/>
    <n v="0"/>
    <n v="0"/>
    <n v="0"/>
    <n v="0"/>
    <n v="0"/>
    <n v="0"/>
    <n v="0"/>
    <n v="0"/>
    <n v="0"/>
    <n v="0"/>
    <n v="0"/>
    <n v="0"/>
    <n v="0"/>
    <n v="0"/>
    <m/>
    <s v="Y"/>
    <s v="Nine Elms Vauxhall Opportunity Area"/>
    <n v="20"/>
    <m/>
    <m/>
    <m/>
    <m/>
    <m/>
    <m/>
    <n v="9"/>
    <m/>
    <m/>
    <m/>
    <m/>
    <m/>
    <m/>
    <m/>
    <m/>
    <m/>
    <m/>
    <m/>
    <m/>
    <m/>
    <n v="0"/>
    <n v="9"/>
  </r>
  <r>
    <n v="7544"/>
    <x v="4"/>
    <m/>
    <s v="Railway arches, 14 Winthorpe Road, SW15 2LW"/>
    <m/>
    <n v="524433"/>
    <n v="175204"/>
    <s v="Thamesfield"/>
    <m/>
    <m/>
    <n v="0"/>
    <n v="5"/>
    <n v="5"/>
    <n v="5"/>
    <n v="5"/>
    <m/>
    <s v="Redevelopment"/>
    <s v="NONE"/>
    <m/>
    <m/>
    <m/>
    <s v="Nil"/>
    <m/>
    <s v="BF"/>
    <s v="NB"/>
    <x v="2"/>
    <x v="3"/>
    <n v="0"/>
    <m/>
    <x v="0"/>
    <m/>
    <s v="Open Market"/>
    <s v="M"/>
    <m/>
    <m/>
    <n v="0"/>
    <n v="0"/>
    <n v="0"/>
    <n v="0"/>
    <n v="0"/>
    <n v="0"/>
    <n v="0"/>
    <n v="0"/>
    <n v="0"/>
    <n v="0"/>
    <n v="5"/>
    <n v="0"/>
    <n v="0"/>
    <n v="0"/>
    <n v="0"/>
    <n v="0"/>
    <n v="0"/>
    <n v="5"/>
    <n v="0"/>
    <n v="0"/>
    <n v="0"/>
    <n v="0"/>
    <n v="0"/>
    <n v="0"/>
    <n v="0"/>
    <n v="0"/>
    <n v="0"/>
    <n v="0"/>
    <n v="0"/>
    <n v="0"/>
    <n v="0"/>
    <n v="0"/>
    <m/>
    <m/>
    <s v="Rest of Borough"/>
    <n v="19"/>
    <m/>
    <m/>
    <m/>
    <m/>
    <m/>
    <n v="5"/>
    <m/>
    <m/>
    <m/>
    <m/>
    <m/>
    <m/>
    <m/>
    <m/>
    <m/>
    <m/>
    <m/>
    <m/>
    <m/>
    <m/>
    <n v="5"/>
    <n v="5"/>
  </r>
  <r>
    <n v="7538"/>
    <x v="4"/>
    <m/>
    <s v="Railway land, Falcon Lane, SW11 2LG"/>
    <m/>
    <n v="527505"/>
    <n v="175729"/>
    <s v="Falconbrook"/>
    <m/>
    <m/>
    <n v="0"/>
    <n v="8"/>
    <n v="8"/>
    <n v="8"/>
    <n v="8"/>
    <m/>
    <s v="Redevelopment"/>
    <s v="NONE"/>
    <m/>
    <m/>
    <m/>
    <s v="Nil"/>
    <m/>
    <s v="BF"/>
    <s v="NB"/>
    <x v="2"/>
    <x v="3"/>
    <n v="0"/>
    <m/>
    <x v="0"/>
    <m/>
    <s v="Open Market"/>
    <s v="M"/>
    <m/>
    <m/>
    <n v="0"/>
    <n v="0"/>
    <n v="0"/>
    <n v="0"/>
    <n v="0"/>
    <n v="0"/>
    <n v="0"/>
    <n v="0"/>
    <n v="0"/>
    <n v="0"/>
    <n v="8"/>
    <n v="0"/>
    <n v="0"/>
    <n v="0"/>
    <n v="0"/>
    <n v="0"/>
    <n v="0"/>
    <n v="8"/>
    <n v="0"/>
    <n v="0"/>
    <n v="0"/>
    <n v="0"/>
    <n v="0"/>
    <n v="0"/>
    <n v="0"/>
    <n v="0"/>
    <n v="0"/>
    <n v="0"/>
    <n v="0"/>
    <n v="0"/>
    <n v="0"/>
    <n v="0"/>
    <m/>
    <m/>
    <s v="Clapham Junction Spatial Area Strategy"/>
    <n v="19"/>
    <m/>
    <m/>
    <m/>
    <m/>
    <m/>
    <n v="8"/>
    <m/>
    <m/>
    <m/>
    <m/>
    <m/>
    <m/>
    <m/>
    <m/>
    <m/>
    <m/>
    <m/>
    <m/>
    <m/>
    <m/>
    <n v="8"/>
    <n v="8"/>
  </r>
  <r>
    <n v="6866"/>
    <x v="4"/>
    <m/>
    <s v="Sainsbury's Car Park, Bedford Hill"/>
    <m/>
    <n v="528627"/>
    <n v="173224"/>
    <s v="Balham"/>
    <m/>
    <m/>
    <n v="0"/>
    <n v="38"/>
    <n v="38"/>
    <n v="59"/>
    <n v="59"/>
    <s v="Y"/>
    <s v="Redevelopment"/>
    <s v="NONE"/>
    <m/>
    <m/>
    <m/>
    <s v="Nil"/>
    <m/>
    <s v="BF"/>
    <s v="NB"/>
    <x v="1"/>
    <x v="0"/>
    <n v="0"/>
    <m/>
    <x v="0"/>
    <m/>
    <s v="Open Market"/>
    <s v="M"/>
    <s v="BA1"/>
    <m/>
    <n v="0"/>
    <n v="0"/>
    <n v="0"/>
    <n v="0"/>
    <n v="0"/>
    <n v="0"/>
    <n v="0"/>
    <n v="0"/>
    <n v="0"/>
    <n v="0"/>
    <n v="38"/>
    <n v="0"/>
    <n v="0"/>
    <n v="0"/>
    <n v="0"/>
    <n v="0"/>
    <n v="0"/>
    <n v="38"/>
    <n v="0"/>
    <n v="0"/>
    <n v="0"/>
    <n v="0"/>
    <n v="0"/>
    <n v="0"/>
    <n v="0"/>
    <n v="0"/>
    <n v="0"/>
    <n v="0"/>
    <n v="0"/>
    <n v="0"/>
    <n v="0"/>
    <n v="0"/>
    <s v="Balham"/>
    <m/>
    <s v="Balham"/>
    <n v="19"/>
    <m/>
    <m/>
    <m/>
    <m/>
    <m/>
    <m/>
    <m/>
    <m/>
    <m/>
    <n v="3.1666666666666665"/>
    <n v="3.1666666666666665"/>
    <n v="3.1666666666666665"/>
    <n v="3.1666666666666665"/>
    <n v="3.1666666666666665"/>
    <n v="3.1666666666666665"/>
    <n v="3.1666666666666665"/>
    <n v="3.1666666666666665"/>
    <n v="3.1666666666666665"/>
    <n v="3.1666666666666665"/>
    <n v="3.1666666666666665"/>
    <n v="0"/>
    <n v="6.333333333333333"/>
  </r>
  <r>
    <n v="6866"/>
    <x v="4"/>
    <m/>
    <s v="Sainsbury's Car Park, Bedford Hill"/>
    <m/>
    <n v="528627"/>
    <n v="173224"/>
    <s v="Balham"/>
    <m/>
    <m/>
    <n v="0"/>
    <n v="11"/>
    <n v="11"/>
    <n v="59"/>
    <n v="59"/>
    <s v="Y"/>
    <s v="Redevelopment"/>
    <s v="NONE"/>
    <m/>
    <m/>
    <m/>
    <s v="Nil"/>
    <m/>
    <s v="BF"/>
    <s v="NB"/>
    <x v="1"/>
    <x v="0"/>
    <n v="0"/>
    <m/>
    <x v="0"/>
    <m/>
    <s v="Social/Affordable Rent"/>
    <s v="AA"/>
    <s v="BA1"/>
    <m/>
    <n v="0"/>
    <n v="0"/>
    <n v="0"/>
    <n v="0"/>
    <n v="0"/>
    <n v="0"/>
    <n v="0"/>
    <n v="0"/>
    <n v="0"/>
    <n v="0"/>
    <n v="11"/>
    <n v="0"/>
    <n v="0"/>
    <n v="0"/>
    <n v="0"/>
    <n v="0"/>
    <n v="0"/>
    <n v="11"/>
    <n v="0"/>
    <n v="0"/>
    <n v="0"/>
    <n v="0"/>
    <n v="0"/>
    <n v="0"/>
    <n v="0"/>
    <n v="0"/>
    <n v="0"/>
    <n v="0"/>
    <n v="0"/>
    <n v="0"/>
    <n v="0"/>
    <n v="0"/>
    <s v="Balham"/>
    <m/>
    <s v="Balham"/>
    <n v="19"/>
    <m/>
    <m/>
    <m/>
    <m/>
    <m/>
    <m/>
    <m/>
    <m/>
    <m/>
    <n v="0.91666666666666663"/>
    <n v="0.91666666666666663"/>
    <n v="0.91666666666666663"/>
    <n v="0.91666666666666663"/>
    <n v="0.91666666666666663"/>
    <n v="0.91666666666666663"/>
    <n v="0.91666666666666663"/>
    <n v="0.91666666666666663"/>
    <n v="0.91666666666666663"/>
    <n v="0.91666666666666663"/>
    <n v="0.91666666666666663"/>
    <n v="0"/>
    <n v="1.8333333333333333"/>
  </r>
  <r>
    <n v="6866"/>
    <x v="4"/>
    <m/>
    <s v="Sainsbury's Car Park, Bedford Hill"/>
    <m/>
    <n v="528627"/>
    <n v="173224"/>
    <s v="Balham"/>
    <m/>
    <m/>
    <n v="0"/>
    <n v="10"/>
    <n v="10"/>
    <n v="59"/>
    <n v="59"/>
    <s v="Y"/>
    <s v="Redevelopment"/>
    <s v="NONE"/>
    <m/>
    <m/>
    <m/>
    <s v="Nil"/>
    <m/>
    <s v="BF"/>
    <s v="NB"/>
    <x v="1"/>
    <x v="0"/>
    <n v="0"/>
    <m/>
    <x v="0"/>
    <m/>
    <s v="Intermediate"/>
    <s v="IU"/>
    <s v="BA1"/>
    <m/>
    <n v="0"/>
    <n v="0"/>
    <n v="0"/>
    <n v="0"/>
    <n v="0"/>
    <n v="0"/>
    <n v="0"/>
    <n v="0"/>
    <n v="0"/>
    <n v="0"/>
    <n v="10"/>
    <n v="0"/>
    <n v="0"/>
    <n v="0"/>
    <n v="0"/>
    <n v="0"/>
    <n v="0"/>
    <n v="10"/>
    <n v="0"/>
    <n v="0"/>
    <n v="0"/>
    <n v="0"/>
    <n v="0"/>
    <n v="0"/>
    <n v="0"/>
    <n v="0"/>
    <n v="0"/>
    <n v="0"/>
    <n v="0"/>
    <n v="0"/>
    <n v="0"/>
    <n v="0"/>
    <s v="Balham"/>
    <m/>
    <s v="Balham"/>
    <n v="19"/>
    <m/>
    <m/>
    <m/>
    <m/>
    <m/>
    <m/>
    <m/>
    <m/>
    <m/>
    <n v="0.83333333333333337"/>
    <n v="0.83333333333333337"/>
    <n v="0.83333333333333337"/>
    <n v="0.83333333333333337"/>
    <n v="0.83333333333333337"/>
    <n v="0.83333333333333337"/>
    <n v="0.83333333333333337"/>
    <n v="0.83333333333333337"/>
    <n v="0.83333333333333337"/>
    <n v="0.83333333333333337"/>
    <n v="0.83333333333333337"/>
    <n v="0"/>
    <n v="1.6666666666666667"/>
  </r>
  <r>
    <n v="3970"/>
    <x v="4"/>
    <m/>
    <s v="Sainsbury's, 2-6 Werter Road"/>
    <m/>
    <n v="524058"/>
    <n v="175199"/>
    <s v="Thamesfield"/>
    <m/>
    <m/>
    <n v="0"/>
    <n v="3"/>
    <n v="3"/>
    <n v="3"/>
    <n v="3"/>
    <m/>
    <s v="Redevelopment"/>
    <s v="NONE"/>
    <m/>
    <m/>
    <m/>
    <s v="Nil"/>
    <m/>
    <s v="BF"/>
    <s v="NB"/>
    <x v="2"/>
    <x v="3"/>
    <n v="0"/>
    <m/>
    <x v="0"/>
    <m/>
    <s v="Open Market"/>
    <s v="M"/>
    <s v="PUT5"/>
    <m/>
    <n v="0"/>
    <n v="0"/>
    <n v="0"/>
    <n v="0"/>
    <n v="0"/>
    <n v="0"/>
    <n v="0"/>
    <n v="0"/>
    <n v="0"/>
    <n v="0"/>
    <n v="3"/>
    <n v="0"/>
    <n v="0"/>
    <n v="0"/>
    <n v="0"/>
    <n v="0"/>
    <n v="0"/>
    <n v="3"/>
    <n v="0"/>
    <n v="0"/>
    <n v="0"/>
    <n v="0"/>
    <n v="0"/>
    <n v="0"/>
    <n v="0"/>
    <n v="0"/>
    <n v="0"/>
    <n v="0"/>
    <n v="0"/>
    <n v="0"/>
    <n v="0"/>
    <n v="0"/>
    <s v="Putney"/>
    <m/>
    <s v="Putney Town Centre"/>
    <n v="19"/>
    <m/>
    <m/>
    <m/>
    <m/>
    <m/>
    <m/>
    <m/>
    <m/>
    <m/>
    <n v="0.25"/>
    <n v="0.25"/>
    <n v="0.25"/>
    <n v="0.25"/>
    <n v="0.25"/>
    <n v="0.25"/>
    <n v="0.25"/>
    <n v="0.25"/>
    <n v="0.25"/>
    <n v="0.25"/>
    <n v="0.25"/>
    <n v="0"/>
    <n v="0.5"/>
  </r>
  <r>
    <n v="3942"/>
    <x v="4"/>
    <m/>
    <s v="Securicor Site, 80 Kirtling Street"/>
    <m/>
    <n v="529292"/>
    <n v="177503"/>
    <s v="Nine Elms"/>
    <m/>
    <m/>
    <n v="0"/>
    <n v="135"/>
    <n v="135"/>
    <n v="208"/>
    <n v="208"/>
    <s v="Y"/>
    <s v="Redevelopment"/>
    <s v="NONE"/>
    <m/>
    <m/>
    <m/>
    <s v="Nil"/>
    <m/>
    <s v="BF"/>
    <s v="NB"/>
    <x v="1"/>
    <x v="0"/>
    <n v="0"/>
    <m/>
    <x v="0"/>
    <m/>
    <s v="Open Market"/>
    <s v="M"/>
    <s v="NE3"/>
    <m/>
    <n v="0"/>
    <n v="0"/>
    <n v="0"/>
    <n v="0"/>
    <n v="0"/>
    <n v="0"/>
    <n v="0"/>
    <n v="0"/>
    <n v="0"/>
    <n v="0"/>
    <n v="135"/>
    <n v="0"/>
    <n v="0"/>
    <n v="0"/>
    <n v="0"/>
    <n v="0"/>
    <n v="0"/>
    <n v="135"/>
    <n v="0"/>
    <n v="0"/>
    <n v="0"/>
    <n v="0"/>
    <n v="0"/>
    <n v="0"/>
    <n v="0"/>
    <n v="0"/>
    <n v="0"/>
    <n v="0"/>
    <n v="0"/>
    <n v="0"/>
    <n v="0"/>
    <n v="0"/>
    <m/>
    <s v="Y"/>
    <s v="Nine Elms Vauxhall Opportunity Area"/>
    <n v="20"/>
    <m/>
    <m/>
    <m/>
    <m/>
    <m/>
    <n v="135"/>
    <m/>
    <m/>
    <m/>
    <m/>
    <m/>
    <m/>
    <m/>
    <m/>
    <m/>
    <m/>
    <m/>
    <m/>
    <m/>
    <m/>
    <n v="135"/>
    <n v="135"/>
  </r>
  <r>
    <n v="3942"/>
    <x v="4"/>
    <m/>
    <s v="Securicor Site, 80 Kirtling Street"/>
    <m/>
    <n v="529292"/>
    <n v="177503"/>
    <s v="Nine Elms"/>
    <m/>
    <m/>
    <n v="0"/>
    <n v="37"/>
    <n v="37"/>
    <n v="208"/>
    <n v="208"/>
    <s v="Y"/>
    <s v="Redevelopment"/>
    <s v="NONE"/>
    <m/>
    <m/>
    <m/>
    <s v="Nil"/>
    <m/>
    <s v="BF"/>
    <s v="NB"/>
    <x v="1"/>
    <x v="0"/>
    <n v="0"/>
    <m/>
    <x v="0"/>
    <m/>
    <s v="Social/Affordable Rent"/>
    <s v="AA"/>
    <s v="NE3"/>
    <m/>
    <n v="0"/>
    <n v="0"/>
    <n v="0"/>
    <n v="0"/>
    <n v="0"/>
    <n v="0"/>
    <n v="0"/>
    <n v="0"/>
    <n v="0"/>
    <n v="0"/>
    <n v="37"/>
    <n v="0"/>
    <n v="0"/>
    <n v="0"/>
    <n v="0"/>
    <n v="0"/>
    <n v="0"/>
    <n v="37"/>
    <n v="0"/>
    <n v="0"/>
    <n v="0"/>
    <n v="0"/>
    <n v="0"/>
    <n v="0"/>
    <n v="0"/>
    <n v="0"/>
    <n v="0"/>
    <n v="0"/>
    <n v="0"/>
    <n v="0"/>
    <n v="0"/>
    <n v="0"/>
    <m/>
    <s v="Y"/>
    <s v="Nine Elms Vauxhall Opportunity Area"/>
    <n v="20"/>
    <m/>
    <m/>
    <m/>
    <m/>
    <m/>
    <n v="37"/>
    <m/>
    <m/>
    <m/>
    <m/>
    <m/>
    <m/>
    <m/>
    <m/>
    <m/>
    <m/>
    <m/>
    <m/>
    <m/>
    <m/>
    <n v="37"/>
    <n v="37"/>
  </r>
  <r>
    <n v="3942"/>
    <x v="4"/>
    <m/>
    <s v="Securicor Site, 80 Kirtling Street"/>
    <m/>
    <n v="529292"/>
    <n v="177503"/>
    <s v="Nine Elms"/>
    <m/>
    <m/>
    <n v="0"/>
    <n v="36"/>
    <n v="36"/>
    <n v="208"/>
    <n v="208"/>
    <s v="Y"/>
    <s v="Redevelopment"/>
    <s v="NONE"/>
    <m/>
    <m/>
    <m/>
    <s v="Nil"/>
    <m/>
    <s v="BF"/>
    <s v="NB"/>
    <x v="1"/>
    <x v="0"/>
    <n v="0"/>
    <m/>
    <x v="0"/>
    <m/>
    <s v="Intermediate"/>
    <s v="IU"/>
    <s v="NE3"/>
    <m/>
    <n v="0"/>
    <n v="0"/>
    <n v="0"/>
    <n v="0"/>
    <n v="0"/>
    <n v="0"/>
    <n v="0"/>
    <n v="0"/>
    <n v="0"/>
    <n v="0"/>
    <n v="36"/>
    <n v="0"/>
    <n v="0"/>
    <n v="0"/>
    <n v="0"/>
    <n v="0"/>
    <n v="0"/>
    <n v="36"/>
    <n v="0"/>
    <n v="0"/>
    <n v="0"/>
    <n v="0"/>
    <n v="0"/>
    <n v="0"/>
    <n v="0"/>
    <n v="0"/>
    <n v="0"/>
    <n v="0"/>
    <n v="0"/>
    <n v="0"/>
    <n v="0"/>
    <n v="0"/>
    <m/>
    <s v="Y"/>
    <s v="Nine Elms Vauxhall Opportunity Area"/>
    <n v="20"/>
    <m/>
    <m/>
    <m/>
    <m/>
    <m/>
    <n v="36"/>
    <m/>
    <m/>
    <m/>
    <m/>
    <m/>
    <m/>
    <m/>
    <m/>
    <m/>
    <m/>
    <m/>
    <m/>
    <m/>
    <m/>
    <n v="36"/>
    <n v="36"/>
  </r>
  <r>
    <n v="7543"/>
    <x v="4"/>
    <m/>
    <s v="Southfields Library  and adjoining carpark to the west, 300 Wimbledon Park Road, SW19 6NL"/>
    <m/>
    <n v="524585"/>
    <n v="173139"/>
    <s v="West Hill"/>
    <m/>
    <m/>
    <n v="0"/>
    <n v="6"/>
    <n v="6"/>
    <n v="6"/>
    <n v="6"/>
    <m/>
    <s v="Redevelopment"/>
    <s v="NONE"/>
    <m/>
    <m/>
    <m/>
    <s v="Nil"/>
    <m/>
    <s v="BF"/>
    <s v="NB"/>
    <x v="2"/>
    <x v="3"/>
    <n v="0"/>
    <m/>
    <x v="0"/>
    <m/>
    <s v="Open Market"/>
    <s v="M"/>
    <m/>
    <m/>
    <n v="0"/>
    <n v="0"/>
    <n v="0"/>
    <n v="0"/>
    <n v="0"/>
    <n v="0"/>
    <n v="0"/>
    <n v="0"/>
    <n v="0"/>
    <n v="0"/>
    <n v="6"/>
    <n v="0"/>
    <n v="0"/>
    <n v="0"/>
    <n v="0"/>
    <n v="0"/>
    <n v="0"/>
    <n v="6"/>
    <n v="0"/>
    <n v="0"/>
    <n v="0"/>
    <n v="0"/>
    <n v="0"/>
    <n v="0"/>
    <n v="0"/>
    <n v="0"/>
    <n v="0"/>
    <n v="0"/>
    <n v="0"/>
    <n v="0"/>
    <n v="0"/>
    <n v="0"/>
    <m/>
    <m/>
    <s v="Rest of Borough"/>
    <n v="19"/>
    <m/>
    <m/>
    <m/>
    <m/>
    <m/>
    <n v="6"/>
    <m/>
    <m/>
    <m/>
    <m/>
    <m/>
    <m/>
    <m/>
    <m/>
    <m/>
    <m/>
    <m/>
    <m/>
    <m/>
    <m/>
    <n v="6"/>
    <n v="6"/>
  </r>
  <r>
    <n v="7586"/>
    <x v="4"/>
    <m/>
    <s v="Southside Shopping Centre, Wandsworth High Street, SW18"/>
    <m/>
    <n v="525580.16070000001"/>
    <n v="174464.45579999901"/>
    <s v="Wandsworth Town"/>
    <m/>
    <m/>
    <n v="0"/>
    <n v="592"/>
    <n v="592"/>
    <n v="910"/>
    <n v="910"/>
    <s v="Y"/>
    <s v="Redevelopment"/>
    <s v="NONE"/>
    <m/>
    <m/>
    <m/>
    <s v="Nil"/>
    <m/>
    <s v="BF"/>
    <s v="NB"/>
    <x v="1"/>
    <x v="0"/>
    <n v="0"/>
    <m/>
    <x v="0"/>
    <m/>
    <s v="Open Market"/>
    <s v="M"/>
    <s v="WT20"/>
    <m/>
    <n v="0"/>
    <n v="0"/>
    <n v="0"/>
    <n v="0"/>
    <n v="0"/>
    <n v="0"/>
    <n v="0"/>
    <n v="0"/>
    <n v="0"/>
    <n v="0"/>
    <n v="592"/>
    <n v="0"/>
    <n v="0"/>
    <n v="0"/>
    <n v="0"/>
    <n v="0"/>
    <n v="0"/>
    <n v="592"/>
    <n v="0"/>
    <n v="0"/>
    <n v="0"/>
    <n v="0"/>
    <n v="0"/>
    <n v="0"/>
    <n v="0"/>
    <n v="0"/>
    <n v="0"/>
    <n v="0"/>
    <n v="0"/>
    <n v="0"/>
    <n v="0"/>
    <n v="0"/>
    <s v="Wandsworth"/>
    <m/>
    <s v="Wandsworth Town, including the Wandle Delta Masterplan Area"/>
    <n v="19"/>
    <m/>
    <m/>
    <m/>
    <n v="59.2"/>
    <n v="59.2"/>
    <n v="59.2"/>
    <n v="59.2"/>
    <n v="59.2"/>
    <n v="59.2"/>
    <n v="59.2"/>
    <n v="59.2"/>
    <n v="59.2"/>
    <n v="59.2"/>
    <m/>
    <m/>
    <m/>
    <m/>
    <m/>
    <m/>
    <m/>
    <n v="177.60000000000002"/>
    <n v="473.59999999999997"/>
  </r>
  <r>
    <n v="7586"/>
    <x v="4"/>
    <m/>
    <s v="Southside Shopping Centre, Wandsworth High Street, SW18"/>
    <m/>
    <n v="525580.16070000001"/>
    <n v="174464.45579999901"/>
    <s v="Wandsworth Town"/>
    <m/>
    <m/>
    <n v="0"/>
    <n v="159"/>
    <n v="159"/>
    <n v="910"/>
    <n v="910"/>
    <s v="Y"/>
    <s v="Redevelopment"/>
    <s v="NONE"/>
    <m/>
    <m/>
    <m/>
    <s v="Nil"/>
    <m/>
    <s v="BF"/>
    <s v="NB"/>
    <x v="1"/>
    <x v="0"/>
    <n v="0"/>
    <m/>
    <x v="0"/>
    <m/>
    <s v="Social/Affordable Rent"/>
    <s v="AA"/>
    <s v="WT20"/>
    <m/>
    <n v="0"/>
    <n v="0"/>
    <n v="0"/>
    <n v="0"/>
    <n v="0"/>
    <n v="0"/>
    <n v="0"/>
    <n v="0"/>
    <n v="0"/>
    <n v="0"/>
    <n v="159"/>
    <n v="0"/>
    <n v="0"/>
    <n v="0"/>
    <n v="0"/>
    <n v="0"/>
    <n v="0"/>
    <n v="159"/>
    <n v="0"/>
    <n v="0"/>
    <n v="0"/>
    <n v="0"/>
    <n v="0"/>
    <n v="0"/>
    <n v="0"/>
    <n v="0"/>
    <n v="0"/>
    <n v="0"/>
    <n v="0"/>
    <n v="0"/>
    <n v="0"/>
    <n v="0"/>
    <s v="Wandsworth"/>
    <m/>
    <s v="Wandsworth Town, including the Wandle Delta Masterplan Area"/>
    <n v="19"/>
    <m/>
    <m/>
    <m/>
    <n v="15.9"/>
    <n v="15.9"/>
    <n v="15.9"/>
    <n v="15.9"/>
    <n v="15.9"/>
    <n v="15.9"/>
    <n v="15.9"/>
    <n v="15.9"/>
    <n v="15.9"/>
    <n v="15.9"/>
    <m/>
    <m/>
    <m/>
    <m/>
    <m/>
    <m/>
    <m/>
    <n v="47.7"/>
    <n v="127.20000000000002"/>
  </r>
  <r>
    <n v="7586"/>
    <x v="4"/>
    <m/>
    <s v="Southside Shopping Centre, Wandsworth High Street, SW18"/>
    <m/>
    <n v="525580.16070000001"/>
    <n v="174464.45579999901"/>
    <s v="Wandsworth Town"/>
    <m/>
    <m/>
    <n v="0"/>
    <n v="159"/>
    <n v="159"/>
    <n v="910"/>
    <n v="910"/>
    <s v="Y"/>
    <s v="Redevelopment"/>
    <s v="NONE"/>
    <m/>
    <m/>
    <m/>
    <s v="Nil"/>
    <m/>
    <s v="BF"/>
    <s v="NB"/>
    <x v="1"/>
    <x v="0"/>
    <n v="0"/>
    <m/>
    <x v="0"/>
    <m/>
    <s v="Intermediate"/>
    <s v="IU"/>
    <s v="WT20"/>
    <m/>
    <n v="0"/>
    <n v="0"/>
    <n v="0"/>
    <n v="0"/>
    <n v="0"/>
    <n v="0"/>
    <n v="0"/>
    <n v="0"/>
    <n v="0"/>
    <n v="0"/>
    <n v="159"/>
    <n v="0"/>
    <n v="0"/>
    <n v="0"/>
    <n v="0"/>
    <n v="0"/>
    <n v="0"/>
    <n v="159"/>
    <n v="0"/>
    <n v="0"/>
    <n v="0"/>
    <n v="0"/>
    <n v="0"/>
    <n v="0"/>
    <n v="0"/>
    <n v="0"/>
    <n v="0"/>
    <n v="0"/>
    <n v="0"/>
    <n v="0"/>
    <n v="0"/>
    <n v="0"/>
    <s v="Wandsworth"/>
    <m/>
    <s v="Wandsworth Town, including the Wandle Delta Masterplan Area"/>
    <n v="19"/>
    <m/>
    <m/>
    <m/>
    <n v="15.9"/>
    <n v="15.9"/>
    <n v="15.9"/>
    <n v="15.9"/>
    <n v="15.9"/>
    <n v="15.9"/>
    <n v="15.9"/>
    <n v="15.9"/>
    <n v="15.9"/>
    <n v="15.9"/>
    <m/>
    <m/>
    <m/>
    <m/>
    <m/>
    <m/>
    <m/>
    <n v="47.7"/>
    <n v="127.20000000000002"/>
  </r>
  <r>
    <n v="7579"/>
    <x v="4"/>
    <m/>
    <s v="St George's Hospital, Blackshaw SW17"/>
    <m/>
    <n v="526984"/>
    <n v="171324"/>
    <s v="Tooting Broadway"/>
    <m/>
    <m/>
    <n v="0"/>
    <n v="61"/>
    <n v="61"/>
    <n v="94"/>
    <n v="94"/>
    <s v="Y"/>
    <s v="Redevelopment"/>
    <s v="NONE"/>
    <m/>
    <m/>
    <m/>
    <s v="Nil"/>
    <m/>
    <s v="BF"/>
    <s v="NB"/>
    <x v="1"/>
    <x v="0"/>
    <n v="0"/>
    <m/>
    <x v="0"/>
    <m/>
    <s v="Open Market"/>
    <s v="M"/>
    <s v="TO2"/>
    <m/>
    <n v="0"/>
    <n v="0"/>
    <n v="0"/>
    <n v="0"/>
    <n v="0"/>
    <n v="0"/>
    <n v="0"/>
    <n v="0"/>
    <n v="0"/>
    <n v="0"/>
    <n v="61"/>
    <n v="0"/>
    <n v="0"/>
    <n v="0"/>
    <n v="0"/>
    <n v="0"/>
    <n v="0"/>
    <n v="61"/>
    <n v="0"/>
    <n v="0"/>
    <n v="0"/>
    <n v="0"/>
    <n v="0"/>
    <n v="0"/>
    <n v="0"/>
    <n v="0"/>
    <n v="0"/>
    <n v="0"/>
    <n v="0"/>
    <n v="0"/>
    <n v="0"/>
    <n v="0"/>
    <m/>
    <m/>
    <s v="Tooting"/>
    <n v="19"/>
    <m/>
    <m/>
    <m/>
    <m/>
    <m/>
    <n v="3.8125"/>
    <n v="3.8125"/>
    <n v="3.8125"/>
    <n v="3.8125"/>
    <n v="3.8125"/>
    <n v="3.8125"/>
    <n v="3.8125"/>
    <n v="3.8125"/>
    <n v="3.8125"/>
    <n v="3.8125"/>
    <n v="3.8125"/>
    <n v="3.8125"/>
    <n v="3.8125"/>
    <n v="3.8125"/>
    <n v="3.8125"/>
    <n v="3.8125"/>
    <n v="22.875"/>
  </r>
  <r>
    <n v="7579"/>
    <x v="4"/>
    <m/>
    <s v="St George's Hospital, Blackshaw SW17"/>
    <m/>
    <n v="526984"/>
    <n v="171324"/>
    <s v="Tooting Broadway"/>
    <m/>
    <m/>
    <n v="0"/>
    <n v="17"/>
    <n v="17"/>
    <n v="94"/>
    <n v="94"/>
    <s v="Y"/>
    <s v="Redevelopment"/>
    <s v="NONE"/>
    <m/>
    <m/>
    <m/>
    <s v="Nil"/>
    <m/>
    <s v="BF"/>
    <s v="NB"/>
    <x v="1"/>
    <x v="0"/>
    <n v="0"/>
    <m/>
    <x v="0"/>
    <m/>
    <s v="Social/Affordable Rent"/>
    <s v="AA"/>
    <s v="TO2"/>
    <m/>
    <n v="0"/>
    <n v="0"/>
    <n v="0"/>
    <n v="0"/>
    <n v="0"/>
    <n v="0"/>
    <n v="0"/>
    <n v="0"/>
    <n v="0"/>
    <n v="0"/>
    <n v="17"/>
    <n v="0"/>
    <n v="0"/>
    <n v="0"/>
    <n v="0"/>
    <n v="0"/>
    <n v="0"/>
    <n v="17"/>
    <n v="0"/>
    <n v="0"/>
    <n v="0"/>
    <n v="0"/>
    <n v="0"/>
    <n v="0"/>
    <n v="0"/>
    <n v="0"/>
    <n v="0"/>
    <n v="0"/>
    <n v="0"/>
    <n v="0"/>
    <n v="0"/>
    <n v="0"/>
    <m/>
    <m/>
    <s v="Tooting"/>
    <n v="19"/>
    <m/>
    <m/>
    <m/>
    <m/>
    <m/>
    <n v="1.0625"/>
    <n v="1.0625"/>
    <n v="1.0625"/>
    <n v="1.0625"/>
    <n v="1.0625"/>
    <n v="1.0625"/>
    <n v="1.0625"/>
    <n v="1.0625"/>
    <n v="1.0625"/>
    <n v="1.0625"/>
    <n v="1.0625"/>
    <n v="1.0625"/>
    <n v="1.0625"/>
    <n v="1.0625"/>
    <n v="1.0625"/>
    <n v="1.0625"/>
    <n v="6.375"/>
  </r>
  <r>
    <n v="7579"/>
    <x v="4"/>
    <m/>
    <s v="St George's Hospital, Blackshaw SW17"/>
    <m/>
    <n v="526984"/>
    <n v="171324"/>
    <s v="Tooting Broadway"/>
    <m/>
    <m/>
    <n v="0"/>
    <n v="16"/>
    <n v="16"/>
    <n v="94"/>
    <n v="94"/>
    <s v="Y"/>
    <s v="Redevelopment"/>
    <s v="NONE"/>
    <m/>
    <m/>
    <m/>
    <s v="Nil"/>
    <m/>
    <s v="BF"/>
    <s v="NB"/>
    <x v="1"/>
    <x v="0"/>
    <n v="0"/>
    <m/>
    <x v="0"/>
    <m/>
    <s v="Intermediate"/>
    <s v="IU"/>
    <s v="TO2"/>
    <m/>
    <n v="0"/>
    <n v="0"/>
    <n v="0"/>
    <n v="0"/>
    <n v="0"/>
    <n v="0"/>
    <n v="0"/>
    <n v="0"/>
    <n v="0"/>
    <n v="0"/>
    <n v="16"/>
    <n v="0"/>
    <n v="0"/>
    <n v="0"/>
    <n v="0"/>
    <n v="0"/>
    <n v="0"/>
    <n v="16"/>
    <n v="0"/>
    <n v="0"/>
    <n v="0"/>
    <n v="0"/>
    <n v="0"/>
    <n v="0"/>
    <n v="0"/>
    <n v="0"/>
    <n v="0"/>
    <n v="0"/>
    <n v="0"/>
    <n v="0"/>
    <n v="0"/>
    <n v="0"/>
    <m/>
    <m/>
    <s v="Tooting"/>
    <n v="19"/>
    <m/>
    <m/>
    <m/>
    <m/>
    <m/>
    <n v="1"/>
    <n v="1"/>
    <n v="1"/>
    <n v="1"/>
    <n v="1"/>
    <n v="1"/>
    <n v="1"/>
    <n v="1"/>
    <n v="1"/>
    <n v="1"/>
    <n v="1"/>
    <n v="1"/>
    <n v="1"/>
    <n v="1"/>
    <n v="1"/>
    <n v="1"/>
    <n v="6"/>
  </r>
  <r>
    <n v="6872"/>
    <x v="4"/>
    <m/>
    <s v="Travelodge Hotel, 200 York Road"/>
    <m/>
    <n v="526497"/>
    <n v="175661"/>
    <s v="St Mary's"/>
    <m/>
    <m/>
    <n v="0"/>
    <n v="9"/>
    <n v="9"/>
    <n v="9"/>
    <n v="9"/>
    <m/>
    <s v="Redevelopment"/>
    <s v="NONE"/>
    <m/>
    <m/>
    <m/>
    <s v="Nil"/>
    <m/>
    <s v="BF"/>
    <s v="NB"/>
    <x v="2"/>
    <x v="3"/>
    <n v="0"/>
    <m/>
    <x v="0"/>
    <m/>
    <s v="Open Market"/>
    <s v="M"/>
    <s v="RIV10"/>
    <m/>
    <n v="0"/>
    <n v="0"/>
    <n v="0"/>
    <n v="0"/>
    <n v="0"/>
    <n v="0"/>
    <n v="0"/>
    <n v="0"/>
    <n v="0"/>
    <n v="0"/>
    <n v="9"/>
    <n v="0"/>
    <n v="0"/>
    <n v="0"/>
    <n v="0"/>
    <n v="0"/>
    <n v="0"/>
    <n v="9"/>
    <n v="0"/>
    <n v="0"/>
    <n v="0"/>
    <n v="0"/>
    <n v="0"/>
    <n v="0"/>
    <n v="0"/>
    <n v="0"/>
    <n v="0"/>
    <n v="0"/>
    <n v="0"/>
    <n v="0"/>
    <n v="0"/>
    <n v="0"/>
    <m/>
    <m/>
    <s v="Wandsworth riverside"/>
    <n v="19"/>
    <m/>
    <m/>
    <m/>
    <m/>
    <m/>
    <m/>
    <m/>
    <m/>
    <m/>
    <n v="0.75"/>
    <n v="0.75"/>
    <n v="0.75"/>
    <n v="0.75"/>
    <n v="0.75"/>
    <n v="0.75"/>
    <n v="0.75"/>
    <n v="0.75"/>
    <n v="0.75"/>
    <n v="0.75"/>
    <n v="0.75"/>
    <n v="0"/>
    <n v="1.5"/>
  </r>
  <r>
    <n v="6870"/>
    <x v="4"/>
    <m/>
    <s v="Travis Perkins, 37 Lombard Road"/>
    <m/>
    <n v="526722"/>
    <n v="176263"/>
    <s v="St Mary's"/>
    <m/>
    <m/>
    <n v="0"/>
    <n v="135"/>
    <n v="135"/>
    <n v="207"/>
    <n v="207"/>
    <s v="Y"/>
    <s v="Redevelopment"/>
    <s v="NONE"/>
    <m/>
    <m/>
    <m/>
    <s v="Nil"/>
    <m/>
    <s v="BF"/>
    <s v="NB"/>
    <x v="1"/>
    <x v="0"/>
    <n v="0"/>
    <m/>
    <x v="0"/>
    <m/>
    <s v="Open Market"/>
    <s v="M"/>
    <s v="RIV7"/>
    <m/>
    <n v="0"/>
    <n v="0"/>
    <n v="0"/>
    <n v="0"/>
    <n v="0"/>
    <n v="0"/>
    <n v="0"/>
    <n v="0"/>
    <n v="0"/>
    <n v="0"/>
    <n v="135"/>
    <n v="0"/>
    <n v="0"/>
    <n v="0"/>
    <n v="0"/>
    <n v="0"/>
    <n v="0"/>
    <n v="135"/>
    <n v="0"/>
    <n v="0"/>
    <n v="0"/>
    <n v="0"/>
    <n v="0"/>
    <n v="0"/>
    <n v="0"/>
    <n v="0"/>
    <n v="0"/>
    <n v="0"/>
    <n v="0"/>
    <n v="0"/>
    <n v="0"/>
    <n v="0"/>
    <m/>
    <m/>
    <s v="Wandsworth riverside"/>
    <n v="19"/>
    <m/>
    <m/>
    <m/>
    <m/>
    <m/>
    <n v="8.4375"/>
    <n v="8.4375"/>
    <n v="8.4375"/>
    <n v="8.4375"/>
    <n v="8.4375"/>
    <n v="8.4375"/>
    <n v="8.4375"/>
    <n v="8.4375"/>
    <n v="8.4375"/>
    <n v="8.4375"/>
    <n v="8.4375"/>
    <n v="8.4375"/>
    <n v="8.4375"/>
    <n v="8.4375"/>
    <n v="8.4375"/>
    <n v="8.4375"/>
    <n v="50.625"/>
  </r>
  <r>
    <n v="6870"/>
    <x v="4"/>
    <m/>
    <s v="Travis Perkins, 37 Lombard Road"/>
    <m/>
    <n v="526722"/>
    <n v="176263"/>
    <s v="St Mary's"/>
    <m/>
    <m/>
    <n v="0"/>
    <n v="36"/>
    <n v="36"/>
    <n v="207"/>
    <n v="207"/>
    <s v="Y"/>
    <s v="Redevelopment"/>
    <s v="NONE"/>
    <m/>
    <m/>
    <m/>
    <s v="Nil"/>
    <m/>
    <s v="BF"/>
    <s v="NB"/>
    <x v="1"/>
    <x v="0"/>
    <n v="0"/>
    <m/>
    <x v="0"/>
    <m/>
    <s v="Social/Affordable Rent"/>
    <s v="AA"/>
    <s v="RIV7"/>
    <m/>
    <n v="0"/>
    <n v="0"/>
    <n v="0"/>
    <n v="0"/>
    <n v="0"/>
    <n v="0"/>
    <n v="0"/>
    <n v="0"/>
    <n v="0"/>
    <n v="0"/>
    <n v="36"/>
    <n v="0"/>
    <n v="0"/>
    <n v="0"/>
    <n v="0"/>
    <n v="0"/>
    <n v="0"/>
    <n v="36"/>
    <n v="0"/>
    <n v="0"/>
    <n v="0"/>
    <n v="0"/>
    <n v="0"/>
    <n v="0"/>
    <n v="0"/>
    <n v="0"/>
    <n v="0"/>
    <n v="0"/>
    <n v="0"/>
    <n v="0"/>
    <n v="0"/>
    <n v="0"/>
    <m/>
    <m/>
    <s v="Wandsworth riverside"/>
    <n v="19"/>
    <m/>
    <m/>
    <m/>
    <m/>
    <m/>
    <n v="2.25"/>
    <n v="2.25"/>
    <n v="2.25"/>
    <n v="2.25"/>
    <n v="2.25"/>
    <n v="2.25"/>
    <n v="2.25"/>
    <n v="2.25"/>
    <n v="2.25"/>
    <n v="2.25"/>
    <n v="2.25"/>
    <n v="2.25"/>
    <n v="2.25"/>
    <n v="2.25"/>
    <n v="2.25"/>
    <n v="2.25"/>
    <n v="13.5"/>
  </r>
  <r>
    <n v="6870"/>
    <x v="4"/>
    <m/>
    <s v="Travis Perkins, 37 Lombard Road"/>
    <m/>
    <n v="526722"/>
    <n v="176263"/>
    <s v="St Mary's"/>
    <m/>
    <m/>
    <n v="0"/>
    <n v="36"/>
    <n v="36"/>
    <n v="207"/>
    <n v="207"/>
    <s v="Y"/>
    <s v="Redevelopment"/>
    <s v="NONE"/>
    <m/>
    <m/>
    <m/>
    <s v="Nil"/>
    <m/>
    <s v="BF"/>
    <s v="NB"/>
    <x v="1"/>
    <x v="0"/>
    <n v="0"/>
    <m/>
    <x v="0"/>
    <m/>
    <s v="Intermediate"/>
    <s v="IU"/>
    <s v="RIV7"/>
    <m/>
    <n v="0"/>
    <n v="0"/>
    <n v="0"/>
    <n v="0"/>
    <n v="0"/>
    <n v="0"/>
    <n v="0"/>
    <n v="0"/>
    <n v="0"/>
    <n v="0"/>
    <n v="36"/>
    <n v="0"/>
    <n v="0"/>
    <n v="0"/>
    <n v="0"/>
    <n v="0"/>
    <n v="0"/>
    <n v="36"/>
    <n v="0"/>
    <n v="0"/>
    <n v="0"/>
    <n v="0"/>
    <n v="0"/>
    <n v="0"/>
    <n v="0"/>
    <n v="0"/>
    <n v="0"/>
    <n v="0"/>
    <n v="0"/>
    <n v="0"/>
    <n v="0"/>
    <n v="0"/>
    <m/>
    <m/>
    <s v="Wandsworth riverside"/>
    <n v="19"/>
    <m/>
    <m/>
    <m/>
    <m/>
    <m/>
    <n v="2.25"/>
    <n v="2.25"/>
    <n v="2.25"/>
    <n v="2.25"/>
    <n v="2.25"/>
    <n v="2.25"/>
    <n v="2.25"/>
    <n v="2.25"/>
    <n v="2.25"/>
    <n v="2.25"/>
    <n v="2.25"/>
    <n v="2.25"/>
    <n v="2.25"/>
    <n v="2.25"/>
    <n v="2.25"/>
    <n v="2.25"/>
    <n v="13.5"/>
  </r>
  <r>
    <n v="3956"/>
    <x v="4"/>
    <m/>
    <s v="Wandsworth Bridge Roundabout"/>
    <m/>
    <n v="526150"/>
    <n v="175269"/>
    <s v="St Mary's"/>
    <m/>
    <m/>
    <n v="0"/>
    <n v="14"/>
    <n v="14"/>
    <n v="21"/>
    <n v="21"/>
    <s v="Y"/>
    <s v="Redevelopment"/>
    <s v="NONE"/>
    <m/>
    <m/>
    <m/>
    <s v="Nil"/>
    <m/>
    <s v="BF"/>
    <s v="NB"/>
    <x v="1"/>
    <x v="0"/>
    <n v="0"/>
    <m/>
    <x v="0"/>
    <m/>
    <s v="Open Market"/>
    <s v="M"/>
    <s v="WT16"/>
    <m/>
    <n v="0"/>
    <n v="0"/>
    <n v="0"/>
    <n v="0"/>
    <n v="0"/>
    <n v="0"/>
    <n v="0"/>
    <n v="0"/>
    <n v="0"/>
    <n v="0"/>
    <n v="14"/>
    <n v="0"/>
    <n v="0"/>
    <n v="0"/>
    <n v="0"/>
    <n v="0"/>
    <n v="0"/>
    <n v="14"/>
    <n v="0"/>
    <n v="0"/>
    <n v="0"/>
    <n v="0"/>
    <n v="0"/>
    <n v="0"/>
    <n v="0"/>
    <n v="0"/>
    <n v="0"/>
    <n v="0"/>
    <n v="0"/>
    <n v="0"/>
    <n v="0"/>
    <n v="0"/>
    <m/>
    <m/>
    <s v="Wandsworth Town, including the Wandle Delta Masterplan Area"/>
    <n v="19"/>
    <m/>
    <m/>
    <m/>
    <m/>
    <m/>
    <m/>
    <m/>
    <m/>
    <m/>
    <n v="1.1666666666666667"/>
    <n v="1.1666666666666667"/>
    <n v="1.1666666666666667"/>
    <n v="1.1666666666666667"/>
    <n v="1.1666666666666667"/>
    <n v="1.1666666666666667"/>
    <n v="1.1666666666666667"/>
    <n v="1.1666666666666667"/>
    <n v="1.1666666666666667"/>
    <n v="1.1666666666666667"/>
    <n v="1.1666666666666667"/>
    <n v="0"/>
    <n v="2.3333333333333335"/>
  </r>
  <r>
    <n v="3956"/>
    <x v="4"/>
    <m/>
    <s v="Wandsworth Bridge Roundabout"/>
    <m/>
    <n v="526150"/>
    <n v="175269"/>
    <s v="St Mary's"/>
    <m/>
    <m/>
    <n v="0"/>
    <n v="4"/>
    <n v="4"/>
    <n v="21"/>
    <n v="21"/>
    <s v="Y"/>
    <s v="Redevelopment"/>
    <s v="NONE"/>
    <m/>
    <m/>
    <m/>
    <s v="Nil"/>
    <m/>
    <s v="BF"/>
    <s v="NB"/>
    <x v="1"/>
    <x v="0"/>
    <n v="0"/>
    <m/>
    <x v="0"/>
    <m/>
    <s v="Social/Affordable Rent"/>
    <s v="AA"/>
    <s v="WT16"/>
    <m/>
    <n v="0"/>
    <n v="0"/>
    <n v="0"/>
    <n v="0"/>
    <n v="0"/>
    <n v="0"/>
    <n v="0"/>
    <n v="0"/>
    <n v="0"/>
    <n v="0"/>
    <n v="4"/>
    <n v="0"/>
    <n v="0"/>
    <n v="0"/>
    <n v="0"/>
    <n v="0"/>
    <n v="0"/>
    <n v="4"/>
    <n v="0"/>
    <n v="0"/>
    <n v="0"/>
    <n v="0"/>
    <n v="0"/>
    <n v="0"/>
    <n v="0"/>
    <n v="0"/>
    <n v="0"/>
    <n v="0"/>
    <n v="0"/>
    <n v="0"/>
    <n v="0"/>
    <n v="0"/>
    <m/>
    <m/>
    <s v="Wandsworth Town, including the Wandle Delta Masterplan Area"/>
    <n v="19"/>
    <m/>
    <m/>
    <m/>
    <m/>
    <m/>
    <m/>
    <m/>
    <m/>
    <m/>
    <n v="0.33333333333333331"/>
    <n v="0.33333333333333331"/>
    <n v="0.33333333333333331"/>
    <n v="0.33333333333333331"/>
    <n v="0.33333333333333331"/>
    <n v="0.33333333333333331"/>
    <n v="0.33333333333333331"/>
    <n v="0.33333333333333331"/>
    <n v="0.33333333333333331"/>
    <n v="0.33333333333333331"/>
    <n v="0.33333333333333331"/>
    <n v="0"/>
    <n v="0.66666666666666663"/>
  </r>
  <r>
    <n v="3956"/>
    <x v="4"/>
    <m/>
    <s v="Wandsworth Bridge Roundabout"/>
    <m/>
    <n v="526150"/>
    <n v="175269"/>
    <s v="St Mary's"/>
    <m/>
    <m/>
    <n v="0"/>
    <n v="3"/>
    <n v="3"/>
    <n v="21"/>
    <n v="21"/>
    <s v="Y"/>
    <s v="Redevelopment"/>
    <s v="NONE"/>
    <m/>
    <m/>
    <m/>
    <s v="Nil"/>
    <m/>
    <s v="BF"/>
    <s v="NB"/>
    <x v="1"/>
    <x v="0"/>
    <n v="0"/>
    <m/>
    <x v="0"/>
    <m/>
    <s v="Intermediate"/>
    <s v="IU"/>
    <s v="WT16"/>
    <m/>
    <n v="0"/>
    <n v="0"/>
    <n v="0"/>
    <n v="0"/>
    <n v="0"/>
    <n v="0"/>
    <n v="0"/>
    <n v="0"/>
    <n v="0"/>
    <n v="0"/>
    <n v="3"/>
    <n v="0"/>
    <n v="0"/>
    <n v="0"/>
    <n v="0"/>
    <n v="0"/>
    <n v="0"/>
    <n v="3"/>
    <n v="0"/>
    <n v="0"/>
    <n v="0"/>
    <n v="0"/>
    <n v="0"/>
    <n v="0"/>
    <n v="0"/>
    <n v="0"/>
    <n v="0"/>
    <n v="0"/>
    <n v="0"/>
    <n v="0"/>
    <n v="0"/>
    <n v="0"/>
    <m/>
    <m/>
    <s v="Wandsworth Town, including the Wandle Delta Masterplan Area"/>
    <n v="19"/>
    <m/>
    <m/>
    <m/>
    <m/>
    <m/>
    <m/>
    <m/>
    <m/>
    <m/>
    <n v="0.25"/>
    <n v="0.25"/>
    <n v="0.25"/>
    <n v="0.25"/>
    <n v="0.25"/>
    <n v="0.25"/>
    <n v="0.25"/>
    <n v="0.25"/>
    <n v="0.25"/>
    <n v="0.25"/>
    <n v="0.25"/>
    <n v="0"/>
    <n v="0.5"/>
  </r>
  <r>
    <n v="4283"/>
    <x v="4"/>
    <m/>
    <s v="Wandsworth Bus Garage, Jews Row"/>
    <m/>
    <n v="525979"/>
    <n v="175334"/>
    <s v="St Mary's"/>
    <m/>
    <m/>
    <n v="0"/>
    <n v="3"/>
    <n v="3"/>
    <n v="3"/>
    <n v="3"/>
    <m/>
    <s v="Redevelopment"/>
    <s v="NONE"/>
    <m/>
    <m/>
    <m/>
    <s v="Nil"/>
    <m/>
    <s v="BF"/>
    <s v="MIX"/>
    <x v="2"/>
    <x v="3"/>
    <n v="0"/>
    <m/>
    <x v="0"/>
    <m/>
    <s v="Open Market"/>
    <s v="M"/>
    <s v="WT17"/>
    <m/>
    <n v="0"/>
    <n v="0"/>
    <n v="0"/>
    <n v="0"/>
    <n v="0"/>
    <n v="0"/>
    <n v="0"/>
    <n v="0"/>
    <n v="0"/>
    <n v="0"/>
    <n v="3"/>
    <n v="0"/>
    <n v="0"/>
    <n v="0"/>
    <n v="0"/>
    <n v="0"/>
    <n v="0"/>
    <n v="3"/>
    <n v="0"/>
    <n v="0"/>
    <n v="0"/>
    <n v="0"/>
    <n v="0"/>
    <n v="0"/>
    <n v="0"/>
    <n v="0"/>
    <n v="0"/>
    <n v="0"/>
    <n v="0"/>
    <n v="0"/>
    <n v="0"/>
    <n v="0"/>
    <m/>
    <m/>
    <s v="Wandsworth Town, including the Wandle Delta Masterplan Area"/>
    <n v="19"/>
    <m/>
    <m/>
    <m/>
    <m/>
    <m/>
    <m/>
    <m/>
    <m/>
    <m/>
    <n v="0.25"/>
    <n v="0.25"/>
    <n v="0.25"/>
    <n v="0.25"/>
    <n v="0.25"/>
    <n v="0.25"/>
    <n v="0.25"/>
    <n v="0.25"/>
    <n v="0.25"/>
    <n v="0.25"/>
    <n v="0.25"/>
    <n v="0"/>
    <n v="0.5"/>
  </r>
  <r>
    <n v="7584"/>
    <x v="4"/>
    <m/>
    <s v="Wandsworth Town Hall, Wandsworth High Street, SW18"/>
    <m/>
    <n v="525773.66240000003"/>
    <n v="174729.85870000001"/>
    <s v="Wandsworth Town"/>
    <m/>
    <m/>
    <n v="0"/>
    <n v="16"/>
    <n v="16"/>
    <n v="24"/>
    <n v="24"/>
    <s v="Y"/>
    <s v="Redevelopment"/>
    <s v="NONE"/>
    <m/>
    <m/>
    <m/>
    <s v="Nil"/>
    <m/>
    <s v="BF"/>
    <s v="NB"/>
    <x v="1"/>
    <x v="0"/>
    <n v="0"/>
    <m/>
    <x v="0"/>
    <m/>
    <s v="Open Market"/>
    <s v="M"/>
    <s v="WT19"/>
    <m/>
    <n v="0"/>
    <n v="0"/>
    <n v="0"/>
    <n v="0"/>
    <n v="0"/>
    <n v="0"/>
    <n v="0"/>
    <n v="0"/>
    <n v="0"/>
    <n v="0"/>
    <n v="16"/>
    <n v="0"/>
    <n v="0"/>
    <n v="0"/>
    <n v="0"/>
    <n v="0"/>
    <n v="0"/>
    <n v="16"/>
    <n v="0"/>
    <n v="0"/>
    <n v="0"/>
    <n v="0"/>
    <n v="0"/>
    <n v="0"/>
    <n v="0"/>
    <n v="0"/>
    <n v="0"/>
    <n v="0"/>
    <n v="0"/>
    <n v="0"/>
    <n v="0"/>
    <n v="0"/>
    <s v="Wandsworth"/>
    <m/>
    <s v="Wandsworth Town, including the Wandle Delta Masterplan Area"/>
    <n v="19"/>
    <m/>
    <m/>
    <m/>
    <m/>
    <n v="1.6"/>
    <n v="1.6"/>
    <n v="1.6"/>
    <n v="1.6"/>
    <n v="1.6"/>
    <n v="1.6"/>
    <n v="1.6"/>
    <n v="1.6"/>
    <n v="1.6"/>
    <n v="1.6"/>
    <m/>
    <m/>
    <m/>
    <m/>
    <m/>
    <m/>
    <n v="3.2"/>
    <n v="11.2"/>
  </r>
  <r>
    <n v="7584"/>
    <x v="4"/>
    <m/>
    <s v="Wandsworth Town Hall, Wandsworth High Street, SW18"/>
    <m/>
    <n v="525773.66240000003"/>
    <n v="174729.85870000001"/>
    <s v="Wandsworth Town"/>
    <m/>
    <m/>
    <n v="0"/>
    <n v="4"/>
    <n v="4"/>
    <n v="24"/>
    <n v="24"/>
    <s v="Y"/>
    <s v="Redevelopment"/>
    <s v="NONE"/>
    <m/>
    <m/>
    <m/>
    <s v="Nil"/>
    <m/>
    <s v="BF"/>
    <s v="NB"/>
    <x v="1"/>
    <x v="0"/>
    <n v="0"/>
    <m/>
    <x v="0"/>
    <m/>
    <s v="Social/Affordable Rent"/>
    <s v="AA"/>
    <s v="WT19"/>
    <m/>
    <n v="0"/>
    <n v="0"/>
    <n v="0"/>
    <n v="0"/>
    <n v="0"/>
    <n v="0"/>
    <n v="0"/>
    <n v="0"/>
    <n v="0"/>
    <n v="0"/>
    <n v="4"/>
    <n v="0"/>
    <n v="0"/>
    <n v="0"/>
    <n v="0"/>
    <n v="0"/>
    <n v="0"/>
    <n v="4"/>
    <n v="0"/>
    <n v="0"/>
    <n v="0"/>
    <n v="0"/>
    <n v="0"/>
    <n v="0"/>
    <n v="0"/>
    <n v="0"/>
    <n v="0"/>
    <n v="0"/>
    <n v="0"/>
    <n v="0"/>
    <n v="0"/>
    <n v="0"/>
    <s v="Wandsworth"/>
    <m/>
    <s v="Wandsworth Town, including the Wandle Delta Masterplan Area"/>
    <n v="19"/>
    <m/>
    <m/>
    <m/>
    <m/>
    <n v="0.4"/>
    <n v="0.4"/>
    <n v="0.4"/>
    <n v="0.4"/>
    <n v="0.4"/>
    <n v="0.4"/>
    <n v="0.4"/>
    <n v="0.4"/>
    <n v="0.4"/>
    <n v="0.4"/>
    <m/>
    <m/>
    <m/>
    <m/>
    <m/>
    <m/>
    <n v="0.8"/>
    <n v="2.8"/>
  </r>
  <r>
    <n v="7584"/>
    <x v="4"/>
    <m/>
    <s v="Wandsworth Town Hall, Wandsworth High Street, SW18"/>
    <m/>
    <n v="525773.66240000003"/>
    <n v="174729.85870000001"/>
    <s v="Wandsworth Town"/>
    <m/>
    <m/>
    <n v="0"/>
    <n v="4"/>
    <n v="4"/>
    <n v="24"/>
    <n v="24"/>
    <s v="Y"/>
    <s v="Redevelopment"/>
    <s v="NONE"/>
    <m/>
    <m/>
    <m/>
    <s v="Nil"/>
    <m/>
    <s v="BF"/>
    <s v="NB"/>
    <x v="1"/>
    <x v="0"/>
    <n v="0"/>
    <m/>
    <x v="0"/>
    <m/>
    <s v="Intermediate"/>
    <s v="IU"/>
    <s v="WT19"/>
    <m/>
    <n v="0"/>
    <n v="0"/>
    <n v="0"/>
    <n v="0"/>
    <n v="0"/>
    <n v="0"/>
    <n v="0"/>
    <n v="0"/>
    <n v="0"/>
    <n v="0"/>
    <n v="4"/>
    <n v="0"/>
    <n v="0"/>
    <n v="0"/>
    <n v="0"/>
    <n v="0"/>
    <n v="0"/>
    <n v="4"/>
    <n v="0"/>
    <n v="0"/>
    <n v="0"/>
    <n v="0"/>
    <n v="0"/>
    <n v="0"/>
    <n v="0"/>
    <n v="0"/>
    <n v="0"/>
    <n v="0"/>
    <n v="0"/>
    <n v="0"/>
    <n v="0"/>
    <n v="0"/>
    <s v="Wandsworth"/>
    <m/>
    <s v="Wandsworth Town, including the Wandle Delta Masterplan Area"/>
    <n v="19"/>
    <m/>
    <m/>
    <m/>
    <m/>
    <n v="0.4"/>
    <n v="0.4"/>
    <n v="0.4"/>
    <n v="0.4"/>
    <n v="0.4"/>
    <n v="0.4"/>
    <n v="0.4"/>
    <n v="0.4"/>
    <n v="0.4"/>
    <n v="0.4"/>
    <m/>
    <m/>
    <m/>
    <m/>
    <m/>
    <m/>
    <n v="0.8"/>
    <n v="2.8"/>
  </r>
  <r>
    <n v="7539"/>
    <x v="4"/>
    <m/>
    <s v="Wimbledon Park Estate, Wimbledon Park Road, SW19 6PF"/>
    <m/>
    <n v="524520"/>
    <n v="173088"/>
    <s v="West Hill"/>
    <m/>
    <m/>
    <n v="0"/>
    <n v="23"/>
    <n v="23"/>
    <n v="35"/>
    <n v="35"/>
    <s v="Y"/>
    <s v="Redevelopment"/>
    <s v="NONE"/>
    <m/>
    <m/>
    <m/>
    <s v="Nil"/>
    <m/>
    <s v="BF"/>
    <s v="NB"/>
    <x v="1"/>
    <x v="0"/>
    <n v="0"/>
    <m/>
    <x v="0"/>
    <m/>
    <s v="Open Market"/>
    <s v="M"/>
    <m/>
    <m/>
    <n v="0"/>
    <n v="0"/>
    <n v="0"/>
    <n v="0"/>
    <n v="0"/>
    <n v="0"/>
    <n v="0"/>
    <n v="0"/>
    <n v="0"/>
    <n v="0"/>
    <n v="23"/>
    <n v="0"/>
    <n v="0"/>
    <n v="0"/>
    <n v="0"/>
    <n v="0"/>
    <n v="0"/>
    <n v="23"/>
    <n v="0"/>
    <n v="0"/>
    <n v="0"/>
    <n v="0"/>
    <n v="0"/>
    <n v="0"/>
    <n v="0"/>
    <n v="0"/>
    <n v="0"/>
    <n v="0"/>
    <n v="0"/>
    <n v="0"/>
    <n v="0"/>
    <n v="0"/>
    <m/>
    <m/>
    <s v="Rest of Borough"/>
    <n v="19"/>
    <m/>
    <m/>
    <m/>
    <m/>
    <m/>
    <n v="23"/>
    <m/>
    <m/>
    <m/>
    <m/>
    <m/>
    <m/>
    <m/>
    <m/>
    <m/>
    <m/>
    <m/>
    <m/>
    <m/>
    <m/>
    <n v="23"/>
    <n v="23"/>
  </r>
  <r>
    <n v="7539"/>
    <x v="4"/>
    <m/>
    <s v="Wimbledon Park Estate, Wimbledon Park Road, SW19 6PF"/>
    <m/>
    <n v="524520"/>
    <n v="173088"/>
    <s v="West Hill"/>
    <m/>
    <m/>
    <n v="0"/>
    <n v="6"/>
    <n v="6"/>
    <n v="35"/>
    <n v="35"/>
    <s v="Y"/>
    <s v="Redevelopment"/>
    <s v="NONE"/>
    <m/>
    <m/>
    <m/>
    <s v="Nil"/>
    <m/>
    <s v="BF"/>
    <s v="NB"/>
    <x v="1"/>
    <x v="0"/>
    <n v="0"/>
    <m/>
    <x v="0"/>
    <m/>
    <s v="Social/Affordable Rent"/>
    <s v="AA"/>
    <m/>
    <m/>
    <n v="0"/>
    <n v="0"/>
    <n v="0"/>
    <n v="0"/>
    <n v="0"/>
    <n v="0"/>
    <n v="0"/>
    <n v="0"/>
    <n v="0"/>
    <n v="0"/>
    <n v="6"/>
    <n v="0"/>
    <n v="0"/>
    <n v="0"/>
    <n v="0"/>
    <n v="0"/>
    <n v="0"/>
    <n v="6"/>
    <n v="0"/>
    <n v="0"/>
    <n v="0"/>
    <n v="0"/>
    <n v="0"/>
    <n v="0"/>
    <n v="0"/>
    <n v="0"/>
    <n v="0"/>
    <n v="0"/>
    <n v="0"/>
    <n v="0"/>
    <n v="0"/>
    <n v="0"/>
    <m/>
    <m/>
    <s v="Rest of Borough"/>
    <n v="19"/>
    <m/>
    <m/>
    <m/>
    <m/>
    <m/>
    <n v="6"/>
    <m/>
    <m/>
    <m/>
    <m/>
    <m/>
    <m/>
    <m/>
    <m/>
    <m/>
    <m/>
    <m/>
    <m/>
    <m/>
    <m/>
    <n v="6"/>
    <n v="6"/>
  </r>
  <r>
    <n v="7539"/>
    <x v="4"/>
    <m/>
    <s v="Wimbledon Park Estate, Wimbledon Park Road, SW19 6PF"/>
    <m/>
    <n v="524520"/>
    <n v="173088"/>
    <s v="West Hill"/>
    <m/>
    <m/>
    <n v="0"/>
    <n v="6"/>
    <n v="6"/>
    <n v="35"/>
    <n v="35"/>
    <s v="Y"/>
    <s v="Redevelopment"/>
    <s v="NONE"/>
    <m/>
    <m/>
    <m/>
    <s v="Nil"/>
    <m/>
    <s v="BF"/>
    <s v="NB"/>
    <x v="1"/>
    <x v="0"/>
    <n v="0"/>
    <m/>
    <x v="0"/>
    <m/>
    <s v="Intermediate"/>
    <s v="IU"/>
    <m/>
    <m/>
    <n v="0"/>
    <n v="0"/>
    <n v="0"/>
    <n v="0"/>
    <n v="0"/>
    <n v="0"/>
    <n v="0"/>
    <n v="0"/>
    <n v="0"/>
    <n v="0"/>
    <n v="6"/>
    <n v="0"/>
    <n v="0"/>
    <n v="0"/>
    <n v="0"/>
    <n v="0"/>
    <n v="0"/>
    <n v="6"/>
    <n v="0"/>
    <n v="0"/>
    <n v="0"/>
    <n v="0"/>
    <n v="0"/>
    <n v="0"/>
    <n v="0"/>
    <n v="0"/>
    <n v="0"/>
    <n v="0"/>
    <n v="0"/>
    <n v="0"/>
    <n v="0"/>
    <n v="0"/>
    <m/>
    <m/>
    <s v="Rest of Borough"/>
    <n v="19"/>
    <m/>
    <m/>
    <m/>
    <m/>
    <m/>
    <n v="6"/>
    <m/>
    <m/>
    <m/>
    <m/>
    <m/>
    <m/>
    <m/>
    <m/>
    <m/>
    <m/>
    <m/>
    <m/>
    <m/>
    <m/>
    <n v="6"/>
    <n v="6"/>
  </r>
  <r>
    <m/>
    <x v="5"/>
    <m/>
    <m/>
    <m/>
    <m/>
    <m/>
    <m/>
    <m/>
    <m/>
    <n v="0"/>
    <n v="203"/>
    <n v="203"/>
    <n v="0"/>
    <n v="0"/>
    <s v="Y"/>
    <s v="Redevelopment"/>
    <s v="NONE"/>
    <m/>
    <m/>
    <m/>
    <s v="Nil"/>
    <m/>
    <s v="BF"/>
    <s v="NB"/>
    <x v="1"/>
    <x v="0"/>
    <n v="0"/>
    <m/>
    <x v="0"/>
    <m/>
    <s v="Open Market"/>
    <s v="M"/>
    <m/>
    <m/>
    <n v="0"/>
    <n v="0"/>
    <n v="0"/>
    <n v="0"/>
    <n v="0"/>
    <n v="0"/>
    <n v="0"/>
    <n v="0"/>
    <n v="0"/>
    <n v="0"/>
    <n v="203"/>
    <n v="0"/>
    <n v="0"/>
    <n v="0"/>
    <n v="0"/>
    <n v="0"/>
    <n v="0"/>
    <n v="203"/>
    <n v="0"/>
    <n v="0"/>
    <n v="0"/>
    <n v="0"/>
    <n v="0"/>
    <n v="0"/>
    <n v="0"/>
    <n v="0"/>
    <n v="0"/>
    <n v="0"/>
    <n v="0"/>
    <n v="0"/>
    <n v="0"/>
    <n v="0"/>
    <m/>
    <m/>
    <s v="Borough-wide"/>
    <n v="21"/>
    <m/>
    <m/>
    <m/>
    <m/>
    <m/>
    <n v="14.5"/>
    <n v="14.5"/>
    <n v="14.5"/>
    <n v="14.5"/>
    <n v="14.5"/>
    <n v="14.5"/>
    <n v="14.5"/>
    <n v="14.5"/>
    <n v="14.5"/>
    <n v="14.5"/>
    <n v="14.5"/>
    <n v="14.5"/>
    <n v="14.5"/>
    <n v="14.5"/>
    <m/>
    <n v="14.5"/>
    <n v="87"/>
  </r>
  <r>
    <m/>
    <x v="5"/>
    <m/>
    <m/>
    <m/>
    <m/>
    <m/>
    <m/>
    <m/>
    <m/>
    <n v="0"/>
    <n v="54"/>
    <n v="54"/>
    <n v="0"/>
    <n v="0"/>
    <s v="Y"/>
    <s v="Redevelopment"/>
    <s v="NONE"/>
    <m/>
    <m/>
    <m/>
    <s v="Nil"/>
    <m/>
    <s v="BF"/>
    <s v="NB"/>
    <x v="1"/>
    <x v="0"/>
    <n v="0"/>
    <m/>
    <x v="0"/>
    <m/>
    <s v="Social/Affordable Rent"/>
    <s v="AA"/>
    <m/>
    <m/>
    <n v="0"/>
    <n v="0"/>
    <n v="0"/>
    <n v="0"/>
    <n v="0"/>
    <n v="0"/>
    <n v="0"/>
    <n v="0"/>
    <n v="0"/>
    <n v="0"/>
    <n v="54"/>
    <n v="0"/>
    <n v="0"/>
    <n v="0"/>
    <n v="0"/>
    <n v="0"/>
    <n v="0"/>
    <n v="54"/>
    <n v="0"/>
    <n v="0"/>
    <n v="0"/>
    <n v="0"/>
    <n v="0"/>
    <n v="0"/>
    <n v="0"/>
    <n v="0"/>
    <n v="0"/>
    <n v="0"/>
    <n v="0"/>
    <n v="0"/>
    <n v="0"/>
    <n v="0"/>
    <m/>
    <m/>
    <s v="Borough-wide"/>
    <n v="21"/>
    <m/>
    <m/>
    <m/>
    <m/>
    <m/>
    <n v="3.8571428571428572"/>
    <n v="3.8571428571428572"/>
    <n v="3.8571428571428572"/>
    <n v="3.8571428571428572"/>
    <n v="3.8571428571428572"/>
    <n v="3.8571428571428572"/>
    <n v="3.8571428571428572"/>
    <n v="3.8571428571428572"/>
    <n v="3.8571428571428572"/>
    <n v="3.8571428571428572"/>
    <n v="3.8571428571428572"/>
    <n v="3.8571428571428572"/>
    <n v="3.8571428571428572"/>
    <n v="3.8571428571428572"/>
    <m/>
    <n v="3.8571428571428572"/>
    <n v="23.142857142857142"/>
  </r>
  <r>
    <m/>
    <x v="5"/>
    <m/>
    <m/>
    <m/>
    <m/>
    <m/>
    <m/>
    <m/>
    <m/>
    <n v="0"/>
    <n v="54"/>
    <n v="54"/>
    <n v="0"/>
    <n v="0"/>
    <s v="Y"/>
    <s v="Redevelopment"/>
    <s v="NONE"/>
    <m/>
    <m/>
    <m/>
    <s v="Nil"/>
    <m/>
    <s v="BF"/>
    <s v="NB"/>
    <x v="1"/>
    <x v="0"/>
    <n v="0"/>
    <m/>
    <x v="0"/>
    <m/>
    <s v="Intermediate"/>
    <s v="IU"/>
    <m/>
    <m/>
    <n v="0"/>
    <n v="0"/>
    <n v="0"/>
    <n v="0"/>
    <n v="0"/>
    <n v="0"/>
    <n v="0"/>
    <n v="0"/>
    <n v="0"/>
    <n v="0"/>
    <n v="54"/>
    <n v="0"/>
    <n v="0"/>
    <n v="0"/>
    <n v="0"/>
    <n v="0"/>
    <n v="0"/>
    <n v="54"/>
    <n v="0"/>
    <n v="0"/>
    <n v="0"/>
    <n v="0"/>
    <n v="0"/>
    <n v="0"/>
    <n v="0"/>
    <n v="0"/>
    <n v="0"/>
    <n v="0"/>
    <n v="0"/>
    <n v="0"/>
    <n v="0"/>
    <n v="0"/>
    <m/>
    <m/>
    <s v="Borough-wide"/>
    <n v="21"/>
    <m/>
    <m/>
    <m/>
    <m/>
    <m/>
    <n v="3.8571428571428572"/>
    <n v="3.8571428571428572"/>
    <n v="3.8571428571428572"/>
    <n v="3.8571428571428572"/>
    <n v="3.8571428571428572"/>
    <n v="3.8571428571428572"/>
    <n v="3.8571428571428572"/>
    <n v="3.8571428571428572"/>
    <n v="3.8571428571428572"/>
    <n v="3.8571428571428572"/>
    <n v="3.8571428571428572"/>
    <n v="3.8571428571428572"/>
    <n v="3.8571428571428572"/>
    <n v="3.8571428571428572"/>
    <m/>
    <n v="3.8571428571428572"/>
    <n v="23.142857142857142"/>
  </r>
  <r>
    <m/>
    <x v="6"/>
    <m/>
    <m/>
    <m/>
    <m/>
    <m/>
    <m/>
    <m/>
    <m/>
    <n v="0"/>
    <n v="4611"/>
    <n v="4611"/>
    <n v="0"/>
    <n v="0"/>
    <m/>
    <s v="Redevelopment"/>
    <s v="NONE"/>
    <m/>
    <m/>
    <m/>
    <s v="Nil"/>
    <m/>
    <s v="BF"/>
    <s v="CON"/>
    <x v="2"/>
    <x v="10"/>
    <n v="0"/>
    <m/>
    <x v="0"/>
    <m/>
    <s v="Unknown"/>
    <s v="UK"/>
    <m/>
    <m/>
    <n v="0"/>
    <n v="0"/>
    <n v="0"/>
    <n v="0"/>
    <n v="0"/>
    <n v="0"/>
    <n v="0"/>
    <n v="0"/>
    <n v="0"/>
    <n v="0"/>
    <n v="4611"/>
    <n v="0"/>
    <n v="0"/>
    <n v="0"/>
    <n v="0"/>
    <n v="0"/>
    <n v="0"/>
    <n v="4611"/>
    <n v="0"/>
    <n v="0"/>
    <n v="0"/>
    <n v="0"/>
    <n v="0"/>
    <n v="0"/>
    <n v="0"/>
    <n v="0"/>
    <n v="0"/>
    <n v="0"/>
    <n v="0"/>
    <n v="0"/>
    <n v="0"/>
    <n v="0"/>
    <m/>
    <m/>
    <s v="Borough-wide"/>
    <n v="22"/>
    <m/>
    <n v="177"/>
    <n v="177"/>
    <n v="177"/>
    <n v="177"/>
    <n v="177"/>
    <n v="414"/>
    <n v="414"/>
    <n v="414"/>
    <n v="414"/>
    <n v="414"/>
    <n v="414"/>
    <n v="414"/>
    <n v="414"/>
    <n v="414"/>
    <m/>
    <m/>
    <m/>
    <m/>
    <m/>
    <n v="885"/>
    <n v="2955"/>
  </r>
  <r>
    <m/>
    <x v="7"/>
    <m/>
    <m/>
    <m/>
    <m/>
    <m/>
    <m/>
    <m/>
    <m/>
    <m/>
    <m/>
    <m/>
    <m/>
    <m/>
    <m/>
    <m/>
    <m/>
    <m/>
    <m/>
    <m/>
    <m/>
    <m/>
    <m/>
    <m/>
    <x v="7"/>
    <x v="14"/>
    <m/>
    <m/>
    <x v="0"/>
    <m/>
    <m/>
    <m/>
    <m/>
    <m/>
    <m/>
    <m/>
    <m/>
    <m/>
    <m/>
    <m/>
    <m/>
    <m/>
    <m/>
    <m/>
    <m/>
    <m/>
    <m/>
    <m/>
    <m/>
    <m/>
    <m/>
    <m/>
    <m/>
    <m/>
    <m/>
    <m/>
    <m/>
    <m/>
    <m/>
    <m/>
    <m/>
    <m/>
    <m/>
    <m/>
    <m/>
    <m/>
    <m/>
    <m/>
    <m/>
    <m/>
    <m/>
    <m/>
    <m/>
    <m/>
    <m/>
    <m/>
    <m/>
    <m/>
    <m/>
    <m/>
    <m/>
    <m/>
    <m/>
    <m/>
    <m/>
    <m/>
    <m/>
    <m/>
    <m/>
    <m/>
    <m/>
    <m/>
  </r>
  <r>
    <m/>
    <x v="7"/>
    <m/>
    <m/>
    <m/>
    <m/>
    <m/>
    <m/>
    <m/>
    <m/>
    <m/>
    <m/>
    <m/>
    <m/>
    <m/>
    <m/>
    <m/>
    <m/>
    <m/>
    <m/>
    <m/>
    <m/>
    <m/>
    <m/>
    <m/>
    <x v="7"/>
    <x v="14"/>
    <m/>
    <m/>
    <x v="0"/>
    <m/>
    <m/>
    <m/>
    <m/>
    <m/>
    <m/>
    <m/>
    <m/>
    <m/>
    <m/>
    <m/>
    <m/>
    <m/>
    <m/>
    <m/>
    <m/>
    <m/>
    <m/>
    <m/>
    <m/>
    <m/>
    <m/>
    <m/>
    <m/>
    <m/>
    <m/>
    <m/>
    <m/>
    <m/>
    <m/>
    <m/>
    <m/>
    <m/>
    <m/>
    <m/>
    <m/>
    <m/>
    <m/>
    <m/>
    <m/>
    <m/>
    <m/>
    <m/>
    <m/>
    <m/>
    <m/>
    <m/>
    <m/>
    <m/>
    <m/>
    <m/>
    <m/>
    <m/>
    <m/>
    <m/>
    <m/>
    <m/>
    <m/>
    <m/>
    <m/>
    <m/>
    <m/>
    <m/>
  </r>
</pivotCacheRecords>
</file>

<file path=xl/pivotCache/pivotCacheRecords3.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39">
  <r>
    <n v="4474"/>
    <x v="0"/>
    <s v="2014/5383"/>
    <s v="19-21 Mitcham Road"/>
    <s v=""/>
    <n v="527533"/>
    <n v="171477"/>
    <x v="0"/>
    <d v="2019-08-06T00:00:00"/>
    <d v="2023-11-30T00:00:00"/>
    <n v="0"/>
    <x v="0"/>
    <x v="0"/>
    <n v="19"/>
    <n v="19"/>
    <x v="0"/>
    <s v="Conversion of existing building at first, second, and third floor levels into 19 self contained apartments."/>
    <s v="PFLA"/>
    <d v="2014-09-09T00:00:00"/>
    <d v="2016-08-12T00:00:00"/>
    <x v="0"/>
    <s v="Nil"/>
    <m/>
    <s v="BF"/>
    <s v="COU"/>
    <x v="0"/>
    <x v="0"/>
    <n v="4.2999999999999997E-2"/>
    <d v="2019-08-06T00:00:00"/>
    <x v="0"/>
    <d v="2023-11-30T00:00:00"/>
    <x v="0"/>
    <s v="IR"/>
    <s v="5.2"/>
    <m/>
    <m/>
    <m/>
    <m/>
    <m/>
    <n v="0"/>
    <n v="3"/>
    <n v="3"/>
    <n v="0"/>
    <n v="0"/>
    <n v="0"/>
    <n v="0"/>
    <n v="0"/>
    <n v="3"/>
    <n v="3"/>
    <n v="0"/>
    <n v="0"/>
    <n v="0"/>
    <n v="0"/>
    <n v="0"/>
    <n v="0"/>
    <n v="0"/>
    <n v="0"/>
    <n v="0"/>
    <n v="0"/>
    <n v="0"/>
    <n v="0"/>
    <n v="0"/>
    <n v="0"/>
    <n v="0"/>
    <n v="0"/>
    <n v="0"/>
    <n v="0"/>
    <x v="0"/>
    <x v="0"/>
    <x v="0"/>
    <n v="11"/>
    <n v="6"/>
    <m/>
    <m/>
    <m/>
    <m/>
    <m/>
    <m/>
    <m/>
    <m/>
    <m/>
    <m/>
    <m/>
    <m/>
    <m/>
    <m/>
    <m/>
    <m/>
    <m/>
    <m/>
    <m/>
    <n v="0"/>
    <n v="0"/>
  </r>
  <r>
    <n v="4474"/>
    <x v="0"/>
    <s v="2014/5383"/>
    <s v="19-21 Mitcham Road"/>
    <s v=""/>
    <n v="527533"/>
    <n v="171477"/>
    <x v="0"/>
    <d v="2019-08-06T00:00:00"/>
    <d v="2023-11-30T00:00:00"/>
    <n v="0"/>
    <x v="1"/>
    <x v="1"/>
    <n v="19"/>
    <n v="19"/>
    <x v="0"/>
    <s v="Conversion of existing building at first, second, and third floor levels into 19 self contained apartments."/>
    <s v="PFLA"/>
    <d v="2014-09-09T00:00:00"/>
    <d v="2016-08-12T00:00:00"/>
    <x v="0"/>
    <s v="Nil"/>
    <m/>
    <s v="BF"/>
    <s v="COU"/>
    <x v="0"/>
    <x v="0"/>
    <n v="0.1"/>
    <d v="2019-08-06T00:00:00"/>
    <x v="0"/>
    <d v="2023-11-30T00:00:00"/>
    <x v="1"/>
    <s v="MR"/>
    <s v="5.2"/>
    <m/>
    <n v="9"/>
    <m/>
    <n v="2"/>
    <m/>
    <n v="1"/>
    <n v="1"/>
    <n v="11"/>
    <n v="0"/>
    <n v="0"/>
    <n v="0"/>
    <n v="0"/>
    <n v="1"/>
    <n v="1"/>
    <n v="11"/>
    <n v="0"/>
    <n v="0"/>
    <n v="0"/>
    <n v="0"/>
    <n v="0"/>
    <n v="0"/>
    <n v="0"/>
    <n v="0"/>
    <n v="0"/>
    <n v="0"/>
    <n v="0"/>
    <n v="0"/>
    <n v="0"/>
    <n v="0"/>
    <n v="0"/>
    <n v="0"/>
    <n v="0"/>
    <n v="0"/>
    <x v="0"/>
    <x v="0"/>
    <x v="0"/>
    <n v="11"/>
    <n v="13"/>
    <m/>
    <m/>
    <m/>
    <m/>
    <m/>
    <m/>
    <m/>
    <m/>
    <m/>
    <m/>
    <m/>
    <m/>
    <m/>
    <m/>
    <m/>
    <m/>
    <m/>
    <m/>
    <m/>
    <n v="0"/>
    <n v="0"/>
  </r>
  <r>
    <n v="365"/>
    <x v="0"/>
    <s v="2014/5786"/>
    <s v="Market Towers, 1 Nine Elms Lane (One Nine Elms)"/>
    <s v="City Tower"/>
    <n v="530104"/>
    <n v="177808"/>
    <x v="1"/>
    <d v="2015-08-12T00:00:00"/>
    <d v="2024-03-31T00:00:00"/>
    <n v="0"/>
    <x v="2"/>
    <x v="2"/>
    <n v="57"/>
    <n v="57"/>
    <x v="0"/>
    <s v="Non material amendment to planning application 2014/0871 dated 26 August 2014 (for demolition of existing buildings and structures. Erection of two new buildings of  58 storeys (up to 200m above ground) and 43 storeys (up to 161m above ground) high to provide up to 491 residential units, retail uses (classes A1-A4); office space (class B1); a hotel (class C1) together with a high level viewing space; provision of private and public open spaces; vehicular access and reconfigured vehicular access routes; provision of cycle, motorcycle and car parking, servicing and energy centre within the two level basement; landscaping; excavation works; and other associated works) to allow internal changes to affordable housing units at levels 1-6 of the City Tower increasing the number of affordable units from 52 to 57."/>
    <s v="S96A"/>
    <d v="2014-10-08T00:00:00"/>
    <d v="2015-01-12T00:00:00"/>
    <x v="0"/>
    <s v="Nil"/>
    <m/>
    <s v="BF"/>
    <s v="NB"/>
    <x v="1"/>
    <x v="0"/>
    <n v="1.4E-2"/>
    <d v="2015-08-12T00:00:00"/>
    <x v="0"/>
    <d v="2024-03-31T00:00:00"/>
    <x v="0"/>
    <s v="ISO"/>
    <s v="2.1.12"/>
    <m/>
    <n v="57"/>
    <m/>
    <n v="6"/>
    <m/>
    <n v="0"/>
    <n v="35"/>
    <n v="22"/>
    <n v="0"/>
    <n v="0"/>
    <n v="0"/>
    <n v="0"/>
    <n v="0"/>
    <n v="35"/>
    <n v="22"/>
    <n v="0"/>
    <n v="0"/>
    <n v="0"/>
    <n v="0"/>
    <n v="0"/>
    <n v="0"/>
    <n v="0"/>
    <n v="0"/>
    <n v="0"/>
    <n v="0"/>
    <n v="0"/>
    <n v="0"/>
    <n v="0"/>
    <n v="0"/>
    <n v="0"/>
    <n v="0"/>
    <n v="0"/>
    <n v="0"/>
    <x v="1"/>
    <x v="1"/>
    <x v="1"/>
    <n v="1"/>
    <n v="57"/>
    <m/>
    <m/>
    <m/>
    <m/>
    <m/>
    <m/>
    <m/>
    <m/>
    <m/>
    <m/>
    <m/>
    <m/>
    <m/>
    <m/>
    <m/>
    <m/>
    <m/>
    <m/>
    <m/>
    <n v="0"/>
    <n v="0"/>
  </r>
  <r>
    <n v="5875"/>
    <x v="0"/>
    <s v="2015/0599"/>
    <s v="31 &amp; 32 Centurion Building, 376 Queenstown Road (Chelsea Bridge Wharf)"/>
    <s v=""/>
    <n v="528631"/>
    <n v="177662"/>
    <x v="2"/>
    <d v="2019-03-21T00:00:00"/>
    <d v="2023-04-01T00:00:00"/>
    <n v="2"/>
    <x v="3"/>
    <x v="3"/>
    <n v="1"/>
    <n v="-1"/>
    <x v="1"/>
    <s v="Internal alterations to convert apartments 31 and 32 into one self contained unit (Class Use C3)."/>
    <s v="PF"/>
    <d v="2015-02-18T00:00:00"/>
    <d v="2015-03-25T00:00:00"/>
    <x v="0"/>
    <s v="Nil"/>
    <m/>
    <s v="BF"/>
    <s v="CON"/>
    <x v="2"/>
    <x v="1"/>
    <n v="1.6E-2"/>
    <d v="2019-03-21T00:00:00"/>
    <x v="0"/>
    <d v="2023-04-01T00:00:00"/>
    <x v="1"/>
    <s v="M"/>
    <s v=""/>
    <m/>
    <m/>
    <m/>
    <m/>
    <m/>
    <n v="0"/>
    <n v="0"/>
    <n v="-2"/>
    <n v="1"/>
    <n v="0"/>
    <n v="0"/>
    <n v="0"/>
    <n v="0"/>
    <n v="0"/>
    <n v="-2"/>
    <n v="1"/>
    <n v="0"/>
    <n v="0"/>
    <n v="0"/>
    <n v="0"/>
    <n v="0"/>
    <n v="0"/>
    <n v="0"/>
    <n v="0"/>
    <n v="0"/>
    <n v="0"/>
    <n v="0"/>
    <n v="0"/>
    <n v="0"/>
    <n v="0"/>
    <n v="0"/>
    <n v="0"/>
    <n v="0"/>
    <x v="1"/>
    <x v="1"/>
    <x v="1"/>
    <n v="11"/>
    <n v="-1"/>
    <m/>
    <m/>
    <m/>
    <m/>
    <m/>
    <m/>
    <m/>
    <m/>
    <m/>
    <m/>
    <m/>
    <m/>
    <m/>
    <m/>
    <m/>
    <m/>
    <m/>
    <m/>
    <m/>
    <n v="0"/>
    <n v="0"/>
  </r>
  <r>
    <n v="365"/>
    <x v="0"/>
    <s v="2015/5942"/>
    <s v="Market Towers, 1 Nine Elms Lane (One Nine Elms)"/>
    <s v=""/>
    <n v="530104"/>
    <n v="177808"/>
    <x v="1"/>
    <d v="2015-08-12T00:00:00"/>
    <m/>
    <n v="0"/>
    <x v="4"/>
    <x v="4"/>
    <n v="437"/>
    <n v="437"/>
    <x v="0"/>
    <s v="Non Material Amendment to planning application 2014/0871 dated 26 August 2014 &quot;for demolition of existing buildings and structures. Erection of two new buildings of  58 storeys (up to 200m above ground) and 43 storeys (up to 161m above ground) high to provide up to 491 residential units, retail uses (classes A1-A4); office space (class B1); a hotel (class C1) together with a high level viewing space; provision of private and public open spaces; vehicular access and reconfigured vehicular access routes; provision of cycle, motorcycle and car parking, servicing and energy centre within the two level basement; landscaping; excavation works; and other associated works&quot; to allow: changes to hotel internal layout including reconfiguration of mezzanine levels, alteration to residential layouts and mix, adjustment to structural slab height, alteration to viewing level and associated spaces, basement and ground level internal amendments together with adjustment to proposed façades."/>
    <s v="S96A"/>
    <d v="2016-06-15T00:00:00"/>
    <d v="2016-06-21T00:00:00"/>
    <x v="0"/>
    <s v="Nil"/>
    <m/>
    <s v="BF"/>
    <s v="NB"/>
    <x v="1"/>
    <x v="0"/>
    <n v="0.252"/>
    <d v="2015-08-12T00:00:00"/>
    <x v="0"/>
    <d v="2024-03-31T00:00:00"/>
    <x v="1"/>
    <s v="M"/>
    <s v="2.1.12"/>
    <m/>
    <m/>
    <n v="44"/>
    <m/>
    <n v="395"/>
    <n v="0"/>
    <n v="117"/>
    <n v="181"/>
    <n v="129"/>
    <n v="10"/>
    <n v="0"/>
    <n v="0"/>
    <n v="0"/>
    <n v="117"/>
    <n v="181"/>
    <n v="129"/>
    <n v="10"/>
    <n v="0"/>
    <n v="0"/>
    <n v="0"/>
    <n v="0"/>
    <n v="0"/>
    <n v="0"/>
    <n v="0"/>
    <n v="0"/>
    <n v="0"/>
    <n v="0"/>
    <n v="0"/>
    <n v="0"/>
    <n v="0"/>
    <n v="0"/>
    <n v="0"/>
    <n v="0"/>
    <x v="1"/>
    <x v="1"/>
    <x v="1"/>
    <n v="1"/>
    <n v="437"/>
    <m/>
    <m/>
    <m/>
    <m/>
    <m/>
    <m/>
    <m/>
    <m/>
    <m/>
    <m/>
    <m/>
    <m/>
    <m/>
    <m/>
    <m/>
    <m/>
    <m/>
    <m/>
    <m/>
    <n v="0"/>
    <n v="0"/>
  </r>
  <r>
    <n v="6375"/>
    <x v="0"/>
    <s v="2016/4543"/>
    <s v="131 Lower Richmond Road"/>
    <s v=""/>
    <n v="523565"/>
    <n v="175816"/>
    <x v="3"/>
    <d v="2017-09-05T00:00:00"/>
    <d v="2023-09-29T00:00:00"/>
    <n v="1"/>
    <x v="5"/>
    <x v="5"/>
    <n v="2"/>
    <n v="1"/>
    <x v="1"/>
    <s v="Proposed use of the first and second floors as two residential flats."/>
    <s v="LDC Prop"/>
    <d v="2016-08-01T00:00:00"/>
    <d v="2016-10-17T00:00:00"/>
    <x v="0"/>
    <s v="Nil"/>
    <m/>
    <s v="BF"/>
    <s v="COU"/>
    <x v="2"/>
    <x v="2"/>
    <n v="7.0000000000000001E-3"/>
    <d v="2017-09-05T00:00:00"/>
    <x v="0"/>
    <d v="2023-09-29T00:00:00"/>
    <x v="1"/>
    <s v="M"/>
    <s v=""/>
    <m/>
    <m/>
    <m/>
    <m/>
    <m/>
    <n v="0"/>
    <n v="0"/>
    <n v="2"/>
    <n v="0"/>
    <n v="0"/>
    <n v="-1"/>
    <n v="0"/>
    <n v="0"/>
    <n v="0"/>
    <n v="2"/>
    <n v="0"/>
    <n v="0"/>
    <n v="-1"/>
    <n v="0"/>
    <n v="0"/>
    <n v="0"/>
    <n v="0"/>
    <n v="0"/>
    <n v="0"/>
    <n v="0"/>
    <n v="0"/>
    <n v="0"/>
    <n v="0"/>
    <n v="0"/>
    <n v="0"/>
    <n v="0"/>
    <n v="0"/>
    <n v="0"/>
    <x v="1"/>
    <x v="0"/>
    <x v="2"/>
    <n v="11"/>
    <n v="1"/>
    <m/>
    <m/>
    <m/>
    <m/>
    <m/>
    <m/>
    <m/>
    <m/>
    <m/>
    <m/>
    <m/>
    <m/>
    <m/>
    <m/>
    <m/>
    <m/>
    <m/>
    <m/>
    <m/>
    <n v="0"/>
    <n v="0"/>
  </r>
  <r>
    <n v="5298"/>
    <x v="0"/>
    <s v="2016/4655"/>
    <s v="16 Roehampton Gate"/>
    <s v=""/>
    <n v="521254"/>
    <n v="174526"/>
    <x v="4"/>
    <d v="2019-11-11T00:00:00"/>
    <d v="2023-07-24T00:00:00"/>
    <n v="0"/>
    <x v="3"/>
    <x v="5"/>
    <n v="1"/>
    <n v="1"/>
    <x v="1"/>
    <s v="Demolition of existing building and erection of a two-storey (plus basement and roof levels) house."/>
    <s v="PF"/>
    <d v="2016-08-08T00:00:00"/>
    <d v="2016-11-17T00:00:00"/>
    <x v="0"/>
    <s v="Nil"/>
    <m/>
    <s v="BF"/>
    <s v="NB"/>
    <x v="2"/>
    <x v="3"/>
    <n v="0.108"/>
    <d v="2019-11-11T00:00:00"/>
    <x v="0"/>
    <d v="2023-07-24T00:00:00"/>
    <x v="1"/>
    <s v="M"/>
    <s v=""/>
    <m/>
    <n v="1"/>
    <m/>
    <n v="1"/>
    <m/>
    <n v="0"/>
    <n v="0"/>
    <n v="0"/>
    <n v="0"/>
    <n v="0"/>
    <n v="1"/>
    <n v="0"/>
    <n v="0"/>
    <n v="0"/>
    <n v="0"/>
    <n v="0"/>
    <n v="0"/>
    <n v="0"/>
    <n v="0"/>
    <n v="0"/>
    <n v="0"/>
    <n v="0"/>
    <n v="0"/>
    <n v="0"/>
    <n v="1"/>
    <n v="0"/>
    <n v="0"/>
    <n v="0"/>
    <n v="0"/>
    <n v="0"/>
    <n v="0"/>
    <n v="0"/>
    <n v="0"/>
    <x v="1"/>
    <x v="0"/>
    <x v="2"/>
    <n v="1"/>
    <n v="1"/>
    <m/>
    <m/>
    <m/>
    <m/>
    <m/>
    <m/>
    <m/>
    <m/>
    <m/>
    <m/>
    <m/>
    <m/>
    <m/>
    <m/>
    <m/>
    <m/>
    <m/>
    <m/>
    <m/>
    <n v="0"/>
    <n v="0"/>
  </r>
  <r>
    <n v="4865"/>
    <x v="0"/>
    <s v="2016/5341"/>
    <s v="1 Withycombe Road"/>
    <s v="demolition"/>
    <n v="523686"/>
    <n v="173656"/>
    <x v="5"/>
    <d v="2020-03-31T00:00:00"/>
    <m/>
    <n v="1"/>
    <x v="6"/>
    <x v="3"/>
    <n v="2"/>
    <n v="1"/>
    <x v="1"/>
    <s v="Demolition of existing house and erection of two, two-storey (plus basement) 3 -bedroom semi-detached houses including new boundary treatment."/>
    <s v="PF"/>
    <d v="2016-09-13T00:00:00"/>
    <d v="2016-11-08T00:00:00"/>
    <x v="0"/>
    <s v="Nil"/>
    <m/>
    <s v="BF"/>
    <s v="NB"/>
    <x v="2"/>
    <x v="3"/>
    <n v="0"/>
    <d v="2020-03-31T00:00:00"/>
    <x v="0"/>
    <d v="2023-04-01T00:00:00"/>
    <x v="1"/>
    <s v="M"/>
    <s v=""/>
    <m/>
    <m/>
    <m/>
    <m/>
    <m/>
    <n v="0"/>
    <n v="0"/>
    <n v="-1"/>
    <n v="0"/>
    <n v="0"/>
    <n v="0"/>
    <n v="0"/>
    <n v="0"/>
    <n v="0"/>
    <n v="0"/>
    <n v="0"/>
    <n v="0"/>
    <n v="0"/>
    <n v="0"/>
    <n v="0"/>
    <n v="0"/>
    <n v="-1"/>
    <n v="0"/>
    <n v="0"/>
    <n v="0"/>
    <n v="0"/>
    <n v="0"/>
    <n v="0"/>
    <n v="0"/>
    <n v="0"/>
    <n v="0"/>
    <n v="0"/>
    <n v="0"/>
    <x v="1"/>
    <x v="0"/>
    <x v="2"/>
    <n v="1"/>
    <n v="-1"/>
    <m/>
    <m/>
    <m/>
    <m/>
    <m/>
    <m/>
    <m/>
    <m/>
    <m/>
    <m/>
    <m/>
    <m/>
    <m/>
    <m/>
    <m/>
    <m/>
    <m/>
    <m/>
    <m/>
    <n v="0"/>
    <n v="0"/>
  </r>
  <r>
    <n v="6525"/>
    <x v="0"/>
    <s v="2017/1159"/>
    <s v="6 Leacroft Avenue"/>
    <s v=""/>
    <n v="527828"/>
    <n v="173720"/>
    <x v="6"/>
    <d v="2018-05-07T00:00:00"/>
    <d v="2023-04-04T00:00:00"/>
    <n v="1"/>
    <x v="3"/>
    <x v="6"/>
    <n v="1"/>
    <n v="0"/>
    <x v="1"/>
    <s v="Demolition of existing building and erection of a three storey (plus basement with rear lightwell) 5-bedroom detached house."/>
    <s v="PF"/>
    <d v="2017-02-27T00:00:00"/>
    <d v="2017-07-03T00:00:00"/>
    <x v="0"/>
    <s v="Nil"/>
    <m/>
    <s v="BF"/>
    <s v="NB"/>
    <x v="2"/>
    <x v="3"/>
    <n v="4.02E-2"/>
    <d v="2018-05-07T00:00:00"/>
    <x v="0"/>
    <d v="2023-04-04T00:00:00"/>
    <x v="1"/>
    <s v="M"/>
    <s v=""/>
    <m/>
    <m/>
    <m/>
    <m/>
    <m/>
    <n v="0"/>
    <n v="0"/>
    <n v="0"/>
    <n v="-1"/>
    <n v="0"/>
    <n v="1"/>
    <n v="0"/>
    <n v="0"/>
    <n v="0"/>
    <n v="0"/>
    <n v="0"/>
    <n v="0"/>
    <n v="0"/>
    <n v="0"/>
    <n v="0"/>
    <n v="0"/>
    <n v="0"/>
    <n v="-1"/>
    <n v="0"/>
    <n v="1"/>
    <n v="0"/>
    <n v="0"/>
    <n v="0"/>
    <n v="0"/>
    <n v="0"/>
    <n v="0"/>
    <n v="0"/>
    <n v="0"/>
    <x v="1"/>
    <x v="0"/>
    <x v="2"/>
    <n v="1"/>
    <n v="0"/>
    <m/>
    <m/>
    <m/>
    <m/>
    <m/>
    <m/>
    <m/>
    <m/>
    <m/>
    <m/>
    <m/>
    <m/>
    <m/>
    <m/>
    <m/>
    <m/>
    <m/>
    <m/>
    <m/>
    <n v="0"/>
    <n v="0"/>
  </r>
  <r>
    <n v="6030"/>
    <x v="0"/>
    <s v="2017/1573"/>
    <s v="8 Akehurst Street"/>
    <s v=""/>
    <n v="522262"/>
    <n v="173980"/>
    <x v="4"/>
    <d v="2021-06-07T00:00:00"/>
    <d v="2024-01-24T00:00:00"/>
    <n v="0"/>
    <x v="5"/>
    <x v="7"/>
    <n v="2"/>
    <n v="2"/>
    <x v="1"/>
    <s v="Erection of 2 x 5-bedroom three storey detached houses with associated landscaping, parking and cycle store."/>
    <s v="PF"/>
    <d v="2017-03-16T00:00:00"/>
    <d v="2018-06-27T00:00:00"/>
    <x v="0"/>
    <s v="Nil"/>
    <m/>
    <s v="BF"/>
    <s v="NB"/>
    <x v="2"/>
    <x v="3"/>
    <n v="6.8000000000000005E-2"/>
    <d v="2021-06-07T00:00:00"/>
    <x v="0"/>
    <d v="2024-01-24T00:00:00"/>
    <x v="1"/>
    <s v="M"/>
    <s v=""/>
    <m/>
    <m/>
    <m/>
    <m/>
    <m/>
    <n v="0"/>
    <n v="0"/>
    <n v="0"/>
    <n v="0"/>
    <n v="0"/>
    <n v="2"/>
    <n v="0"/>
    <n v="0"/>
    <n v="0"/>
    <n v="0"/>
    <n v="0"/>
    <n v="0"/>
    <n v="0"/>
    <n v="0"/>
    <n v="0"/>
    <n v="0"/>
    <n v="0"/>
    <n v="0"/>
    <n v="0"/>
    <n v="2"/>
    <n v="0"/>
    <n v="0"/>
    <n v="0"/>
    <n v="0"/>
    <n v="0"/>
    <n v="0"/>
    <n v="0"/>
    <n v="0"/>
    <x v="1"/>
    <x v="0"/>
    <x v="2"/>
    <n v="1"/>
    <n v="2"/>
    <m/>
    <m/>
    <m/>
    <m/>
    <m/>
    <m/>
    <m/>
    <m/>
    <m/>
    <m/>
    <m/>
    <m/>
    <m/>
    <m/>
    <m/>
    <m/>
    <m/>
    <m/>
    <m/>
    <n v="0"/>
    <n v="0"/>
  </r>
  <r>
    <n v="6667"/>
    <x v="0"/>
    <s v="2017/4326"/>
    <s v="14 Valonia Gardens"/>
    <s v=""/>
    <n v="524795"/>
    <n v="174423"/>
    <x v="7"/>
    <d v="2021-05-18T00:00:00"/>
    <d v="2023-11-17T00:00:00"/>
    <n v="1"/>
    <x v="3"/>
    <x v="6"/>
    <n v="1"/>
    <n v="0"/>
    <x v="1"/>
    <s v="Demolition of existing detached dwellinghouse and the erection of a replacement two-storey (plus roof accomodation) 4-bedroom detached dwellinghouse."/>
    <s v="PF"/>
    <d v="2017-08-02T00:00:00"/>
    <d v="2017-11-24T00:00:00"/>
    <x v="0"/>
    <s v="Nil"/>
    <m/>
    <s v="BF"/>
    <s v="NB"/>
    <x v="2"/>
    <x v="3"/>
    <n v="4.2999999999999997E-2"/>
    <d v="2021-05-18T00:00:00"/>
    <x v="0"/>
    <d v="2023-11-17T00:00:00"/>
    <x v="1"/>
    <s v="M"/>
    <s v=""/>
    <m/>
    <m/>
    <m/>
    <m/>
    <m/>
    <n v="0"/>
    <n v="0"/>
    <n v="0"/>
    <n v="0"/>
    <n v="1"/>
    <n v="-1"/>
    <n v="0"/>
    <n v="0"/>
    <n v="0"/>
    <n v="0"/>
    <n v="0"/>
    <n v="0"/>
    <n v="0"/>
    <n v="0"/>
    <n v="0"/>
    <n v="0"/>
    <n v="0"/>
    <n v="0"/>
    <n v="1"/>
    <n v="-1"/>
    <n v="0"/>
    <n v="0"/>
    <n v="0"/>
    <n v="0"/>
    <n v="0"/>
    <n v="0"/>
    <n v="0"/>
    <n v="0"/>
    <x v="1"/>
    <x v="0"/>
    <x v="2"/>
    <n v="1"/>
    <n v="0"/>
    <m/>
    <m/>
    <m/>
    <m/>
    <m/>
    <m/>
    <m/>
    <m/>
    <m/>
    <m/>
    <m/>
    <m/>
    <m/>
    <m/>
    <m/>
    <m/>
    <m/>
    <m/>
    <m/>
    <n v="0"/>
    <n v="0"/>
  </r>
  <r>
    <n v="3521"/>
    <x v="0"/>
    <s v="2017/5837"/>
    <s v="Peabody Estate, St Johns Hill"/>
    <s v="Phase 3"/>
    <n v="527156"/>
    <n v="175243"/>
    <x v="8"/>
    <d v="2020-02-01T00:00:00"/>
    <m/>
    <n v="28"/>
    <x v="6"/>
    <x v="8"/>
    <n v="446"/>
    <n v="204"/>
    <x v="0"/>
    <s v="Variation of condition 15 (in accordance with approved drawings) pursuant to planning permission dated 18/10/2012 ref 2012/1258 (Demolition of all existing buildings. Erection of five buildings of 4-12, 4-8, 7, 5-7 and 4-6 storeys to provide 527 residential units (135 x 1 bed, 261 x 2 bed,105 x 3 bed and 26 x 4 bed), with approx. 7800 square metres of private, communal and public space and public routes. Car parking (121 spaces within basement and 15 spaces at grade), 687 cycle parking spaces plus approximately 530 square metres of community space in the centre of the site and approximately 569 square metres of commercial space (classes A1-A5 (retail, financial and professional services, cafe/restaurant, take away, pub/bar and/or B1 office use) at the northern end of the site. Vehicular accesses from Comyn Road and Eckstein Road and emergency access from St John's Hill and Strath Terrace.) to allow:_x000a_Plot 2: two storey increase allowing an additional 23 flats and change in tenure to older persons social rent only, removal of basement carparking;_x000a_Plot 3: two story increase to the centre tower allowing an additional 11 flats and change in tenure to private rent only;_x000a_Plot 6: one storey increase allowing three additional flats;_x000a_Plot 7: four additional flats (through internal reconfigurations);_x000a_Plot 8: loss of one flat;_x000a_Plot 9: One storey increase to the western section, extension of southern section facing Comyn Road to close the building gap and removal of corner feature to Comyn Road to allow 31 additional flats, inclusion of parking below podium level;_x000a_General alterations to fenestration and finishes to accommodate changes and reconfiguration of carparking resulting in a loss of 28 spaces. Overall reconfiguration results in 599 residential units across the site."/>
    <s v="S73"/>
    <d v="2017-10-20T00:00:00"/>
    <d v="2019-01-15T00:00:00"/>
    <x v="0"/>
    <s v="Nil"/>
    <m/>
    <s v="BF"/>
    <s v="NB"/>
    <x v="1"/>
    <x v="0"/>
    <n v="0"/>
    <d v="2023-10-31T00:00:00"/>
    <x v="1"/>
    <d v="2023-10-31T00:00:00"/>
    <x v="1"/>
    <s v="M"/>
    <s v="4.1.5"/>
    <m/>
    <m/>
    <m/>
    <m/>
    <m/>
    <n v="-1"/>
    <n v="-12"/>
    <n v="-12"/>
    <n v="-3"/>
    <n v="0"/>
    <n v="0"/>
    <n v="0"/>
    <n v="-1"/>
    <n v="-12"/>
    <n v="-12"/>
    <n v="-3"/>
    <n v="0"/>
    <n v="0"/>
    <n v="0"/>
    <n v="0"/>
    <n v="0"/>
    <n v="0"/>
    <n v="0"/>
    <n v="0"/>
    <n v="0"/>
    <n v="0"/>
    <n v="0"/>
    <n v="0"/>
    <n v="0"/>
    <n v="0"/>
    <n v="0"/>
    <n v="0"/>
    <n v="0"/>
    <x v="1"/>
    <x v="0"/>
    <x v="3"/>
    <n v="1"/>
    <n v="-28"/>
    <m/>
    <m/>
    <m/>
    <m/>
    <m/>
    <m/>
    <m/>
    <m/>
    <m/>
    <m/>
    <m/>
    <m/>
    <m/>
    <m/>
    <m/>
    <m/>
    <m/>
    <m/>
    <m/>
    <n v="0"/>
    <n v="0"/>
  </r>
  <r>
    <n v="3521"/>
    <x v="0"/>
    <s v="2017/5837"/>
    <s v="Peabody Estate, St Johns Hill"/>
    <s v="Phase 3"/>
    <n v="527156"/>
    <n v="175243"/>
    <x v="8"/>
    <d v="2020-02-01T00:00:00"/>
    <m/>
    <n v="56"/>
    <x v="6"/>
    <x v="9"/>
    <n v="446"/>
    <n v="204"/>
    <x v="0"/>
    <s v="Variation of condition 15 (in accordance with approved drawings) pursuant to planning permission dated 18/10/2012 ref 2012/1258 (Demolition of all existing buildings. Erection of five buildings of 4-12, 4-8, 7, 5-7 and 4-6 storeys to provide 527 residential units (135 x 1 bed, 261 x 2 bed,105 x 3 bed and 26 x 4 bed), with approx. 7800 square metres of private, communal and public space and public routes. Car parking (121 spaces within basement and 15 spaces at grade), 687 cycle parking spaces plus approximately 530 square metres of community space in the centre of the site and approximately 569 square metres of commercial space (classes A1-A5 (retail, financial and professional services, cafe/restaurant, take away, pub/bar and/or B1 office use) at the northern end of the site. Vehicular accesses from Comyn Road and Eckstein Road and emergency access from St John's Hill and Strath Terrace.) to allow:_x000a_Plot 2: two storey increase allowing an additional 23 flats and change in tenure to older persons social rent only, removal of basement carparking;_x000a_Plot 3: two story increase to the centre tower allowing an additional 11 flats and change in tenure to private rent only;_x000a_Plot 6: one storey increase allowing three additional flats;_x000a_Plot 7: four additional flats (through internal reconfigurations);_x000a_Plot 8: loss of one flat;_x000a_Plot 9: One storey increase to the western section, extension of southern section facing Comyn Road to close the building gap and removal of corner feature to Comyn Road to allow 31 additional flats, inclusion of parking below podium level;_x000a_General alterations to fenestration and finishes to accommodate changes and reconfiguration of carparking resulting in a loss of 28 spaces. Overall reconfiguration results in 599 residential units across the site."/>
    <s v="S73"/>
    <d v="2017-10-20T00:00:00"/>
    <d v="2019-01-15T00:00:00"/>
    <x v="0"/>
    <s v="Nil"/>
    <m/>
    <s v="BF"/>
    <s v="NB"/>
    <x v="1"/>
    <x v="0"/>
    <n v="0"/>
    <d v="2023-10-31T00:00:00"/>
    <x v="1"/>
    <d v="2023-10-31T00:00:00"/>
    <x v="2"/>
    <s v="AS"/>
    <s v="4.1.5"/>
    <m/>
    <m/>
    <m/>
    <m/>
    <m/>
    <n v="-1"/>
    <n v="-18"/>
    <n v="-22"/>
    <n v="-15"/>
    <n v="0"/>
    <n v="0"/>
    <n v="0"/>
    <n v="-1"/>
    <n v="-18"/>
    <n v="-22"/>
    <n v="-15"/>
    <n v="0"/>
    <n v="0"/>
    <n v="0"/>
    <n v="0"/>
    <n v="0"/>
    <n v="0"/>
    <n v="0"/>
    <n v="0"/>
    <n v="0"/>
    <n v="0"/>
    <n v="0"/>
    <n v="0"/>
    <n v="0"/>
    <n v="0"/>
    <n v="0"/>
    <n v="0"/>
    <n v="0"/>
    <x v="1"/>
    <x v="0"/>
    <x v="3"/>
    <n v="1"/>
    <n v="-56"/>
    <m/>
    <m/>
    <m/>
    <m/>
    <m/>
    <m/>
    <m/>
    <m/>
    <m/>
    <m/>
    <m/>
    <m/>
    <m/>
    <m/>
    <m/>
    <m/>
    <m/>
    <m/>
    <m/>
    <n v="0"/>
    <n v="0"/>
  </r>
  <r>
    <n v="3943"/>
    <x v="0"/>
    <s v="2017/6764"/>
    <s v="Royal Mail Group Site, Ponton Road (Nine Elms Park)"/>
    <s v="Plots B and D2/D3"/>
    <n v="529575"/>
    <n v="177401"/>
    <x v="1"/>
    <d v="2019-09-03T00:00:00"/>
    <m/>
    <n v="0"/>
    <x v="7"/>
    <x v="10"/>
    <n v="894"/>
    <n v="894"/>
    <x v="0"/>
    <s v="Reserved Matters application for scale, layout, access, external appearance and landscaping pursuant to Condition 3 of planning application 2017/6762 for &quot;Minor Material Amendment pursuant to conditions 1, 2, 9, 11, 15, 32 and 41 of part outline and part detailed planning permission 2016/2424, dated 23rd January 2017 for Minor Material Amendment pursuant to conditions 3 , 9 , 10 , 13 , 18 , 32 and 41 of part outline/part detailed planning permission 2011/2462, dated 30/03/12 for demolition of all existing buildings and construction of mixed use redevelopment comprising 7 building plots with buildings up to 23 storeys to provide residential units; commercial and community floorspace; associated basement parking and part of the 'Nine Elms Linear Park'. All matters reserved apart from appearance and scale of Blocks B1, D1 &amp; G and two new access points from Nine Elms Lane.&quot;"/>
    <s v="DT"/>
    <d v="2017-12-12T00:00:00"/>
    <d v="2019-03-29T00:00:00"/>
    <x v="0"/>
    <s v="Nil"/>
    <m/>
    <s v="BF"/>
    <s v="NB"/>
    <x v="1"/>
    <x v="0"/>
    <n v="0.128"/>
    <d v="2019-09-03T00:00:00"/>
    <x v="0"/>
    <d v="2024-03-31T00:00:00"/>
    <x v="0"/>
    <s v="IRD"/>
    <s v="2.1.18"/>
    <m/>
    <m/>
    <n v="118"/>
    <m/>
    <n v="13"/>
    <n v="0"/>
    <n v="36"/>
    <n v="89"/>
    <n v="6"/>
    <n v="0"/>
    <n v="0"/>
    <n v="0"/>
    <n v="0"/>
    <n v="36"/>
    <n v="89"/>
    <n v="6"/>
    <n v="0"/>
    <n v="0"/>
    <n v="0"/>
    <n v="0"/>
    <n v="0"/>
    <n v="0"/>
    <n v="0"/>
    <n v="0"/>
    <n v="0"/>
    <n v="0"/>
    <n v="0"/>
    <n v="0"/>
    <n v="0"/>
    <n v="0"/>
    <n v="0"/>
    <n v="0"/>
    <n v="0"/>
    <x v="1"/>
    <x v="1"/>
    <x v="1"/>
    <n v="1"/>
    <n v="131"/>
    <m/>
    <m/>
    <m/>
    <m/>
    <m/>
    <m/>
    <m/>
    <m/>
    <m/>
    <m/>
    <m/>
    <m/>
    <m/>
    <m/>
    <m/>
    <m/>
    <m/>
    <m/>
    <m/>
    <n v="0"/>
    <n v="0"/>
  </r>
  <r>
    <n v="3943"/>
    <x v="0"/>
    <s v="2017/6764"/>
    <s v="Royal Mail Group Site, Ponton Road (Nine Elms Park)"/>
    <s v="Plots B and D2/D3"/>
    <n v="529575"/>
    <n v="177401"/>
    <x v="1"/>
    <d v="2019-09-03T00:00:00"/>
    <m/>
    <n v="0"/>
    <x v="8"/>
    <x v="11"/>
    <n v="894"/>
    <n v="894"/>
    <x v="0"/>
    <s v="Reserved Matters application for scale, layout, access, external appearance and landscaping pursuant to Condition 3 of planning application 2017/6762 for &quot;Minor Material Amendment pursuant to conditions 1, 2, 9, 11, 15, 32 and 41 of part outline and part detailed planning permission 2016/2424, dated 23rd January 2017 for Minor Material Amendment pursuant to conditions 3 , 9 , 10 , 13 , 18 , 32 and 41 of part outline/part detailed planning permission 2011/2462, dated 30/03/12 for demolition of all existing buildings and construction of mixed use redevelopment comprising 7 building plots with buildings up to 23 storeys to provide residential units; commercial and community floorspace; associated basement parking and part of the 'Nine Elms Linear Park'. All matters reserved apart from appearance and scale of Blocks B1, D1 &amp; G and two new access points from Nine Elms Lane.&quot;"/>
    <s v="DT"/>
    <d v="2017-12-12T00:00:00"/>
    <d v="2019-03-29T00:00:00"/>
    <x v="0"/>
    <s v="Nil"/>
    <m/>
    <s v="BF"/>
    <s v="NB"/>
    <x v="1"/>
    <x v="0"/>
    <n v="0.60799999999999998"/>
    <d v="2019-09-03T00:00:00"/>
    <x v="0"/>
    <d v="2024-03-31T00:00:00"/>
    <x v="1"/>
    <s v="MR"/>
    <s v="2.1.18"/>
    <m/>
    <m/>
    <n v="560"/>
    <m/>
    <n v="62"/>
    <n v="160"/>
    <n v="133"/>
    <n v="264"/>
    <n v="65"/>
    <n v="0"/>
    <n v="0"/>
    <n v="0"/>
    <n v="160"/>
    <n v="133"/>
    <n v="264"/>
    <n v="65"/>
    <n v="0"/>
    <n v="0"/>
    <n v="0"/>
    <n v="0"/>
    <n v="0"/>
    <n v="0"/>
    <n v="0"/>
    <n v="0"/>
    <n v="0"/>
    <n v="0"/>
    <n v="0"/>
    <n v="0"/>
    <n v="0"/>
    <n v="0"/>
    <n v="0"/>
    <n v="0"/>
    <n v="0"/>
    <x v="1"/>
    <x v="1"/>
    <x v="1"/>
    <n v="1"/>
    <n v="622"/>
    <m/>
    <m/>
    <m/>
    <m/>
    <m/>
    <m/>
    <m/>
    <m/>
    <m/>
    <m/>
    <m/>
    <m/>
    <m/>
    <m/>
    <m/>
    <m/>
    <m/>
    <m/>
    <m/>
    <n v="0"/>
    <n v="0"/>
  </r>
  <r>
    <n v="6765"/>
    <x v="0"/>
    <s v="2017/6846"/>
    <s v="Garages north of Fordyce House, Colson way"/>
    <s v=""/>
    <n v="529291"/>
    <n v="171713"/>
    <x v="9"/>
    <d v="2021-11-26T00:00:00"/>
    <d v="2023-11-10T00:00:00"/>
    <n v="0"/>
    <x v="9"/>
    <x v="12"/>
    <n v="8"/>
    <n v="8"/>
    <x v="1"/>
    <s v="Demolition of 2 rows of existing lock-up garages and construction of a three-storey building designed specifically for wheelchair and ambulant users (8 no. 1-bedroom residential units). Landscaping and street improvement works with the construction of a new refuse store for Fordyce House."/>
    <s v="PF"/>
    <d v="2017-12-21T00:00:00"/>
    <d v="2018-11-23T00:00:00"/>
    <x v="0"/>
    <s v="Nil"/>
    <m/>
    <s v="BF"/>
    <s v="NB"/>
    <x v="2"/>
    <x v="3"/>
    <n v="3.6999999999999998E-2"/>
    <d v="2021-11-26T00:00:00"/>
    <x v="0"/>
    <d v="2023-11-10T00:00:00"/>
    <x v="2"/>
    <s v="AC"/>
    <s v=""/>
    <m/>
    <m/>
    <m/>
    <m/>
    <m/>
    <n v="0"/>
    <n v="8"/>
    <n v="0"/>
    <n v="0"/>
    <n v="0"/>
    <n v="0"/>
    <n v="0"/>
    <n v="0"/>
    <n v="8"/>
    <n v="0"/>
    <n v="0"/>
    <n v="0"/>
    <n v="0"/>
    <n v="0"/>
    <n v="0"/>
    <n v="0"/>
    <n v="0"/>
    <n v="0"/>
    <n v="0"/>
    <n v="0"/>
    <n v="0"/>
    <n v="0"/>
    <n v="0"/>
    <n v="0"/>
    <n v="0"/>
    <n v="0"/>
    <n v="0"/>
    <n v="0"/>
    <x v="1"/>
    <x v="0"/>
    <x v="2"/>
    <n v="1"/>
    <n v="8"/>
    <m/>
    <m/>
    <m/>
    <m/>
    <m/>
    <m/>
    <m/>
    <m/>
    <m/>
    <m/>
    <m/>
    <m/>
    <m/>
    <m/>
    <m/>
    <m/>
    <m/>
    <m/>
    <m/>
    <n v="0"/>
    <n v="0"/>
  </r>
  <r>
    <n v="4084"/>
    <x v="0"/>
    <s v="2018/0195"/>
    <s v="22 Trinity Road"/>
    <s v=""/>
    <n v="527971"/>
    <n v="172408"/>
    <x v="10"/>
    <d v="2018-04-20T00:00:00"/>
    <d v="2023-04-12T00:00:00"/>
    <n v="0"/>
    <x v="3"/>
    <x v="5"/>
    <n v="3"/>
    <n v="2"/>
    <x v="1"/>
    <s v="Alterations including demolition of rear elevation, replacement shopfront, erection of mansard roof extension to create an additional storey of residential accommodation, erection of part single, part two storey rear extension, insertion of mezzanine floors, excavation of basement and conversion of ground floor shop from Sui Generis (mini-cab office) to part Class A1 (shop) and part Class C3 (residential) to create 2 x 1-bedroom flats and a studio flat."/>
    <s v="PF"/>
    <d v="2018-01-15T00:00:00"/>
    <d v="2018-04-20T00:00:00"/>
    <x v="0"/>
    <s v="Nil"/>
    <m/>
    <s v="BF"/>
    <s v="MIX"/>
    <x v="2"/>
    <x v="3"/>
    <n v="3.0000000000000001E-3"/>
    <d v="2018-04-20T00:00:00"/>
    <x v="0"/>
    <d v="2023-04-12T00:00:00"/>
    <x v="1"/>
    <s v="M"/>
    <s v=""/>
    <m/>
    <m/>
    <m/>
    <m/>
    <m/>
    <n v="1"/>
    <n v="0"/>
    <n v="0"/>
    <n v="0"/>
    <n v="0"/>
    <n v="0"/>
    <n v="0"/>
    <n v="1"/>
    <n v="0"/>
    <n v="0"/>
    <n v="0"/>
    <n v="0"/>
    <n v="0"/>
    <n v="0"/>
    <n v="0"/>
    <n v="0"/>
    <n v="0"/>
    <n v="0"/>
    <n v="0"/>
    <n v="0"/>
    <n v="0"/>
    <n v="0"/>
    <n v="0"/>
    <n v="0"/>
    <n v="0"/>
    <n v="0"/>
    <n v="0"/>
    <n v="0"/>
    <x v="1"/>
    <x v="0"/>
    <x v="2"/>
    <n v="11"/>
    <n v="1"/>
    <m/>
    <m/>
    <m/>
    <m/>
    <m/>
    <m/>
    <m/>
    <m/>
    <m/>
    <m/>
    <m/>
    <m/>
    <m/>
    <m/>
    <m/>
    <m/>
    <m/>
    <m/>
    <m/>
    <n v="0"/>
    <n v="0"/>
  </r>
  <r>
    <n v="4084"/>
    <x v="0"/>
    <s v="2018/0195"/>
    <s v="22 Trinity Road"/>
    <s v=""/>
    <n v="527971"/>
    <n v="172408"/>
    <x v="10"/>
    <d v="2018-04-20T00:00:00"/>
    <d v="2023-04-12T00:00:00"/>
    <n v="0"/>
    <x v="3"/>
    <x v="5"/>
    <n v="3"/>
    <n v="2"/>
    <x v="1"/>
    <s v="Alterations including demolition of rear elevation, replacement shopfront, erection of mansard roof extension to create an additional storey of residential accommodation, erection of part single, part two storey rear extension, insertion of mezzanine floors, excavation of basement and conversion of ground floor shop from Sui Generis (mini-cab office) to part Class A1 (shop) and part Class C3 (residential) to create 2 x 1-bedroom flats and a studio flat."/>
    <s v="PF"/>
    <d v="2018-01-15T00:00:00"/>
    <d v="2018-04-20T00:00:00"/>
    <x v="0"/>
    <s v="Nil"/>
    <m/>
    <s v="BF"/>
    <s v="MIX"/>
    <x v="2"/>
    <x v="4"/>
    <n v="3.0000000000000001E-3"/>
    <d v="2018-04-20T00:00:00"/>
    <x v="0"/>
    <d v="2023-04-12T00:00:00"/>
    <x v="1"/>
    <s v="M"/>
    <s v=""/>
    <m/>
    <m/>
    <m/>
    <m/>
    <n v="1"/>
    <n v="0"/>
    <n v="1"/>
    <n v="0"/>
    <n v="0"/>
    <n v="0"/>
    <n v="0"/>
    <n v="0"/>
    <n v="0"/>
    <n v="1"/>
    <n v="0"/>
    <n v="0"/>
    <n v="0"/>
    <n v="0"/>
    <n v="0"/>
    <n v="0"/>
    <n v="0"/>
    <n v="0"/>
    <n v="0"/>
    <n v="0"/>
    <n v="0"/>
    <n v="0"/>
    <n v="0"/>
    <n v="0"/>
    <n v="0"/>
    <n v="0"/>
    <n v="0"/>
    <n v="0"/>
    <n v="0"/>
    <x v="1"/>
    <x v="0"/>
    <x v="2"/>
    <n v="11"/>
    <n v="1"/>
    <m/>
    <m/>
    <m/>
    <m/>
    <m/>
    <m/>
    <m/>
    <m/>
    <m/>
    <m/>
    <m/>
    <m/>
    <m/>
    <m/>
    <m/>
    <m/>
    <m/>
    <m/>
    <m/>
    <n v="0"/>
    <n v="0"/>
  </r>
  <r>
    <n v="4084"/>
    <x v="0"/>
    <s v="2018/0195"/>
    <s v="22 Trinity Road"/>
    <s v=""/>
    <n v="527971"/>
    <n v="172408"/>
    <x v="10"/>
    <d v="2018-04-20T00:00:00"/>
    <d v="2023-04-12T00:00:00"/>
    <n v="1"/>
    <x v="3"/>
    <x v="6"/>
    <n v="3"/>
    <n v="2"/>
    <x v="1"/>
    <s v="Alterations including demolition of rear elevation, replacement shopfront, erection of mansard roof extension to create an additional storey of residential accommodation, erection of part single, part two storey rear extension, insertion of mezzanine floors, excavation of basement and conversion of ground floor shop from Sui Generis (mini-cab office) to part Class A1 (shop) and part Class C3 (residential) to create 2 x 1-bedroom flats and a studio flat."/>
    <s v="PF"/>
    <d v="2018-01-15T00:00:00"/>
    <d v="2018-04-20T00:00:00"/>
    <x v="0"/>
    <s v="Nil"/>
    <m/>
    <s v="BF"/>
    <s v="MIX"/>
    <x v="2"/>
    <x v="5"/>
    <n v="3.0000000000000001E-3"/>
    <d v="2018-04-20T00:00:00"/>
    <x v="0"/>
    <d v="2023-04-12T00:00:00"/>
    <x v="1"/>
    <s v="M"/>
    <s v=""/>
    <m/>
    <m/>
    <m/>
    <m/>
    <m/>
    <n v="-1"/>
    <n v="1"/>
    <n v="0"/>
    <n v="0"/>
    <n v="0"/>
    <n v="0"/>
    <n v="0"/>
    <n v="-1"/>
    <n v="1"/>
    <n v="0"/>
    <n v="0"/>
    <n v="0"/>
    <n v="0"/>
    <n v="0"/>
    <n v="0"/>
    <n v="0"/>
    <n v="0"/>
    <n v="0"/>
    <n v="0"/>
    <n v="0"/>
    <n v="0"/>
    <n v="0"/>
    <n v="0"/>
    <n v="0"/>
    <n v="0"/>
    <n v="0"/>
    <n v="0"/>
    <n v="0"/>
    <x v="1"/>
    <x v="0"/>
    <x v="2"/>
    <n v="11"/>
    <n v="0"/>
    <m/>
    <m/>
    <m/>
    <m/>
    <m/>
    <m/>
    <m/>
    <m/>
    <m/>
    <m/>
    <m/>
    <m/>
    <m/>
    <m/>
    <m/>
    <m/>
    <m/>
    <m/>
    <m/>
    <n v="0"/>
    <n v="0"/>
  </r>
  <r>
    <n v="3745"/>
    <x v="0"/>
    <s v="2018/0210"/>
    <s v="Land rear of 4-24, Thrale Road (Land rear of Mitcham Lane)"/>
    <s v="Block A"/>
    <n v="529291"/>
    <n v="171210"/>
    <x v="9"/>
    <d v="2020-11-01T00:00:00"/>
    <d v="2023-10-24T00:00:00"/>
    <n v="0"/>
    <x v="0"/>
    <x v="0"/>
    <n v="28"/>
    <n v="28"/>
    <x v="0"/>
    <s v="Erection of 22 residential units (6x1bedroom, 10x2-bedroom and 6x3-bedroom) within three two/three-storey buildings accessed from Thrale Road (between Nos. 16 and 18 Thrale Road) with associated car and cycle parking, refuse storage and landscaping."/>
    <s v="PFLA"/>
    <d v="2018-03-05T00:00:00"/>
    <d v="2020-08-11T00:00:00"/>
    <x v="0"/>
    <s v="Nil"/>
    <m/>
    <s v="BF"/>
    <s v="NB"/>
    <x v="1"/>
    <x v="0"/>
    <n v="4.7E-2"/>
    <d v="2020-11-01T00:00:00"/>
    <x v="0"/>
    <d v="2023-10-24T00:00:00"/>
    <x v="0"/>
    <s v="ISO"/>
    <s v=""/>
    <m/>
    <m/>
    <m/>
    <m/>
    <n v="1"/>
    <n v="0"/>
    <n v="2"/>
    <n v="4"/>
    <n v="0"/>
    <n v="0"/>
    <n v="0"/>
    <n v="0"/>
    <n v="0"/>
    <n v="2"/>
    <n v="4"/>
    <n v="0"/>
    <n v="0"/>
    <n v="0"/>
    <n v="0"/>
    <n v="0"/>
    <n v="0"/>
    <n v="0"/>
    <n v="0"/>
    <n v="0"/>
    <n v="0"/>
    <n v="0"/>
    <n v="0"/>
    <n v="0"/>
    <n v="0"/>
    <n v="0"/>
    <n v="0"/>
    <n v="0"/>
    <n v="0"/>
    <x v="1"/>
    <x v="0"/>
    <x v="2"/>
    <n v="1"/>
    <n v="6"/>
    <m/>
    <m/>
    <m/>
    <m/>
    <m/>
    <m/>
    <m/>
    <m/>
    <m/>
    <m/>
    <m/>
    <m/>
    <m/>
    <m/>
    <m/>
    <m/>
    <m/>
    <m/>
    <m/>
    <n v="0"/>
    <n v="0"/>
  </r>
  <r>
    <n v="6825"/>
    <x v="0"/>
    <s v="2018/0816"/>
    <s v="Unit 11-12 Ransomes Dock Business Centre, 35-37 Parkgate Road (Ransomes Dock Business Centre)"/>
    <s v=""/>
    <n v="527310"/>
    <n v="177159"/>
    <x v="2"/>
    <d v="2023-03-31T00:00:00"/>
    <d v="2023-04-01T00:00:00"/>
    <n v="0"/>
    <x v="3"/>
    <x v="5"/>
    <n v="1"/>
    <n v="1"/>
    <x v="1"/>
    <s v="Determination as to whether prior approval is required for change of use of office at second floor level (Use Class B1(a) to residential (Use Class 3) to provide 1 x 2 bedroom flat."/>
    <s v="PANR"/>
    <d v="2018-02-20T00:00:00"/>
    <d v="2018-04-05T00:00:00"/>
    <x v="0"/>
    <s v="Nil"/>
    <m/>
    <s v="BF"/>
    <s v="COU"/>
    <x v="2"/>
    <x v="6"/>
    <n v="1.0999999999999999E-2"/>
    <d v="2023-03-31T00:00:00"/>
    <x v="0"/>
    <d v="2023-04-01T00:00:00"/>
    <x v="1"/>
    <s v="M"/>
    <s v=""/>
    <m/>
    <m/>
    <m/>
    <m/>
    <m/>
    <n v="0"/>
    <n v="0"/>
    <n v="1"/>
    <n v="0"/>
    <n v="0"/>
    <n v="0"/>
    <n v="0"/>
    <n v="0"/>
    <n v="0"/>
    <n v="1"/>
    <n v="0"/>
    <n v="0"/>
    <n v="0"/>
    <n v="0"/>
    <n v="0"/>
    <n v="0"/>
    <n v="0"/>
    <n v="0"/>
    <n v="0"/>
    <n v="0"/>
    <n v="0"/>
    <n v="0"/>
    <n v="0"/>
    <n v="0"/>
    <n v="0"/>
    <n v="0"/>
    <n v="0"/>
    <n v="0"/>
    <x v="1"/>
    <x v="0"/>
    <x v="4"/>
    <n v="11"/>
    <n v="1"/>
    <m/>
    <m/>
    <m/>
    <m/>
    <m/>
    <m/>
    <m/>
    <m/>
    <m/>
    <m/>
    <m/>
    <m/>
    <m/>
    <m/>
    <m/>
    <m/>
    <m/>
    <m/>
    <m/>
    <n v="0"/>
    <n v="0"/>
  </r>
  <r>
    <n v="967"/>
    <x v="0"/>
    <s v="2018/3390"/>
    <s v="29 Wimbledon Park Road"/>
    <s v="First Floor"/>
    <n v="525095"/>
    <n v="174084"/>
    <x v="7"/>
    <d v="2021-09-29T00:00:00"/>
    <d v="2023-10-20T00:00:00"/>
    <n v="0"/>
    <x v="5"/>
    <x v="7"/>
    <n v="8"/>
    <n v="4"/>
    <x v="1"/>
    <s v="Alterations including; replacement of garage door with windows on front elevation; altered lightwell and new fenestration at lower ground floor level on front elevation; new windows to ground and first floor levels of rear elevation; formation of first floor level rear balcony; erection of first floor level side east extension; removal of window on south-west facing side elevation; erection of refuse and cycle storage in front/side garden. All works in connection with conversion from four flats to 2 x 1-bedroom, 4 x 2-bedroom, 2 x 3 bedroom flats."/>
    <s v="PF"/>
    <d v="2018-07-10T00:00:00"/>
    <d v="2018-11-22T00:00:00"/>
    <x v="0"/>
    <s v="Nil"/>
    <m/>
    <s v="BF"/>
    <s v="CON"/>
    <x v="2"/>
    <x v="7"/>
    <n v="1.7999999999999999E-2"/>
    <d v="2021-09-29T00:00:00"/>
    <x v="0"/>
    <d v="2023-10-20T00:00:00"/>
    <x v="1"/>
    <s v="M"/>
    <s v=""/>
    <m/>
    <m/>
    <m/>
    <m/>
    <m/>
    <n v="0"/>
    <n v="0"/>
    <n v="2"/>
    <n v="0"/>
    <n v="0"/>
    <n v="0"/>
    <n v="0"/>
    <n v="0"/>
    <n v="0"/>
    <n v="2"/>
    <n v="0"/>
    <n v="0"/>
    <n v="0"/>
    <n v="0"/>
    <n v="0"/>
    <n v="0"/>
    <n v="0"/>
    <n v="0"/>
    <n v="0"/>
    <n v="0"/>
    <n v="0"/>
    <n v="0"/>
    <n v="0"/>
    <n v="0"/>
    <n v="0"/>
    <n v="0"/>
    <n v="0"/>
    <n v="0"/>
    <x v="1"/>
    <x v="0"/>
    <x v="2"/>
    <n v="11"/>
    <n v="2"/>
    <m/>
    <m/>
    <m/>
    <m/>
    <m/>
    <m/>
    <m/>
    <m/>
    <m/>
    <m/>
    <m/>
    <m/>
    <m/>
    <m/>
    <m/>
    <m/>
    <m/>
    <m/>
    <m/>
    <n v="0"/>
    <n v="0"/>
  </r>
  <r>
    <n v="967"/>
    <x v="0"/>
    <s v="2018/3390"/>
    <s v="29 Wimbledon Park Road"/>
    <s v="Lower Ground"/>
    <n v="525095"/>
    <n v="174084"/>
    <x v="7"/>
    <d v="2021-09-29T00:00:00"/>
    <d v="2023-10-20T00:00:00"/>
    <n v="4"/>
    <x v="5"/>
    <x v="13"/>
    <n v="8"/>
    <n v="4"/>
    <x v="1"/>
    <s v="Alterations including; replacement of garage door with windows on front elevation; altered lightwell and new fenestration at lower ground floor level on front elevation; new windows to ground and first floor levels of rear elevation; formation of first floor level rear balcony; erection of first floor level side east extension; removal of window on south-west facing side elevation; erection of refuse and cycle storage in front/side garden. All works in connection with conversion from four flats to 2 x 1-bedroom, 4 x 2-bedroom, 2 x 3 bedroom flats."/>
    <s v="PF"/>
    <d v="2018-07-10T00:00:00"/>
    <d v="2018-11-22T00:00:00"/>
    <x v="0"/>
    <s v="Nil"/>
    <m/>
    <s v="BF"/>
    <s v="CON"/>
    <x v="2"/>
    <x v="7"/>
    <n v="2.5999999999999999E-2"/>
    <d v="2021-09-29T00:00:00"/>
    <x v="0"/>
    <d v="2023-10-20T00:00:00"/>
    <x v="1"/>
    <s v="M"/>
    <s v=""/>
    <m/>
    <m/>
    <m/>
    <m/>
    <m/>
    <n v="0"/>
    <n v="-1"/>
    <n v="-1"/>
    <n v="0"/>
    <n v="0"/>
    <n v="0"/>
    <n v="0"/>
    <n v="0"/>
    <n v="-1"/>
    <n v="-1"/>
    <n v="0"/>
    <n v="0"/>
    <n v="0"/>
    <n v="0"/>
    <n v="0"/>
    <n v="0"/>
    <n v="0"/>
    <n v="0"/>
    <n v="0"/>
    <n v="0"/>
    <n v="0"/>
    <n v="0"/>
    <n v="0"/>
    <n v="0"/>
    <n v="0"/>
    <n v="0"/>
    <n v="0"/>
    <n v="0"/>
    <x v="1"/>
    <x v="0"/>
    <x v="2"/>
    <n v="11"/>
    <n v="-2"/>
    <m/>
    <m/>
    <m/>
    <m/>
    <m/>
    <m/>
    <m/>
    <m/>
    <m/>
    <m/>
    <m/>
    <m/>
    <m/>
    <m/>
    <m/>
    <m/>
    <m/>
    <m/>
    <m/>
    <n v="0"/>
    <n v="0"/>
  </r>
  <r>
    <n v="967"/>
    <x v="0"/>
    <s v="2018/3390"/>
    <s v="29 Wimbledon Park Road"/>
    <s v="Second Floor"/>
    <n v="525095"/>
    <n v="174084"/>
    <x v="7"/>
    <d v="2021-09-29T00:00:00"/>
    <d v="2023-10-20T00:00:00"/>
    <n v="0"/>
    <x v="5"/>
    <x v="7"/>
    <n v="8"/>
    <n v="4"/>
    <x v="1"/>
    <s v="Alterations including; replacement of garage door with windows on front elevation; altered lightwell and new fenestration at lower ground floor level on front elevation; new windows to ground and first floor levels of rear elevation; formation of first floor level rear balcony; erection of first floor level side east extension; removal of window on south-west facing side elevation; erection of refuse and cycle storage in front/side garden. All works in connection with conversion from four flats to 2 x 1-bedroom, 4 x 2-bedroom, 2 x 3 bedroom flats."/>
    <s v="PF"/>
    <d v="2018-07-10T00:00:00"/>
    <d v="2018-11-22T00:00:00"/>
    <x v="0"/>
    <s v="Nil"/>
    <m/>
    <s v="BF"/>
    <s v="CON"/>
    <x v="2"/>
    <x v="5"/>
    <n v="1.2999999999999999E-2"/>
    <d v="2021-09-29T00:00:00"/>
    <x v="0"/>
    <d v="2023-10-20T00:00:00"/>
    <x v="1"/>
    <s v="M"/>
    <s v=""/>
    <m/>
    <m/>
    <m/>
    <m/>
    <m/>
    <n v="0"/>
    <n v="1"/>
    <n v="1"/>
    <n v="0"/>
    <n v="0"/>
    <n v="0"/>
    <n v="0"/>
    <n v="0"/>
    <n v="1"/>
    <n v="1"/>
    <n v="0"/>
    <n v="0"/>
    <n v="0"/>
    <n v="0"/>
    <n v="0"/>
    <n v="0"/>
    <n v="0"/>
    <n v="0"/>
    <n v="0"/>
    <n v="0"/>
    <n v="0"/>
    <n v="0"/>
    <n v="0"/>
    <n v="0"/>
    <n v="0"/>
    <n v="0"/>
    <n v="0"/>
    <n v="0"/>
    <x v="1"/>
    <x v="0"/>
    <x v="2"/>
    <n v="11"/>
    <n v="2"/>
    <m/>
    <m/>
    <m/>
    <m/>
    <m/>
    <m/>
    <m/>
    <m/>
    <m/>
    <m/>
    <m/>
    <m/>
    <m/>
    <m/>
    <m/>
    <m/>
    <m/>
    <m/>
    <m/>
    <n v="0"/>
    <n v="0"/>
  </r>
  <r>
    <n v="967"/>
    <x v="0"/>
    <s v="2018/3390"/>
    <s v="29 Wimbledon Park Road"/>
    <s v="Upper Ground"/>
    <n v="525095"/>
    <n v="174084"/>
    <x v="7"/>
    <d v="2021-09-29T00:00:00"/>
    <d v="2023-10-20T00:00:00"/>
    <n v="0"/>
    <x v="5"/>
    <x v="7"/>
    <n v="8"/>
    <n v="4"/>
    <x v="1"/>
    <s v="Alterations including; replacement of garage door with windows on front elevation; altered lightwell and new fenestration at lower ground floor level on front elevation; new windows to ground and first floor levels of rear elevation; formation of first floor level rear balcony; erection of first floor level side east extension; removal of window on south-west facing side elevation; erection of refuse and cycle storage in front/side garden. All works in connection with conversion from four flats to 2 x 1-bedroom, 4 x 2-bedroom, 2 x 3 bedroom flats."/>
    <s v="PF"/>
    <d v="2018-07-10T00:00:00"/>
    <d v="2018-11-22T00:00:00"/>
    <x v="0"/>
    <s v="Nil"/>
    <m/>
    <s v="BF"/>
    <s v="CON"/>
    <x v="2"/>
    <x v="5"/>
    <n v="1.2999999999999999E-2"/>
    <d v="2021-09-29T00:00:00"/>
    <x v="0"/>
    <d v="2023-10-20T00:00:00"/>
    <x v="1"/>
    <s v="M"/>
    <s v=""/>
    <m/>
    <m/>
    <m/>
    <m/>
    <m/>
    <n v="0"/>
    <n v="1"/>
    <n v="1"/>
    <n v="0"/>
    <n v="0"/>
    <n v="0"/>
    <n v="0"/>
    <n v="0"/>
    <n v="1"/>
    <n v="1"/>
    <n v="0"/>
    <n v="0"/>
    <n v="0"/>
    <n v="0"/>
    <n v="0"/>
    <n v="0"/>
    <n v="0"/>
    <n v="0"/>
    <n v="0"/>
    <n v="0"/>
    <n v="0"/>
    <n v="0"/>
    <n v="0"/>
    <n v="0"/>
    <n v="0"/>
    <n v="0"/>
    <n v="0"/>
    <n v="0"/>
    <x v="1"/>
    <x v="0"/>
    <x v="2"/>
    <n v="11"/>
    <n v="2"/>
    <m/>
    <m/>
    <m/>
    <m/>
    <m/>
    <m/>
    <m/>
    <m/>
    <m/>
    <m/>
    <m/>
    <m/>
    <m/>
    <m/>
    <m/>
    <m/>
    <m/>
    <m/>
    <m/>
    <n v="0"/>
    <n v="0"/>
  </r>
  <r>
    <n v="7006"/>
    <x v="0"/>
    <s v="2018/4022"/>
    <s v="13 Rookstone Road"/>
    <s v=""/>
    <n v="527643"/>
    <n v="171169"/>
    <x v="0"/>
    <d v="2021-09-01T00:00:00"/>
    <d v="2023-10-19T00:00:00"/>
    <n v="1"/>
    <x v="5"/>
    <x v="5"/>
    <n v="2"/>
    <n v="1"/>
    <x v="1"/>
    <s v="Erection of mansard roof extension to main rear roof and extension above two-storey back addition; erection of single storey rear/side extension in connection with conversion of property from 2 x 2 bedroom flats to 1 x 2 bedroom and 2 x 1 bedroom flats."/>
    <s v="PF"/>
    <d v="2018-08-20T00:00:00"/>
    <d v="2018-10-15T00:00:00"/>
    <x v="0"/>
    <s v="Nil"/>
    <m/>
    <s v="BF"/>
    <s v="CON"/>
    <x v="2"/>
    <x v="5"/>
    <n v="8.0000000000000002E-3"/>
    <d v="2021-09-01T00:00:00"/>
    <x v="0"/>
    <d v="2023-10-19T00:00:00"/>
    <x v="1"/>
    <s v="M"/>
    <s v=""/>
    <m/>
    <m/>
    <m/>
    <m/>
    <m/>
    <n v="0"/>
    <n v="0"/>
    <n v="1"/>
    <n v="0"/>
    <n v="0"/>
    <n v="0"/>
    <n v="0"/>
    <n v="0"/>
    <n v="0"/>
    <n v="1"/>
    <n v="0"/>
    <n v="0"/>
    <n v="0"/>
    <n v="0"/>
    <n v="0"/>
    <n v="0"/>
    <n v="0"/>
    <n v="0"/>
    <n v="0"/>
    <n v="0"/>
    <n v="0"/>
    <n v="0"/>
    <n v="0"/>
    <n v="0"/>
    <n v="0"/>
    <n v="0"/>
    <n v="0"/>
    <n v="0"/>
    <x v="1"/>
    <x v="0"/>
    <x v="0"/>
    <n v="11"/>
    <n v="1"/>
    <m/>
    <m/>
    <m/>
    <m/>
    <m/>
    <m/>
    <m/>
    <m/>
    <m/>
    <m/>
    <m/>
    <m/>
    <m/>
    <m/>
    <m/>
    <m/>
    <m/>
    <m/>
    <m/>
    <n v="0"/>
    <n v="0"/>
  </r>
  <r>
    <n v="7090"/>
    <x v="0"/>
    <s v="2018/5833"/>
    <s v="The Northcote Library, Chatham Hall and garages west of Chatham Hall, 155e Northcote Road"/>
    <s v="Chatham Hall"/>
    <n v="527587"/>
    <n v="174507"/>
    <x v="11"/>
    <d v="2021-04-01T00:00:00"/>
    <m/>
    <n v="0"/>
    <x v="10"/>
    <x v="14"/>
    <n v="16"/>
    <n v="16"/>
    <x v="0"/>
    <s v="The demolition of the two storey library, the single storey plus two storey roof Chatham Hall and the 8 vehicular garages (single storey) and the erection of a four storey building plus the excavation of a basement at the existing library site comprising two commercial units (Use Class A1) split over basement and ground floor levels (approximately 388sq.m) and nine (9) residential units at upper floor levels; the erection of a part one/two/three storey library (Use Class D1) (approximately 848sq.m) fronting onto Northcote Road; the erection of a part two/ three storey building behind the proposed library comprising a community hall (Use Class D1) at ground floor (approximately 301sq.m) and seven (7) residential flats at upper floor levels; 2 car parking spaces and 20 cycle parking spaces; and associated landscaping and infrastructure works."/>
    <s v="PFLA"/>
    <d v="2019-01-15T00:00:00"/>
    <d v="2020-03-25T00:00:00"/>
    <x v="0"/>
    <s v="Nil"/>
    <m/>
    <s v="BF"/>
    <s v="NB"/>
    <x v="1"/>
    <x v="0"/>
    <n v="6.3E-2"/>
    <d v="2021-04-01T00:00:00"/>
    <x v="0"/>
    <d v="2023-10-12T00:00:00"/>
    <x v="1"/>
    <s v="M"/>
    <s v=""/>
    <m/>
    <m/>
    <n v="1"/>
    <m/>
    <m/>
    <n v="0"/>
    <n v="3"/>
    <n v="4"/>
    <n v="0"/>
    <n v="0"/>
    <n v="0"/>
    <n v="0"/>
    <n v="0"/>
    <n v="3"/>
    <n v="4"/>
    <n v="0"/>
    <n v="0"/>
    <n v="0"/>
    <n v="0"/>
    <n v="0"/>
    <n v="0"/>
    <n v="0"/>
    <n v="0"/>
    <n v="0"/>
    <n v="0"/>
    <n v="0"/>
    <n v="0"/>
    <n v="0"/>
    <n v="0"/>
    <n v="0"/>
    <n v="0"/>
    <n v="0"/>
    <n v="0"/>
    <x v="1"/>
    <x v="0"/>
    <x v="2"/>
    <n v="1"/>
    <n v="7"/>
    <m/>
    <m/>
    <m/>
    <m/>
    <m/>
    <m/>
    <m/>
    <m/>
    <m/>
    <m/>
    <m/>
    <m/>
    <m/>
    <m/>
    <m/>
    <m/>
    <m/>
    <m/>
    <m/>
    <n v="0"/>
    <n v="0"/>
  </r>
  <r>
    <n v="5308"/>
    <x v="0"/>
    <s v="2018/5949"/>
    <s v="900 Garratt Lane"/>
    <s v=""/>
    <n v="527156"/>
    <n v="171614"/>
    <x v="0"/>
    <d v="2023-04-01T00:00:00"/>
    <d v="2023-09-11T00:00:00"/>
    <n v="0"/>
    <x v="3"/>
    <x v="5"/>
    <n v="1"/>
    <n v="1"/>
    <x v="1"/>
    <s v="Determination as to whether prior approval is required for change of use from office (Class B1) to residential (Class C3)."/>
    <s v="PAG"/>
    <d v="2018-12-17T00:00:00"/>
    <d v="2019-01-30T00:00:00"/>
    <x v="0"/>
    <s v="Nil"/>
    <m/>
    <s v="BF"/>
    <s v="COU"/>
    <x v="2"/>
    <x v="6"/>
    <n v="3.0000000000000001E-3"/>
    <d v="2023-04-01T00:00:00"/>
    <x v="1"/>
    <d v="2023-09-11T00:00:00"/>
    <x v="1"/>
    <s v="M"/>
    <s v=""/>
    <m/>
    <m/>
    <m/>
    <m/>
    <m/>
    <n v="0"/>
    <n v="1"/>
    <n v="0"/>
    <n v="0"/>
    <n v="0"/>
    <n v="0"/>
    <n v="0"/>
    <n v="0"/>
    <n v="1"/>
    <n v="0"/>
    <n v="0"/>
    <n v="0"/>
    <n v="0"/>
    <n v="0"/>
    <n v="0"/>
    <n v="0"/>
    <n v="0"/>
    <n v="0"/>
    <n v="0"/>
    <n v="0"/>
    <n v="0"/>
    <n v="0"/>
    <n v="0"/>
    <n v="0"/>
    <n v="0"/>
    <n v="0"/>
    <n v="0"/>
    <n v="0"/>
    <x v="1"/>
    <x v="0"/>
    <x v="0"/>
    <n v="11"/>
    <n v="1"/>
    <m/>
    <m/>
    <m/>
    <m/>
    <m/>
    <m/>
    <m/>
    <m/>
    <m/>
    <m/>
    <m/>
    <m/>
    <m/>
    <m/>
    <m/>
    <m/>
    <m/>
    <m/>
    <m/>
    <n v="0"/>
    <n v="0"/>
  </r>
  <r>
    <n v="6812"/>
    <x v="0"/>
    <s v="2019/1043"/>
    <s v="61 Longfield Street"/>
    <s v=""/>
    <n v="525084"/>
    <n v="173575"/>
    <x v="12"/>
    <d v="2022-04-04T00:00:00"/>
    <d v="2024-03-13T00:00:00"/>
    <n v="1"/>
    <x v="11"/>
    <x v="7"/>
    <n v="3"/>
    <n v="2"/>
    <x v="1"/>
    <s v="Demolition of existing dwelling house and erection of a three-storey (plus basement) building to provide 2 x 1-bedroom and 1 x 3-bedroom flats(Use Class C3) together with associated landscaping, cycle and refuse storage."/>
    <s v="PF"/>
    <d v="2019-03-21T00:00:00"/>
    <d v="2019-10-29T00:00:00"/>
    <x v="0"/>
    <s v="Nil"/>
    <m/>
    <s v="BF"/>
    <s v="NB"/>
    <x v="2"/>
    <x v="3"/>
    <n v="1.0999999999999999E-2"/>
    <d v="2022-04-04T00:00:00"/>
    <x v="0"/>
    <d v="2024-03-13T00:00:00"/>
    <x v="1"/>
    <s v="M"/>
    <s v=""/>
    <m/>
    <m/>
    <m/>
    <m/>
    <m/>
    <n v="0"/>
    <n v="2"/>
    <n v="0"/>
    <n v="0"/>
    <n v="0"/>
    <n v="0"/>
    <n v="0"/>
    <n v="0"/>
    <n v="2"/>
    <n v="0"/>
    <n v="1"/>
    <n v="0"/>
    <n v="0"/>
    <n v="0"/>
    <n v="0"/>
    <n v="0"/>
    <n v="0"/>
    <n v="-1"/>
    <n v="0"/>
    <n v="0"/>
    <n v="0"/>
    <n v="0"/>
    <n v="0"/>
    <n v="0"/>
    <n v="0"/>
    <n v="0"/>
    <n v="0"/>
    <n v="0"/>
    <x v="1"/>
    <x v="0"/>
    <x v="2"/>
    <n v="1"/>
    <n v="2"/>
    <m/>
    <m/>
    <m/>
    <m/>
    <m/>
    <m/>
    <m/>
    <m/>
    <m/>
    <m/>
    <m/>
    <m/>
    <m/>
    <m/>
    <m/>
    <m/>
    <m/>
    <m/>
    <m/>
    <n v="0"/>
    <n v="0"/>
  </r>
  <r>
    <n v="6302"/>
    <x v="0"/>
    <s v="2019/1427"/>
    <s v="150a-170 &amp; 2-8 Thornsett Road, Penwith Road"/>
    <s v="Level 2/3"/>
    <n v="525938"/>
    <n v="173047"/>
    <x v="13"/>
    <d v="2021-07-12T00:00:00"/>
    <m/>
    <n v="0"/>
    <x v="12"/>
    <x v="15"/>
    <n v="17"/>
    <n v="17"/>
    <x v="0"/>
    <s v="Demolition of existing buildings and erection of a part three, part four-storey plus basement level building to provide 1,246 sq.m. of retail (Class A1); 316 sq.m. of office (Class B1a); 617 sq.m. of light industrial (Class B1c), 827 sq.m. of storage and distribution (Class B8) floorspace, and 17 residential units of both private and affordable tenure, with associated balconies and terraces, cycle parking provision and a new sub-station."/>
    <s v="RP"/>
    <d v="2019-03-29T00:00:00"/>
    <d v="2019-07-26T00:00:00"/>
    <x v="0"/>
    <s v="APG"/>
    <d v="2020-10-30T00:00:00"/>
    <s v="BF"/>
    <s v="NB"/>
    <x v="1"/>
    <x v="0"/>
    <n v="1.2999999999999999E-2"/>
    <d v="2021-07-12T00:00:00"/>
    <x v="0"/>
    <d v="2023-09-11T00:00:00"/>
    <x v="0"/>
    <s v="ISO"/>
    <s v=""/>
    <m/>
    <m/>
    <n v="1"/>
    <m/>
    <m/>
    <n v="0"/>
    <n v="3"/>
    <n v="1"/>
    <n v="0"/>
    <n v="0"/>
    <n v="0"/>
    <n v="0"/>
    <n v="0"/>
    <n v="3"/>
    <n v="1"/>
    <n v="0"/>
    <n v="0"/>
    <n v="0"/>
    <n v="0"/>
    <n v="0"/>
    <n v="0"/>
    <n v="0"/>
    <n v="0"/>
    <n v="0"/>
    <n v="0"/>
    <n v="0"/>
    <n v="0"/>
    <n v="0"/>
    <n v="0"/>
    <n v="0"/>
    <n v="0"/>
    <n v="0"/>
    <n v="0"/>
    <x v="1"/>
    <x v="0"/>
    <x v="5"/>
    <n v="1"/>
    <n v="4"/>
    <m/>
    <m/>
    <m/>
    <m/>
    <m/>
    <m/>
    <m/>
    <m/>
    <m/>
    <m/>
    <m/>
    <m/>
    <m/>
    <m/>
    <m/>
    <m/>
    <m/>
    <m/>
    <m/>
    <n v="0"/>
    <n v="0"/>
  </r>
  <r>
    <n v="2933"/>
    <x v="0"/>
    <s v="2019/1498"/>
    <s v="26 Upper Richmond Road"/>
    <s v=""/>
    <n v="524876"/>
    <n v="174632"/>
    <x v="7"/>
    <d v="2022-01-24T00:00:00"/>
    <d v="2023-10-29T00:00:00"/>
    <n v="0"/>
    <x v="3"/>
    <x v="5"/>
    <n v="1"/>
    <n v="1"/>
    <x v="1"/>
    <s v="Change of use from Restaurants and Cafes/ Drinking Establishments (A3/A4) to residential (Class C3) to provide 1 x 1-bedroom flat."/>
    <s v="PF"/>
    <d v="2019-04-04T00:00:00"/>
    <d v="2019-05-30T00:00:00"/>
    <x v="0"/>
    <s v="Nil"/>
    <m/>
    <s v="BF"/>
    <s v="COU"/>
    <x v="2"/>
    <x v="8"/>
    <n v="4.0000000000000001E-3"/>
    <d v="2022-01-24T00:00:00"/>
    <x v="0"/>
    <d v="2023-10-29T00:00:00"/>
    <x v="1"/>
    <s v="M"/>
    <s v=""/>
    <m/>
    <m/>
    <m/>
    <m/>
    <m/>
    <n v="0"/>
    <n v="1"/>
    <n v="0"/>
    <n v="0"/>
    <n v="0"/>
    <n v="0"/>
    <n v="0"/>
    <n v="0"/>
    <n v="1"/>
    <n v="0"/>
    <n v="0"/>
    <n v="0"/>
    <n v="0"/>
    <n v="0"/>
    <n v="0"/>
    <n v="0"/>
    <n v="0"/>
    <n v="0"/>
    <n v="0"/>
    <n v="0"/>
    <n v="0"/>
    <n v="0"/>
    <n v="0"/>
    <n v="0"/>
    <n v="0"/>
    <n v="0"/>
    <n v="0"/>
    <n v="0"/>
    <x v="1"/>
    <x v="0"/>
    <x v="2"/>
    <n v="11"/>
    <n v="1"/>
    <m/>
    <m/>
    <m/>
    <m/>
    <m/>
    <m/>
    <m/>
    <m/>
    <m/>
    <m/>
    <m/>
    <m/>
    <m/>
    <m/>
    <m/>
    <m/>
    <m/>
    <m/>
    <m/>
    <n v="0"/>
    <n v="0"/>
  </r>
  <r>
    <n v="7194"/>
    <x v="0"/>
    <s v="2019/2251"/>
    <s v="22 Carlton Drive"/>
    <s v="Existing"/>
    <n v="524291"/>
    <n v="174776"/>
    <x v="7"/>
    <d v="2021-10-18T00:00:00"/>
    <d v="2023-07-04T00:00:00"/>
    <n v="15"/>
    <x v="6"/>
    <x v="16"/>
    <n v="8"/>
    <n v="-7"/>
    <x v="1"/>
    <s v="Alterations including erection of pitch roof to first floor front extension in connection with conversion of property 1 x1 bedroom flat, 6 x2 bedroom flats and 1 x3 bedroom flat. Erection of front boundary wall to 1.8m high"/>
    <s v="PF"/>
    <d v="2019-06-19T00:00:00"/>
    <d v="2019-08-19T00:00:00"/>
    <x v="0"/>
    <s v="Nil"/>
    <m/>
    <s v="BF"/>
    <s v="COU"/>
    <x v="2"/>
    <x v="1"/>
    <n v="0"/>
    <d v="2021-10-18T00:00:00"/>
    <x v="0"/>
    <d v="2023-07-04T00:00:00"/>
    <x v="2"/>
    <s v="AU"/>
    <s v=""/>
    <m/>
    <m/>
    <m/>
    <m/>
    <m/>
    <n v="-15"/>
    <n v="0"/>
    <n v="0"/>
    <n v="0"/>
    <n v="0"/>
    <n v="0"/>
    <n v="0"/>
    <n v="-15"/>
    <n v="0"/>
    <n v="0"/>
    <n v="0"/>
    <n v="0"/>
    <n v="0"/>
    <n v="0"/>
    <n v="0"/>
    <n v="0"/>
    <n v="0"/>
    <n v="0"/>
    <n v="0"/>
    <n v="0"/>
    <n v="0"/>
    <n v="0"/>
    <n v="0"/>
    <n v="0"/>
    <n v="0"/>
    <n v="0"/>
    <n v="0"/>
    <n v="0"/>
    <x v="1"/>
    <x v="0"/>
    <x v="2"/>
    <n v="11"/>
    <n v="-15"/>
    <m/>
    <m/>
    <m/>
    <m/>
    <m/>
    <m/>
    <m/>
    <m/>
    <m/>
    <m/>
    <m/>
    <m/>
    <m/>
    <m/>
    <m/>
    <m/>
    <m/>
    <m/>
    <m/>
    <n v="0"/>
    <n v="0"/>
  </r>
  <r>
    <n v="7194"/>
    <x v="0"/>
    <s v="2019/2251"/>
    <s v="22 Carlton Drive"/>
    <s v="Proposed"/>
    <n v="524291"/>
    <n v="174776"/>
    <x v="7"/>
    <d v="2021-10-18T00:00:00"/>
    <d v="2023-07-04T00:00:00"/>
    <n v="0"/>
    <x v="9"/>
    <x v="12"/>
    <n v="8"/>
    <n v="-7"/>
    <x v="1"/>
    <s v="Alterations including erection of pitch roof to first floor front extension in connection with conversion of property 1 x1 bedroom flat, 6 x2 bedroom flats and 1 x3 bedroom flat. Erection of front boundary wall to 1.8m high"/>
    <s v="PF"/>
    <d v="2019-06-19T00:00:00"/>
    <d v="2019-08-19T00:00:00"/>
    <x v="0"/>
    <s v="Nil"/>
    <m/>
    <s v="BF"/>
    <s v="COU"/>
    <x v="2"/>
    <x v="1"/>
    <n v="0.107"/>
    <d v="2021-10-18T00:00:00"/>
    <x v="0"/>
    <d v="2023-07-04T00:00:00"/>
    <x v="2"/>
    <s v="AU"/>
    <s v=""/>
    <m/>
    <m/>
    <m/>
    <m/>
    <m/>
    <n v="0"/>
    <n v="1"/>
    <n v="6"/>
    <n v="1"/>
    <n v="0"/>
    <n v="0"/>
    <n v="0"/>
    <n v="0"/>
    <n v="1"/>
    <n v="6"/>
    <n v="1"/>
    <n v="0"/>
    <n v="0"/>
    <n v="0"/>
    <n v="0"/>
    <n v="0"/>
    <n v="0"/>
    <n v="0"/>
    <n v="0"/>
    <n v="0"/>
    <n v="0"/>
    <n v="0"/>
    <n v="0"/>
    <n v="0"/>
    <n v="0"/>
    <n v="0"/>
    <n v="0"/>
    <n v="0"/>
    <x v="1"/>
    <x v="0"/>
    <x v="2"/>
    <n v="11"/>
    <n v="8"/>
    <m/>
    <m/>
    <m/>
    <m/>
    <m/>
    <m/>
    <m/>
    <m/>
    <m/>
    <m/>
    <m/>
    <m/>
    <m/>
    <m/>
    <m/>
    <m/>
    <m/>
    <m/>
    <m/>
    <n v="0"/>
    <n v="0"/>
  </r>
  <r>
    <n v="6490"/>
    <x v="0"/>
    <s v="2019/3275"/>
    <s v="153-159 Putney High Street"/>
    <s v=""/>
    <n v="523997"/>
    <n v="175115"/>
    <x v="3"/>
    <d v="2021-03-08T00:00:00"/>
    <d v="2024-02-29T00:00:00"/>
    <n v="0"/>
    <x v="10"/>
    <x v="14"/>
    <n v="9"/>
    <n v="9"/>
    <x v="1"/>
    <s v="Alterations including erection of rear extensions at lower ground, first, second and third floors, and fourth storey roof top extension; use of part lower ground, ground and first floors for offices (Class B1a); enlargement of some existing residential units at first, second and third floor level, and provision of 9 new residential units (Class C3) at second, third and fourth floor levels, including change of use of some existing Class A2 (financial and professional services) floorspace, with provision of associated roof terraces, refuse and cycle storage."/>
    <s v="PF"/>
    <d v="2019-08-15T00:00:00"/>
    <d v="2019-10-30T00:00:00"/>
    <x v="0"/>
    <s v="Nil"/>
    <m/>
    <s v="BF"/>
    <s v="MIX"/>
    <x v="2"/>
    <x v="3"/>
    <n v="1.2E-2"/>
    <d v="2021-03-08T00:00:00"/>
    <x v="0"/>
    <d v="2024-02-29T00:00:00"/>
    <x v="1"/>
    <s v="M"/>
    <s v=""/>
    <m/>
    <m/>
    <m/>
    <m/>
    <m/>
    <n v="0"/>
    <n v="0"/>
    <n v="6"/>
    <n v="1"/>
    <n v="0"/>
    <n v="0"/>
    <n v="0"/>
    <n v="0"/>
    <n v="0"/>
    <n v="6"/>
    <n v="1"/>
    <n v="0"/>
    <n v="0"/>
    <n v="0"/>
    <n v="0"/>
    <n v="0"/>
    <n v="0"/>
    <n v="0"/>
    <n v="0"/>
    <n v="0"/>
    <n v="0"/>
    <n v="0"/>
    <n v="0"/>
    <n v="0"/>
    <n v="0"/>
    <n v="0"/>
    <n v="0"/>
    <n v="0"/>
    <x v="2"/>
    <x v="0"/>
    <x v="6"/>
    <n v="11"/>
    <n v="7"/>
    <m/>
    <m/>
    <m/>
    <m/>
    <m/>
    <m/>
    <m/>
    <m/>
    <m/>
    <m/>
    <m/>
    <m/>
    <m/>
    <m/>
    <m/>
    <m/>
    <m/>
    <m/>
    <m/>
    <n v="0"/>
    <n v="0"/>
  </r>
  <r>
    <n v="6490"/>
    <x v="0"/>
    <s v="2019/3275"/>
    <s v="153-159 Putney High Street"/>
    <s v=""/>
    <n v="523997"/>
    <n v="175115"/>
    <x v="3"/>
    <d v="2021-03-08T00:00:00"/>
    <d v="2024-02-29T00:00:00"/>
    <n v="0"/>
    <x v="5"/>
    <x v="7"/>
    <n v="9"/>
    <n v="9"/>
    <x v="1"/>
    <s v="Alterations including erection of rear extensions at lower ground, first, second and third floors, and fourth storey roof top extension; use of part lower ground, ground and first floors for offices (Class B1a); enlargement of some existing residential units at first, second and third floor level, and provision of 9 new residential units (Class C3) at second, third and fourth floor levels, including change of use of some existing Class A2 (financial and professional services) floorspace, with provision of associated roof terraces, refuse and cycle storage."/>
    <s v="PF"/>
    <d v="2019-08-15T00:00:00"/>
    <d v="2019-10-30T00:00:00"/>
    <x v="0"/>
    <s v="Nil"/>
    <m/>
    <s v="BF"/>
    <s v="MIX"/>
    <x v="2"/>
    <x v="6"/>
    <n v="3.0000000000000001E-3"/>
    <d v="2021-03-08T00:00:00"/>
    <x v="0"/>
    <d v="2024-02-29T00:00:00"/>
    <x v="1"/>
    <s v="M"/>
    <s v=""/>
    <m/>
    <m/>
    <m/>
    <m/>
    <m/>
    <n v="0"/>
    <n v="2"/>
    <n v="0"/>
    <n v="0"/>
    <n v="0"/>
    <n v="0"/>
    <n v="0"/>
    <n v="0"/>
    <n v="2"/>
    <n v="0"/>
    <n v="0"/>
    <n v="0"/>
    <n v="0"/>
    <n v="0"/>
    <n v="0"/>
    <n v="0"/>
    <n v="0"/>
    <n v="0"/>
    <n v="0"/>
    <n v="0"/>
    <n v="0"/>
    <n v="0"/>
    <n v="0"/>
    <n v="0"/>
    <n v="0"/>
    <n v="0"/>
    <n v="0"/>
    <n v="0"/>
    <x v="2"/>
    <x v="0"/>
    <x v="6"/>
    <n v="11"/>
    <n v="2"/>
    <m/>
    <m/>
    <m/>
    <m/>
    <m/>
    <m/>
    <m/>
    <m/>
    <m/>
    <m/>
    <m/>
    <m/>
    <m/>
    <m/>
    <m/>
    <m/>
    <m/>
    <m/>
    <m/>
    <n v="0"/>
    <n v="0"/>
  </r>
  <r>
    <n v="7235"/>
    <x v="0"/>
    <s v="2019/3539"/>
    <s v="95-97 Putney High Street"/>
    <s v=""/>
    <n v="524049"/>
    <n v="175301"/>
    <x v="3"/>
    <d v="2022-01-17T00:00:00"/>
    <d v="2024-03-31T00:00:00"/>
    <n v="2"/>
    <x v="6"/>
    <x v="13"/>
    <n v="0"/>
    <n v="-2"/>
    <x v="1"/>
    <s v="Erection of single to three-storey rear and side extensions and formation of roof terraces at first and  third floor levels in connection with use of the upper floors as a 19 person HMO (Sui Generis) with refuse and cycle storage at the rear; restoration of the facade of No. 95."/>
    <s v="PF"/>
    <d v="2019-08-21T00:00:00"/>
    <d v="2019-10-16T00:00:00"/>
    <x v="0"/>
    <s v="Nil"/>
    <m/>
    <s v="BF"/>
    <s v="MIX"/>
    <x v="2"/>
    <x v="9"/>
    <n v="1.9E-2"/>
    <d v="2022-01-17T00:00:00"/>
    <x v="0"/>
    <d v="2024-03-31T00:00:00"/>
    <x v="1"/>
    <s v="M"/>
    <s v=""/>
    <m/>
    <m/>
    <m/>
    <m/>
    <m/>
    <n v="0"/>
    <n v="0"/>
    <n v="0"/>
    <n v="0"/>
    <n v="-2"/>
    <n v="0"/>
    <n v="0"/>
    <n v="0"/>
    <n v="0"/>
    <n v="0"/>
    <n v="0"/>
    <n v="-2"/>
    <n v="0"/>
    <n v="0"/>
    <n v="0"/>
    <n v="0"/>
    <n v="0"/>
    <n v="0"/>
    <n v="0"/>
    <n v="0"/>
    <n v="0"/>
    <n v="0"/>
    <n v="0"/>
    <n v="0"/>
    <n v="0"/>
    <n v="0"/>
    <n v="0"/>
    <n v="0"/>
    <x v="2"/>
    <x v="0"/>
    <x v="6"/>
    <n v="11"/>
    <n v="-2"/>
    <m/>
    <m/>
    <m/>
    <m/>
    <m/>
    <m/>
    <m/>
    <m/>
    <m/>
    <m/>
    <m/>
    <m/>
    <m/>
    <m/>
    <m/>
    <m/>
    <m/>
    <m/>
    <m/>
    <n v="0"/>
    <n v="0"/>
  </r>
  <r>
    <n v="7098"/>
    <x v="0"/>
    <s v="2019/4024"/>
    <s v="92 East Hill"/>
    <s v=""/>
    <n v="526209"/>
    <n v="174797"/>
    <x v="14"/>
    <d v="2023-06-01T00:00:00"/>
    <d v="2023-11-01T00:00:00"/>
    <n v="0"/>
    <x v="3"/>
    <x v="5"/>
    <n v="1"/>
    <n v="1"/>
    <x v="1"/>
    <s v="Alterations including erection of a rear mansard roof extension to main rear roof; Removal of chimney stack and formation of a rear roof terrace with brick surround above 3 storey rear addition; Removal of rear access staircase to upper ground floor in connection with change of use of first and second floors from office (Class A2) to residential (Class C3) to provide 1 x 3-bed flat."/>
    <s v="PF"/>
    <d v="2019-09-26T00:00:00"/>
    <d v="2020-02-18T00:00:00"/>
    <x v="0"/>
    <s v="Nil"/>
    <m/>
    <s v="BF"/>
    <s v="COU"/>
    <x v="2"/>
    <x v="6"/>
    <n v="1.4E-2"/>
    <d v="2023-06-01T00:00:00"/>
    <x v="1"/>
    <d v="2023-11-01T00:00:00"/>
    <x v="1"/>
    <s v="M"/>
    <s v=""/>
    <m/>
    <m/>
    <m/>
    <m/>
    <m/>
    <n v="0"/>
    <n v="0"/>
    <n v="0"/>
    <n v="1"/>
    <n v="0"/>
    <n v="0"/>
    <n v="0"/>
    <n v="0"/>
    <n v="0"/>
    <n v="0"/>
    <n v="1"/>
    <n v="0"/>
    <n v="0"/>
    <n v="0"/>
    <n v="0"/>
    <n v="0"/>
    <n v="0"/>
    <n v="0"/>
    <n v="0"/>
    <n v="0"/>
    <n v="0"/>
    <n v="0"/>
    <n v="0"/>
    <n v="0"/>
    <n v="0"/>
    <n v="0"/>
    <n v="0"/>
    <n v="0"/>
    <x v="1"/>
    <x v="0"/>
    <x v="2"/>
    <n v="11"/>
    <n v="1"/>
    <m/>
    <m/>
    <m/>
    <m/>
    <m/>
    <m/>
    <m/>
    <m/>
    <m/>
    <m/>
    <m/>
    <m/>
    <m/>
    <m/>
    <m/>
    <m/>
    <m/>
    <m/>
    <m/>
    <n v="0"/>
    <n v="0"/>
  </r>
  <r>
    <n v="7273"/>
    <x v="0"/>
    <s v="2019/4158"/>
    <s v="335a Garratt Lane"/>
    <s v=""/>
    <n v="525942"/>
    <n v="173479"/>
    <x v="13"/>
    <d v="2021-02-15T00:00:00"/>
    <d v="2023-04-06T00:00:00"/>
    <n v="1"/>
    <x v="5"/>
    <x v="5"/>
    <n v="2"/>
    <n v="1"/>
    <x v="1"/>
    <s v="Alterations including erection of a mansard roof extension (with French doors and safety railings) to main rear roof and extension above part of two storey back addition; Formation of a roof terrace above two-storey back addition with 1.7m high screen surround in connection with creation of 2 x 1 bed flats."/>
    <s v="PF"/>
    <d v="2019-10-24T00:00:00"/>
    <d v="2019-12-10T00:00:00"/>
    <x v="0"/>
    <s v="Nil"/>
    <m/>
    <s v="BF"/>
    <s v="CON"/>
    <x v="2"/>
    <x v="5"/>
    <n v="7.0000000000000001E-3"/>
    <d v="2021-02-15T00:00:00"/>
    <x v="0"/>
    <d v="2023-04-06T00:00:00"/>
    <x v="1"/>
    <s v="M"/>
    <s v=""/>
    <m/>
    <m/>
    <m/>
    <m/>
    <m/>
    <n v="0"/>
    <n v="2"/>
    <n v="-1"/>
    <n v="0"/>
    <n v="0"/>
    <n v="0"/>
    <n v="0"/>
    <n v="0"/>
    <n v="2"/>
    <n v="-1"/>
    <n v="0"/>
    <n v="0"/>
    <n v="0"/>
    <n v="0"/>
    <n v="0"/>
    <n v="0"/>
    <n v="0"/>
    <n v="0"/>
    <n v="0"/>
    <n v="0"/>
    <n v="0"/>
    <n v="0"/>
    <n v="0"/>
    <n v="0"/>
    <n v="0"/>
    <n v="0"/>
    <n v="0"/>
    <n v="0"/>
    <x v="1"/>
    <x v="0"/>
    <x v="5"/>
    <n v="11"/>
    <n v="1"/>
    <m/>
    <m/>
    <m/>
    <m/>
    <m/>
    <m/>
    <m/>
    <m/>
    <m/>
    <m/>
    <m/>
    <m/>
    <m/>
    <m/>
    <m/>
    <m/>
    <m/>
    <m/>
    <m/>
    <n v="0"/>
    <n v="0"/>
  </r>
  <r>
    <n v="3519"/>
    <x v="0"/>
    <s v="2019/4583"/>
    <s v="B and Q Depot, Smugglers Way"/>
    <s v="BLOCK A1"/>
    <n v="525782"/>
    <n v="175172"/>
    <x v="15"/>
    <d v="2020-01-18T00:00:00"/>
    <m/>
    <n v="0"/>
    <x v="13"/>
    <x v="17"/>
    <n v="554"/>
    <n v="554"/>
    <x v="0"/>
    <s v="Variation of conditions 2 (in accordance with approved drawings), 3 (Environmental Impact Assessment - EIA), 4 (Flood Risk Assessment) and removal of condition 13 (No residential units shall be occupied within the inner or middle zones of the HSE consultation distance around the Wandsworth Gas Holder Station) pursuant to planning permission dated 29/03/2019 ref 2017/0580 [Demolition of existing retail buildings and phased construction of 13 residential blocks (with 3 podiums) ranging from 8 to 15 storeys to provide a mixed use scheme including 517 residential units (Class C3), 5160 sqm GIA of business (Class B1) and 2969 sqm GIA flexible business/retail/restaurant and cafe (Class B1, A1, A2, A3 and A4) with car/cycle parking, associated combined heat and power (CHP), plant and associated works, landscaping, new accesses onto Smugglers Way, and offsite highways works including a new pedestrian crossing of Swandon Way) to allow the following changes: _x000a__x000a_An increase in unit numbers from 517 to 554 (37 units additional units), increase in affordable housing units from 184 to 197, change to housing mix, reduction in car parking from 60 parking spaces to 22 blue badge spaces, 1 commercial blue badge space and 1 car club space. Introduction of D1 and D2 uses into the flexible floorspace and reduction in ground floor flexible commercial floorspace from 2969m² to 1960m² (GIA), reduction in Class B1(a) commercial floorspace at the mezzanine level from 5160m² to 1054m² (GIA) with the provision of 2,548m² (GIA) residential facilities associated with the 'Build to Rent' model. Associated changes to the level of cycle storage, amenity with outdoor swimming pool, private amenity, public open space and playspace across the site, increase in size of energy centre and other associated changes as a result of the revised development.  A revised EIA and associated mitigation, change to finished floor levels and removal of condition 13 (see planning statement on Council website). A revised Environmental Statement has been submitted under the Town and Country Planning (Environmental Impact Assessment) Regulations 2017 as amended."/>
    <s v="S73"/>
    <d v="2019-11-04T00:00:00"/>
    <d v="2021-04-29T00:00:00"/>
    <x v="0"/>
    <s v="Nil"/>
    <m/>
    <s v="BF"/>
    <s v="NB"/>
    <x v="1"/>
    <x v="0"/>
    <n v="0.09"/>
    <d v="2021-08-01T00:00:00"/>
    <x v="0"/>
    <d v="2024-03-31T00:00:00"/>
    <x v="1"/>
    <s v="M"/>
    <s v="3.7"/>
    <m/>
    <m/>
    <m/>
    <m/>
    <n v="20"/>
    <n v="0"/>
    <n v="0"/>
    <n v="54"/>
    <n v="2"/>
    <n v="0"/>
    <n v="0"/>
    <n v="0"/>
    <n v="0"/>
    <n v="0"/>
    <n v="54"/>
    <n v="2"/>
    <n v="0"/>
    <n v="0"/>
    <n v="0"/>
    <n v="0"/>
    <n v="0"/>
    <n v="0"/>
    <n v="0"/>
    <n v="0"/>
    <n v="0"/>
    <n v="0"/>
    <n v="0"/>
    <n v="0"/>
    <n v="0"/>
    <n v="0"/>
    <n v="0"/>
    <n v="0"/>
    <n v="0"/>
    <x v="1"/>
    <x v="0"/>
    <x v="7"/>
    <n v="1"/>
    <n v="56"/>
    <m/>
    <m/>
    <m/>
    <m/>
    <m/>
    <m/>
    <m/>
    <m/>
    <m/>
    <m/>
    <m/>
    <m/>
    <m/>
    <m/>
    <m/>
    <m/>
    <m/>
    <m/>
    <m/>
    <n v="0"/>
    <n v="0"/>
  </r>
  <r>
    <n v="3519"/>
    <x v="0"/>
    <s v="2019/4583"/>
    <s v="B and Q Depot, Smugglers Way"/>
    <s v="BLOCK A2"/>
    <n v="525782"/>
    <n v="175172"/>
    <x v="15"/>
    <d v="2020-01-18T00:00:00"/>
    <m/>
    <n v="0"/>
    <x v="14"/>
    <x v="18"/>
    <n v="554"/>
    <n v="554"/>
    <x v="0"/>
    <s v="Variation of conditions 2 (in accordance with approved drawings), 3 (Environmental Impact Assessment - EIA), 4 (Flood Risk Assessment) and removal of condition 13 (No residential units shall be occupied within the inner or middle zones of the HSE consultation distance around the Wandsworth Gas Holder Station) pursuant to planning permission dated 29/03/2019 ref 2017/0580 [Demolition of existing retail buildings and phased construction of 13 residential blocks (with 3 podiums) ranging from 8 to 15 storeys to provide a mixed use scheme including 517 residential units (Class C3), 5160 sqm GIA of business (Class B1) and 2969 sqm GIA flexible business/retail/restaurant and cafe (Class B1, A1, A2, A3 and A4) with car/cycle parking, associated combined heat and power (CHP), plant and associated works, landscaping, new accesses onto Smugglers Way, and offsite highways works including a new pedestrian crossing of Swandon Way) to allow the following changes: _x000a__x000a_An increase in unit numbers from 517 to 554 (37 units additional units), increase in affordable housing units from 184 to 197, change to housing mix, reduction in car parking from 60 parking spaces to 22 blue badge spaces, 1 commercial blue badge space and 1 car club space. Introduction of D1 and D2 uses into the flexible floorspace and reduction in ground floor flexible commercial floorspace from 2969m² to 1960m² (GIA), reduction in Class B1(a) commercial floorspace at the mezzanine level from 5160m² to 1054m² (GIA) with the provision of 2,548m² (GIA) residential facilities associated with the 'Build to Rent' model. Associated changes to the level of cycle storage, amenity with outdoor swimming pool, private amenity, public open space and playspace across the site, increase in size of energy centre and other associated changes as a result of the revised development.  A revised EIA and associated mitigation, change to finished floor levels and removal of condition 13 (see planning statement on Council website). A revised Environmental Statement has been submitted under the Town and Country Planning (Environmental Impact Assessment) Regulations 2017 as amended."/>
    <s v="S73"/>
    <d v="2019-11-04T00:00:00"/>
    <d v="2021-04-29T00:00:00"/>
    <x v="0"/>
    <s v="Nil"/>
    <m/>
    <s v="BF"/>
    <s v="NB"/>
    <x v="1"/>
    <x v="0"/>
    <n v="6.0999999999999999E-2"/>
    <d v="2021-08-01T00:00:00"/>
    <x v="0"/>
    <d v="2024-03-31T00:00:00"/>
    <x v="1"/>
    <s v="M"/>
    <s v="3.7"/>
    <m/>
    <m/>
    <m/>
    <m/>
    <m/>
    <n v="0"/>
    <n v="18"/>
    <n v="18"/>
    <n v="2"/>
    <n v="0"/>
    <n v="0"/>
    <n v="0"/>
    <n v="0"/>
    <n v="18"/>
    <n v="18"/>
    <n v="2"/>
    <n v="0"/>
    <n v="0"/>
    <n v="0"/>
    <n v="0"/>
    <n v="0"/>
    <n v="0"/>
    <n v="0"/>
    <n v="0"/>
    <n v="0"/>
    <n v="0"/>
    <n v="0"/>
    <n v="0"/>
    <n v="0"/>
    <n v="0"/>
    <n v="0"/>
    <n v="0"/>
    <n v="0"/>
    <x v="1"/>
    <x v="0"/>
    <x v="7"/>
    <n v="1"/>
    <n v="38"/>
    <m/>
    <m/>
    <m/>
    <m/>
    <m/>
    <m/>
    <m/>
    <m/>
    <m/>
    <m/>
    <m/>
    <m/>
    <m/>
    <m/>
    <m/>
    <m/>
    <m/>
    <m/>
    <m/>
    <n v="0"/>
    <n v="0"/>
  </r>
  <r>
    <n v="3519"/>
    <x v="0"/>
    <s v="2019/4583"/>
    <s v="B and Q Depot, Smugglers Way"/>
    <s v="BLOCK A3"/>
    <n v="525782"/>
    <n v="175172"/>
    <x v="15"/>
    <d v="2020-01-18T00:00:00"/>
    <m/>
    <n v="0"/>
    <x v="15"/>
    <x v="19"/>
    <n v="554"/>
    <n v="554"/>
    <x v="0"/>
    <s v="Variation of conditions 2 (in accordance with approved drawings), 3 (Environmental Impact Assessment - EIA), 4 (Flood Risk Assessment) and removal of condition 13 (No residential units shall be occupied within the inner or middle zones of the HSE consultation distance around the Wandsworth Gas Holder Station) pursuant to planning permission dated 29/03/2019 ref 2017/0580 [Demolition of existing retail buildings and phased construction of 13 residential blocks (with 3 podiums) ranging from 8 to 15 storeys to provide a mixed use scheme including 517 residential units (Class C3), 5160 sqm GIA of business (Class B1) and 2969 sqm GIA flexible business/retail/restaurant and cafe (Class B1, A1, A2, A3 and A4) with car/cycle parking, associated combined heat and power (CHP), plant and associated works, landscaping, new accesses onto Smugglers Way, and offsite highways works including a new pedestrian crossing of Swandon Way) to allow the following changes: _x000a__x000a_An increase in unit numbers from 517 to 554 (37 units additional units), increase in affordable housing units from 184 to 197, change to housing mix, reduction in car parking from 60 parking spaces to 22 blue badge spaces, 1 commercial blue badge space and 1 car club space. Introduction of D1 and D2 uses into the flexible floorspace and reduction in ground floor flexible commercial floorspace from 2969m² to 1960m² (GIA), reduction in Class B1(a) commercial floorspace at the mezzanine level from 5160m² to 1054m² (GIA) with the provision of 2,548m² (GIA) residential facilities associated with the 'Build to Rent' model. Associated changes to the level of cycle storage, amenity with outdoor swimming pool, private amenity, public open space and playspace across the site, increase in size of energy centre and other associated changes as a result of the revised development.  A revised EIA and associated mitigation, change to finished floor levels and removal of condition 13 (see planning statement on Council website). A revised Environmental Statement has been submitted under the Town and Country Planning (Environmental Impact Assessment) Regulations 2017 as amended."/>
    <s v="S73"/>
    <d v="2019-11-04T00:00:00"/>
    <d v="2021-04-29T00:00:00"/>
    <x v="0"/>
    <s v="Nil"/>
    <m/>
    <s v="BF"/>
    <s v="NB"/>
    <x v="1"/>
    <x v="0"/>
    <n v="7.8E-2"/>
    <d v="2021-08-01T00:00:00"/>
    <x v="0"/>
    <d v="2024-03-31T00:00:00"/>
    <x v="1"/>
    <s v="M"/>
    <s v="3.7"/>
    <m/>
    <m/>
    <m/>
    <m/>
    <m/>
    <n v="0"/>
    <n v="23"/>
    <n v="24"/>
    <n v="2"/>
    <n v="0"/>
    <n v="0"/>
    <n v="0"/>
    <n v="0"/>
    <n v="23"/>
    <n v="24"/>
    <n v="2"/>
    <n v="0"/>
    <n v="0"/>
    <n v="0"/>
    <n v="0"/>
    <n v="0"/>
    <n v="0"/>
    <n v="0"/>
    <n v="0"/>
    <n v="0"/>
    <n v="0"/>
    <n v="0"/>
    <n v="0"/>
    <n v="0"/>
    <n v="0"/>
    <n v="0"/>
    <n v="0"/>
    <n v="0"/>
    <x v="1"/>
    <x v="0"/>
    <x v="7"/>
    <n v="1"/>
    <n v="49"/>
    <m/>
    <m/>
    <m/>
    <m/>
    <m/>
    <m/>
    <m/>
    <m/>
    <m/>
    <m/>
    <m/>
    <m/>
    <m/>
    <m/>
    <m/>
    <m/>
    <m/>
    <m/>
    <m/>
    <n v="0"/>
    <n v="0"/>
  </r>
  <r>
    <n v="3519"/>
    <x v="0"/>
    <s v="2019/4583"/>
    <s v="B and Q Depot, Smugglers Way"/>
    <s v="BLOCK A4"/>
    <n v="525782"/>
    <n v="175172"/>
    <x v="15"/>
    <d v="2020-01-18T00:00:00"/>
    <m/>
    <n v="0"/>
    <x v="16"/>
    <x v="20"/>
    <n v="554"/>
    <n v="554"/>
    <x v="0"/>
    <s v="Variation of conditions 2 (in accordance with approved drawings), 3 (Environmental Impact Assessment - EIA), 4 (Flood Risk Assessment) and removal of condition 13 (No residential units shall be occupied within the inner or middle zones of the HSE consultation distance around the Wandsworth Gas Holder Station) pursuant to planning permission dated 29/03/2019 ref 2017/0580 [Demolition of existing retail buildings and phased construction of 13 residential blocks (with 3 podiums) ranging from 8 to 15 storeys to provide a mixed use scheme including 517 residential units (Class C3), 5160 sqm GIA of business (Class B1) and 2969 sqm GIA flexible business/retail/restaurant and cafe (Class B1, A1, A2, A3 and A4) with car/cycle parking, associated combined heat and power (CHP), plant and associated works, landscaping, new accesses onto Smugglers Way, and offsite highways works including a new pedestrian crossing of Swandon Way) to allow the following changes: _x000a__x000a_An increase in unit numbers from 517 to 554 (37 units additional units), increase in affordable housing units from 184 to 197, change to housing mix, reduction in car parking from 60 parking spaces to 22 blue badge spaces, 1 commercial blue badge space and 1 car club space. Introduction of D1 and D2 uses into the flexible floorspace and reduction in ground floor flexible commercial floorspace from 2969m² to 1960m² (GIA), reduction in Class B1(a) commercial floorspace at the mezzanine level from 5160m² to 1054m² (GIA) with the provision of 2,548m² (GIA) residential facilities associated with the 'Build to Rent' model. Associated changes to the level of cycle storage, amenity with outdoor swimming pool, private amenity, public open space and playspace across the site, increase in size of energy centre and other associated changes as a result of the revised development.  A revised EIA and associated mitigation, change to finished floor levels and removal of condition 13 (see planning statement on Council website). A revised Environmental Statement has been submitted under the Town and Country Planning (Environmental Impact Assessment) Regulations 2017 as amended."/>
    <s v="S73"/>
    <d v="2019-11-04T00:00:00"/>
    <d v="2021-04-29T00:00:00"/>
    <x v="0"/>
    <s v="Nil"/>
    <m/>
    <s v="BF"/>
    <s v="NB"/>
    <x v="1"/>
    <x v="0"/>
    <n v="6.7000000000000004E-2"/>
    <d v="2021-08-01T00:00:00"/>
    <x v="0"/>
    <d v="2024-03-31T00:00:00"/>
    <x v="1"/>
    <s v="M"/>
    <s v="3.7"/>
    <m/>
    <m/>
    <m/>
    <m/>
    <m/>
    <n v="0"/>
    <n v="0"/>
    <n v="40"/>
    <n v="2"/>
    <n v="0"/>
    <n v="0"/>
    <n v="0"/>
    <n v="0"/>
    <n v="0"/>
    <n v="40"/>
    <n v="2"/>
    <n v="0"/>
    <n v="0"/>
    <n v="0"/>
    <n v="0"/>
    <n v="0"/>
    <n v="0"/>
    <n v="0"/>
    <n v="0"/>
    <n v="0"/>
    <n v="0"/>
    <n v="0"/>
    <n v="0"/>
    <n v="0"/>
    <n v="0"/>
    <n v="0"/>
    <n v="0"/>
    <n v="0"/>
    <x v="1"/>
    <x v="0"/>
    <x v="7"/>
    <n v="1"/>
    <n v="42"/>
    <m/>
    <m/>
    <m/>
    <m/>
    <m/>
    <m/>
    <m/>
    <m/>
    <m/>
    <m/>
    <m/>
    <m/>
    <m/>
    <m/>
    <m/>
    <m/>
    <m/>
    <m/>
    <m/>
    <n v="0"/>
    <n v="0"/>
  </r>
  <r>
    <n v="3519"/>
    <x v="0"/>
    <s v="2019/4583"/>
    <s v="B and Q Depot, Smugglers Way"/>
    <s v="BLOCK B1"/>
    <n v="525782"/>
    <n v="175172"/>
    <x v="15"/>
    <d v="2020-01-18T00:00:00"/>
    <m/>
    <n v="0"/>
    <x v="17"/>
    <x v="21"/>
    <n v="554"/>
    <n v="554"/>
    <x v="0"/>
    <s v="Variation of conditions 2 (in accordance with approved drawings), 3 (Environmental Impact Assessment - EIA), 4 (Flood Risk Assessment) and removal of condition 13 (No residential units shall be occupied within the inner or middle zones of the HSE consultation distance around the Wandsworth Gas Holder Station) pursuant to planning permission dated 29/03/2019 ref 2017/0580 [Demolition of existing retail buildings and phased construction of 13 residential blocks (with 3 podiums) ranging from 8 to 15 storeys to provide a mixed use scheme including 517 residential units (Class C3), 5160 sqm GIA of business (Class B1) and 2969 sqm GIA flexible business/retail/restaurant and cafe (Class B1, A1, A2, A3 and A4) with car/cycle parking, associated combined heat and power (CHP), plant and associated works, landscaping, new accesses onto Smugglers Way, and offsite highways works including a new pedestrian crossing of Swandon Way) to allow the following changes: _x000a__x000a_An increase in unit numbers from 517 to 554 (37 units additional units), increase in affordable housing units from 184 to 197, change to housing mix, reduction in car parking from 60 parking spaces to 22 blue badge spaces, 1 commercial blue badge space and 1 car club space. Introduction of D1 and D2 uses into the flexible floorspace and reduction in ground floor flexible commercial floorspace from 2969m² to 1960m² (GIA), reduction in Class B1(a) commercial floorspace at the mezzanine level from 5160m² to 1054m² (GIA) with the provision of 2,548m² (GIA) residential facilities associated with the 'Build to Rent' model. Associated changes to the level of cycle storage, amenity with outdoor swimming pool, private amenity, public open space and playspace across the site, increase in size of energy centre and other associated changes as a result of the revised development.  A revised EIA and associated mitigation, change to finished floor levels and removal of condition 13 (see planning statement on Council website). A revised Environmental Statement has been submitted under the Town and Country Planning (Environmental Impact Assessment) Regulations 2017 as amended."/>
    <s v="S73"/>
    <d v="2019-11-04T00:00:00"/>
    <d v="2021-04-29T00:00:00"/>
    <x v="0"/>
    <s v="Nil"/>
    <m/>
    <s v="BF"/>
    <s v="NB"/>
    <x v="1"/>
    <x v="0"/>
    <n v="6.9000000000000006E-2"/>
    <d v="2021-08-01T00:00:00"/>
    <x v="0"/>
    <d v="2024-03-31T00:00:00"/>
    <x v="0"/>
    <s v="IR"/>
    <s v="3.7"/>
    <m/>
    <m/>
    <m/>
    <m/>
    <n v="22"/>
    <n v="0"/>
    <n v="21"/>
    <n v="22"/>
    <n v="0"/>
    <n v="0"/>
    <n v="0"/>
    <n v="0"/>
    <n v="0"/>
    <n v="21"/>
    <n v="22"/>
    <n v="0"/>
    <n v="0"/>
    <n v="0"/>
    <n v="0"/>
    <n v="0"/>
    <n v="0"/>
    <n v="0"/>
    <n v="0"/>
    <n v="0"/>
    <n v="0"/>
    <n v="0"/>
    <n v="0"/>
    <n v="0"/>
    <n v="0"/>
    <n v="0"/>
    <n v="0"/>
    <n v="0"/>
    <n v="0"/>
    <x v="1"/>
    <x v="0"/>
    <x v="7"/>
    <n v="1"/>
    <n v="43"/>
    <m/>
    <m/>
    <m/>
    <m/>
    <m/>
    <m/>
    <m/>
    <m/>
    <m/>
    <m/>
    <m/>
    <m/>
    <m/>
    <m/>
    <m/>
    <m/>
    <m/>
    <m/>
    <m/>
    <n v="0"/>
    <n v="0"/>
  </r>
  <r>
    <n v="3519"/>
    <x v="0"/>
    <s v="2019/4583"/>
    <s v="B and Q Depot, Smugglers Way"/>
    <s v="BLOCK B2"/>
    <n v="525782"/>
    <n v="175172"/>
    <x v="15"/>
    <d v="2020-01-18T00:00:00"/>
    <m/>
    <n v="0"/>
    <x v="18"/>
    <x v="22"/>
    <n v="554"/>
    <n v="554"/>
    <x v="0"/>
    <s v="Variation of conditions 2 (in accordance with approved drawings), 3 (Environmental Impact Assessment - EIA), 4 (Flood Risk Assessment) and removal of condition 13 (No residential units shall be occupied within the inner or middle zones of the HSE consultation distance around the Wandsworth Gas Holder Station) pursuant to planning permission dated 29/03/2019 ref 2017/0580 [Demolition of existing retail buildings and phased construction of 13 residential blocks (with 3 podiums) ranging from 8 to 15 storeys to provide a mixed use scheme including 517 residential units (Class C3), 5160 sqm GIA of business (Class B1) and 2969 sqm GIA flexible business/retail/restaurant and cafe (Class B1, A1, A2, A3 and A4) with car/cycle parking, associated combined heat and power (CHP), plant and associated works, landscaping, new accesses onto Smugglers Way, and offsite highways works including a new pedestrian crossing of Swandon Way) to allow the following changes: _x000a__x000a_An increase in unit numbers from 517 to 554 (37 units additional units), increase in affordable housing units from 184 to 197, change to housing mix, reduction in car parking from 60 parking spaces to 22 blue badge spaces, 1 commercial blue badge space and 1 car club space. Introduction of D1 and D2 uses into the flexible floorspace and reduction in ground floor flexible commercial floorspace from 2969m² to 1960m² (GIA), reduction in Class B1(a) commercial floorspace at the mezzanine level from 5160m² to 1054m² (GIA) with the provision of 2,548m² (GIA) residential facilities associated with the 'Build to Rent' model. Associated changes to the level of cycle storage, amenity with outdoor swimming pool, private amenity, public open space and playspace across the site, increase in size of energy centre and other associated changes as a result of the revised development.  A revised EIA and associated mitigation, change to finished floor levels and removal of condition 13 (see planning statement on Council website). A revised Environmental Statement has been submitted under the Town and Country Planning (Environmental Impact Assessment) Regulations 2017 as amended."/>
    <s v="S73"/>
    <d v="2019-11-04T00:00:00"/>
    <d v="2021-04-29T00:00:00"/>
    <x v="0"/>
    <s v="Nil"/>
    <m/>
    <s v="BF"/>
    <s v="NB"/>
    <x v="1"/>
    <x v="0"/>
    <n v="5.6000000000000001E-2"/>
    <d v="2021-08-01T00:00:00"/>
    <x v="0"/>
    <d v="2024-03-31T00:00:00"/>
    <x v="0"/>
    <s v="IR"/>
    <s v="3.7"/>
    <m/>
    <m/>
    <m/>
    <m/>
    <m/>
    <n v="0"/>
    <n v="0"/>
    <n v="35"/>
    <n v="0"/>
    <n v="0"/>
    <n v="0"/>
    <n v="0"/>
    <n v="0"/>
    <n v="0"/>
    <n v="35"/>
    <n v="0"/>
    <n v="0"/>
    <n v="0"/>
    <n v="0"/>
    <n v="0"/>
    <n v="0"/>
    <n v="0"/>
    <n v="0"/>
    <n v="0"/>
    <n v="0"/>
    <n v="0"/>
    <n v="0"/>
    <n v="0"/>
    <n v="0"/>
    <n v="0"/>
    <n v="0"/>
    <n v="0"/>
    <n v="0"/>
    <x v="1"/>
    <x v="0"/>
    <x v="7"/>
    <n v="1"/>
    <n v="35"/>
    <m/>
    <m/>
    <m/>
    <m/>
    <m/>
    <m/>
    <m/>
    <m/>
    <m/>
    <m/>
    <m/>
    <m/>
    <m/>
    <m/>
    <m/>
    <m/>
    <m/>
    <m/>
    <m/>
    <n v="0"/>
    <n v="0"/>
  </r>
  <r>
    <n v="3519"/>
    <x v="0"/>
    <s v="2019/4583"/>
    <s v="B and Q Depot, Smugglers Way"/>
    <s v="BLOCK B3"/>
    <n v="525782"/>
    <n v="175172"/>
    <x v="15"/>
    <d v="2020-01-18T00:00:00"/>
    <m/>
    <n v="0"/>
    <x v="19"/>
    <x v="23"/>
    <n v="554"/>
    <n v="554"/>
    <x v="0"/>
    <s v="Variation of conditions 2 (in accordance with approved drawings), 3 (Environmental Impact Assessment - EIA), 4 (Flood Risk Assessment) and removal of condition 13 (No residential units shall be occupied within the inner or middle zones of the HSE consultation distance around the Wandsworth Gas Holder Station) pursuant to planning permission dated 29/03/2019 ref 2017/0580 [Demolition of existing retail buildings and phased construction of 13 residential blocks (with 3 podiums) ranging from 8 to 15 storeys to provide a mixed use scheme including 517 residential units (Class C3), 5160 sqm GIA of business (Class B1) and 2969 sqm GIA flexible business/retail/restaurant and cafe (Class B1, A1, A2, A3 and A4) with car/cycle parking, associated combined heat and power (CHP), plant and associated works, landscaping, new accesses onto Smugglers Way, and offsite highways works including a new pedestrian crossing of Swandon Way) to allow the following changes: _x000a__x000a_An increase in unit numbers from 517 to 554 (37 units additional units), increase in affordable housing units from 184 to 197, change to housing mix, reduction in car parking from 60 parking spaces to 22 blue badge spaces, 1 commercial blue badge space and 1 car club space. Introduction of D1 and D2 uses into the flexible floorspace and reduction in ground floor flexible commercial floorspace from 2969m² to 1960m² (GIA), reduction in Class B1(a) commercial floorspace at the mezzanine level from 5160m² to 1054m² (GIA) with the provision of 2,548m² (GIA) residential facilities associated with the 'Build to Rent' model. Associated changes to the level of cycle storage, amenity with outdoor swimming pool, private amenity, public open space and playspace across the site, increase in size of energy centre and other associated changes as a result of the revised development.  A revised EIA and associated mitigation, change to finished floor levels and removal of condition 13 (see planning statement on Council website). A revised Environmental Statement has been submitted under the Town and Country Planning (Environmental Impact Assessment) Regulations 2017 as amended."/>
    <s v="S73"/>
    <d v="2019-11-04T00:00:00"/>
    <d v="2021-04-29T00:00:00"/>
    <x v="0"/>
    <s v="Nil"/>
    <m/>
    <s v="BF"/>
    <s v="NB"/>
    <x v="1"/>
    <x v="0"/>
    <n v="5.0999999999999997E-2"/>
    <d v="2021-08-01T00:00:00"/>
    <x v="0"/>
    <d v="2024-03-31T00:00:00"/>
    <x v="2"/>
    <s v="AA"/>
    <s v="3.7"/>
    <m/>
    <m/>
    <m/>
    <m/>
    <n v="8"/>
    <n v="0"/>
    <n v="16"/>
    <n v="16"/>
    <n v="0"/>
    <n v="0"/>
    <n v="0"/>
    <n v="0"/>
    <n v="0"/>
    <n v="16"/>
    <n v="16"/>
    <n v="0"/>
    <n v="0"/>
    <n v="0"/>
    <n v="0"/>
    <n v="0"/>
    <n v="0"/>
    <n v="0"/>
    <n v="0"/>
    <n v="0"/>
    <n v="0"/>
    <n v="0"/>
    <n v="0"/>
    <n v="0"/>
    <n v="0"/>
    <n v="0"/>
    <n v="0"/>
    <n v="0"/>
    <n v="0"/>
    <x v="1"/>
    <x v="0"/>
    <x v="7"/>
    <n v="1"/>
    <n v="32"/>
    <m/>
    <m/>
    <m/>
    <m/>
    <m/>
    <m/>
    <m/>
    <m/>
    <m/>
    <m/>
    <m/>
    <m/>
    <m/>
    <m/>
    <m/>
    <m/>
    <m/>
    <m/>
    <m/>
    <n v="0"/>
    <n v="0"/>
  </r>
  <r>
    <n v="3519"/>
    <x v="0"/>
    <s v="2019/4583"/>
    <s v="B and Q Depot, Smugglers Way"/>
    <s v="BLOCK B4"/>
    <n v="525782"/>
    <n v="175172"/>
    <x v="15"/>
    <d v="2020-01-18T00:00:00"/>
    <m/>
    <n v="0"/>
    <x v="5"/>
    <x v="7"/>
    <n v="554"/>
    <n v="554"/>
    <x v="0"/>
    <s v="Variation of conditions 2 (in accordance with approved drawings), 3 (Environmental Impact Assessment - EIA), 4 (Flood Risk Assessment) and removal of condition 13 (No residential units shall be occupied within the inner or middle zones of the HSE consultation distance around the Wandsworth Gas Holder Station) pursuant to planning permission dated 29/03/2019 ref 2017/0580 [Demolition of existing retail buildings and phased construction of 13 residential blocks (with 3 podiums) ranging from 8 to 15 storeys to provide a mixed use scheme including 517 residential units (Class C3), 5160 sqm GIA of business (Class B1) and 2969 sqm GIA flexible business/retail/restaurant and cafe (Class B1, A1, A2, A3 and A4) with car/cycle parking, associated combined heat and power (CHP), plant and associated works, landscaping, new accesses onto Smugglers Way, and offsite highways works including a new pedestrian crossing of Swandon Way) to allow the following changes: _x000a__x000a_An increase in unit numbers from 517 to 554 (37 units additional units), increase in affordable housing units from 184 to 197, change to housing mix, reduction in car parking from 60 parking spaces to 22 blue badge spaces, 1 commercial blue badge space and 1 car club space. Introduction of D1 and D2 uses into the flexible floorspace and reduction in ground floor flexible commercial floorspace from 2969m² to 1960m² (GIA), reduction in Class B1(a) commercial floorspace at the mezzanine level from 5160m² to 1054m² (GIA) with the provision of 2,548m² (GIA) residential facilities associated with the 'Build to Rent' model. Associated changes to the level of cycle storage, amenity with outdoor swimming pool, private amenity, public open space and playspace across the site, increase in size of energy centre and other associated changes as a result of the revised development.  A revised EIA and associated mitigation, change to finished floor levels and removal of condition 13 (see planning statement on Council website). A revised Environmental Statement has been submitted under the Town and Country Planning (Environmental Impact Assessment) Regulations 2017 as amended."/>
    <s v="S73"/>
    <d v="2019-11-04T00:00:00"/>
    <d v="2021-04-29T00:00:00"/>
    <x v="0"/>
    <s v="Nil"/>
    <m/>
    <s v="BF"/>
    <s v="NB"/>
    <x v="1"/>
    <x v="0"/>
    <n v="3.0000000000000001E-3"/>
    <d v="2021-08-01T00:00:00"/>
    <x v="0"/>
    <d v="2024-03-31T00:00:00"/>
    <x v="2"/>
    <s v="AA"/>
    <s v="3.7"/>
    <m/>
    <m/>
    <m/>
    <m/>
    <n v="9"/>
    <n v="0"/>
    <n v="0"/>
    <n v="2"/>
    <n v="0"/>
    <n v="0"/>
    <n v="0"/>
    <n v="0"/>
    <n v="0"/>
    <n v="0"/>
    <n v="2"/>
    <n v="0"/>
    <n v="0"/>
    <n v="0"/>
    <n v="0"/>
    <n v="0"/>
    <n v="0"/>
    <n v="0"/>
    <n v="0"/>
    <n v="0"/>
    <n v="0"/>
    <n v="0"/>
    <n v="0"/>
    <n v="0"/>
    <n v="0"/>
    <n v="0"/>
    <n v="0"/>
    <n v="0"/>
    <n v="0"/>
    <x v="1"/>
    <x v="0"/>
    <x v="7"/>
    <n v="1"/>
    <n v="2"/>
    <m/>
    <m/>
    <m/>
    <m/>
    <m/>
    <m/>
    <m/>
    <m/>
    <m/>
    <m/>
    <m/>
    <m/>
    <m/>
    <m/>
    <m/>
    <m/>
    <m/>
    <m/>
    <m/>
    <n v="0"/>
    <n v="0"/>
  </r>
  <r>
    <n v="3519"/>
    <x v="0"/>
    <s v="2019/4583"/>
    <s v="B and Q Depot, Smugglers Way"/>
    <s v="BLOCK B4"/>
    <n v="525782"/>
    <n v="175172"/>
    <x v="15"/>
    <d v="2020-01-18T00:00:00"/>
    <m/>
    <n v="0"/>
    <x v="20"/>
    <x v="24"/>
    <n v="554"/>
    <n v="554"/>
    <x v="0"/>
    <s v="Variation of conditions 2 (in accordance with approved drawings), 3 (Environmental Impact Assessment - EIA), 4 (Flood Risk Assessment) and removal of condition 13 (No residential units shall be occupied within the inner or middle zones of the HSE consultation distance around the Wandsworth Gas Holder Station) pursuant to planning permission dated 29/03/2019 ref 2017/0580 [Demolition of existing retail buildings and phased construction of 13 residential blocks (with 3 podiums) ranging from 8 to 15 storeys to provide a mixed use scheme including 517 residential units (Class C3), 5160 sqm GIA of business (Class B1) and 2969 sqm GIA flexible business/retail/restaurant and cafe (Class B1, A1, A2, A3 and A4) with car/cycle parking, associated combined heat and power (CHP), plant and associated works, landscaping, new accesses onto Smugglers Way, and offsite highways works including a new pedestrian crossing of Swandon Way) to allow the following changes: _x000a__x000a_An increase in unit numbers from 517 to 554 (37 units additional units), increase in affordable housing units from 184 to 197, change to housing mix, reduction in car parking from 60 parking spaces to 22 blue badge spaces, 1 commercial blue badge space and 1 car club space. Introduction of D1 and D2 uses into the flexible floorspace and reduction in ground floor flexible commercial floorspace from 2969m² to 1960m² (GIA), reduction in Class B1(a) commercial floorspace at the mezzanine level from 5160m² to 1054m² (GIA) with the provision of 2,548m² (GIA) residential facilities associated with the 'Build to Rent' model. Associated changes to the level of cycle storage, amenity with outdoor swimming pool, private amenity, public open space and playspace across the site, increase in size of energy centre and other associated changes as a result of the revised development.  A revised EIA and associated mitigation, change to finished floor levels and removal of condition 13 (see planning statement on Council website). A revised Environmental Statement has been submitted under the Town and Country Planning (Environmental Impact Assessment) Regulations 2017 as amended."/>
    <s v="S73"/>
    <d v="2019-11-04T00:00:00"/>
    <d v="2021-04-29T00:00:00"/>
    <x v="0"/>
    <s v="Nil"/>
    <m/>
    <s v="BF"/>
    <s v="NB"/>
    <x v="1"/>
    <x v="0"/>
    <n v="0.04"/>
    <d v="2021-08-01T00:00:00"/>
    <x v="0"/>
    <d v="2024-03-31T00:00:00"/>
    <x v="2"/>
    <s v="AA"/>
    <s v="3.7"/>
    <m/>
    <m/>
    <m/>
    <m/>
    <m/>
    <n v="0"/>
    <n v="0"/>
    <n v="16"/>
    <n v="9"/>
    <n v="0"/>
    <n v="0"/>
    <n v="0"/>
    <n v="0"/>
    <n v="0"/>
    <n v="16"/>
    <n v="9"/>
    <n v="0"/>
    <n v="0"/>
    <n v="0"/>
    <n v="0"/>
    <n v="0"/>
    <n v="0"/>
    <n v="0"/>
    <n v="0"/>
    <n v="0"/>
    <n v="0"/>
    <n v="0"/>
    <n v="0"/>
    <n v="0"/>
    <n v="0"/>
    <n v="0"/>
    <n v="0"/>
    <n v="0"/>
    <x v="1"/>
    <x v="0"/>
    <x v="7"/>
    <n v="1"/>
    <n v="25"/>
    <m/>
    <m/>
    <m/>
    <m/>
    <m/>
    <m/>
    <m/>
    <m/>
    <m/>
    <m/>
    <m/>
    <m/>
    <m/>
    <m/>
    <m/>
    <m/>
    <m/>
    <m/>
    <m/>
    <n v="0"/>
    <n v="0"/>
  </r>
  <r>
    <n v="3519"/>
    <x v="0"/>
    <s v="2019/4583"/>
    <s v="B and Q Depot, Smugglers Way"/>
    <s v="BLOCK B5"/>
    <n v="525782"/>
    <n v="175172"/>
    <x v="15"/>
    <d v="2020-01-18T00:00:00"/>
    <m/>
    <n v="0"/>
    <x v="21"/>
    <x v="25"/>
    <n v="554"/>
    <n v="554"/>
    <x v="0"/>
    <s v="Variation of conditions 2 (in accordance with approved drawings), 3 (Environmental Impact Assessment - EIA), 4 (Flood Risk Assessment) and removal of condition 13 (No residential units shall be occupied within the inner or middle zones of the HSE consultation distance around the Wandsworth Gas Holder Station) pursuant to planning permission dated 29/03/2019 ref 2017/0580 [Demolition of existing retail buildings and phased construction of 13 residential blocks (with 3 podiums) ranging from 8 to 15 storeys to provide a mixed use scheme including 517 residential units (Class C3), 5160 sqm GIA of business (Class B1) and 2969 sqm GIA flexible business/retail/restaurant and cafe (Class B1, A1, A2, A3 and A4) with car/cycle parking, associated combined heat and power (CHP), plant and associated works, landscaping, new accesses onto Smugglers Way, and offsite highways works including a new pedestrian crossing of Swandon Way) to allow the following changes: _x000a__x000a_An increase in unit numbers from 517 to 554 (37 units additional units), increase in affordable housing units from 184 to 197, change to housing mix, reduction in car parking from 60 parking spaces to 22 blue badge spaces, 1 commercial blue badge space and 1 car club space. Introduction of D1 and D2 uses into the flexible floorspace and reduction in ground floor flexible commercial floorspace from 2969m² to 1960m² (GIA), reduction in Class B1(a) commercial floorspace at the mezzanine level from 5160m² to 1054m² (GIA) with the provision of 2,548m² (GIA) residential facilities associated with the 'Build to Rent' model. Associated changes to the level of cycle storage, amenity with outdoor swimming pool, private amenity, public open space and playspace across the site, increase in size of energy centre and other associated changes as a result of the revised development.  A revised EIA and associated mitigation, change to finished floor levels and removal of condition 13 (see planning statement on Council website). A revised Environmental Statement has been submitted under the Town and Country Planning (Environmental Impact Assessment) Regulations 2017 as amended."/>
    <s v="S73"/>
    <d v="2019-11-04T00:00:00"/>
    <d v="2021-04-29T00:00:00"/>
    <x v="0"/>
    <s v="Nil"/>
    <m/>
    <s v="BF"/>
    <s v="NB"/>
    <x v="1"/>
    <x v="0"/>
    <n v="3.5000000000000003E-2"/>
    <d v="2021-08-01T00:00:00"/>
    <x v="0"/>
    <d v="2024-03-31T00:00:00"/>
    <x v="1"/>
    <s v="M"/>
    <s v="3.7"/>
    <m/>
    <m/>
    <m/>
    <m/>
    <m/>
    <n v="0"/>
    <n v="0"/>
    <n v="21"/>
    <n v="1"/>
    <n v="0"/>
    <n v="0"/>
    <n v="0"/>
    <n v="0"/>
    <n v="0"/>
    <n v="21"/>
    <n v="1"/>
    <n v="0"/>
    <n v="0"/>
    <n v="0"/>
    <n v="0"/>
    <n v="0"/>
    <n v="0"/>
    <n v="0"/>
    <n v="0"/>
    <n v="0"/>
    <n v="0"/>
    <n v="0"/>
    <n v="0"/>
    <n v="0"/>
    <n v="0"/>
    <n v="0"/>
    <n v="0"/>
    <n v="0"/>
    <x v="1"/>
    <x v="0"/>
    <x v="7"/>
    <n v="1"/>
    <n v="22"/>
    <m/>
    <m/>
    <m/>
    <m/>
    <m/>
    <m/>
    <m/>
    <m/>
    <m/>
    <m/>
    <m/>
    <m/>
    <m/>
    <m/>
    <m/>
    <m/>
    <m/>
    <m/>
    <m/>
    <n v="0"/>
    <n v="0"/>
  </r>
  <r>
    <n v="3519"/>
    <x v="0"/>
    <s v="2019/4583"/>
    <s v="B and Q Depot, Smugglers Way"/>
    <s v="BLOCK B5"/>
    <n v="525782"/>
    <n v="175172"/>
    <x v="15"/>
    <d v="2020-01-18T00:00:00"/>
    <m/>
    <n v="0"/>
    <x v="22"/>
    <x v="26"/>
    <n v="554"/>
    <n v="554"/>
    <x v="0"/>
    <s v="Variation of conditions 2 (in accordance with approved drawings), 3 (Environmental Impact Assessment - EIA), 4 (Flood Risk Assessment) and removal of condition 13 (No residential units shall be occupied within the inner or middle zones of the HSE consultation distance around the Wandsworth Gas Holder Station) pursuant to planning permission dated 29/03/2019 ref 2017/0580 [Demolition of existing retail buildings and phased construction of 13 residential blocks (with 3 podiums) ranging from 8 to 15 storeys to provide a mixed use scheme including 517 residential units (Class C3), 5160 sqm GIA of business (Class B1) and 2969 sqm GIA flexible business/retail/restaurant and cafe (Class B1, A1, A2, A3 and A4) with car/cycle parking, associated combined heat and power (CHP), plant and associated works, landscaping, new accesses onto Smugglers Way, and offsite highways works including a new pedestrian crossing of Swandon Way) to allow the following changes: _x000a__x000a_An increase in unit numbers from 517 to 554 (37 units additional units), increase in affordable housing units from 184 to 197, change to housing mix, reduction in car parking from 60 parking spaces to 22 blue badge spaces, 1 commercial blue badge space and 1 car club space. Introduction of D1 and D2 uses into the flexible floorspace and reduction in ground floor flexible commercial floorspace from 2969m² to 1960m² (GIA), reduction in Class B1(a) commercial floorspace at the mezzanine level from 5160m² to 1054m² (GIA) with the provision of 2,548m² (GIA) residential facilities associated with the 'Build to Rent' model. Associated changes to the level of cycle storage, amenity with outdoor swimming pool, private amenity, public open space and playspace across the site, increase in size of energy centre and other associated changes as a result of the revised development.  A revised EIA and associated mitigation, change to finished floor levels and removal of condition 13 (see planning statement on Council website). A revised Environmental Statement has been submitted under the Town and Country Planning (Environmental Impact Assessment) Regulations 2017 as amended."/>
    <s v="S73"/>
    <d v="2019-11-04T00:00:00"/>
    <d v="2021-04-29T00:00:00"/>
    <x v="0"/>
    <s v="Nil"/>
    <m/>
    <s v="BF"/>
    <s v="NB"/>
    <x v="1"/>
    <x v="0"/>
    <n v="3.4000000000000002E-2"/>
    <d v="2021-08-01T00:00:00"/>
    <x v="0"/>
    <d v="2024-03-31T00:00:00"/>
    <x v="0"/>
    <s v="IR"/>
    <s v="3.7"/>
    <m/>
    <m/>
    <m/>
    <m/>
    <m/>
    <n v="0"/>
    <n v="0"/>
    <n v="21"/>
    <n v="0"/>
    <n v="0"/>
    <n v="0"/>
    <n v="0"/>
    <n v="0"/>
    <n v="0"/>
    <n v="21"/>
    <n v="0"/>
    <n v="0"/>
    <n v="0"/>
    <n v="0"/>
    <n v="0"/>
    <n v="0"/>
    <n v="0"/>
    <n v="0"/>
    <n v="0"/>
    <n v="0"/>
    <n v="0"/>
    <n v="0"/>
    <n v="0"/>
    <n v="0"/>
    <n v="0"/>
    <n v="0"/>
    <n v="0"/>
    <n v="0"/>
    <x v="1"/>
    <x v="0"/>
    <x v="7"/>
    <n v="1"/>
    <n v="21"/>
    <m/>
    <m/>
    <m/>
    <m/>
    <m/>
    <m/>
    <m/>
    <m/>
    <m/>
    <m/>
    <m/>
    <m/>
    <m/>
    <m/>
    <m/>
    <m/>
    <m/>
    <m/>
    <m/>
    <n v="0"/>
    <n v="0"/>
  </r>
  <r>
    <n v="3519"/>
    <x v="0"/>
    <s v="2019/4583"/>
    <s v="B and Q Depot, Smugglers Way"/>
    <s v="BLOCK B6"/>
    <n v="525782"/>
    <n v="175172"/>
    <x v="15"/>
    <d v="2020-01-18T00:00:00"/>
    <m/>
    <n v="0"/>
    <x v="23"/>
    <x v="27"/>
    <n v="554"/>
    <n v="554"/>
    <x v="0"/>
    <s v="Variation of conditions 2 (in accordance with approved drawings), 3 (Environmental Impact Assessment - EIA), 4 (Flood Risk Assessment) and removal of condition 13 (No residential units shall be occupied within the inner or middle zones of the HSE consultation distance around the Wandsworth Gas Holder Station) pursuant to planning permission dated 29/03/2019 ref 2017/0580 [Demolition of existing retail buildings and phased construction of 13 residential blocks (with 3 podiums) ranging from 8 to 15 storeys to provide a mixed use scheme including 517 residential units (Class C3), 5160 sqm GIA of business (Class B1) and 2969 sqm GIA flexible business/retail/restaurant and cafe (Class B1, A1, A2, A3 and A4) with car/cycle parking, associated combined heat and power (CHP), plant and associated works, landscaping, new accesses onto Smugglers Way, and offsite highways works including a new pedestrian crossing of Swandon Way) to allow the following changes: _x000a__x000a_An increase in unit numbers from 517 to 554 (37 units additional units), increase in affordable housing units from 184 to 197, change to housing mix, reduction in car parking from 60 parking spaces to 22 blue badge spaces, 1 commercial blue badge space and 1 car club space. Introduction of D1 and D2 uses into the flexible floorspace and reduction in ground floor flexible commercial floorspace from 2969m² to 1960m² (GIA), reduction in Class B1(a) commercial floorspace at the mezzanine level from 5160m² to 1054m² (GIA) with the provision of 2,548m² (GIA) residential facilities associated with the 'Build to Rent' model. Associated changes to the level of cycle storage, amenity with outdoor swimming pool, private amenity, public open space and playspace across the site, increase in size of energy centre and other associated changes as a result of the revised development.  A revised EIA and associated mitigation, change to finished floor levels and removal of condition 13 (see planning statement on Council website). A revised Environmental Statement has been submitted under the Town and Country Planning (Environmental Impact Assessment) Regulations 2017 as amended."/>
    <s v="S73"/>
    <d v="2019-11-04T00:00:00"/>
    <d v="2021-04-29T00:00:00"/>
    <x v="0"/>
    <s v="Nil"/>
    <m/>
    <s v="BF"/>
    <s v="NB"/>
    <x v="1"/>
    <x v="0"/>
    <n v="6.3E-2"/>
    <d v="2021-08-01T00:00:00"/>
    <x v="0"/>
    <d v="2024-03-31T00:00:00"/>
    <x v="0"/>
    <s v="IR"/>
    <s v="3.7"/>
    <m/>
    <m/>
    <m/>
    <m/>
    <m/>
    <n v="0"/>
    <n v="19"/>
    <n v="20"/>
    <n v="0"/>
    <n v="0"/>
    <n v="0"/>
    <n v="0"/>
    <n v="0"/>
    <n v="19"/>
    <n v="20"/>
    <n v="0"/>
    <n v="0"/>
    <n v="0"/>
    <n v="0"/>
    <n v="0"/>
    <n v="0"/>
    <n v="0"/>
    <n v="0"/>
    <n v="0"/>
    <n v="0"/>
    <n v="0"/>
    <n v="0"/>
    <n v="0"/>
    <n v="0"/>
    <n v="0"/>
    <n v="0"/>
    <n v="0"/>
    <n v="0"/>
    <x v="1"/>
    <x v="0"/>
    <x v="7"/>
    <n v="1"/>
    <n v="39"/>
    <m/>
    <m/>
    <m/>
    <m/>
    <m/>
    <m/>
    <m/>
    <m/>
    <m/>
    <m/>
    <m/>
    <m/>
    <m/>
    <m/>
    <m/>
    <m/>
    <m/>
    <m/>
    <m/>
    <n v="0"/>
    <n v="0"/>
  </r>
  <r>
    <n v="7299"/>
    <x v="0"/>
    <s v="2019/4665"/>
    <s v="2 Replingham Road"/>
    <s v=""/>
    <n v="524756"/>
    <n v="173258"/>
    <x v="12"/>
    <d v="2020-11-11T00:00:00"/>
    <d v="2024-03-25T00:00:00"/>
    <n v="0"/>
    <x v="24"/>
    <x v="28"/>
    <n v="5"/>
    <n v="5"/>
    <x v="1"/>
    <s v="Alterations in connection with change of use of ground floor from office (Class A2) to retail (Class A1). Alterations including erection of rear roof extension, extensions at all levels - lower ground floor, ground floor, first and second floor and formation of roof terraces in connection with change of use of rear ground, first and second floors from office (Class A2) to residential (Class C3) to create 1 x 3-bedroom, 2 x 2-bedroom, 1 x 1-bedroom and 1 x studio flats with associated cycle and refuse storage (AMENDED DESCRIPTION)"/>
    <s v="PF"/>
    <d v="2019-11-21T00:00:00"/>
    <d v="2020-04-28T00:00:00"/>
    <x v="0"/>
    <s v="Nil"/>
    <m/>
    <s v="BF"/>
    <s v="COU"/>
    <x v="2"/>
    <x v="6"/>
    <n v="1.4E-2"/>
    <d v="2020-11-11T00:00:00"/>
    <x v="0"/>
    <d v="2024-03-25T00:00:00"/>
    <x v="1"/>
    <s v="M"/>
    <s v=""/>
    <m/>
    <m/>
    <m/>
    <m/>
    <m/>
    <n v="1"/>
    <n v="1"/>
    <n v="2"/>
    <n v="1"/>
    <n v="0"/>
    <n v="0"/>
    <n v="0"/>
    <n v="1"/>
    <n v="1"/>
    <n v="2"/>
    <n v="1"/>
    <n v="0"/>
    <n v="0"/>
    <n v="0"/>
    <n v="0"/>
    <n v="0"/>
    <n v="0"/>
    <n v="0"/>
    <n v="0"/>
    <n v="0"/>
    <n v="0"/>
    <n v="0"/>
    <n v="0"/>
    <n v="0"/>
    <n v="0"/>
    <n v="0"/>
    <n v="0"/>
    <n v="0"/>
    <x v="1"/>
    <x v="0"/>
    <x v="2"/>
    <n v="11"/>
    <n v="5"/>
    <m/>
    <m/>
    <m/>
    <m/>
    <m/>
    <m/>
    <m/>
    <m/>
    <m/>
    <m/>
    <m/>
    <m/>
    <m/>
    <m/>
    <m/>
    <m/>
    <m/>
    <m/>
    <m/>
    <n v="0"/>
    <n v="0"/>
  </r>
  <r>
    <n v="3522"/>
    <x v="0"/>
    <s v="2020/0011"/>
    <s v="Homebase, Swandon Way"/>
    <s v="Block D (Affordable Housing)"/>
    <n v="525912"/>
    <n v="175143"/>
    <x v="15"/>
    <d v="2020-04-01T00:00:00"/>
    <m/>
    <n v="0"/>
    <x v="25"/>
    <x v="29"/>
    <n v="480"/>
    <n v="480"/>
    <x v="0"/>
    <s v="Variation of conditions 2 (in accordance with approved drawings), removal of condition 3 (HSE consultation distance), removal of condition 4 (restriction on use of residents facilities); condition 12 (finished floor levels); condition 21 (compliance with energy strategy); condition 22 (accessible homes); removal of condition 23 (air quality - boilers and CHP); removal of condition 25 (restriction on site clearance); condition 26 (biodiversity enhancement plan); condition 36 (wind mitigation); condition 42 (Retention of scheme architects) condition 44 (residential unit numbers); condition 45 (non-residential floorspace); condition 46 (car parking); removal of condition 47 (basement) pursuant to planning permission dated 31 July 2018 ref: 2016/7356 (Demolition of existing retail warehouse building and erection of three buildings ranging from 8 to 17 storeys with basement to provide a mixed use scheme including 385 residential units (Class C3), 563 sq.m. GIA of retail units (Class A1 and/or A2 and/or A3 uses) 165 sq.m. of leisure use (Class D1) and 1,620 sq.m. GIA of studio/offices (Class B1), with associated cycle parking spaces and 89 car parking spaces, playspace, landscaping and public realm improvements (including contribution towards the new entrance to Wandsworth Town Station) to allow the following changes: _x000a_ _x000a_Increase in unit numbers from 385 to 480, increase in affordable units from 131 to 159, change to housing mix, amended basement area and reduction from 89 car parking spaces to 15 spaces (plus 6 blue badge spaces), inclusion of A4 and D2 uses within flexible commercial floorspace, reduction in flexible floorspace from 2348sqm to 1618sqm, provision of residential facilities in connection with 'Build to Rent', design/elevational changes to all buildings including Station Building, changes to layout and associated amendments to S106. Revised associated amenity space and cycle storage. A revised Environmental Statement has been submitted under the Town and Country Planning (Environmental Impact Assessment) Regulations 2017 as amended. (RECONSULTATION - AMENDED DESCRIPTION, SEE WEBSITE FOR FULL DETAILS)"/>
    <s v="S73"/>
    <d v="2020-01-06T00:00:00"/>
    <d v="2021-10-05T00:00:00"/>
    <x v="0"/>
    <s v="Nil"/>
    <m/>
    <s v="BF"/>
    <s v="NB"/>
    <x v="1"/>
    <x v="0"/>
    <n v="2.7E-2"/>
    <d v="2022-04-01T00:00:00"/>
    <x v="0"/>
    <d v="2024-03-31T00:00:00"/>
    <x v="2"/>
    <s v="AL"/>
    <s v="3.6"/>
    <m/>
    <m/>
    <m/>
    <m/>
    <n v="10"/>
    <n v="0"/>
    <n v="13"/>
    <n v="11"/>
    <n v="3"/>
    <n v="0"/>
    <n v="0"/>
    <n v="0"/>
    <n v="0"/>
    <n v="13"/>
    <n v="11"/>
    <n v="3"/>
    <n v="0"/>
    <n v="0"/>
    <n v="0"/>
    <n v="0"/>
    <n v="0"/>
    <n v="0"/>
    <n v="0"/>
    <n v="0"/>
    <n v="0"/>
    <n v="0"/>
    <n v="0"/>
    <n v="0"/>
    <n v="0"/>
    <n v="0"/>
    <n v="0"/>
    <n v="0"/>
    <n v="0"/>
    <x v="1"/>
    <x v="0"/>
    <x v="7"/>
    <n v="1"/>
    <n v="27"/>
    <m/>
    <m/>
    <m/>
    <m/>
    <m/>
    <m/>
    <m/>
    <m/>
    <m/>
    <m/>
    <m/>
    <m/>
    <m/>
    <m/>
    <m/>
    <m/>
    <m/>
    <m/>
    <m/>
    <n v="0"/>
    <n v="0"/>
  </r>
  <r>
    <n v="3522"/>
    <x v="0"/>
    <s v="2020/0011"/>
    <s v="Homebase, Swandon Way"/>
    <s v="Block D (Intermediate)"/>
    <n v="525912"/>
    <n v="175143"/>
    <x v="15"/>
    <d v="2020-04-01T00:00:00"/>
    <m/>
    <n v="0"/>
    <x v="17"/>
    <x v="21"/>
    <n v="480"/>
    <n v="480"/>
    <x v="0"/>
    <s v="Variation of conditions 2 (in accordance with approved drawings), removal of condition 3 (HSE consultation distance), removal of condition 4 (restriction on use of residents facilities); condition 12 (finished floor levels); condition 21 (compliance with energy strategy); condition 22 (accessible homes); removal of condition 23 (air quality - boilers and CHP); removal of condition 25 (restriction on site clearance); condition 26 (biodiversity enhancement plan); condition 36 (wind mitigation); condition 42 (Retention of scheme architects) condition 44 (residential unit numbers); condition 45 (non-residential floorspace); condition 46 (car parking); removal of condition 47 (basement) pursuant to planning permission dated 31 July 2018 ref: 2016/7356 (Demolition of existing retail warehouse building and erection of three buildings ranging from 8 to 17 storeys with basement to provide a mixed use scheme including 385 residential units (Class C3), 563 sq.m. GIA of retail units (Class A1 and/or A2 and/or A3 uses) 165 sq.m. of leisure use (Class D1) and 1,620 sq.m. GIA of studio/offices (Class B1), with associated cycle parking spaces and 89 car parking spaces, playspace, landscaping and public realm improvements (including contribution towards the new entrance to Wandsworth Town Station) to allow the following changes: _x000a_ _x000a_Increase in unit numbers from 385 to 480, increase in affordable units from 131 to 159, change to housing mix, amended basement area and reduction from 89 car parking spaces to 15 spaces (plus 6 blue badge spaces), inclusion of A4 and D2 uses within flexible commercial floorspace, reduction in flexible floorspace from 2348sqm to 1618sqm, provision of residential facilities in connection with 'Build to Rent', design/elevational changes to all buildings including Station Building, changes to layout and associated amendments to S106. Revised associated amenity space and cycle storage. A revised Environmental Statement has been submitted under the Town and Country Planning (Environmental Impact Assessment) Regulations 2017 as amended. (RECONSULTATION - AMENDED DESCRIPTION, SEE WEBSITE FOR FULL DETAILS)"/>
    <s v="S73"/>
    <d v="2020-01-06T00:00:00"/>
    <d v="2021-10-05T00:00:00"/>
    <x v="0"/>
    <s v="Nil"/>
    <m/>
    <s v="BF"/>
    <s v="NB"/>
    <x v="1"/>
    <x v="0"/>
    <n v="4.2700000000000002E-2"/>
    <d v="2022-04-01T00:00:00"/>
    <x v="0"/>
    <d v="2024-03-31T00:00:00"/>
    <x v="0"/>
    <s v="ISO"/>
    <s v="3.6"/>
    <m/>
    <m/>
    <m/>
    <m/>
    <m/>
    <n v="0"/>
    <n v="20"/>
    <n v="20"/>
    <n v="3"/>
    <n v="0"/>
    <n v="0"/>
    <n v="0"/>
    <n v="0"/>
    <n v="20"/>
    <n v="20"/>
    <n v="3"/>
    <n v="0"/>
    <n v="0"/>
    <n v="0"/>
    <n v="0"/>
    <n v="0"/>
    <n v="0"/>
    <n v="0"/>
    <n v="0"/>
    <n v="0"/>
    <n v="0"/>
    <n v="0"/>
    <n v="0"/>
    <n v="0"/>
    <n v="0"/>
    <n v="0"/>
    <n v="0"/>
    <n v="0"/>
    <x v="1"/>
    <x v="0"/>
    <x v="7"/>
    <n v="1"/>
    <n v="43"/>
    <m/>
    <m/>
    <m/>
    <m/>
    <m/>
    <m/>
    <m/>
    <m/>
    <m/>
    <m/>
    <m/>
    <m/>
    <m/>
    <m/>
    <m/>
    <m/>
    <m/>
    <m/>
    <m/>
    <n v="0"/>
    <n v="0"/>
  </r>
  <r>
    <n v="3522"/>
    <x v="0"/>
    <s v="2020/0011"/>
    <s v="Homebase, Swandon Way"/>
    <s v="Block E(Affordable Housing)"/>
    <n v="525912"/>
    <n v="175143"/>
    <x v="15"/>
    <d v="2020-04-01T00:00:00"/>
    <m/>
    <n v="0"/>
    <x v="26"/>
    <x v="30"/>
    <n v="480"/>
    <n v="480"/>
    <x v="0"/>
    <s v="Variation of conditions 2 (in accordance with approved drawings), removal of condition 3 (HSE consultation distance), removal of condition 4 (restriction on use of residents facilities); condition 12 (finished floor levels); condition 21 (compliance with energy strategy); condition 22 (accessible homes); removal of condition 23 (air quality - boilers and CHP); removal of condition 25 (restriction on site clearance); condition 26 (biodiversity enhancement plan); condition 36 (wind mitigation); condition 42 (Retention of scheme architects) condition 44 (residential unit numbers); condition 45 (non-residential floorspace); condition 46 (car parking); removal of condition 47 (basement) pursuant to planning permission dated 31 July 2018 ref: 2016/7356 (Demolition of existing retail warehouse building and erection of three buildings ranging from 8 to 17 storeys with basement to provide a mixed use scheme including 385 residential units (Class C3), 563 sq.m. GIA of retail units (Class A1 and/or A2 and/or A3 uses) 165 sq.m. of leisure use (Class D1) and 1,620 sq.m. GIA of studio/offices (Class B1), with associated cycle parking spaces and 89 car parking spaces, playspace, landscaping and public realm improvements (including contribution towards the new entrance to Wandsworth Town Station) to allow the following changes: _x000a_ _x000a_Increase in unit numbers from 385 to 480, increase in affordable units from 131 to 159, change to housing mix, amended basement area and reduction from 89 car parking spaces to 15 spaces (plus 6 blue badge spaces), inclusion of A4 and D2 uses within flexible commercial floorspace, reduction in flexible floorspace from 2348sqm to 1618sqm, provision of residential facilities in connection with 'Build to Rent', design/elevational changes to all buildings including Station Building, changes to layout and associated amendments to S106. Revised associated amenity space and cycle storage. A revised Environmental Statement has been submitted under the Town and Country Planning (Environmental Impact Assessment) Regulations 2017 as amended. (RECONSULTATION - AMENDED DESCRIPTION, SEE WEBSITE FOR FULL DETAILS)"/>
    <s v="S73"/>
    <d v="2020-01-06T00:00:00"/>
    <d v="2021-10-05T00:00:00"/>
    <x v="0"/>
    <s v="Nil"/>
    <m/>
    <s v="BF"/>
    <s v="NB"/>
    <x v="1"/>
    <x v="0"/>
    <n v="6.9000000000000006E-2"/>
    <d v="2021-04-01T00:00:00"/>
    <x v="0"/>
    <d v="2024-03-31T00:00:00"/>
    <x v="2"/>
    <s v="AL"/>
    <s v="3.6"/>
    <m/>
    <m/>
    <m/>
    <m/>
    <n v="18"/>
    <n v="0"/>
    <n v="36"/>
    <n v="17"/>
    <n v="17"/>
    <n v="0"/>
    <n v="0"/>
    <n v="0"/>
    <n v="0"/>
    <n v="36"/>
    <n v="17"/>
    <n v="17"/>
    <n v="0"/>
    <n v="0"/>
    <n v="0"/>
    <n v="0"/>
    <n v="0"/>
    <n v="0"/>
    <n v="0"/>
    <n v="0"/>
    <n v="0"/>
    <n v="0"/>
    <n v="0"/>
    <n v="0"/>
    <n v="0"/>
    <n v="0"/>
    <n v="0"/>
    <n v="0"/>
    <n v="0"/>
    <x v="1"/>
    <x v="0"/>
    <x v="7"/>
    <n v="1"/>
    <n v="70"/>
    <m/>
    <m/>
    <m/>
    <m/>
    <m/>
    <m/>
    <m/>
    <m/>
    <m/>
    <m/>
    <m/>
    <m/>
    <m/>
    <m/>
    <m/>
    <m/>
    <m/>
    <m/>
    <m/>
    <n v="0"/>
    <n v="0"/>
  </r>
  <r>
    <n v="7360"/>
    <x v="0"/>
    <s v="2020/0040"/>
    <s v="521-525 Battersea Park Road"/>
    <s v=""/>
    <n v="527443"/>
    <n v="176347"/>
    <x v="15"/>
    <d v="2021-06-21T00:00:00"/>
    <d v="2024-02-11T00:00:00"/>
    <n v="0"/>
    <x v="5"/>
    <x v="7"/>
    <n v="2"/>
    <n v="2"/>
    <x v="1"/>
    <s v="Alterations including erection of part three-storey rear extension at rear in connection with the creation of 2 x 1-bedroom flats; formation of roof terraces on first floor level with 2m high screen surround. Relocation of 2 x air-conditioning units to rear first floor level."/>
    <s v="PF"/>
    <d v="2020-02-28T00:00:00"/>
    <d v="2020-09-17T00:00:00"/>
    <x v="0"/>
    <s v="Nil"/>
    <m/>
    <s v="BF"/>
    <s v="MIX"/>
    <x v="2"/>
    <x v="7"/>
    <n v="1.2E-2"/>
    <d v="2021-06-21T00:00:00"/>
    <x v="0"/>
    <d v="2024-02-11T00:00:00"/>
    <x v="1"/>
    <s v="M"/>
    <s v=""/>
    <m/>
    <m/>
    <m/>
    <m/>
    <m/>
    <n v="0"/>
    <n v="2"/>
    <n v="0"/>
    <n v="0"/>
    <n v="0"/>
    <n v="0"/>
    <n v="0"/>
    <n v="0"/>
    <n v="2"/>
    <n v="0"/>
    <n v="0"/>
    <n v="0"/>
    <n v="0"/>
    <n v="0"/>
    <n v="0"/>
    <n v="0"/>
    <n v="0"/>
    <n v="0"/>
    <n v="0"/>
    <n v="0"/>
    <n v="0"/>
    <n v="0"/>
    <n v="0"/>
    <n v="0"/>
    <n v="0"/>
    <n v="0"/>
    <n v="0"/>
    <n v="0"/>
    <x v="1"/>
    <x v="0"/>
    <x v="2"/>
    <n v="11"/>
    <n v="2"/>
    <m/>
    <m/>
    <m/>
    <m/>
    <m/>
    <m/>
    <m/>
    <m/>
    <m/>
    <m/>
    <m/>
    <m/>
    <m/>
    <m/>
    <m/>
    <m/>
    <m/>
    <m/>
    <m/>
    <n v="0"/>
    <n v="0"/>
  </r>
  <r>
    <n v="2784"/>
    <x v="0"/>
    <s v="2020/0184"/>
    <s v="Sterling House, Burston Road (Former garage site)"/>
    <s v=""/>
    <n v="523820"/>
    <n v="175047"/>
    <x v="16"/>
    <d v="2022-04-01T00:00:00"/>
    <d v="2024-03-31T00:00:00"/>
    <n v="0"/>
    <x v="3"/>
    <x v="5"/>
    <n v="1"/>
    <n v="1"/>
    <x v="1"/>
    <s v="Erection of roof extension to provide an additional floor of accommodation to accomodate 1x3 bedroom flat."/>
    <s v="PF"/>
    <d v="2020-01-29T00:00:00"/>
    <d v="2020-05-27T00:00:00"/>
    <x v="0"/>
    <s v="Nil"/>
    <m/>
    <s v="BF"/>
    <s v="EXT"/>
    <x v="2"/>
    <x v="7"/>
    <n v="6.0000000000000001E-3"/>
    <d v="2022-04-01T00:00:00"/>
    <x v="0"/>
    <d v="2024-03-31T00:00:00"/>
    <x v="1"/>
    <s v="M"/>
    <s v=""/>
    <m/>
    <m/>
    <m/>
    <m/>
    <m/>
    <n v="0"/>
    <n v="0"/>
    <n v="0"/>
    <n v="1"/>
    <n v="0"/>
    <n v="0"/>
    <n v="0"/>
    <n v="0"/>
    <n v="0"/>
    <n v="0"/>
    <n v="1"/>
    <n v="0"/>
    <n v="0"/>
    <n v="0"/>
    <n v="0"/>
    <n v="0"/>
    <n v="0"/>
    <n v="0"/>
    <n v="0"/>
    <n v="0"/>
    <n v="0"/>
    <n v="0"/>
    <n v="0"/>
    <n v="0"/>
    <n v="0"/>
    <n v="0"/>
    <n v="0"/>
    <n v="0"/>
    <x v="1"/>
    <x v="0"/>
    <x v="6"/>
    <n v="11"/>
    <n v="1"/>
    <m/>
    <m/>
    <m/>
    <m/>
    <m/>
    <m/>
    <m/>
    <m/>
    <m/>
    <m/>
    <m/>
    <m/>
    <m/>
    <m/>
    <m/>
    <m/>
    <m/>
    <m/>
    <m/>
    <n v="0"/>
    <n v="0"/>
  </r>
  <r>
    <n v="7338"/>
    <x v="0"/>
    <s v="2020/0376"/>
    <s v="51-53 Northcote Road"/>
    <s v=""/>
    <n v="527505"/>
    <n v="174973"/>
    <x v="8"/>
    <d v="2021-08-23T00:00:00"/>
    <d v="2024-03-31T00:00:00"/>
    <n v="0"/>
    <x v="3"/>
    <x v="5"/>
    <n v="1"/>
    <n v="1"/>
    <x v="1"/>
    <s v="Alterations including erection of mansard roof extensions to front,_x000a_side and rear roof slopes in connection with creation of 1 x 2-_x000a_bedroom flat with associated refuse storage."/>
    <s v="RP"/>
    <d v="2020-02-11T00:00:00"/>
    <d v="2020-03-27T00:00:00"/>
    <x v="0"/>
    <s v="APG"/>
    <d v="2020-10-09T00:00:00"/>
    <s v="BF"/>
    <s v="EXT"/>
    <x v="2"/>
    <x v="7"/>
    <n v="5.0000000000000001E-3"/>
    <d v="2021-08-23T00:00:00"/>
    <x v="0"/>
    <d v="2024-03-31T00:00:00"/>
    <x v="1"/>
    <s v="M"/>
    <s v=""/>
    <m/>
    <m/>
    <m/>
    <m/>
    <m/>
    <n v="0"/>
    <n v="0"/>
    <n v="1"/>
    <n v="0"/>
    <n v="0"/>
    <n v="0"/>
    <n v="0"/>
    <n v="0"/>
    <n v="0"/>
    <n v="1"/>
    <n v="0"/>
    <n v="0"/>
    <n v="0"/>
    <n v="0"/>
    <n v="0"/>
    <n v="0"/>
    <n v="0"/>
    <n v="0"/>
    <n v="0"/>
    <n v="0"/>
    <n v="0"/>
    <n v="0"/>
    <n v="0"/>
    <n v="0"/>
    <n v="0"/>
    <n v="0"/>
    <n v="0"/>
    <n v="0"/>
    <x v="3"/>
    <x v="0"/>
    <x v="3"/>
    <n v="11"/>
    <n v="1"/>
    <m/>
    <m/>
    <m/>
    <m/>
    <m/>
    <m/>
    <m/>
    <m/>
    <m/>
    <m/>
    <m/>
    <m/>
    <m/>
    <m/>
    <m/>
    <m/>
    <m/>
    <m/>
    <m/>
    <n v="0"/>
    <n v="0"/>
  </r>
  <r>
    <n v="7336"/>
    <x v="0"/>
    <s v="2020/0503"/>
    <s v="99 St Johns Hill"/>
    <s v=""/>
    <n v="526970"/>
    <n v="175172"/>
    <x v="14"/>
    <d v="2023-06-01T00:00:00"/>
    <d v="2023-10-31T00:00:00"/>
    <n v="0"/>
    <x v="3"/>
    <x v="5"/>
    <n v="4"/>
    <n v="3"/>
    <x v="1"/>
    <s v="Alterations including erection of single storey rear extension at basement level and formation of rear lightwell in connection with retention of retail space (Class A1) on ground floor level and  creation of 2 x 2-bedroom and 2 x 1-bedroom flats to rear basement and ground floors and first to third floors above with associated cycle and refuse storage."/>
    <s v="PF"/>
    <d v="2020-02-14T00:00:00"/>
    <d v="2020-04-09T00:00:00"/>
    <x v="0"/>
    <s v="Nil"/>
    <m/>
    <s v="BF"/>
    <s v="MIX"/>
    <x v="2"/>
    <x v="4"/>
    <n v="6.0000000000000001E-3"/>
    <d v="2023-06-01T00:00:00"/>
    <x v="1"/>
    <d v="2023-10-31T00:00:00"/>
    <x v="1"/>
    <s v="M"/>
    <s v=""/>
    <m/>
    <m/>
    <m/>
    <m/>
    <m/>
    <n v="0"/>
    <n v="0"/>
    <n v="1"/>
    <n v="0"/>
    <n v="0"/>
    <n v="0"/>
    <n v="0"/>
    <n v="0"/>
    <n v="0"/>
    <n v="1"/>
    <n v="0"/>
    <n v="0"/>
    <n v="0"/>
    <n v="0"/>
    <n v="0"/>
    <n v="0"/>
    <n v="0"/>
    <n v="0"/>
    <n v="0"/>
    <n v="0"/>
    <n v="0"/>
    <n v="0"/>
    <n v="0"/>
    <n v="0"/>
    <n v="0"/>
    <n v="0"/>
    <n v="0"/>
    <n v="0"/>
    <x v="1"/>
    <x v="0"/>
    <x v="3"/>
    <n v="11"/>
    <n v="1"/>
    <m/>
    <m/>
    <m/>
    <m/>
    <m/>
    <m/>
    <m/>
    <m/>
    <m/>
    <m/>
    <m/>
    <m/>
    <m/>
    <m/>
    <m/>
    <m/>
    <m/>
    <m/>
    <m/>
    <n v="0"/>
    <n v="0"/>
  </r>
  <r>
    <n v="7336"/>
    <x v="0"/>
    <s v="2020/0503"/>
    <s v="99 St Johns Hill"/>
    <s v=""/>
    <n v="526970"/>
    <n v="175172"/>
    <x v="14"/>
    <d v="2023-06-01T00:00:00"/>
    <d v="2023-10-31T00:00:00"/>
    <n v="0"/>
    <x v="3"/>
    <x v="5"/>
    <n v="4"/>
    <n v="3"/>
    <x v="1"/>
    <s v="Alterations including erection of single storey rear extension at basement level and formation of rear lightwell in connection with retention of retail space (Class A1) on ground floor level and  creation of 2 x 2-bedroom and 2 x 1-bedroom flats to rear basement and ground floors and first to third floors above with associated cycle and refuse storage."/>
    <s v="PF"/>
    <d v="2020-02-14T00:00:00"/>
    <d v="2020-04-09T00:00:00"/>
    <x v="0"/>
    <s v="Nil"/>
    <m/>
    <s v="BF"/>
    <s v="MIX"/>
    <x v="2"/>
    <x v="7"/>
    <n v="3.0000000000000001E-3"/>
    <d v="2023-06-01T00:00:00"/>
    <x v="1"/>
    <d v="2023-10-31T00:00:00"/>
    <x v="1"/>
    <s v="M"/>
    <s v=""/>
    <m/>
    <m/>
    <m/>
    <m/>
    <m/>
    <n v="0"/>
    <n v="1"/>
    <n v="0"/>
    <n v="0"/>
    <n v="0"/>
    <n v="0"/>
    <n v="0"/>
    <n v="0"/>
    <n v="1"/>
    <n v="0"/>
    <n v="0"/>
    <n v="0"/>
    <n v="0"/>
    <n v="0"/>
    <n v="0"/>
    <n v="0"/>
    <n v="0"/>
    <n v="0"/>
    <n v="0"/>
    <n v="0"/>
    <n v="0"/>
    <n v="0"/>
    <n v="0"/>
    <n v="0"/>
    <n v="0"/>
    <n v="0"/>
    <n v="0"/>
    <n v="0"/>
    <x v="1"/>
    <x v="0"/>
    <x v="3"/>
    <n v="11"/>
    <n v="1"/>
    <m/>
    <m/>
    <m/>
    <m/>
    <m/>
    <m/>
    <m/>
    <m/>
    <m/>
    <m/>
    <m/>
    <m/>
    <m/>
    <m/>
    <m/>
    <m/>
    <m/>
    <m/>
    <m/>
    <n v="0"/>
    <n v="0"/>
  </r>
  <r>
    <n v="7336"/>
    <x v="0"/>
    <s v="2020/0503"/>
    <s v="99 St Johns Hill"/>
    <s v=""/>
    <n v="526970"/>
    <n v="175172"/>
    <x v="14"/>
    <d v="2023-06-01T00:00:00"/>
    <d v="2023-10-31T00:00:00"/>
    <n v="1"/>
    <x v="5"/>
    <x v="5"/>
    <n v="4"/>
    <n v="3"/>
    <x v="1"/>
    <s v="Alterations including erection of single storey rear extension at basement level and formation of rear lightwell in connection with retention of retail space (Class A1) on ground floor level and  creation of 2 x 2-bedroom and 2 x 1-bedroom flats to rear basement and ground floors and first to third floors above with associated cycle and refuse storage."/>
    <s v="PF"/>
    <d v="2020-02-14T00:00:00"/>
    <d v="2020-04-09T00:00:00"/>
    <x v="0"/>
    <s v="Nil"/>
    <m/>
    <s v="BF"/>
    <s v="MIX"/>
    <x v="2"/>
    <x v="5"/>
    <n v="6.0000000000000001E-3"/>
    <d v="2023-06-01T00:00:00"/>
    <x v="1"/>
    <d v="2023-10-31T00:00:00"/>
    <x v="1"/>
    <s v="M"/>
    <s v=""/>
    <m/>
    <m/>
    <m/>
    <m/>
    <m/>
    <n v="1"/>
    <n v="-1"/>
    <n v="1"/>
    <n v="0"/>
    <n v="0"/>
    <n v="0"/>
    <n v="0"/>
    <n v="1"/>
    <n v="-1"/>
    <n v="1"/>
    <n v="0"/>
    <n v="0"/>
    <n v="0"/>
    <n v="0"/>
    <n v="0"/>
    <n v="0"/>
    <n v="0"/>
    <n v="0"/>
    <n v="0"/>
    <n v="0"/>
    <n v="0"/>
    <n v="0"/>
    <n v="0"/>
    <n v="0"/>
    <n v="0"/>
    <n v="0"/>
    <n v="0"/>
    <n v="0"/>
    <x v="1"/>
    <x v="0"/>
    <x v="3"/>
    <n v="11"/>
    <n v="1"/>
    <m/>
    <m/>
    <m/>
    <m/>
    <m/>
    <m/>
    <m/>
    <m/>
    <m/>
    <m/>
    <m/>
    <m/>
    <m/>
    <m/>
    <m/>
    <m/>
    <m/>
    <m/>
    <m/>
    <n v="0"/>
    <n v="0"/>
  </r>
  <r>
    <n v="6032"/>
    <x v="0"/>
    <s v="2020/0614"/>
    <s v="259 Putney Bridge Road"/>
    <s v=""/>
    <n v="524386"/>
    <n v="175298"/>
    <x v="3"/>
    <d v="2021-01-12T00:00:00"/>
    <d v="2023-08-18T00:00:00"/>
    <n v="1"/>
    <x v="5"/>
    <x v="5"/>
    <n v="4"/>
    <n v="3"/>
    <x v="1"/>
    <s v="Alterations including increasing the depth to the existing basement, extension to the rear ground, first and second floor levels in connection with conversion of building from retail (Class A1) on ground floor and residential flat (Class C3) to 1 x studio, 2 x 1-bedroom and 1 x 2-bedroom flats (Amended Description)"/>
    <s v="PF"/>
    <d v="2020-02-25T00:00:00"/>
    <d v="2020-07-15T00:00:00"/>
    <x v="0"/>
    <s v="Nil"/>
    <m/>
    <s v="BF"/>
    <s v="COU"/>
    <x v="2"/>
    <x v="5"/>
    <n v="6.0000000000000001E-3"/>
    <d v="2021-01-12T00:00:00"/>
    <x v="0"/>
    <d v="2023-08-18T00:00:00"/>
    <x v="1"/>
    <s v="M"/>
    <s v=""/>
    <m/>
    <m/>
    <m/>
    <m/>
    <m/>
    <n v="0"/>
    <n v="1"/>
    <n v="1"/>
    <n v="0"/>
    <n v="0"/>
    <n v="-1"/>
    <n v="0"/>
    <n v="0"/>
    <n v="1"/>
    <n v="1"/>
    <n v="0"/>
    <n v="0"/>
    <n v="-1"/>
    <n v="0"/>
    <n v="0"/>
    <n v="0"/>
    <n v="0"/>
    <n v="0"/>
    <n v="0"/>
    <n v="0"/>
    <n v="0"/>
    <n v="0"/>
    <n v="0"/>
    <n v="0"/>
    <n v="0"/>
    <n v="0"/>
    <n v="0"/>
    <n v="0"/>
    <x v="1"/>
    <x v="0"/>
    <x v="2"/>
    <n v="11"/>
    <n v="1"/>
    <m/>
    <m/>
    <m/>
    <m/>
    <m/>
    <m/>
    <m/>
    <m/>
    <m/>
    <m/>
    <m/>
    <m/>
    <m/>
    <m/>
    <m/>
    <m/>
    <m/>
    <m/>
    <m/>
    <n v="0"/>
    <n v="0"/>
  </r>
  <r>
    <n v="6032"/>
    <x v="0"/>
    <s v="2020/0614"/>
    <s v="259 Putney Bridge Road"/>
    <s v=""/>
    <n v="524386"/>
    <n v="175298"/>
    <x v="3"/>
    <d v="2021-01-12T00:00:00"/>
    <d v="2023-08-18T00:00:00"/>
    <n v="0"/>
    <x v="5"/>
    <x v="7"/>
    <n v="4"/>
    <n v="3"/>
    <x v="1"/>
    <s v="Alterations including increasing the depth to the existing basement, extension to the rear ground, first and second floor levels in connection with conversion of building from retail (Class A1) on ground floor and residential flat (Class C3) to 1 x studio, 2 x 1-bedroom and 1 x 2-bedroom flats (Amended Description)"/>
    <s v="PF"/>
    <d v="2020-02-25T00:00:00"/>
    <d v="2020-07-15T00:00:00"/>
    <x v="0"/>
    <s v="Nil"/>
    <m/>
    <s v="BF"/>
    <s v="COU"/>
    <x v="2"/>
    <x v="4"/>
    <n v="5.0000000000000001E-3"/>
    <d v="2021-01-12T00:00:00"/>
    <x v="0"/>
    <d v="2023-08-18T00:00:00"/>
    <x v="1"/>
    <s v="M"/>
    <s v=""/>
    <m/>
    <m/>
    <m/>
    <m/>
    <m/>
    <n v="1"/>
    <n v="1"/>
    <n v="0"/>
    <n v="0"/>
    <n v="0"/>
    <n v="0"/>
    <n v="0"/>
    <n v="1"/>
    <n v="1"/>
    <n v="0"/>
    <n v="0"/>
    <n v="0"/>
    <n v="0"/>
    <n v="0"/>
    <n v="0"/>
    <n v="0"/>
    <n v="0"/>
    <n v="0"/>
    <n v="0"/>
    <n v="0"/>
    <n v="0"/>
    <n v="0"/>
    <n v="0"/>
    <n v="0"/>
    <n v="0"/>
    <n v="0"/>
    <n v="0"/>
    <n v="0"/>
    <x v="1"/>
    <x v="0"/>
    <x v="2"/>
    <n v="11"/>
    <n v="2"/>
    <m/>
    <m/>
    <m/>
    <m/>
    <m/>
    <m/>
    <m/>
    <m/>
    <m/>
    <m/>
    <m/>
    <m/>
    <m/>
    <m/>
    <m/>
    <m/>
    <m/>
    <m/>
    <m/>
    <n v="0"/>
    <n v="0"/>
  </r>
  <r>
    <n v="7338"/>
    <x v="0"/>
    <s v="2020/1033"/>
    <s v="51-53 Northcote Road"/>
    <s v=""/>
    <n v="527505"/>
    <n v="174973"/>
    <x v="8"/>
    <d v="2021-08-23T00:00:00"/>
    <d v="2024-03-31T00:00:00"/>
    <n v="0"/>
    <x v="3"/>
    <x v="5"/>
    <n v="1"/>
    <n v="1"/>
    <x v="1"/>
    <s v="Alterations to rear block facing Shelgate Road including erection of roof extension to create additional storey in connection with creation of 1 x 1-bedroom flat."/>
    <s v="PF"/>
    <d v="2020-04-30T00:00:00"/>
    <d v="2020-07-29T00:00:00"/>
    <x v="0"/>
    <s v="Nil"/>
    <m/>
    <s v="BF"/>
    <s v="EXT"/>
    <x v="2"/>
    <x v="7"/>
    <n v="4.0000000000000001E-3"/>
    <d v="2021-08-23T00:00:00"/>
    <x v="0"/>
    <d v="2024-03-31T00:00:00"/>
    <x v="1"/>
    <s v="M"/>
    <s v=""/>
    <m/>
    <m/>
    <m/>
    <m/>
    <m/>
    <n v="0"/>
    <n v="1"/>
    <n v="0"/>
    <n v="0"/>
    <n v="0"/>
    <n v="0"/>
    <n v="0"/>
    <n v="0"/>
    <n v="1"/>
    <n v="0"/>
    <n v="0"/>
    <n v="0"/>
    <n v="0"/>
    <n v="0"/>
    <n v="0"/>
    <n v="0"/>
    <n v="0"/>
    <n v="0"/>
    <n v="0"/>
    <n v="0"/>
    <n v="0"/>
    <n v="0"/>
    <n v="0"/>
    <n v="0"/>
    <n v="0"/>
    <n v="0"/>
    <n v="0"/>
    <n v="0"/>
    <x v="3"/>
    <x v="0"/>
    <x v="3"/>
    <n v="11"/>
    <n v="1"/>
    <m/>
    <m/>
    <m/>
    <m/>
    <m/>
    <m/>
    <m/>
    <m/>
    <m/>
    <m/>
    <m/>
    <m/>
    <m/>
    <m/>
    <m/>
    <m/>
    <m/>
    <m/>
    <m/>
    <n v="0"/>
    <n v="0"/>
  </r>
  <r>
    <n v="7338"/>
    <x v="0"/>
    <s v="2020/1358"/>
    <s v="51-53 Northcote Road"/>
    <s v=""/>
    <n v="527505"/>
    <n v="174973"/>
    <x v="8"/>
    <d v="2021-08-21T00:00:00"/>
    <d v="2024-03-31T00:00:00"/>
    <n v="2"/>
    <x v="5"/>
    <x v="6"/>
    <n v="3"/>
    <n v="1"/>
    <x v="1"/>
    <s v="Erection of rear extension at first and second floor levels; Formation of a side terrace at second floor level in association with the conversion of the existing 1 x 3-bedroom and 1 x 2-bedroom units into 2 x 2-bedroom units and 1 x 1-bedroom unit._x000a__x000a_*RE-CONSULTATION FOR REVISED DESCRIPTION*"/>
    <s v="PF"/>
    <d v="2020-04-30T00:00:00"/>
    <d v="2020-06-25T00:00:00"/>
    <x v="0"/>
    <s v="Nil"/>
    <m/>
    <s v="BF"/>
    <s v="MIX"/>
    <x v="2"/>
    <x v="5"/>
    <n v="1.2E-2"/>
    <d v="2021-08-21T00:00:00"/>
    <x v="0"/>
    <d v="2024-03-31T00:00:00"/>
    <x v="1"/>
    <s v="M"/>
    <s v=""/>
    <m/>
    <m/>
    <m/>
    <m/>
    <m/>
    <n v="0"/>
    <n v="0"/>
    <n v="1"/>
    <n v="-1"/>
    <n v="0"/>
    <n v="0"/>
    <n v="0"/>
    <n v="0"/>
    <n v="0"/>
    <n v="1"/>
    <n v="-1"/>
    <n v="0"/>
    <n v="0"/>
    <n v="0"/>
    <n v="0"/>
    <n v="0"/>
    <n v="0"/>
    <n v="0"/>
    <n v="0"/>
    <n v="0"/>
    <n v="0"/>
    <n v="0"/>
    <n v="0"/>
    <n v="0"/>
    <n v="0"/>
    <n v="0"/>
    <n v="0"/>
    <n v="0"/>
    <x v="3"/>
    <x v="0"/>
    <x v="3"/>
    <n v="11"/>
    <n v="0"/>
    <m/>
    <m/>
    <m/>
    <m/>
    <m/>
    <m/>
    <m/>
    <m/>
    <m/>
    <m/>
    <m/>
    <m/>
    <m/>
    <m/>
    <m/>
    <m/>
    <m/>
    <m/>
    <m/>
    <n v="0"/>
    <n v="0"/>
  </r>
  <r>
    <n v="7338"/>
    <x v="0"/>
    <s v="2020/1358"/>
    <s v="51-53 Northcote Road"/>
    <s v=""/>
    <n v="527505"/>
    <n v="174973"/>
    <x v="8"/>
    <d v="2021-08-21T00:00:00"/>
    <d v="2024-03-31T00:00:00"/>
    <n v="0"/>
    <x v="3"/>
    <x v="5"/>
    <n v="3"/>
    <n v="1"/>
    <x v="1"/>
    <s v="Erection of rear extension at first and second floor levels; Formation of a side terrace at second floor level in association with the conversion of the existing 1 x 3-bedroom and 1 x 2-bedroom units into 2 x 2-bedroom units and 1 x 1-bedroom unit._x000a__x000a_*RE-CONSULTATION FOR REVISED DESCRIPTION*"/>
    <s v="PF"/>
    <d v="2020-04-30T00:00:00"/>
    <d v="2020-06-25T00:00:00"/>
    <x v="0"/>
    <s v="Nil"/>
    <m/>
    <s v="BF"/>
    <s v="MIX"/>
    <x v="2"/>
    <x v="7"/>
    <n v="5.0000000000000001E-3"/>
    <d v="2023-04-01T00:00:00"/>
    <x v="1"/>
    <d v="2024-03-31T00:00:00"/>
    <x v="1"/>
    <s v="M"/>
    <s v=""/>
    <m/>
    <m/>
    <m/>
    <m/>
    <m/>
    <n v="0"/>
    <n v="1"/>
    <n v="0"/>
    <n v="0"/>
    <n v="0"/>
    <n v="0"/>
    <n v="0"/>
    <n v="0"/>
    <n v="1"/>
    <n v="0"/>
    <n v="0"/>
    <n v="0"/>
    <n v="0"/>
    <n v="0"/>
    <n v="0"/>
    <n v="0"/>
    <n v="0"/>
    <n v="0"/>
    <n v="0"/>
    <n v="0"/>
    <n v="0"/>
    <n v="0"/>
    <n v="0"/>
    <n v="0"/>
    <n v="0"/>
    <n v="0"/>
    <n v="0"/>
    <n v="0"/>
    <x v="3"/>
    <x v="0"/>
    <x v="3"/>
    <n v="11"/>
    <n v="1"/>
    <m/>
    <m/>
    <m/>
    <m/>
    <m/>
    <m/>
    <m/>
    <m/>
    <m/>
    <m/>
    <m/>
    <m/>
    <m/>
    <m/>
    <m/>
    <m/>
    <m/>
    <m/>
    <m/>
    <n v="0"/>
    <n v="0"/>
  </r>
  <r>
    <n v="7338"/>
    <x v="0"/>
    <s v="2020/1371"/>
    <s v="51-53 Northcote Road"/>
    <s v=""/>
    <n v="527505"/>
    <n v="174973"/>
    <x v="8"/>
    <d v="2021-08-23T00:00:00"/>
    <d v="2024-03-31T00:00:00"/>
    <n v="0"/>
    <x v="3"/>
    <x v="5"/>
    <n v="1"/>
    <n v="1"/>
    <x v="1"/>
    <s v="Alterations including erection of mansard roof extension to front and rear roof of No. 51 and rear dormer extension to the rear of No. 53 in connection with creation of 1 x 1-bedroom flat."/>
    <s v="PF"/>
    <d v="2020-04-27T00:00:00"/>
    <d v="2020-06-22T00:00:00"/>
    <x v="0"/>
    <s v="Nil"/>
    <m/>
    <s v="BF"/>
    <s v="EXT"/>
    <x v="2"/>
    <x v="7"/>
    <n v="4.0000000000000001E-3"/>
    <d v="2021-08-23T00:00:00"/>
    <x v="0"/>
    <d v="2024-03-31T00:00:00"/>
    <x v="1"/>
    <s v="M"/>
    <s v=""/>
    <m/>
    <m/>
    <m/>
    <m/>
    <m/>
    <n v="0"/>
    <n v="1"/>
    <n v="0"/>
    <n v="0"/>
    <n v="0"/>
    <n v="0"/>
    <n v="0"/>
    <n v="0"/>
    <n v="1"/>
    <n v="0"/>
    <n v="0"/>
    <n v="0"/>
    <n v="0"/>
    <n v="0"/>
    <n v="0"/>
    <n v="0"/>
    <n v="0"/>
    <n v="0"/>
    <n v="0"/>
    <n v="0"/>
    <n v="0"/>
    <n v="0"/>
    <n v="0"/>
    <n v="0"/>
    <n v="0"/>
    <n v="0"/>
    <n v="0"/>
    <n v="0"/>
    <x v="3"/>
    <x v="0"/>
    <x v="3"/>
    <n v="11"/>
    <n v="1"/>
    <m/>
    <m/>
    <m/>
    <m/>
    <m/>
    <m/>
    <m/>
    <m/>
    <m/>
    <m/>
    <m/>
    <m/>
    <m/>
    <m/>
    <m/>
    <m/>
    <m/>
    <m/>
    <m/>
    <n v="0"/>
    <n v="0"/>
  </r>
  <r>
    <n v="2502"/>
    <x v="0"/>
    <s v="2020/1490"/>
    <s v="Springfield Hospital site, 61 Glenburnie Road"/>
    <s v="Phase 6A - Block S"/>
    <n v="527221"/>
    <n v="172443"/>
    <x v="17"/>
    <d v="2021-03-31T00:00:00"/>
    <d v="2024-03-31T00:00:00"/>
    <n v="0"/>
    <x v="27"/>
    <x v="31"/>
    <n v="72"/>
    <n v="72"/>
    <x v="0"/>
    <s v="Reserved matters relating to landscaping, scale and appearance in respect of the part demolition, conversion, restoration and repair of part of the Main Building (Grade II listed) to provide 72 residential units with associated works (forming Phase 6a of the Springfield Masterplan development), pursuant to condition 1 of outline planning permission ref. 2010/3703 dated 20/06/2012 (for the erection of 25,000 sq.m. of replacement mental health facilities (Class C2/C2a); 839 residential dwellings; 9,200 sq.m. elderly persons' care home; 240 sq.m. of retail floorspace (Class A1); a school (Class D1); 3,500 sq.m. of mixed non-residential floorspace (Class A1, A2, A3, A4, B1, D1 or D2); landscaped public park; a combined cooling, heat and power energy centre, associated landscaping, parking, roads, access, infrastructure and other associated works), as varied under application ref. 2014/6585, dated 04/06/15, application ref. 2016/4760 dated 24/04/2018 and application ref. 2019/2495 dated 28/02/2020, and including statement of design code compliance, landscaping and foul water drainage pursuant to conditions 7, 10 and 30."/>
    <s v="DT"/>
    <d v="2020-04-27T00:00:00"/>
    <d v="2020-07-27T00:00:00"/>
    <x v="0"/>
    <s v="Nil"/>
    <m/>
    <s v="BF"/>
    <s v="COU"/>
    <x v="0"/>
    <x v="0"/>
    <n v="0.878"/>
    <d v="2021-03-31T00:00:00"/>
    <x v="0"/>
    <d v="2024-03-31T00:00:00"/>
    <x v="1"/>
    <s v="M"/>
    <s v="9.1"/>
    <m/>
    <m/>
    <m/>
    <n v="6"/>
    <m/>
    <n v="0"/>
    <n v="29"/>
    <n v="0"/>
    <n v="0"/>
    <n v="0"/>
    <n v="0"/>
    <n v="0"/>
    <n v="0"/>
    <n v="29"/>
    <n v="0"/>
    <n v="0"/>
    <n v="0"/>
    <n v="0"/>
    <n v="0"/>
    <n v="0"/>
    <n v="0"/>
    <n v="0"/>
    <n v="0"/>
    <n v="0"/>
    <n v="0"/>
    <n v="0"/>
    <n v="0"/>
    <n v="0"/>
    <n v="0"/>
    <n v="0"/>
    <n v="0"/>
    <n v="0"/>
    <n v="0"/>
    <x v="1"/>
    <x v="0"/>
    <x v="2"/>
    <n v="11"/>
    <n v="29"/>
    <m/>
    <m/>
    <m/>
    <m/>
    <m/>
    <m/>
    <m/>
    <m/>
    <m/>
    <m/>
    <m/>
    <m/>
    <m/>
    <m/>
    <m/>
    <m/>
    <m/>
    <m/>
    <m/>
    <n v="0"/>
    <n v="0"/>
  </r>
  <r>
    <n v="6481"/>
    <x v="0"/>
    <s v="2020/1555"/>
    <s v="189 Balham High Road"/>
    <s v="CoU"/>
    <n v="528408"/>
    <n v="173055"/>
    <x v="18"/>
    <d v="2023-03-31T00:00:00"/>
    <d v="2024-02-12T00:00:00"/>
    <n v="0"/>
    <x v="5"/>
    <x v="7"/>
    <n v="3"/>
    <n v="3"/>
    <x v="1"/>
    <s v="Alterations including erection of extension to provide an additional floor of accomodation; Formation of a side roof terrace with 1.1m high screen surround; Erection of first floor rear extension; Installation of new rear access stair to first floor; Change of use of first floor from office to Residential (Class C3) in connection with creation of 2 x 1-bed and 1 x 2-bed flats, with associated refuse storage."/>
    <s v="PF"/>
    <d v="2020-06-11T00:00:00"/>
    <d v="2020-08-06T00:00:00"/>
    <x v="0"/>
    <s v="Nil"/>
    <m/>
    <s v="BF"/>
    <s v="MIX"/>
    <x v="2"/>
    <x v="6"/>
    <n v="6.0000000000000001E-3"/>
    <d v="2023-03-31T00:00:00"/>
    <x v="0"/>
    <d v="2024-02-12T00:00:00"/>
    <x v="1"/>
    <s v="M"/>
    <s v=""/>
    <m/>
    <m/>
    <m/>
    <m/>
    <m/>
    <n v="0"/>
    <n v="2"/>
    <n v="0"/>
    <n v="0"/>
    <n v="0"/>
    <n v="0"/>
    <n v="0"/>
    <n v="0"/>
    <n v="2"/>
    <n v="0"/>
    <n v="0"/>
    <n v="0"/>
    <n v="0"/>
    <n v="0"/>
    <n v="0"/>
    <n v="0"/>
    <n v="0"/>
    <n v="0"/>
    <n v="0"/>
    <n v="0"/>
    <n v="0"/>
    <n v="0"/>
    <n v="0"/>
    <n v="0"/>
    <n v="0"/>
    <n v="0"/>
    <n v="0"/>
    <n v="0"/>
    <x v="1"/>
    <x v="0"/>
    <x v="2"/>
    <n v="11"/>
    <n v="2"/>
    <m/>
    <m/>
    <m/>
    <m/>
    <m/>
    <m/>
    <m/>
    <m/>
    <m/>
    <m/>
    <m/>
    <m/>
    <m/>
    <m/>
    <m/>
    <m/>
    <m/>
    <m/>
    <m/>
    <n v="0"/>
    <n v="0"/>
  </r>
  <r>
    <n v="6481"/>
    <x v="0"/>
    <s v="2020/1555"/>
    <s v="189 Balham High Road"/>
    <s v="extension"/>
    <n v="528408"/>
    <n v="173055"/>
    <x v="18"/>
    <d v="2023-03-31T00:00:00"/>
    <d v="2024-02-12T00:00:00"/>
    <n v="0"/>
    <x v="3"/>
    <x v="5"/>
    <n v="3"/>
    <n v="3"/>
    <x v="1"/>
    <s v="Alterations including erection of extension to provide an additional floor of accomodation; Formation of a side roof terrace with 1.1m high screen surround; Erection of first floor rear extension; Installation of new rear access stair to first floor; Change of use of first floor from office to Residential (Class C3) in connection with creation of 2 x 1-bed and 1 x 2-bed flats, with associated refuse storage."/>
    <s v="PF"/>
    <d v="2020-06-11T00:00:00"/>
    <d v="2020-08-06T00:00:00"/>
    <x v="0"/>
    <s v="Nil"/>
    <m/>
    <s v="BF"/>
    <s v="MIX"/>
    <x v="2"/>
    <x v="7"/>
    <n v="4.0000000000000001E-3"/>
    <d v="2023-03-31T00:00:00"/>
    <x v="0"/>
    <d v="2024-02-12T00:00:00"/>
    <x v="1"/>
    <s v="M"/>
    <s v=""/>
    <m/>
    <m/>
    <m/>
    <m/>
    <m/>
    <n v="0"/>
    <n v="0"/>
    <n v="1"/>
    <n v="0"/>
    <n v="0"/>
    <n v="0"/>
    <n v="0"/>
    <n v="0"/>
    <n v="0"/>
    <n v="1"/>
    <n v="0"/>
    <n v="0"/>
    <n v="0"/>
    <n v="0"/>
    <n v="0"/>
    <n v="0"/>
    <n v="0"/>
    <n v="0"/>
    <n v="0"/>
    <n v="0"/>
    <n v="0"/>
    <n v="0"/>
    <n v="0"/>
    <n v="0"/>
    <n v="0"/>
    <n v="0"/>
    <n v="0"/>
    <n v="0"/>
    <x v="1"/>
    <x v="0"/>
    <x v="2"/>
    <n v="11"/>
    <n v="1"/>
    <m/>
    <m/>
    <m/>
    <m/>
    <m/>
    <m/>
    <m/>
    <m/>
    <m/>
    <m/>
    <m/>
    <m/>
    <m/>
    <m/>
    <m/>
    <m/>
    <m/>
    <m/>
    <m/>
    <n v="0"/>
    <n v="0"/>
  </r>
  <r>
    <n v="2502"/>
    <x v="0"/>
    <s v="2020/1779"/>
    <s v="Springfield Hospital site, 61 Glenburnie Road"/>
    <s v="Phase 5A - Block B1A"/>
    <n v="527221"/>
    <n v="172443"/>
    <x v="17"/>
    <d v="2021-03-31T00:00:00"/>
    <m/>
    <n v="0"/>
    <x v="12"/>
    <x v="15"/>
    <n v="227"/>
    <n v="227"/>
    <x v="0"/>
    <s v="Reserved Matters relating to scale, appearance and landscaping in respect of Phase 5A (Plots B - E) of the Springfield Hospital Masterplan pursuant to condition 1 of outline planning permission ref. 2010/3703 dated 20/06/2012 (for the erection of 25,000 sq.m. of replacement mental health facilities (Class C2/C2a); 839 residential dwellings; 9,200 sq.m. elderly persons' care home; 240 sq.m. of retail floorspace (Class A1); a school (Class D1); 3,500 sq.m. of mixed non-residential floorspace (Class A1, A2, A3, A4, B1, D1 or D2); landscaped public park; a combined cooling, heat and power energy centre, associated landscaping, parking, roads, access, infrastructure and other associated works), as varied under application ref. 2014/6585, dated 04/06/2015, application ref. 2016/4760 dated 24/04/2018, and application 2019/2495, dated 28/02/2020. [Phase 5A comprises the erection of buildings of between 2 and 4 storeys high to provide 227 residential units (Use Class C3), provision of 330 sq.m GIA of flexible non-residential floorspace (Use Class A1/A2/A3/A4/B1/D1/D2), 103 car parking spaces, cycle parking, private and communal amenity areas, and associated public realm and landscaping works]."/>
    <s v="DT"/>
    <d v="2020-05-20T00:00:00"/>
    <d v="2020-10-23T00:00:00"/>
    <x v="0"/>
    <s v="Nil"/>
    <m/>
    <s v="BF"/>
    <s v="NB"/>
    <x v="1"/>
    <x v="0"/>
    <n v="3.9600000000000003E-2"/>
    <d v="2021-03-31T00:00:00"/>
    <x v="0"/>
    <d v="2024-03-31T00:00:00"/>
    <x v="2"/>
    <s v="AA"/>
    <s v="9.1"/>
    <m/>
    <m/>
    <m/>
    <m/>
    <m/>
    <n v="0"/>
    <n v="2"/>
    <n v="1"/>
    <n v="1"/>
    <n v="0"/>
    <n v="0"/>
    <n v="0"/>
    <n v="0"/>
    <n v="2"/>
    <n v="1"/>
    <n v="1"/>
    <n v="0"/>
    <n v="0"/>
    <n v="0"/>
    <n v="0"/>
    <n v="0"/>
    <n v="0"/>
    <n v="0"/>
    <n v="0"/>
    <n v="0"/>
    <n v="0"/>
    <n v="0"/>
    <n v="0"/>
    <n v="0"/>
    <n v="0"/>
    <n v="0"/>
    <n v="0"/>
    <n v="0"/>
    <x v="1"/>
    <x v="0"/>
    <x v="2"/>
    <n v="1"/>
    <n v="4"/>
    <m/>
    <m/>
    <m/>
    <m/>
    <m/>
    <m/>
    <m/>
    <m/>
    <m/>
    <m/>
    <m/>
    <m/>
    <m/>
    <m/>
    <m/>
    <m/>
    <m/>
    <m/>
    <m/>
    <n v="0"/>
    <n v="0"/>
  </r>
  <r>
    <n v="2502"/>
    <x v="0"/>
    <s v="2020/1779"/>
    <s v="Springfield Hospital site, 61 Glenburnie Road"/>
    <s v="Phase 5A - Block B2A"/>
    <n v="527221"/>
    <n v="172443"/>
    <x v="17"/>
    <d v="2021-03-31T00:00:00"/>
    <m/>
    <n v="0"/>
    <x v="12"/>
    <x v="15"/>
    <n v="227"/>
    <n v="227"/>
    <x v="0"/>
    <s v="Reserved Matters relating to scale, appearance and landscaping in respect of Phase 5A (Plots B - E) of the Springfield Hospital Masterplan pursuant to condition 1 of outline planning permission ref. 2010/3703 dated 20/06/2012 (for the erection of 25,000 sq.m. of replacement mental health facilities (Class C2/C2a); 839 residential dwellings; 9,200 sq.m. elderly persons' care home; 240 sq.m. of retail floorspace (Class A1); a school (Class D1); 3,500 sq.m. of mixed non-residential floorspace (Class A1, A2, A3, A4, B1, D1 or D2); landscaped public park; a combined cooling, heat and power energy centre, associated landscaping, parking, roads, access, infrastructure and other associated works), as varied under application ref. 2014/6585, dated 04/06/2015, application ref. 2016/4760 dated 24/04/2018, and application 2019/2495, dated 28/02/2020. [Phase 5A comprises the erection of buildings of between 2 and 4 storeys high to provide 227 residential units (Use Class C3), provision of 330 sq.m GIA of flexible non-residential floorspace (Use Class A1/A2/A3/A4/B1/D1/D2), 103 car parking spaces, cycle parking, private and communal amenity areas, and associated public realm and landscaping works]."/>
    <s v="DT"/>
    <d v="2020-05-20T00:00:00"/>
    <d v="2020-10-23T00:00:00"/>
    <x v="0"/>
    <s v="Nil"/>
    <m/>
    <s v="BF"/>
    <s v="NB"/>
    <x v="1"/>
    <x v="0"/>
    <n v="3.9E-2"/>
    <d v="2021-03-31T00:00:00"/>
    <x v="0"/>
    <d v="2024-03-31T00:00:00"/>
    <x v="2"/>
    <s v="AA"/>
    <s v="9.1"/>
    <m/>
    <m/>
    <m/>
    <m/>
    <m/>
    <n v="0"/>
    <n v="0"/>
    <n v="0"/>
    <n v="4"/>
    <n v="0"/>
    <n v="0"/>
    <n v="0"/>
    <n v="0"/>
    <n v="0"/>
    <n v="0"/>
    <n v="4"/>
    <n v="0"/>
    <n v="0"/>
    <n v="0"/>
    <n v="0"/>
    <n v="0"/>
    <n v="0"/>
    <n v="0"/>
    <n v="0"/>
    <n v="0"/>
    <n v="0"/>
    <n v="0"/>
    <n v="0"/>
    <n v="0"/>
    <n v="0"/>
    <n v="0"/>
    <n v="0"/>
    <n v="0"/>
    <x v="1"/>
    <x v="0"/>
    <x v="2"/>
    <n v="1"/>
    <n v="4"/>
    <m/>
    <m/>
    <m/>
    <m/>
    <m/>
    <m/>
    <m/>
    <m/>
    <m/>
    <m/>
    <m/>
    <m/>
    <m/>
    <m/>
    <m/>
    <m/>
    <m/>
    <m/>
    <m/>
    <n v="0"/>
    <n v="0"/>
  </r>
  <r>
    <n v="2502"/>
    <x v="0"/>
    <s v="2020/1779"/>
    <s v="Springfield Hospital site, 61 Glenburnie Road"/>
    <s v="Phase 5A - Block B2B"/>
    <n v="527221"/>
    <n v="172443"/>
    <x v="17"/>
    <d v="2021-03-31T00:00:00"/>
    <m/>
    <n v="0"/>
    <x v="3"/>
    <x v="5"/>
    <n v="227"/>
    <n v="227"/>
    <x v="0"/>
    <s v="Reserved Matters relating to scale, appearance and landscaping in respect of Phase 5A (Plots B - E) of the Springfield Hospital Masterplan pursuant to condition 1 of outline planning permission ref. 2010/3703 dated 20/06/2012 (for the erection of 25,000 sq.m. of replacement mental health facilities (Class C2/C2a); 839 residential dwellings; 9,200 sq.m. elderly persons' care home; 240 sq.m. of retail floorspace (Class A1); a school (Class D1); 3,500 sq.m. of mixed non-residential floorspace (Class A1, A2, A3, A4, B1, D1 or D2); landscaped public park; a combined cooling, heat and power energy centre, associated landscaping, parking, roads, access, infrastructure and other associated works), as varied under application ref. 2014/6585, dated 04/06/2015, application ref. 2016/4760 dated 24/04/2018, and application 2019/2495, dated 28/02/2020. [Phase 5A comprises the erection of buildings of between 2 and 4 storeys high to provide 227 residential units (Use Class C3), provision of 330 sq.m GIA of flexible non-residential floorspace (Use Class A1/A2/A3/A4/B1/D1/D2), 103 car parking spaces, cycle parking, private and communal amenity areas, and associated public realm and landscaping works]."/>
    <s v="DT"/>
    <d v="2020-05-20T00:00:00"/>
    <d v="2020-10-23T00:00:00"/>
    <x v="0"/>
    <s v="Nil"/>
    <m/>
    <s v="BF"/>
    <s v="NB"/>
    <x v="1"/>
    <x v="0"/>
    <n v="0.01"/>
    <d v="2021-03-31T00:00:00"/>
    <x v="0"/>
    <d v="2024-03-31T00:00:00"/>
    <x v="2"/>
    <s v="AA"/>
    <s v="9.1"/>
    <m/>
    <m/>
    <m/>
    <n v="1"/>
    <m/>
    <n v="0"/>
    <n v="0"/>
    <n v="0"/>
    <n v="1"/>
    <n v="0"/>
    <n v="0"/>
    <n v="0"/>
    <n v="0"/>
    <n v="0"/>
    <n v="0"/>
    <n v="0"/>
    <n v="0"/>
    <n v="0"/>
    <n v="0"/>
    <n v="0"/>
    <n v="0"/>
    <n v="0"/>
    <n v="1"/>
    <n v="0"/>
    <n v="0"/>
    <n v="0"/>
    <n v="0"/>
    <n v="0"/>
    <n v="0"/>
    <n v="0"/>
    <n v="0"/>
    <n v="0"/>
    <n v="0"/>
    <x v="1"/>
    <x v="0"/>
    <x v="2"/>
    <n v="1"/>
    <n v="1"/>
    <m/>
    <m/>
    <m/>
    <m/>
    <m/>
    <m/>
    <m/>
    <m/>
    <m/>
    <m/>
    <m/>
    <m/>
    <m/>
    <m/>
    <m/>
    <m/>
    <m/>
    <m/>
    <m/>
    <n v="0"/>
    <n v="0"/>
  </r>
  <r>
    <n v="2502"/>
    <x v="0"/>
    <s v="2020/1779"/>
    <s v="Springfield Hospital site, 61 Glenburnie Road"/>
    <s v="Phase 5A - Block B2C"/>
    <n v="527221"/>
    <n v="172443"/>
    <x v="17"/>
    <d v="2021-03-31T00:00:00"/>
    <m/>
    <n v="0"/>
    <x v="3"/>
    <x v="5"/>
    <n v="227"/>
    <n v="227"/>
    <x v="0"/>
    <s v="Reserved Matters relating to scale, appearance and landscaping in respect of Phase 5A (Plots B - E) of the Springfield Hospital Masterplan pursuant to condition 1 of outline planning permission ref. 2010/3703 dated 20/06/2012 (for the erection of 25,000 sq.m. of replacement mental health facilities (Class C2/C2a); 839 residential dwellings; 9,200 sq.m. elderly persons' care home; 240 sq.m. of retail floorspace (Class A1); a school (Class D1); 3,500 sq.m. of mixed non-residential floorspace (Class A1, A2, A3, A4, B1, D1 or D2); landscaped public park; a combined cooling, heat and power energy centre, associated landscaping, parking, roads, access, infrastructure and other associated works), as varied under application ref. 2014/6585, dated 04/06/2015, application ref. 2016/4760 dated 24/04/2018, and application 2019/2495, dated 28/02/2020. [Phase 5A comprises the erection of buildings of between 2 and 4 storeys high to provide 227 residential units (Use Class C3), provision of 330 sq.m GIA of flexible non-residential floorspace (Use Class A1/A2/A3/A4/B1/D1/D2), 103 car parking spaces, cycle parking, private and communal amenity areas, and associated public realm and landscaping works]."/>
    <s v="DT"/>
    <d v="2020-05-20T00:00:00"/>
    <d v="2020-10-23T00:00:00"/>
    <x v="0"/>
    <s v="Nil"/>
    <m/>
    <s v="BF"/>
    <s v="NB"/>
    <x v="1"/>
    <x v="0"/>
    <n v="0.01"/>
    <d v="2021-03-31T00:00:00"/>
    <x v="0"/>
    <d v="2024-03-31T00:00:00"/>
    <x v="2"/>
    <s v="AA"/>
    <s v="9.1"/>
    <m/>
    <m/>
    <m/>
    <n v="1"/>
    <m/>
    <n v="0"/>
    <n v="0"/>
    <n v="0"/>
    <n v="1"/>
    <n v="0"/>
    <n v="0"/>
    <n v="0"/>
    <n v="0"/>
    <n v="0"/>
    <n v="0"/>
    <n v="0"/>
    <n v="0"/>
    <n v="0"/>
    <n v="0"/>
    <n v="0"/>
    <n v="0"/>
    <n v="0"/>
    <n v="1"/>
    <n v="0"/>
    <n v="0"/>
    <n v="0"/>
    <n v="0"/>
    <n v="0"/>
    <n v="0"/>
    <n v="0"/>
    <n v="0"/>
    <n v="0"/>
    <n v="0"/>
    <x v="1"/>
    <x v="0"/>
    <x v="2"/>
    <n v="1"/>
    <n v="1"/>
    <m/>
    <m/>
    <m/>
    <m/>
    <m/>
    <m/>
    <m/>
    <m/>
    <m/>
    <m/>
    <m/>
    <m/>
    <m/>
    <m/>
    <m/>
    <m/>
    <m/>
    <m/>
    <m/>
    <n v="0"/>
    <n v="0"/>
  </r>
  <r>
    <n v="2502"/>
    <x v="0"/>
    <s v="2020/1779"/>
    <s v="Springfield Hospital site, 61 Glenburnie Road"/>
    <s v="Phase 5A - Block C1A"/>
    <n v="527221"/>
    <n v="172443"/>
    <x v="17"/>
    <d v="2021-03-31T00:00:00"/>
    <m/>
    <n v="0"/>
    <x v="9"/>
    <x v="12"/>
    <n v="227"/>
    <n v="227"/>
    <x v="0"/>
    <s v="Reserved Matters relating to scale, appearance and landscaping in respect of Phase 5A (Plots B - E) of the Springfield Hospital Masterplan pursuant to condition 1 of outline planning permission ref. 2010/3703 dated 20/06/2012 (for the erection of 25,000 sq.m. of replacement mental health facilities (Class C2/C2a); 839 residential dwellings; 9,200 sq.m. elderly persons' care home; 240 sq.m. of retail floorspace (Class A1); a school (Class D1); 3,500 sq.m. of mixed non-residential floorspace (Class A1, A2, A3, A4, B1, D1 or D2); landscaped public park; a combined cooling, heat and power energy centre, associated landscaping, parking, roads, access, infrastructure and other associated works), as varied under application ref. 2014/6585, dated 04/06/2015, application ref. 2016/4760 dated 24/04/2018, and application 2019/2495, dated 28/02/2020. [Phase 5A comprises the erection of buildings of between 2 and 4 storeys high to provide 227 residential units (Use Class C3), provision of 330 sq.m GIA of flexible non-residential floorspace (Use Class A1/A2/A3/A4/B1/D1/D2), 103 car parking spaces, cycle parking, private and communal amenity areas, and associated public realm and landscaping works]."/>
    <s v="DT"/>
    <d v="2020-05-20T00:00:00"/>
    <d v="2020-10-23T00:00:00"/>
    <x v="0"/>
    <s v="Nil"/>
    <m/>
    <s v="BF"/>
    <s v="NB"/>
    <x v="1"/>
    <x v="0"/>
    <n v="7.6999999999999999E-2"/>
    <d v="2021-03-31T00:00:00"/>
    <x v="0"/>
    <d v="2024-03-31T00:00:00"/>
    <x v="2"/>
    <s v="AA"/>
    <s v="9.1"/>
    <m/>
    <m/>
    <m/>
    <m/>
    <m/>
    <n v="0"/>
    <n v="0"/>
    <n v="8"/>
    <n v="0"/>
    <n v="0"/>
    <n v="0"/>
    <n v="0"/>
    <n v="0"/>
    <n v="0"/>
    <n v="8"/>
    <n v="0"/>
    <n v="0"/>
    <n v="0"/>
    <n v="0"/>
    <n v="0"/>
    <n v="0"/>
    <n v="0"/>
    <n v="0"/>
    <n v="0"/>
    <n v="0"/>
    <n v="0"/>
    <n v="0"/>
    <n v="0"/>
    <n v="0"/>
    <n v="0"/>
    <n v="0"/>
    <n v="0"/>
    <n v="0"/>
    <x v="1"/>
    <x v="0"/>
    <x v="2"/>
    <n v="1"/>
    <n v="8"/>
    <m/>
    <m/>
    <m/>
    <m/>
    <m/>
    <m/>
    <m/>
    <m/>
    <m/>
    <m/>
    <m/>
    <m/>
    <m/>
    <m/>
    <m/>
    <m/>
    <m/>
    <m/>
    <m/>
    <n v="0"/>
    <n v="0"/>
  </r>
  <r>
    <n v="2502"/>
    <x v="0"/>
    <s v="2020/1779"/>
    <s v="Springfield Hospital site, 61 Glenburnie Road"/>
    <s v="Phase 5A - Block C1A"/>
    <n v="527221"/>
    <n v="172443"/>
    <x v="17"/>
    <d v="2021-03-31T00:00:00"/>
    <m/>
    <n v="0"/>
    <x v="9"/>
    <x v="12"/>
    <n v="227"/>
    <n v="227"/>
    <x v="0"/>
    <s v="Reserved Matters relating to scale, appearance and landscaping in respect of Phase 5A (Plots B - E) of the Springfield Hospital Masterplan pursuant to condition 1 of outline planning permission ref. 2010/3703 dated 20/06/2012 (for the erection of 25,000 sq.m. of replacement mental health facilities (Class C2/C2a); 839 residential dwellings; 9,200 sq.m. elderly persons' care home; 240 sq.m. of retail floorspace (Class A1); a school (Class D1); 3,500 sq.m. of mixed non-residential floorspace (Class A1, A2, A3, A4, B1, D1 or D2); landscaped public park; a combined cooling, heat and power energy centre, associated landscaping, parking, roads, access, infrastructure and other associated works), as varied under application ref. 2014/6585, dated 04/06/2015, application ref. 2016/4760 dated 24/04/2018, and application 2019/2495, dated 28/02/2020. [Phase 5A comprises the erection of buildings of between 2 and 4 storeys high to provide 227 residential units (Use Class C3), provision of 330 sq.m GIA of flexible non-residential floorspace (Use Class A1/A2/A3/A4/B1/D1/D2), 103 car parking spaces, cycle parking, private and communal amenity areas, and associated public realm and landscaping works]."/>
    <s v="DT"/>
    <d v="2020-05-20T00:00:00"/>
    <d v="2020-10-23T00:00:00"/>
    <x v="0"/>
    <s v="Nil"/>
    <m/>
    <s v="BF"/>
    <s v="NB"/>
    <x v="1"/>
    <x v="0"/>
    <n v="7.6999999999999999E-2"/>
    <d v="2021-03-31T00:00:00"/>
    <x v="0"/>
    <d v="2024-03-31T00:00:00"/>
    <x v="0"/>
    <s v="ISO"/>
    <s v="9.1"/>
    <m/>
    <m/>
    <m/>
    <n v="8"/>
    <m/>
    <n v="0"/>
    <n v="4"/>
    <n v="4"/>
    <n v="0"/>
    <n v="0"/>
    <n v="0"/>
    <n v="0"/>
    <n v="0"/>
    <n v="4"/>
    <n v="4"/>
    <n v="0"/>
    <n v="0"/>
    <n v="0"/>
    <n v="0"/>
    <n v="0"/>
    <n v="0"/>
    <n v="0"/>
    <n v="0"/>
    <n v="0"/>
    <n v="0"/>
    <n v="0"/>
    <n v="0"/>
    <n v="0"/>
    <n v="0"/>
    <n v="0"/>
    <n v="0"/>
    <n v="0"/>
    <n v="0"/>
    <x v="1"/>
    <x v="0"/>
    <x v="2"/>
    <n v="1"/>
    <n v="8"/>
    <m/>
    <m/>
    <m/>
    <m/>
    <m/>
    <m/>
    <m/>
    <m/>
    <m/>
    <m/>
    <m/>
    <m/>
    <m/>
    <m/>
    <m/>
    <m/>
    <m/>
    <m/>
    <m/>
    <n v="0"/>
    <n v="0"/>
  </r>
  <r>
    <n v="2502"/>
    <x v="0"/>
    <s v="2020/1779"/>
    <s v="Springfield Hospital site, 61 Glenburnie Road"/>
    <s v="Phase 5A - Block C1B"/>
    <n v="527221"/>
    <n v="172443"/>
    <x v="17"/>
    <d v="2021-03-31T00:00:00"/>
    <m/>
    <n v="0"/>
    <x v="5"/>
    <x v="7"/>
    <n v="227"/>
    <n v="227"/>
    <x v="0"/>
    <s v="Reserved Matters relating to scale, appearance and landscaping in respect of Phase 5A (Plots B - E) of the Springfield Hospital Masterplan pursuant to condition 1 of outline planning permission ref. 2010/3703 dated 20/06/2012 (for the erection of 25,000 sq.m. of replacement mental health facilities (Class C2/C2a); 839 residential dwellings; 9,200 sq.m. elderly persons' care home; 240 sq.m. of retail floorspace (Class A1); a school (Class D1); 3,500 sq.m. of mixed non-residential floorspace (Class A1, A2, A3, A4, B1, D1 or D2); landscaped public park; a combined cooling, heat and power energy centre, associated landscaping, parking, roads, access, infrastructure and other associated works), as varied under application ref. 2014/6585, dated 04/06/2015, application ref. 2016/4760 dated 24/04/2018, and application 2019/2495, dated 28/02/2020. [Phase 5A comprises the erection of buildings of between 2 and 4 storeys high to provide 227 residential units (Use Class C3), provision of 330 sq.m GIA of flexible non-residential floorspace (Use Class A1/A2/A3/A4/B1/D1/D2), 103 car parking spaces, cycle parking, private and communal amenity areas, and associated public realm and landscaping works]."/>
    <s v="DT"/>
    <d v="2020-05-20T00:00:00"/>
    <d v="2020-10-23T00:00:00"/>
    <x v="0"/>
    <s v="Nil"/>
    <m/>
    <s v="BF"/>
    <s v="NB"/>
    <x v="1"/>
    <x v="0"/>
    <n v="1.9E-2"/>
    <d v="2021-03-31T00:00:00"/>
    <x v="0"/>
    <d v="2024-03-31T00:00:00"/>
    <x v="2"/>
    <s v="AA"/>
    <s v="9.1"/>
    <m/>
    <m/>
    <m/>
    <n v="1"/>
    <m/>
    <n v="0"/>
    <n v="0"/>
    <n v="0"/>
    <n v="2"/>
    <n v="0"/>
    <n v="0"/>
    <n v="0"/>
    <n v="0"/>
    <n v="0"/>
    <n v="0"/>
    <n v="0"/>
    <n v="0"/>
    <n v="0"/>
    <n v="0"/>
    <n v="0"/>
    <n v="0"/>
    <n v="0"/>
    <n v="2"/>
    <n v="0"/>
    <n v="0"/>
    <n v="0"/>
    <n v="0"/>
    <n v="0"/>
    <n v="0"/>
    <n v="0"/>
    <n v="0"/>
    <n v="0"/>
    <n v="0"/>
    <x v="1"/>
    <x v="0"/>
    <x v="2"/>
    <n v="1"/>
    <n v="2"/>
    <m/>
    <m/>
    <m/>
    <m/>
    <m/>
    <m/>
    <m/>
    <m/>
    <m/>
    <m/>
    <m/>
    <m/>
    <m/>
    <m/>
    <m/>
    <m/>
    <m/>
    <m/>
    <m/>
    <n v="0"/>
    <n v="0"/>
  </r>
  <r>
    <n v="2502"/>
    <x v="0"/>
    <s v="2020/1779"/>
    <s v="Springfield Hospital site, 61 Glenburnie Road"/>
    <s v="Phase 5A - Block C1C"/>
    <n v="527221"/>
    <n v="172443"/>
    <x v="17"/>
    <d v="2021-03-31T00:00:00"/>
    <m/>
    <n v="0"/>
    <x v="5"/>
    <x v="7"/>
    <n v="227"/>
    <n v="227"/>
    <x v="0"/>
    <s v="Reserved Matters relating to scale, appearance and landscaping in respect of Phase 5A (Plots B - E) of the Springfield Hospital Masterplan pursuant to condition 1 of outline planning permission ref. 2010/3703 dated 20/06/2012 (for the erection of 25,000 sq.m. of replacement mental health facilities (Class C2/C2a); 839 residential dwellings; 9,200 sq.m. elderly persons' care home; 240 sq.m. of retail floorspace (Class A1); a school (Class D1); 3,500 sq.m. of mixed non-residential floorspace (Class A1, A2, A3, A4, B1, D1 or D2); landscaped public park; a combined cooling, heat and power energy centre, associated landscaping, parking, roads, access, infrastructure and other associated works), as varied under application ref. 2014/6585, dated 04/06/2015, application ref. 2016/4760 dated 24/04/2018, and application 2019/2495, dated 28/02/2020. [Phase 5A comprises the erection of buildings of between 2 and 4 storeys high to provide 227 residential units (Use Class C3), provision of 330 sq.m GIA of flexible non-residential floorspace (Use Class A1/A2/A3/A4/B1/D1/D2), 103 car parking spaces, cycle parking, private and communal amenity areas, and associated public realm and landscaping works]."/>
    <s v="DT"/>
    <d v="2020-05-20T00:00:00"/>
    <d v="2020-10-23T00:00:00"/>
    <x v="0"/>
    <s v="Nil"/>
    <m/>
    <s v="BF"/>
    <s v="NB"/>
    <x v="1"/>
    <x v="0"/>
    <n v="1.9E-2"/>
    <d v="2021-03-31T00:00:00"/>
    <x v="0"/>
    <d v="2024-03-31T00:00:00"/>
    <x v="2"/>
    <s v="AA"/>
    <s v="9.1"/>
    <m/>
    <m/>
    <m/>
    <m/>
    <m/>
    <n v="0"/>
    <n v="0"/>
    <n v="0"/>
    <n v="2"/>
    <n v="0"/>
    <n v="0"/>
    <n v="0"/>
    <n v="0"/>
    <n v="0"/>
    <n v="0"/>
    <n v="0"/>
    <n v="0"/>
    <n v="0"/>
    <n v="0"/>
    <n v="0"/>
    <n v="0"/>
    <n v="0"/>
    <n v="2"/>
    <n v="0"/>
    <n v="0"/>
    <n v="0"/>
    <n v="0"/>
    <n v="0"/>
    <n v="0"/>
    <n v="0"/>
    <n v="0"/>
    <n v="0"/>
    <n v="0"/>
    <x v="1"/>
    <x v="0"/>
    <x v="2"/>
    <n v="1"/>
    <n v="2"/>
    <m/>
    <m/>
    <m/>
    <m/>
    <m/>
    <m/>
    <m/>
    <m/>
    <m/>
    <m/>
    <m/>
    <m/>
    <m/>
    <m/>
    <m/>
    <m/>
    <m/>
    <m/>
    <m/>
    <n v="0"/>
    <n v="0"/>
  </r>
  <r>
    <n v="2502"/>
    <x v="0"/>
    <s v="2020/1779"/>
    <s v="Springfield Hospital site, 61 Glenburnie Road"/>
    <s v="Phase 5A - Block C2B"/>
    <n v="527221"/>
    <n v="172443"/>
    <x v="17"/>
    <d v="2021-03-31T00:00:00"/>
    <m/>
    <n v="0"/>
    <x v="3"/>
    <x v="5"/>
    <n v="227"/>
    <n v="227"/>
    <x v="0"/>
    <s v="Reserved Matters relating to scale, appearance and landscaping in respect of Phase 5A (Plots B - E) of the Springfield Hospital Masterplan pursuant to condition 1 of outline planning permission ref. 2010/3703 dated 20/06/2012 (for the erection of 25,000 sq.m. of replacement mental health facilities (Class C2/C2a); 839 residential dwellings; 9,200 sq.m. elderly persons' care home; 240 sq.m. of retail floorspace (Class A1); a school (Class D1); 3,500 sq.m. of mixed non-residential floorspace (Class A1, A2, A3, A4, B1, D1 or D2); landscaped public park; a combined cooling, heat and power energy centre, associated landscaping, parking, roads, access, infrastructure and other associated works), as varied under application ref. 2014/6585, dated 04/06/2015, application ref. 2016/4760 dated 24/04/2018, and application 2019/2495, dated 28/02/2020. [Phase 5A comprises the erection of buildings of between 2 and 4 storeys high to provide 227 residential units (Use Class C3), provision of 330 sq.m GIA of flexible non-residential floorspace (Use Class A1/A2/A3/A4/B1/D1/D2), 103 car parking spaces, cycle parking, private and communal amenity areas, and associated public realm and landscaping works]."/>
    <s v="DT"/>
    <d v="2020-05-20T00:00:00"/>
    <d v="2020-10-23T00:00:00"/>
    <x v="0"/>
    <s v="Nil"/>
    <m/>
    <s v="BF"/>
    <s v="NB"/>
    <x v="1"/>
    <x v="0"/>
    <n v="0.01"/>
    <d v="2021-03-31T00:00:00"/>
    <x v="0"/>
    <d v="2024-03-31T00:00:00"/>
    <x v="0"/>
    <s v="ISO"/>
    <s v="9.1"/>
    <m/>
    <m/>
    <m/>
    <m/>
    <m/>
    <n v="0"/>
    <n v="0"/>
    <n v="1"/>
    <n v="0"/>
    <n v="0"/>
    <n v="0"/>
    <n v="0"/>
    <n v="0"/>
    <n v="0"/>
    <n v="0"/>
    <n v="0"/>
    <n v="0"/>
    <n v="0"/>
    <n v="0"/>
    <n v="0"/>
    <n v="0"/>
    <n v="1"/>
    <n v="0"/>
    <n v="0"/>
    <n v="0"/>
    <n v="0"/>
    <n v="0"/>
    <n v="0"/>
    <n v="0"/>
    <n v="0"/>
    <n v="0"/>
    <n v="0"/>
    <n v="0"/>
    <x v="1"/>
    <x v="0"/>
    <x v="2"/>
    <n v="1"/>
    <n v="1"/>
    <m/>
    <m/>
    <m/>
    <m/>
    <m/>
    <m/>
    <m/>
    <m/>
    <m/>
    <m/>
    <m/>
    <m/>
    <m/>
    <m/>
    <m/>
    <m/>
    <m/>
    <m/>
    <m/>
    <n v="0"/>
    <n v="0"/>
  </r>
  <r>
    <n v="2502"/>
    <x v="0"/>
    <s v="2020/1779"/>
    <s v="Springfield Hospital site, 61 Glenburnie Road"/>
    <s v="Phase 5A - Block C2C"/>
    <n v="527221"/>
    <n v="172443"/>
    <x v="17"/>
    <d v="2021-03-31T00:00:00"/>
    <m/>
    <n v="0"/>
    <x v="24"/>
    <x v="28"/>
    <n v="227"/>
    <n v="227"/>
    <x v="0"/>
    <s v="Reserved Matters relating to scale, appearance and landscaping in respect of Phase 5A (Plots B - E) of the Springfield Hospital Masterplan pursuant to condition 1 of outline planning permission ref. 2010/3703 dated 20/06/2012 (for the erection of 25,000 sq.m. of replacement mental health facilities (Class C2/C2a); 839 residential dwellings; 9,200 sq.m. elderly persons' care home; 240 sq.m. of retail floorspace (Class A1); a school (Class D1); 3,500 sq.m. of mixed non-residential floorspace (Class A1, A2, A3, A4, B1, D1 or D2); landscaped public park; a combined cooling, heat and power energy centre, associated landscaping, parking, roads, access, infrastructure and other associated works), as varied under application ref. 2014/6585, dated 04/06/2015, application ref. 2016/4760 dated 24/04/2018, and application 2019/2495, dated 28/02/2020. [Phase 5A comprises the erection of buildings of between 2 and 4 storeys high to provide 227 residential units (Use Class C3), provision of 330 sq.m GIA of flexible non-residential floorspace (Use Class A1/A2/A3/A4/B1/D1/D2), 103 car parking spaces, cycle parking, private and communal amenity areas, and associated public realm and landscaping works]."/>
    <s v="DT"/>
    <d v="2020-05-20T00:00:00"/>
    <d v="2020-10-23T00:00:00"/>
    <x v="0"/>
    <s v="Nil"/>
    <m/>
    <s v="BF"/>
    <s v="NB"/>
    <x v="1"/>
    <x v="0"/>
    <n v="4.8000000000000001E-2"/>
    <d v="2021-03-31T00:00:00"/>
    <x v="0"/>
    <d v="2024-03-31T00:00:00"/>
    <x v="0"/>
    <s v="ISO"/>
    <s v="9.1"/>
    <m/>
    <m/>
    <m/>
    <m/>
    <m/>
    <n v="0"/>
    <n v="0"/>
    <n v="5"/>
    <n v="0"/>
    <n v="0"/>
    <n v="0"/>
    <n v="0"/>
    <n v="0"/>
    <n v="0"/>
    <n v="0"/>
    <n v="0"/>
    <n v="0"/>
    <n v="0"/>
    <n v="0"/>
    <n v="0"/>
    <n v="0"/>
    <n v="5"/>
    <n v="0"/>
    <n v="0"/>
    <n v="0"/>
    <n v="0"/>
    <n v="0"/>
    <n v="0"/>
    <n v="0"/>
    <n v="0"/>
    <n v="0"/>
    <n v="0"/>
    <n v="0"/>
    <x v="1"/>
    <x v="0"/>
    <x v="2"/>
    <n v="1"/>
    <n v="5"/>
    <m/>
    <m/>
    <m/>
    <m/>
    <m/>
    <m/>
    <m/>
    <m/>
    <m/>
    <m/>
    <m/>
    <m/>
    <m/>
    <m/>
    <m/>
    <m/>
    <m/>
    <m/>
    <m/>
    <n v="0"/>
    <n v="0"/>
  </r>
  <r>
    <n v="2502"/>
    <x v="0"/>
    <s v="2020/1779"/>
    <s v="Springfield Hospital site, 61 Glenburnie Road"/>
    <s v="Phase 5A - Block D1A"/>
    <n v="527221"/>
    <n v="172443"/>
    <x v="17"/>
    <d v="2021-03-31T00:00:00"/>
    <m/>
    <n v="0"/>
    <x v="28"/>
    <x v="32"/>
    <n v="227"/>
    <n v="227"/>
    <x v="0"/>
    <s v="Reserved Matters relating to scale, appearance and landscaping in respect of Phase 5A (Plots B - E) of the Springfield Hospital Masterplan pursuant to condition 1 of outline planning permission ref. 2010/3703 dated 20/06/2012 (for the erection of 25,000 sq.m. of replacement mental health facilities (Class C2/C2a); 839 residential dwellings; 9,200 sq.m. elderly persons' care home; 240 sq.m. of retail floorspace (Class A1); a school (Class D1); 3,500 sq.m. of mixed non-residential floorspace (Class A1, A2, A3, A4, B1, D1 or D2); landscaped public park; a combined cooling, heat and power energy centre, associated landscaping, parking, roads, access, infrastructure and other associated works), as varied under application ref. 2014/6585, dated 04/06/2015, application ref. 2016/4760 dated 24/04/2018, and application 2019/2495, dated 28/02/2020. [Phase 5A comprises the erection of buildings of between 2 and 4 storeys high to provide 227 residential units (Use Class C3), provision of 330 sq.m GIA of flexible non-residential floorspace (Use Class A1/A2/A3/A4/B1/D1/D2), 103 car parking spaces, cycle parking, private and communal amenity areas, and associated public realm and landscaping works]."/>
    <s v="DT"/>
    <d v="2020-05-20T00:00:00"/>
    <d v="2020-10-23T00:00:00"/>
    <x v="0"/>
    <s v="Nil"/>
    <m/>
    <s v="BF"/>
    <s v="NB"/>
    <x v="1"/>
    <x v="0"/>
    <n v="0.14499999999999999"/>
    <d v="2021-03-31T00:00:00"/>
    <x v="0"/>
    <d v="2024-03-31T00:00:00"/>
    <x v="1"/>
    <s v="M"/>
    <s v="9.1"/>
    <m/>
    <m/>
    <m/>
    <m/>
    <m/>
    <n v="0"/>
    <n v="6"/>
    <n v="9"/>
    <n v="0"/>
    <n v="0"/>
    <n v="0"/>
    <n v="0"/>
    <n v="0"/>
    <n v="6"/>
    <n v="9"/>
    <n v="0"/>
    <n v="0"/>
    <n v="0"/>
    <n v="0"/>
    <n v="0"/>
    <n v="0"/>
    <n v="0"/>
    <n v="0"/>
    <n v="0"/>
    <n v="0"/>
    <n v="0"/>
    <n v="0"/>
    <n v="0"/>
    <n v="0"/>
    <n v="0"/>
    <n v="0"/>
    <n v="0"/>
    <n v="0"/>
    <x v="1"/>
    <x v="0"/>
    <x v="2"/>
    <n v="1"/>
    <n v="15"/>
    <m/>
    <m/>
    <m/>
    <m/>
    <m/>
    <m/>
    <m/>
    <m/>
    <m/>
    <m/>
    <m/>
    <m/>
    <m/>
    <m/>
    <m/>
    <m/>
    <m/>
    <m/>
    <m/>
    <n v="0"/>
    <n v="0"/>
  </r>
  <r>
    <n v="2502"/>
    <x v="0"/>
    <s v="2020/1779"/>
    <s v="Springfield Hospital site, 61 Glenburnie Road"/>
    <s v="Phase 5A - Block D1B"/>
    <n v="527221"/>
    <n v="172443"/>
    <x v="17"/>
    <d v="2021-03-31T00:00:00"/>
    <m/>
    <n v="0"/>
    <x v="29"/>
    <x v="33"/>
    <n v="227"/>
    <n v="227"/>
    <x v="0"/>
    <s v="Reserved Matters relating to scale, appearance and landscaping in respect of Phase 5A (Plots B - E) of the Springfield Hospital Masterplan pursuant to condition 1 of outline planning permission ref. 2010/3703 dated 20/06/2012 (for the erection of 25,000 sq.m. of replacement mental health facilities (Class C2/C2a); 839 residential dwellings; 9,200 sq.m. elderly persons' care home; 240 sq.m. of retail floorspace (Class A1); a school (Class D1); 3,500 sq.m. of mixed non-residential floorspace (Class A1, A2, A3, A4, B1, D1 or D2); landscaped public park; a combined cooling, heat and power energy centre, associated landscaping, parking, roads, access, infrastructure and other associated works), as varied under application ref. 2014/6585, dated 04/06/2015, application ref. 2016/4760 dated 24/04/2018, and application 2019/2495, dated 28/02/2020. [Phase 5A comprises the erection of buildings of between 2 and 4 storeys high to provide 227 residential units (Use Class C3), provision of 330 sq.m GIA of flexible non-residential floorspace (Use Class A1/A2/A3/A4/B1/D1/D2), 103 car parking spaces, cycle parking, private and communal amenity areas, and associated public realm and landscaping works]."/>
    <s v="DT"/>
    <d v="2020-05-20T00:00:00"/>
    <d v="2020-10-23T00:00:00"/>
    <x v="0"/>
    <s v="Nil"/>
    <m/>
    <s v="BF"/>
    <s v="NB"/>
    <x v="1"/>
    <x v="0"/>
    <n v="8.6999999999999994E-2"/>
    <d v="2021-03-31T00:00:00"/>
    <x v="0"/>
    <d v="2024-03-31T00:00:00"/>
    <x v="1"/>
    <s v="M"/>
    <s v="9.1"/>
    <m/>
    <m/>
    <m/>
    <m/>
    <m/>
    <n v="0"/>
    <n v="0"/>
    <n v="7"/>
    <n v="2"/>
    <n v="0"/>
    <n v="0"/>
    <n v="0"/>
    <n v="0"/>
    <n v="0"/>
    <n v="0"/>
    <n v="0"/>
    <n v="0"/>
    <n v="0"/>
    <n v="0"/>
    <n v="0"/>
    <n v="0"/>
    <n v="7"/>
    <n v="2"/>
    <n v="0"/>
    <n v="0"/>
    <n v="0"/>
    <n v="0"/>
    <n v="0"/>
    <n v="0"/>
    <n v="0"/>
    <n v="0"/>
    <n v="0"/>
    <n v="0"/>
    <x v="1"/>
    <x v="0"/>
    <x v="2"/>
    <n v="1"/>
    <n v="9"/>
    <m/>
    <m/>
    <m/>
    <m/>
    <m/>
    <m/>
    <m/>
    <m/>
    <m/>
    <m/>
    <m/>
    <m/>
    <m/>
    <m/>
    <m/>
    <m/>
    <m/>
    <m/>
    <m/>
    <n v="0"/>
    <n v="0"/>
  </r>
  <r>
    <n v="2502"/>
    <x v="0"/>
    <s v="2020/1779"/>
    <s v="Springfield Hospital site, 61 Glenburnie Road"/>
    <s v="Phase 5A - Block D2A"/>
    <n v="527221"/>
    <n v="172443"/>
    <x v="17"/>
    <d v="2021-03-31T00:00:00"/>
    <m/>
    <n v="0"/>
    <x v="30"/>
    <x v="34"/>
    <n v="227"/>
    <n v="227"/>
    <x v="0"/>
    <s v="Reserved Matters relating to scale, appearance and landscaping in respect of Phase 5A (Plots B - E) of the Springfield Hospital Masterplan pursuant to condition 1 of outline planning permission ref. 2010/3703 dated 20/06/2012 (for the erection of 25,000 sq.m. of replacement mental health facilities (Class C2/C2a); 839 residential dwellings; 9,200 sq.m. elderly persons' care home; 240 sq.m. of retail floorspace (Class A1); a school (Class D1); 3,500 sq.m. of mixed non-residential floorspace (Class A1, A2, A3, A4, B1, D1 or D2); landscaped public park; a combined cooling, heat and power energy centre, associated landscaping, parking, roads, access, infrastructure and other associated works), as varied under application ref. 2014/6585, dated 04/06/2015, application ref. 2016/4760 dated 24/04/2018, and application 2019/2495, dated 28/02/2020. [Phase 5A comprises the erection of buildings of between 2 and 4 storeys high to provide 227 residential units (Use Class C3), provision of 330 sq.m GIA of flexible non-residential floorspace (Use Class A1/A2/A3/A4/B1/D1/D2), 103 car parking spaces, cycle parking, private and communal amenity areas, and associated public realm and landscaping works]."/>
    <s v="DT"/>
    <d v="2020-05-20T00:00:00"/>
    <d v="2020-10-23T00:00:00"/>
    <x v="0"/>
    <s v="Nil"/>
    <m/>
    <s v="BF"/>
    <s v="NB"/>
    <x v="1"/>
    <x v="0"/>
    <n v="0.193"/>
    <d v="2021-03-31T00:00:00"/>
    <x v="0"/>
    <d v="2024-03-31T00:00:00"/>
    <x v="1"/>
    <s v="M"/>
    <s v="9.1"/>
    <m/>
    <m/>
    <m/>
    <m/>
    <m/>
    <n v="0"/>
    <n v="9"/>
    <n v="11"/>
    <n v="0"/>
    <n v="0"/>
    <n v="0"/>
    <n v="0"/>
    <n v="0"/>
    <n v="9"/>
    <n v="11"/>
    <n v="0"/>
    <n v="0"/>
    <n v="0"/>
    <n v="0"/>
    <n v="0"/>
    <n v="0"/>
    <n v="0"/>
    <n v="0"/>
    <n v="0"/>
    <n v="0"/>
    <n v="0"/>
    <n v="0"/>
    <n v="0"/>
    <n v="0"/>
    <n v="0"/>
    <n v="0"/>
    <n v="0"/>
    <n v="0"/>
    <x v="1"/>
    <x v="0"/>
    <x v="2"/>
    <n v="1"/>
    <n v="20"/>
    <m/>
    <m/>
    <m/>
    <m/>
    <m/>
    <m/>
    <m/>
    <m/>
    <m/>
    <m/>
    <m/>
    <m/>
    <m/>
    <m/>
    <m/>
    <m/>
    <m/>
    <m/>
    <m/>
    <n v="0"/>
    <n v="0"/>
  </r>
  <r>
    <n v="2502"/>
    <x v="0"/>
    <s v="2020/1779"/>
    <s v="Springfield Hospital site, 61 Glenburnie Road"/>
    <s v="Phase 5A - Block D2B"/>
    <n v="527221"/>
    <n v="172443"/>
    <x v="17"/>
    <d v="2021-03-31T00:00:00"/>
    <m/>
    <n v="0"/>
    <x v="24"/>
    <x v="28"/>
    <n v="227"/>
    <n v="227"/>
    <x v="0"/>
    <s v="Reserved Matters relating to scale, appearance and landscaping in respect of Phase 5A (Plots B - E) of the Springfield Hospital Masterplan pursuant to condition 1 of outline planning permission ref. 2010/3703 dated 20/06/2012 (for the erection of 25,000 sq.m. of replacement mental health facilities (Class C2/C2a); 839 residential dwellings; 9,200 sq.m. elderly persons' care home; 240 sq.m. of retail floorspace (Class A1); a school (Class D1); 3,500 sq.m. of mixed non-residential floorspace (Class A1, A2, A3, A4, B1, D1 or D2); landscaped public park; a combined cooling, heat and power energy centre, associated landscaping, parking, roads, access, infrastructure and other associated works), as varied under application ref. 2014/6585, dated 04/06/2015, application ref. 2016/4760 dated 24/04/2018, and application 2019/2495, dated 28/02/2020. [Phase 5A comprises the erection of buildings of between 2 and 4 storeys high to provide 227 residential units (Use Class C3), provision of 330 sq.m GIA of flexible non-residential floorspace (Use Class A1/A2/A3/A4/B1/D1/D2), 103 car parking spaces, cycle parking, private and communal amenity areas, and associated public realm and landscaping works]."/>
    <s v="DT"/>
    <d v="2020-05-20T00:00:00"/>
    <d v="2020-10-23T00:00:00"/>
    <x v="0"/>
    <s v="Nil"/>
    <m/>
    <s v="BF"/>
    <s v="NB"/>
    <x v="1"/>
    <x v="0"/>
    <n v="4.8000000000000001E-2"/>
    <d v="2021-03-31T00:00:00"/>
    <x v="0"/>
    <d v="2024-03-31T00:00:00"/>
    <x v="1"/>
    <s v="M"/>
    <s v="9.1"/>
    <m/>
    <m/>
    <m/>
    <m/>
    <m/>
    <n v="0"/>
    <n v="0"/>
    <n v="0"/>
    <n v="5"/>
    <n v="0"/>
    <n v="0"/>
    <n v="0"/>
    <n v="0"/>
    <n v="0"/>
    <n v="0"/>
    <n v="5"/>
    <n v="0"/>
    <n v="0"/>
    <n v="0"/>
    <n v="0"/>
    <n v="0"/>
    <n v="0"/>
    <n v="0"/>
    <n v="0"/>
    <n v="0"/>
    <n v="0"/>
    <n v="0"/>
    <n v="0"/>
    <n v="0"/>
    <n v="0"/>
    <n v="0"/>
    <n v="0"/>
    <n v="0"/>
    <x v="1"/>
    <x v="0"/>
    <x v="2"/>
    <n v="1"/>
    <n v="5"/>
    <m/>
    <m/>
    <m/>
    <m/>
    <m/>
    <m/>
    <m/>
    <m/>
    <m/>
    <m/>
    <m/>
    <m/>
    <m/>
    <m/>
    <m/>
    <m/>
    <m/>
    <m/>
    <m/>
    <n v="0"/>
    <n v="0"/>
  </r>
  <r>
    <n v="2502"/>
    <x v="0"/>
    <s v="2020/1779"/>
    <s v="Springfield Hospital site, 61 Glenburnie Road"/>
    <s v="Phase 5A - Block D2C"/>
    <n v="527221"/>
    <n v="172443"/>
    <x v="17"/>
    <d v="2021-03-31T00:00:00"/>
    <m/>
    <n v="0"/>
    <x v="9"/>
    <x v="12"/>
    <n v="227"/>
    <n v="227"/>
    <x v="0"/>
    <s v="Reserved Matters relating to scale, appearance and landscaping in respect of Phase 5A (Plots B - E) of the Springfield Hospital Masterplan pursuant to condition 1 of outline planning permission ref. 2010/3703 dated 20/06/2012 (for the erection of 25,000 sq.m. of replacement mental health facilities (Class C2/C2a); 839 residential dwellings; 9,200 sq.m. elderly persons' care home; 240 sq.m. of retail floorspace (Class A1); a school (Class D1); 3,500 sq.m. of mixed non-residential floorspace (Class A1, A2, A3, A4, B1, D1 or D2); landscaped public park; a combined cooling, heat and power energy centre, associated landscaping, parking, roads, access, infrastructure and other associated works), as varied under application ref. 2014/6585, dated 04/06/2015, application ref. 2016/4760 dated 24/04/2018, and application 2019/2495, dated 28/02/2020. [Phase 5A comprises the erection of buildings of between 2 and 4 storeys high to provide 227 residential units (Use Class C3), provision of 330 sq.m GIA of flexible non-residential floorspace (Use Class A1/A2/A3/A4/B1/D1/D2), 103 car parking spaces, cycle parking, private and communal amenity areas, and associated public realm and landscaping works]."/>
    <s v="DT"/>
    <d v="2020-05-20T00:00:00"/>
    <d v="2020-10-23T00:00:00"/>
    <x v="0"/>
    <s v="Nil"/>
    <m/>
    <s v="BF"/>
    <s v="NB"/>
    <x v="1"/>
    <x v="0"/>
    <n v="7.6999999999999999E-2"/>
    <d v="2021-03-31T00:00:00"/>
    <x v="0"/>
    <d v="2024-03-31T00:00:00"/>
    <x v="1"/>
    <s v="M"/>
    <s v="9.1"/>
    <m/>
    <m/>
    <m/>
    <m/>
    <m/>
    <n v="0"/>
    <n v="0"/>
    <n v="4"/>
    <n v="4"/>
    <n v="0"/>
    <n v="0"/>
    <n v="0"/>
    <n v="0"/>
    <n v="0"/>
    <n v="0"/>
    <n v="0"/>
    <n v="0"/>
    <n v="0"/>
    <n v="0"/>
    <n v="0"/>
    <n v="0"/>
    <n v="4"/>
    <n v="4"/>
    <n v="0"/>
    <n v="0"/>
    <n v="0"/>
    <n v="0"/>
    <n v="0"/>
    <n v="0"/>
    <n v="0"/>
    <n v="0"/>
    <n v="0"/>
    <n v="0"/>
    <x v="1"/>
    <x v="0"/>
    <x v="2"/>
    <n v="1"/>
    <n v="8"/>
    <m/>
    <m/>
    <m/>
    <m/>
    <m/>
    <m/>
    <m/>
    <m/>
    <m/>
    <m/>
    <m/>
    <m/>
    <m/>
    <m/>
    <m/>
    <m/>
    <m/>
    <m/>
    <m/>
    <n v="0"/>
    <n v="0"/>
  </r>
  <r>
    <n v="2502"/>
    <x v="0"/>
    <s v="2020/1779"/>
    <s v="Springfield Hospital site, 61 Glenburnie Road"/>
    <s v="Phase 5A - Block E1A"/>
    <n v="527221"/>
    <n v="172443"/>
    <x v="17"/>
    <d v="2021-03-31T00:00:00"/>
    <m/>
    <n v="0"/>
    <x v="30"/>
    <x v="34"/>
    <n v="227"/>
    <n v="227"/>
    <x v="0"/>
    <s v="Reserved Matters relating to scale, appearance and landscaping in respect of Phase 5A (Plots B - E) of the Springfield Hospital Masterplan pursuant to condition 1 of outline planning permission ref. 2010/3703 dated 20/06/2012 (for the erection of 25,000 sq.m. of replacement mental health facilities (Class C2/C2a); 839 residential dwellings; 9,200 sq.m. elderly persons' care home; 240 sq.m. of retail floorspace (Class A1); a school (Class D1); 3,500 sq.m. of mixed non-residential floorspace (Class A1, A2, A3, A4, B1, D1 or D2); landscaped public park; a combined cooling, heat and power energy centre, associated landscaping, parking, roads, access, infrastructure and other associated works), as varied under application ref. 2014/6585, dated 04/06/2015, application ref. 2016/4760 dated 24/04/2018, and application 2019/2495, dated 28/02/2020. [Phase 5A comprises the erection of buildings of between 2 and 4 storeys high to provide 227 residential units (Use Class C3), provision of 330 sq.m GIA of flexible non-residential floorspace (Use Class A1/A2/A3/A4/B1/D1/D2), 103 car parking spaces, cycle parking, private and communal amenity areas, and associated public realm and landscaping works]."/>
    <s v="DT"/>
    <d v="2020-05-20T00:00:00"/>
    <d v="2020-10-23T00:00:00"/>
    <x v="0"/>
    <s v="Nil"/>
    <m/>
    <s v="BF"/>
    <s v="NB"/>
    <x v="1"/>
    <x v="0"/>
    <n v="0.193"/>
    <d v="2021-03-31T00:00:00"/>
    <x v="0"/>
    <d v="2024-03-31T00:00:00"/>
    <x v="1"/>
    <s v="M"/>
    <s v="9.1"/>
    <m/>
    <m/>
    <m/>
    <m/>
    <m/>
    <n v="0"/>
    <n v="9"/>
    <n v="11"/>
    <n v="0"/>
    <n v="0"/>
    <n v="0"/>
    <n v="0"/>
    <n v="0"/>
    <n v="9"/>
    <n v="11"/>
    <n v="0"/>
    <n v="0"/>
    <n v="0"/>
    <n v="0"/>
    <n v="0"/>
    <n v="0"/>
    <n v="0"/>
    <n v="0"/>
    <n v="0"/>
    <n v="0"/>
    <n v="0"/>
    <n v="0"/>
    <n v="0"/>
    <n v="0"/>
    <n v="0"/>
    <n v="0"/>
    <n v="0"/>
    <n v="0"/>
    <x v="1"/>
    <x v="0"/>
    <x v="2"/>
    <n v="1"/>
    <n v="20"/>
    <m/>
    <m/>
    <m/>
    <m/>
    <m/>
    <m/>
    <m/>
    <m/>
    <m/>
    <m/>
    <m/>
    <m/>
    <m/>
    <m/>
    <m/>
    <m/>
    <m/>
    <m/>
    <m/>
    <n v="0"/>
    <n v="0"/>
  </r>
  <r>
    <n v="2502"/>
    <x v="0"/>
    <s v="2020/1779"/>
    <s v="Springfield Hospital site, 61 Glenburnie Road"/>
    <s v="Phase 5A - Block E1B"/>
    <n v="527221"/>
    <n v="172443"/>
    <x v="17"/>
    <d v="2021-03-31T00:00:00"/>
    <m/>
    <n v="0"/>
    <x v="10"/>
    <x v="14"/>
    <n v="227"/>
    <n v="227"/>
    <x v="0"/>
    <s v="Reserved Matters relating to scale, appearance and landscaping in respect of Phase 5A (Plots B - E) of the Springfield Hospital Masterplan pursuant to condition 1 of outline planning permission ref. 2010/3703 dated 20/06/2012 (for the erection of 25,000 sq.m. of replacement mental health facilities (Class C2/C2a); 839 residential dwellings; 9,200 sq.m. elderly persons' care home; 240 sq.m. of retail floorspace (Class A1); a school (Class D1); 3,500 sq.m. of mixed non-residential floorspace (Class A1, A2, A3, A4, B1, D1 or D2); landscaped public park; a combined cooling, heat and power energy centre, associated landscaping, parking, roads, access, infrastructure and other associated works), as varied under application ref. 2014/6585, dated 04/06/2015, application ref. 2016/4760 dated 24/04/2018, and application 2019/2495, dated 28/02/2020. [Phase 5A comprises the erection of buildings of between 2 and 4 storeys high to provide 227 residential units (Use Class C3), provision of 330 sq.m GIA of flexible non-residential floorspace (Use Class A1/A2/A3/A4/B1/D1/D2), 103 car parking spaces, cycle parking, private and communal amenity areas, and associated public realm and landscaping works]."/>
    <s v="DT"/>
    <d v="2020-05-20T00:00:00"/>
    <d v="2020-10-23T00:00:00"/>
    <x v="0"/>
    <s v="Nil"/>
    <m/>
    <s v="BF"/>
    <s v="NB"/>
    <x v="1"/>
    <x v="0"/>
    <n v="6.8000000000000005E-2"/>
    <d v="2021-03-31T00:00:00"/>
    <x v="0"/>
    <d v="2024-03-31T00:00:00"/>
    <x v="1"/>
    <s v="M"/>
    <s v="9.1"/>
    <m/>
    <m/>
    <m/>
    <m/>
    <m/>
    <n v="0"/>
    <n v="0"/>
    <n v="3"/>
    <n v="4"/>
    <n v="0"/>
    <n v="0"/>
    <n v="0"/>
    <n v="0"/>
    <n v="0"/>
    <n v="0"/>
    <n v="0"/>
    <n v="0"/>
    <n v="0"/>
    <n v="0"/>
    <n v="0"/>
    <n v="0"/>
    <n v="3"/>
    <n v="4"/>
    <n v="0"/>
    <n v="0"/>
    <n v="0"/>
    <n v="0"/>
    <n v="0"/>
    <n v="0"/>
    <n v="0"/>
    <n v="0"/>
    <n v="0"/>
    <n v="0"/>
    <x v="1"/>
    <x v="0"/>
    <x v="2"/>
    <n v="1"/>
    <n v="7"/>
    <m/>
    <m/>
    <m/>
    <m/>
    <m/>
    <m/>
    <m/>
    <m/>
    <m/>
    <m/>
    <m/>
    <m/>
    <m/>
    <m/>
    <m/>
    <m/>
    <m/>
    <m/>
    <m/>
    <n v="0"/>
    <n v="0"/>
  </r>
  <r>
    <n v="2502"/>
    <x v="0"/>
    <s v="2020/1779"/>
    <s v="Springfield Hospital site, 61 Glenburnie Road"/>
    <s v="Phase 5A - Block E1C"/>
    <n v="527221"/>
    <n v="172443"/>
    <x v="17"/>
    <d v="2021-03-31T00:00:00"/>
    <m/>
    <n v="0"/>
    <x v="28"/>
    <x v="32"/>
    <n v="227"/>
    <n v="227"/>
    <x v="0"/>
    <s v="Reserved Matters relating to scale, appearance and landscaping in respect of Phase 5A (Plots B - E) of the Springfield Hospital Masterplan pursuant to condition 1 of outline planning permission ref. 2010/3703 dated 20/06/2012 (for the erection of 25,000 sq.m. of replacement mental health facilities (Class C2/C2a); 839 residential dwellings; 9,200 sq.m. elderly persons' care home; 240 sq.m. of retail floorspace (Class A1); a school (Class D1); 3,500 sq.m. of mixed non-residential floorspace (Class A1, A2, A3, A4, B1, D1 or D2); landscaped public park; a combined cooling, heat and power energy centre, associated landscaping, parking, roads, access, infrastructure and other associated works), as varied under application ref. 2014/6585, dated 04/06/2015, application ref. 2016/4760 dated 24/04/2018, and application 2019/2495, dated 28/02/2020. [Phase 5A comprises the erection of buildings of between 2 and 4 storeys high to provide 227 residential units (Use Class C3), provision of 330 sq.m GIA of flexible non-residential floorspace (Use Class A1/A2/A3/A4/B1/D1/D2), 103 car parking spaces, cycle parking, private and communal amenity areas, and associated public realm and landscaping works]."/>
    <s v="DT"/>
    <d v="2020-05-20T00:00:00"/>
    <d v="2020-10-23T00:00:00"/>
    <x v="0"/>
    <s v="Nil"/>
    <m/>
    <s v="BF"/>
    <s v="NB"/>
    <x v="1"/>
    <x v="0"/>
    <n v="0.14499999999999999"/>
    <d v="2021-03-31T00:00:00"/>
    <x v="0"/>
    <d v="2024-03-31T00:00:00"/>
    <x v="1"/>
    <s v="M"/>
    <s v="9.1"/>
    <m/>
    <m/>
    <m/>
    <m/>
    <m/>
    <n v="0"/>
    <n v="12"/>
    <n v="2"/>
    <n v="1"/>
    <n v="0"/>
    <n v="0"/>
    <n v="0"/>
    <n v="0"/>
    <n v="12"/>
    <n v="2"/>
    <n v="1"/>
    <n v="0"/>
    <n v="0"/>
    <n v="0"/>
    <n v="0"/>
    <n v="0"/>
    <n v="0"/>
    <n v="0"/>
    <n v="0"/>
    <n v="0"/>
    <n v="0"/>
    <n v="0"/>
    <n v="0"/>
    <n v="0"/>
    <n v="0"/>
    <n v="0"/>
    <n v="0"/>
    <n v="0"/>
    <x v="1"/>
    <x v="0"/>
    <x v="2"/>
    <n v="1"/>
    <n v="15"/>
    <m/>
    <m/>
    <m/>
    <m/>
    <m/>
    <m/>
    <m/>
    <m/>
    <m/>
    <m/>
    <m/>
    <m/>
    <m/>
    <m/>
    <m/>
    <m/>
    <m/>
    <m/>
    <m/>
    <n v="0"/>
    <n v="0"/>
  </r>
  <r>
    <n v="2502"/>
    <x v="0"/>
    <s v="2020/1779"/>
    <s v="Springfield Hospital site, 61 Glenburnie Road"/>
    <s v="Phase 5A - Block E2A"/>
    <n v="527221"/>
    <n v="172443"/>
    <x v="17"/>
    <d v="2021-03-31T00:00:00"/>
    <m/>
    <n v="0"/>
    <x v="30"/>
    <x v="34"/>
    <n v="227"/>
    <n v="227"/>
    <x v="0"/>
    <s v="Reserved Matters relating to scale, appearance and landscaping in respect of Phase 5A (Plots B - E) of the Springfield Hospital Masterplan pursuant to condition 1 of outline planning permission ref. 2010/3703 dated 20/06/2012 (for the erection of 25,000 sq.m. of replacement mental health facilities (Class C2/C2a); 839 residential dwellings; 9,200 sq.m. elderly persons' care home; 240 sq.m. of retail floorspace (Class A1); a school (Class D1); 3,500 sq.m. of mixed non-residential floorspace (Class A1, A2, A3, A4, B1, D1 or D2); landscaped public park; a combined cooling, heat and power energy centre, associated landscaping, parking, roads, access, infrastructure and other associated works), as varied under application ref. 2014/6585, dated 04/06/2015, application ref. 2016/4760 dated 24/04/2018, and application 2019/2495, dated 28/02/2020. [Phase 5A comprises the erection of buildings of between 2 and 4 storeys high to provide 227 residential units (Use Class C3), provision of 330 sq.m GIA of flexible non-residential floorspace (Use Class A1/A2/A3/A4/B1/D1/D2), 103 car parking spaces, cycle parking, private and communal amenity areas, and associated public realm and landscaping works]."/>
    <s v="DT"/>
    <d v="2020-05-20T00:00:00"/>
    <d v="2020-10-23T00:00:00"/>
    <x v="0"/>
    <s v="Nil"/>
    <m/>
    <s v="BF"/>
    <s v="NB"/>
    <x v="1"/>
    <x v="0"/>
    <n v="0.193"/>
    <d v="2021-03-31T00:00:00"/>
    <x v="0"/>
    <d v="2024-03-31T00:00:00"/>
    <x v="1"/>
    <s v="M"/>
    <s v="9.1"/>
    <m/>
    <m/>
    <m/>
    <m/>
    <m/>
    <n v="0"/>
    <n v="9"/>
    <n v="11"/>
    <n v="0"/>
    <n v="0"/>
    <n v="0"/>
    <n v="0"/>
    <n v="0"/>
    <n v="9"/>
    <n v="11"/>
    <n v="0"/>
    <n v="0"/>
    <n v="0"/>
    <n v="0"/>
    <n v="0"/>
    <n v="0"/>
    <n v="0"/>
    <n v="0"/>
    <n v="0"/>
    <n v="0"/>
    <n v="0"/>
    <n v="0"/>
    <n v="0"/>
    <n v="0"/>
    <n v="0"/>
    <n v="0"/>
    <n v="0"/>
    <n v="0"/>
    <x v="1"/>
    <x v="0"/>
    <x v="2"/>
    <n v="1"/>
    <n v="20"/>
    <m/>
    <m/>
    <m/>
    <m/>
    <m/>
    <m/>
    <m/>
    <m/>
    <m/>
    <m/>
    <m/>
    <m/>
    <m/>
    <m/>
    <m/>
    <m/>
    <m/>
    <m/>
    <m/>
    <n v="0"/>
    <n v="0"/>
  </r>
  <r>
    <n v="2502"/>
    <x v="0"/>
    <s v="2020/1779"/>
    <s v="Springfield Hospital site, 61 Glenburnie Road"/>
    <s v="Phase 5A - Block E2B"/>
    <n v="527221"/>
    <n v="172443"/>
    <x v="17"/>
    <d v="2021-03-31T00:00:00"/>
    <m/>
    <n v="0"/>
    <x v="28"/>
    <x v="32"/>
    <n v="227"/>
    <n v="227"/>
    <x v="0"/>
    <s v="Reserved Matters relating to scale, appearance and landscaping in respect of Phase 5A (Plots B - E) of the Springfield Hospital Masterplan pursuant to condition 1 of outline planning permission ref. 2010/3703 dated 20/06/2012 (for the erection of 25,000 sq.m. of replacement mental health facilities (Class C2/C2a); 839 residential dwellings; 9,200 sq.m. elderly persons' care home; 240 sq.m. of retail floorspace (Class A1); a school (Class D1); 3,500 sq.m. of mixed non-residential floorspace (Class A1, A2, A3, A4, B1, D1 or D2); landscaped public park; a combined cooling, heat and power energy centre, associated landscaping, parking, roads, access, infrastructure and other associated works), as varied under application ref. 2014/6585, dated 04/06/2015, application ref. 2016/4760 dated 24/04/2018, and application 2019/2495, dated 28/02/2020. [Phase 5A comprises the erection of buildings of between 2 and 4 storeys high to provide 227 residential units (Use Class C3), provision of 330 sq.m GIA of flexible non-residential floorspace (Use Class A1/A2/A3/A4/B1/D1/D2), 103 car parking spaces, cycle parking, private and communal amenity areas, and associated public realm and landscaping works]."/>
    <s v="DT"/>
    <d v="2020-05-20T00:00:00"/>
    <d v="2020-10-23T00:00:00"/>
    <x v="0"/>
    <s v="Nil"/>
    <m/>
    <s v="BF"/>
    <s v="NB"/>
    <x v="1"/>
    <x v="0"/>
    <n v="0.14499999999999999"/>
    <d v="2021-03-31T00:00:00"/>
    <x v="0"/>
    <d v="2024-03-31T00:00:00"/>
    <x v="1"/>
    <s v="M"/>
    <s v="9.1"/>
    <m/>
    <m/>
    <m/>
    <m/>
    <m/>
    <n v="0"/>
    <n v="6"/>
    <n v="8"/>
    <n v="1"/>
    <n v="0"/>
    <n v="0"/>
    <n v="0"/>
    <n v="0"/>
    <n v="6"/>
    <n v="8"/>
    <n v="1"/>
    <n v="0"/>
    <n v="0"/>
    <n v="0"/>
    <n v="0"/>
    <n v="0"/>
    <n v="0"/>
    <n v="0"/>
    <n v="0"/>
    <n v="0"/>
    <n v="0"/>
    <n v="0"/>
    <n v="0"/>
    <n v="0"/>
    <n v="0"/>
    <n v="0"/>
    <n v="0"/>
    <n v="0"/>
    <x v="1"/>
    <x v="0"/>
    <x v="2"/>
    <n v="1"/>
    <n v="15"/>
    <m/>
    <m/>
    <m/>
    <m/>
    <m/>
    <m/>
    <m/>
    <m/>
    <m/>
    <m/>
    <m/>
    <m/>
    <m/>
    <m/>
    <m/>
    <m/>
    <m/>
    <m/>
    <m/>
    <n v="0"/>
    <n v="0"/>
  </r>
  <r>
    <n v="2502"/>
    <x v="0"/>
    <s v="2020/1779"/>
    <s v="Springfield Hospital site, 61 Glenburnie Road"/>
    <s v="Phase 5A - Block E2C"/>
    <n v="527221"/>
    <n v="172443"/>
    <x v="17"/>
    <d v="2021-03-31T00:00:00"/>
    <m/>
    <n v="0"/>
    <x v="28"/>
    <x v="32"/>
    <n v="227"/>
    <n v="227"/>
    <x v="0"/>
    <s v="Reserved Matters relating to scale, appearance and landscaping in respect of Phase 5A (Plots B - E) of the Springfield Hospital Masterplan pursuant to condition 1 of outline planning permission ref. 2010/3703 dated 20/06/2012 (for the erection of 25,000 sq.m. of replacement mental health facilities (Class C2/C2a); 839 residential dwellings; 9,200 sq.m. elderly persons' care home; 240 sq.m. of retail floorspace (Class A1); a school (Class D1); 3,500 sq.m. of mixed non-residential floorspace (Class A1, A2, A3, A4, B1, D1 or D2); landscaped public park; a combined cooling, heat and power energy centre, associated landscaping, parking, roads, access, infrastructure and other associated works), as varied under application ref. 2014/6585, dated 04/06/2015, application ref. 2016/4760 dated 24/04/2018, and application 2019/2495, dated 28/02/2020. [Phase 5A comprises the erection of buildings of between 2 and 4 storeys high to provide 227 residential units (Use Class C3), provision of 330 sq.m GIA of flexible non-residential floorspace (Use Class A1/A2/A3/A4/B1/D1/D2), 103 car parking spaces, cycle parking, private and communal amenity areas, and associated public realm and landscaping works]."/>
    <s v="DT"/>
    <d v="2020-05-20T00:00:00"/>
    <d v="2020-10-23T00:00:00"/>
    <x v="0"/>
    <s v="Nil"/>
    <m/>
    <s v="BF"/>
    <s v="NB"/>
    <x v="1"/>
    <x v="0"/>
    <n v="0.14499999999999999"/>
    <d v="2021-03-31T00:00:00"/>
    <x v="0"/>
    <d v="2024-03-31T00:00:00"/>
    <x v="1"/>
    <s v="M"/>
    <s v="9.1"/>
    <m/>
    <m/>
    <m/>
    <m/>
    <m/>
    <n v="0"/>
    <n v="12"/>
    <n v="3"/>
    <n v="0"/>
    <n v="0"/>
    <n v="0"/>
    <n v="0"/>
    <n v="0"/>
    <n v="12"/>
    <n v="3"/>
    <n v="0"/>
    <n v="0"/>
    <n v="0"/>
    <n v="0"/>
    <n v="0"/>
    <n v="0"/>
    <n v="0"/>
    <n v="0"/>
    <n v="0"/>
    <n v="0"/>
    <n v="0"/>
    <n v="0"/>
    <n v="0"/>
    <n v="0"/>
    <n v="0"/>
    <n v="0"/>
    <n v="0"/>
    <n v="0"/>
    <x v="1"/>
    <x v="0"/>
    <x v="2"/>
    <n v="1"/>
    <n v="15"/>
    <m/>
    <m/>
    <m/>
    <m/>
    <m/>
    <m/>
    <m/>
    <m/>
    <m/>
    <m/>
    <m/>
    <m/>
    <m/>
    <m/>
    <m/>
    <m/>
    <m/>
    <m/>
    <m/>
    <n v="0"/>
    <n v="0"/>
  </r>
  <r>
    <n v="7039"/>
    <x v="0"/>
    <s v="2020/2195"/>
    <s v="842 Garratt Lane"/>
    <s v=""/>
    <n v="526973"/>
    <n v="171725"/>
    <x v="0"/>
    <d v="2022-03-31T00:00:00"/>
    <d v="2023-06-30T00:00:00"/>
    <n v="0"/>
    <x v="3"/>
    <x v="5"/>
    <n v="4"/>
    <n v="3"/>
    <x v="1"/>
    <s v="Alterations including erection of mansard roof extension to main rear roof and roof extension above two storey back addition, erection of part single/part two storey side and rear extension in connection with creation of 4 x 1-bedroom flats on the upper floors and part change of use of commercial space on ground floor to residential (Class C3 use)."/>
    <s v="PF"/>
    <d v="2020-06-22T00:00:00"/>
    <d v="2020-10-20T00:00:00"/>
    <x v="0"/>
    <s v="Nil"/>
    <m/>
    <s v="BF"/>
    <s v="MIX"/>
    <x v="2"/>
    <x v="6"/>
    <n v="3.0000000000000001E-3"/>
    <d v="2022-03-31T00:00:00"/>
    <x v="0"/>
    <d v="2023-06-30T00:00:00"/>
    <x v="1"/>
    <s v="M"/>
    <s v=""/>
    <m/>
    <m/>
    <m/>
    <m/>
    <m/>
    <n v="0"/>
    <n v="1"/>
    <n v="0"/>
    <n v="0"/>
    <n v="0"/>
    <n v="0"/>
    <n v="0"/>
    <n v="0"/>
    <n v="1"/>
    <n v="0"/>
    <n v="0"/>
    <n v="0"/>
    <n v="0"/>
    <n v="0"/>
    <n v="0"/>
    <n v="0"/>
    <n v="0"/>
    <n v="0"/>
    <n v="0"/>
    <n v="0"/>
    <n v="0"/>
    <n v="0"/>
    <n v="0"/>
    <n v="0"/>
    <n v="0"/>
    <n v="0"/>
    <n v="0"/>
    <n v="0"/>
    <x v="1"/>
    <x v="0"/>
    <x v="2"/>
    <n v="11"/>
    <n v="1"/>
    <m/>
    <m/>
    <m/>
    <m/>
    <m/>
    <m/>
    <m/>
    <m/>
    <m/>
    <m/>
    <m/>
    <m/>
    <m/>
    <m/>
    <m/>
    <m/>
    <m/>
    <m/>
    <m/>
    <n v="0"/>
    <n v="0"/>
  </r>
  <r>
    <n v="7039"/>
    <x v="0"/>
    <s v="2020/2195"/>
    <s v="842 Garratt Lane"/>
    <s v=""/>
    <n v="526973"/>
    <n v="171725"/>
    <x v="0"/>
    <d v="2022-03-31T00:00:00"/>
    <d v="2023-06-30T00:00:00"/>
    <n v="0"/>
    <x v="3"/>
    <x v="5"/>
    <n v="4"/>
    <n v="3"/>
    <x v="1"/>
    <s v="Alterations including erection of mansard roof extension to main rear roof and roof extension above two storey back addition, erection of part single/part two storey side and rear extension in connection with creation of 4 x 1-bedroom flats on the upper floors and part change of use of commercial space on ground floor to residential (Class C3 use)."/>
    <s v="PF"/>
    <d v="2020-06-22T00:00:00"/>
    <d v="2020-10-20T00:00:00"/>
    <x v="0"/>
    <s v="Nil"/>
    <m/>
    <s v="BF"/>
    <s v="MIX"/>
    <x v="2"/>
    <x v="7"/>
    <n v="2E-3"/>
    <d v="2022-03-31T00:00:00"/>
    <x v="0"/>
    <d v="2023-06-30T00:00:00"/>
    <x v="1"/>
    <s v="M"/>
    <s v=""/>
    <m/>
    <m/>
    <m/>
    <m/>
    <m/>
    <n v="0"/>
    <n v="1"/>
    <n v="0"/>
    <n v="0"/>
    <n v="0"/>
    <n v="0"/>
    <n v="0"/>
    <n v="0"/>
    <n v="1"/>
    <n v="0"/>
    <n v="0"/>
    <n v="0"/>
    <n v="0"/>
    <n v="0"/>
    <n v="0"/>
    <n v="0"/>
    <n v="0"/>
    <n v="0"/>
    <n v="0"/>
    <n v="0"/>
    <n v="0"/>
    <n v="0"/>
    <n v="0"/>
    <n v="0"/>
    <n v="0"/>
    <n v="0"/>
    <n v="0"/>
    <n v="0"/>
    <x v="1"/>
    <x v="0"/>
    <x v="2"/>
    <n v="11"/>
    <n v="1"/>
    <m/>
    <m/>
    <m/>
    <m/>
    <m/>
    <m/>
    <m/>
    <m/>
    <m/>
    <m/>
    <m/>
    <m/>
    <m/>
    <m/>
    <m/>
    <m/>
    <m/>
    <m/>
    <m/>
    <n v="0"/>
    <n v="0"/>
  </r>
  <r>
    <n v="7039"/>
    <x v="0"/>
    <s v="2020/2195"/>
    <s v="842 Garratt Lane"/>
    <s v=""/>
    <n v="526973"/>
    <n v="171725"/>
    <x v="0"/>
    <d v="2022-03-31T00:00:00"/>
    <d v="2023-06-30T00:00:00"/>
    <n v="1"/>
    <x v="5"/>
    <x v="5"/>
    <n v="4"/>
    <n v="3"/>
    <x v="1"/>
    <s v="Alterations including erection of mansard roof extension to main rear roof and roof extension above two storey back addition, erection of part single/part two storey side and rear extension in connection with creation of 4 x 1-bedroom flats on the upper floors and part change of use of commercial space on ground floor to residential (Class C3 use)."/>
    <s v="PF"/>
    <d v="2020-06-22T00:00:00"/>
    <d v="2020-10-20T00:00:00"/>
    <x v="0"/>
    <s v="Nil"/>
    <m/>
    <s v="BF"/>
    <s v="MIX"/>
    <x v="2"/>
    <x v="5"/>
    <n v="4.0000000000000001E-3"/>
    <d v="2022-03-31T00:00:00"/>
    <x v="0"/>
    <d v="2023-06-30T00:00:00"/>
    <x v="1"/>
    <s v="M"/>
    <s v=""/>
    <m/>
    <m/>
    <m/>
    <m/>
    <m/>
    <n v="0"/>
    <n v="2"/>
    <n v="-1"/>
    <n v="0"/>
    <n v="0"/>
    <n v="0"/>
    <n v="0"/>
    <n v="0"/>
    <n v="2"/>
    <n v="-1"/>
    <n v="0"/>
    <n v="0"/>
    <n v="0"/>
    <n v="0"/>
    <n v="0"/>
    <n v="0"/>
    <n v="0"/>
    <n v="0"/>
    <n v="0"/>
    <n v="0"/>
    <n v="0"/>
    <n v="0"/>
    <n v="0"/>
    <n v="0"/>
    <n v="0"/>
    <n v="0"/>
    <n v="0"/>
    <n v="0"/>
    <x v="1"/>
    <x v="0"/>
    <x v="2"/>
    <n v="11"/>
    <n v="1"/>
    <m/>
    <m/>
    <m/>
    <m/>
    <m/>
    <m/>
    <m/>
    <m/>
    <m/>
    <m/>
    <m/>
    <m/>
    <m/>
    <m/>
    <m/>
    <m/>
    <m/>
    <m/>
    <m/>
    <n v="0"/>
    <n v="0"/>
  </r>
  <r>
    <n v="5381"/>
    <x v="0"/>
    <s v="2020/2369"/>
    <s v="Battersea Bar/The Chopper, 58-70 York Road"/>
    <s v="ISL"/>
    <n v="526820"/>
    <n v="176155"/>
    <x v="15"/>
    <d v="2018-11-26T00:00:00"/>
    <m/>
    <n v="0"/>
    <x v="31"/>
    <x v="35"/>
    <n v="93"/>
    <n v="93"/>
    <x v="0"/>
    <s v="Variation of conditions 2 (in accordance with approved drawings), 36 (number of storeys), 37 (office floorspace), 38 (residential units) and 39 (cycle parking spaces) pursuant to planning permission dated 02/05/2018 ref 2017/5818 (Demolition of existing building and erection of a mixed-use development plus basement, providing office (Class B1a) floorspace at ground and basement levels with residential units (Use Class C3) comprising market and affordable housing on upper floor levels with access to landscaped amenity deck; with car and cycle parking spaces located at basement level; public realm improvements to York Road, Yelverton Road and Badric Court; and associated infrastructure works) to allow creation of additional floor to provide 11 residential units (new total 93), increased depth to basement and elevational treatment alterations at ground and first floor including additional curtain walling at south west corner, reduce office space, and increase amount of cycle parking."/>
    <s v="S73"/>
    <d v="2020-07-22T00:00:00"/>
    <d v="2021-03-10T00:00:00"/>
    <x v="0"/>
    <s v="Nil"/>
    <m/>
    <s v="BF"/>
    <s v="NB"/>
    <x v="1"/>
    <x v="0"/>
    <n v="0.01"/>
    <d v="2018-11-26T00:00:00"/>
    <x v="0"/>
    <d v="2023-04-01T00:00:00"/>
    <x v="0"/>
    <s v="ISL"/>
    <s v="10.14"/>
    <m/>
    <m/>
    <m/>
    <m/>
    <m/>
    <n v="0"/>
    <n v="5"/>
    <n v="6"/>
    <n v="0"/>
    <n v="0"/>
    <n v="0"/>
    <n v="0"/>
    <n v="0"/>
    <n v="5"/>
    <n v="6"/>
    <n v="0"/>
    <n v="0"/>
    <n v="0"/>
    <n v="0"/>
    <n v="0"/>
    <n v="0"/>
    <n v="0"/>
    <n v="0"/>
    <n v="0"/>
    <n v="0"/>
    <n v="0"/>
    <n v="0"/>
    <n v="0"/>
    <n v="0"/>
    <n v="0"/>
    <n v="0"/>
    <n v="0"/>
    <n v="0"/>
    <x v="1"/>
    <x v="0"/>
    <x v="4"/>
    <n v="1"/>
    <n v="11"/>
    <m/>
    <m/>
    <m/>
    <m/>
    <m/>
    <m/>
    <m/>
    <m/>
    <m/>
    <m/>
    <m/>
    <m/>
    <m/>
    <m/>
    <m/>
    <m/>
    <m/>
    <m/>
    <m/>
    <n v="0"/>
    <n v="0"/>
  </r>
  <r>
    <n v="6805"/>
    <x v="0"/>
    <s v="2020/2542"/>
    <s v="231 Putney Bridge Road"/>
    <s v=""/>
    <n v="524490"/>
    <n v="175266"/>
    <x v="3"/>
    <d v="2023-06-22T00:00:00"/>
    <d v="2024-02-21T00:00:00"/>
    <n v="0"/>
    <x v="0"/>
    <x v="0"/>
    <n v="8"/>
    <n v="8"/>
    <x v="1"/>
    <s v="Alterations including erection of front and rear mansard extensions to main roof and erection of extension at second and third floor level to side elevation in connection with conversion of 6 x 1-bedroom and 2 x 2-bedroom flats."/>
    <s v="PF"/>
    <d v="2020-08-05T00:00:00"/>
    <d v="2020-11-27T00:00:00"/>
    <x v="0"/>
    <s v="Nil"/>
    <m/>
    <s v="BF"/>
    <s v="MIX"/>
    <x v="2"/>
    <x v="8"/>
    <n v="1.4E-2"/>
    <d v="2023-06-22T00:00:00"/>
    <x v="1"/>
    <d v="2024-02-21T00:00:00"/>
    <x v="1"/>
    <s v="M"/>
    <s v=""/>
    <m/>
    <m/>
    <m/>
    <m/>
    <m/>
    <n v="0"/>
    <n v="5"/>
    <n v="1"/>
    <n v="0"/>
    <n v="0"/>
    <n v="0"/>
    <n v="0"/>
    <n v="0"/>
    <n v="5"/>
    <n v="1"/>
    <n v="0"/>
    <n v="0"/>
    <n v="0"/>
    <n v="0"/>
    <n v="0"/>
    <n v="0"/>
    <n v="0"/>
    <n v="0"/>
    <n v="0"/>
    <n v="0"/>
    <n v="0"/>
    <n v="0"/>
    <n v="0"/>
    <n v="0"/>
    <n v="0"/>
    <n v="0"/>
    <n v="0"/>
    <n v="0"/>
    <x v="1"/>
    <x v="0"/>
    <x v="2"/>
    <n v="11"/>
    <n v="6"/>
    <m/>
    <m/>
    <m/>
    <m/>
    <m/>
    <m/>
    <m/>
    <m/>
    <m/>
    <m/>
    <m/>
    <m/>
    <m/>
    <m/>
    <m/>
    <m/>
    <m/>
    <m/>
    <m/>
    <n v="0"/>
    <n v="0"/>
  </r>
  <r>
    <n v="6805"/>
    <x v="0"/>
    <s v="2020/2542"/>
    <s v="231 Putney Bridge Road"/>
    <s v=""/>
    <n v="524490"/>
    <n v="175266"/>
    <x v="3"/>
    <d v="2023-06-22T00:00:00"/>
    <d v="2024-02-21T00:00:00"/>
    <n v="0"/>
    <x v="5"/>
    <x v="7"/>
    <n v="8"/>
    <n v="8"/>
    <x v="1"/>
    <s v="Alterations including erection of front and rear mansard extensions to main roof and erection of extension at second and third floor level to side elevation in connection with conversion of 6 x 1-bedroom and 2 x 2-bedroom flats."/>
    <s v="PF"/>
    <d v="2020-08-05T00:00:00"/>
    <d v="2020-11-27T00:00:00"/>
    <x v="0"/>
    <s v="Nil"/>
    <m/>
    <s v="BF"/>
    <s v="MIX"/>
    <x v="2"/>
    <x v="7"/>
    <n v="5.0000000000000001E-3"/>
    <d v="2023-06-22T00:00:00"/>
    <x v="1"/>
    <d v="2024-02-21T00:00:00"/>
    <x v="1"/>
    <s v="M"/>
    <s v=""/>
    <m/>
    <m/>
    <m/>
    <m/>
    <m/>
    <n v="0"/>
    <n v="1"/>
    <n v="1"/>
    <n v="0"/>
    <n v="0"/>
    <n v="0"/>
    <n v="0"/>
    <n v="0"/>
    <n v="1"/>
    <n v="1"/>
    <n v="0"/>
    <n v="0"/>
    <n v="0"/>
    <n v="0"/>
    <n v="0"/>
    <n v="0"/>
    <n v="0"/>
    <n v="0"/>
    <n v="0"/>
    <n v="0"/>
    <n v="0"/>
    <n v="0"/>
    <n v="0"/>
    <n v="0"/>
    <n v="0"/>
    <n v="0"/>
    <n v="0"/>
    <n v="0"/>
    <x v="1"/>
    <x v="0"/>
    <x v="2"/>
    <n v="11"/>
    <n v="2"/>
    <m/>
    <m/>
    <m/>
    <m/>
    <m/>
    <m/>
    <m/>
    <m/>
    <m/>
    <m/>
    <m/>
    <m/>
    <m/>
    <m/>
    <m/>
    <m/>
    <m/>
    <m/>
    <m/>
    <n v="0"/>
    <n v="0"/>
  </r>
  <r>
    <n v="4999"/>
    <x v="0"/>
    <s v="2020/3284"/>
    <s v="44 Bolingbroke Grove"/>
    <s v=""/>
    <n v="527475"/>
    <n v="174306"/>
    <x v="11"/>
    <d v="2022-07-01T00:00:00"/>
    <d v="2023-10-02T00:00:00"/>
    <n v="2"/>
    <x v="5"/>
    <x v="6"/>
    <n v="2"/>
    <n v="0"/>
    <x v="1"/>
    <s v="Alterations including erection of single-storey rear extension and excavation to enlarge basement with front and rear lightwells in connection with extensions and reconfiguration of the existing 1-bedroom flat (Flat A) and Studio (Flat B) creating 1 x 3-bedroom flat and 1 x 2-bedroom flat."/>
    <s v="PF"/>
    <d v="2020-09-18T00:00:00"/>
    <d v="2020-11-13T00:00:00"/>
    <x v="0"/>
    <s v="Nil"/>
    <m/>
    <s v="BF"/>
    <s v="MIX"/>
    <x v="2"/>
    <x v="7"/>
    <n v="1.2E-2"/>
    <d v="2022-07-01T00:00:00"/>
    <x v="0"/>
    <d v="2023-10-02T00:00:00"/>
    <x v="1"/>
    <s v="M"/>
    <s v=""/>
    <m/>
    <m/>
    <m/>
    <m/>
    <m/>
    <n v="-1"/>
    <n v="-1"/>
    <n v="1"/>
    <n v="1"/>
    <n v="0"/>
    <n v="0"/>
    <n v="0"/>
    <n v="-1"/>
    <n v="-1"/>
    <n v="1"/>
    <n v="1"/>
    <n v="0"/>
    <n v="0"/>
    <n v="0"/>
    <n v="0"/>
    <n v="0"/>
    <n v="0"/>
    <n v="0"/>
    <n v="0"/>
    <n v="0"/>
    <n v="0"/>
    <n v="0"/>
    <n v="0"/>
    <n v="0"/>
    <n v="0"/>
    <n v="0"/>
    <n v="0"/>
    <n v="0"/>
    <x v="1"/>
    <x v="0"/>
    <x v="2"/>
    <n v="11"/>
    <n v="0"/>
    <m/>
    <m/>
    <m/>
    <m/>
    <m/>
    <m/>
    <m/>
    <m/>
    <m/>
    <m/>
    <m/>
    <m/>
    <m/>
    <m/>
    <m/>
    <m/>
    <m/>
    <m/>
    <m/>
    <n v="0"/>
    <n v="0"/>
  </r>
  <r>
    <n v="6472"/>
    <x v="0"/>
    <s v="2020/3342"/>
    <s v="Land rear of 163-165, 163-165 Mitcham Road"/>
    <s v=""/>
    <n v="527866"/>
    <n v="171090"/>
    <x v="9"/>
    <d v="2023-03-01T00:00:00"/>
    <d v="2024-03-26T00:00:00"/>
    <n v="0"/>
    <x v="11"/>
    <x v="36"/>
    <n v="3"/>
    <n v="3"/>
    <x v="1"/>
    <s v="Demolition of existing single-storey warehouse building (Class B8) and erection of  3-storey building to provide 3 x 1-bedroom flats."/>
    <s v="RP"/>
    <d v="2020-09-08T00:00:00"/>
    <d v="2020-11-03T00:00:00"/>
    <x v="0"/>
    <s v="APG"/>
    <d v="2021-03-29T00:00:00"/>
    <s v="BF"/>
    <s v="NB"/>
    <x v="2"/>
    <x v="3"/>
    <n v="1.2E-2"/>
    <d v="2023-03-01T00:00:00"/>
    <x v="0"/>
    <d v="2024-03-26T00:00:00"/>
    <x v="1"/>
    <s v="M"/>
    <s v=""/>
    <m/>
    <m/>
    <m/>
    <m/>
    <m/>
    <n v="0"/>
    <n v="3"/>
    <n v="0"/>
    <n v="0"/>
    <n v="0"/>
    <n v="0"/>
    <n v="0"/>
    <n v="0"/>
    <n v="3"/>
    <n v="0"/>
    <n v="0"/>
    <n v="0"/>
    <n v="0"/>
    <n v="0"/>
    <n v="0"/>
    <n v="0"/>
    <n v="0"/>
    <n v="0"/>
    <n v="0"/>
    <n v="0"/>
    <n v="0"/>
    <n v="0"/>
    <n v="0"/>
    <n v="0"/>
    <n v="0"/>
    <n v="0"/>
    <n v="0"/>
    <n v="0"/>
    <x v="0"/>
    <x v="0"/>
    <x v="0"/>
    <n v="1"/>
    <n v="3"/>
    <m/>
    <m/>
    <m/>
    <m/>
    <m/>
    <m/>
    <m/>
    <m/>
    <m/>
    <m/>
    <m/>
    <m/>
    <m/>
    <m/>
    <m/>
    <m/>
    <m/>
    <m/>
    <m/>
    <n v="0"/>
    <n v="0"/>
  </r>
  <r>
    <n v="7338"/>
    <x v="0"/>
    <s v="2020/3753"/>
    <s v="51-53 Northcote Road"/>
    <s v=""/>
    <n v="527505"/>
    <n v="174973"/>
    <x v="8"/>
    <d v="2023-04-01T00:00:00"/>
    <d v="2024-03-31T00:00:00"/>
    <n v="0"/>
    <x v="3"/>
    <x v="5"/>
    <n v="1"/>
    <n v="1"/>
    <x v="1"/>
    <s v="Alterations to rear block facing Shelgate Road including erection of extension to form additional floor of accommodation in connection with creation of a three-storey 2-bed dwelling house; associated demolition of single storey ground floor extension currently in Use Class E(b) and change of part of ground floor from Class E(b) to C3(a)."/>
    <s v="PF"/>
    <d v="2020-10-20T00:00:00"/>
    <d v="2020-12-15T00:00:00"/>
    <x v="0"/>
    <s v="Nil"/>
    <m/>
    <s v="BF"/>
    <s v="MIX"/>
    <x v="2"/>
    <x v="4"/>
    <n v="0.01"/>
    <d v="2023-04-01T00:00:00"/>
    <x v="1"/>
    <d v="2024-03-31T00:00:00"/>
    <x v="1"/>
    <s v="M"/>
    <s v=""/>
    <m/>
    <m/>
    <m/>
    <m/>
    <m/>
    <n v="0"/>
    <n v="0"/>
    <n v="1"/>
    <n v="0"/>
    <n v="0"/>
    <n v="0"/>
    <n v="0"/>
    <n v="0"/>
    <n v="0"/>
    <n v="0"/>
    <n v="0"/>
    <n v="0"/>
    <n v="0"/>
    <n v="0"/>
    <n v="0"/>
    <n v="0"/>
    <n v="1"/>
    <n v="0"/>
    <n v="0"/>
    <n v="0"/>
    <n v="0"/>
    <n v="0"/>
    <n v="0"/>
    <n v="0"/>
    <n v="0"/>
    <n v="0"/>
    <n v="0"/>
    <n v="0"/>
    <x v="3"/>
    <x v="0"/>
    <x v="3"/>
    <n v="11"/>
    <n v="1"/>
    <m/>
    <m/>
    <m/>
    <m/>
    <m/>
    <m/>
    <m/>
    <m/>
    <m/>
    <m/>
    <m/>
    <m/>
    <m/>
    <m/>
    <m/>
    <m/>
    <m/>
    <m/>
    <m/>
    <n v="0"/>
    <n v="0"/>
  </r>
  <r>
    <n v="7093"/>
    <x v="0"/>
    <s v="2020/3861"/>
    <s v="58 Selkirk Road"/>
    <s v=""/>
    <n v="527391"/>
    <n v="171716"/>
    <x v="19"/>
    <d v="2022-07-11T00:00:00"/>
    <d v="2024-03-08T00:00:00"/>
    <n v="1"/>
    <x v="24"/>
    <x v="15"/>
    <n v="5"/>
    <n v="4"/>
    <x v="1"/>
    <s v="Demolition of existing building and erection of two-storey with roof addition and basement building to provide accommodation consisting of 2 x 3-bedroom self-contained flats with media rooms, 3 x 1-bedroom one person self-contained flats with associated refuse and cycle storage."/>
    <s v="PF"/>
    <d v="2020-10-13T00:00:00"/>
    <d v="2021-03-01T00:00:00"/>
    <x v="0"/>
    <s v="Nil"/>
    <m/>
    <s v="BF"/>
    <s v="NB"/>
    <x v="2"/>
    <x v="3"/>
    <n v="0.02"/>
    <d v="2022-07-11T00:00:00"/>
    <x v="0"/>
    <d v="2024-03-08T00:00:00"/>
    <x v="1"/>
    <s v="M"/>
    <s v=""/>
    <m/>
    <m/>
    <m/>
    <m/>
    <m/>
    <n v="0"/>
    <n v="3"/>
    <n v="0"/>
    <n v="2"/>
    <n v="-1"/>
    <n v="0"/>
    <n v="0"/>
    <n v="0"/>
    <n v="3"/>
    <n v="0"/>
    <n v="2"/>
    <n v="0"/>
    <n v="0"/>
    <n v="0"/>
    <n v="0"/>
    <n v="0"/>
    <n v="0"/>
    <n v="0"/>
    <n v="-1"/>
    <n v="0"/>
    <n v="0"/>
    <n v="0"/>
    <n v="0"/>
    <n v="0"/>
    <n v="0"/>
    <n v="0"/>
    <n v="0"/>
    <n v="0"/>
    <x v="1"/>
    <x v="0"/>
    <x v="2"/>
    <n v="1"/>
    <n v="4"/>
    <m/>
    <m/>
    <m/>
    <m/>
    <m/>
    <m/>
    <m/>
    <m/>
    <m/>
    <m/>
    <m/>
    <m/>
    <m/>
    <m/>
    <m/>
    <m/>
    <m/>
    <m/>
    <m/>
    <n v="0"/>
    <n v="0"/>
  </r>
  <r>
    <n v="3514"/>
    <x v="0"/>
    <s v="2020/3867"/>
    <s v="Battersea Gasholder, 101 Prince of Wales Drive"/>
    <s v="Block A"/>
    <n v="528809"/>
    <n v="177181"/>
    <x v="1"/>
    <d v="2016-10-19T00:00:00"/>
    <m/>
    <n v="0"/>
    <x v="32"/>
    <x v="37"/>
    <n v="233"/>
    <n v="233"/>
    <x v="0"/>
    <s v="Application under Section 73 of the Town and Country Planning Act (as amended) for amendments to planning permission 2015/0591 dated 18/09/15, as amended by 2015/5347 dated 05/02/16, 2016/1517 dated 24/10/2016, 2016/6417 dated 03/05/17 and 2020/0501 dated 22/10/2020, for the redevelopment of the site to provide a mixed-use development comprising residential units, including affordable housing; flexible commercial floorspace including retail, financial and professional services, cafe/restaurant, offices, education, community and leisure (A1/A2/A3/B1/D1/D2) uses within buildings ranging from 2 to 26 storeys high; together with landscaped private amenity space and public realm, including publicly accessible routes through the site; an energy centre; basement car parking; basement and ground level cycle parking; refuse storage and servicing; vehicular access and demolition of remaining single-storey structures along the western boundary of the site, excluding the telecommunications equipment."/>
    <s v="S73"/>
    <d v="2020-11-12T00:00:00"/>
    <d v="2021-04-15T00:00:00"/>
    <x v="0"/>
    <s v="Nil"/>
    <m/>
    <s v="BF"/>
    <s v="NB"/>
    <x v="1"/>
    <x v="0"/>
    <n v="7.9000000000000001E-2"/>
    <d v="2022-03-31T00:00:00"/>
    <x v="0"/>
    <d v="2024-03-31T00:00:00"/>
    <x v="1"/>
    <s v="M"/>
    <s v="2.1.4"/>
    <m/>
    <n v="46"/>
    <m/>
    <n v="4"/>
    <m/>
    <n v="0"/>
    <n v="0"/>
    <n v="42"/>
    <n v="4"/>
    <n v="0"/>
    <n v="0"/>
    <n v="0"/>
    <n v="0"/>
    <n v="0"/>
    <n v="42"/>
    <n v="4"/>
    <n v="0"/>
    <n v="0"/>
    <n v="0"/>
    <n v="0"/>
    <n v="0"/>
    <n v="0"/>
    <n v="0"/>
    <n v="0"/>
    <n v="0"/>
    <n v="0"/>
    <n v="0"/>
    <n v="0"/>
    <n v="0"/>
    <n v="0"/>
    <n v="0"/>
    <n v="0"/>
    <n v="0"/>
    <x v="1"/>
    <x v="1"/>
    <x v="1"/>
    <n v="1"/>
    <n v="46"/>
    <m/>
    <m/>
    <m/>
    <m/>
    <m/>
    <m/>
    <m/>
    <m/>
    <m/>
    <m/>
    <m/>
    <m/>
    <m/>
    <m/>
    <m/>
    <m/>
    <m/>
    <m/>
    <m/>
    <n v="0"/>
    <n v="0"/>
  </r>
  <r>
    <n v="3514"/>
    <x v="0"/>
    <s v="2020/3867"/>
    <s v="Battersea Gasholder, 101 Prince of Wales Drive"/>
    <s v="Block B"/>
    <n v="528809"/>
    <n v="177181"/>
    <x v="1"/>
    <d v="2016-10-19T00:00:00"/>
    <m/>
    <n v="0"/>
    <x v="33"/>
    <x v="38"/>
    <n v="233"/>
    <n v="233"/>
    <x v="0"/>
    <s v="Application under Section 73 of the Town and Country Planning Act (as amended) for amendments to planning permission 2015/0591 dated 18/09/15, as amended by 2015/5347 dated 05/02/16, 2016/1517 dated 24/10/2016, 2016/6417 dated 03/05/17 and 2020/0501 dated 22/10/2020, for the redevelopment of the site to provide a mixed-use development comprising residential units, including affordable housing; flexible commercial floorspace including retail, financial and professional services, cafe/restaurant, offices, education, community and leisure (A1/A2/A3/B1/D1/D2) uses within buildings ranging from 2 to 26 storeys high; together with landscaped private amenity space and public realm, including publicly accessible routes through the site; an energy centre; basement car parking; basement and ground level cycle parking; refuse storage and servicing; vehicular access and demolition of remaining single-storey structures along the western boundary of the site, excluding the telecommunications equipment."/>
    <s v="S73"/>
    <d v="2020-11-12T00:00:00"/>
    <d v="2021-04-15T00:00:00"/>
    <x v="0"/>
    <s v="Nil"/>
    <m/>
    <s v="BF"/>
    <s v="NB"/>
    <x v="1"/>
    <x v="0"/>
    <n v="0.20399999999999999"/>
    <d v="2021-04-01T00:00:00"/>
    <x v="0"/>
    <d v="2024-03-31T00:00:00"/>
    <x v="1"/>
    <s v="M"/>
    <s v="2.1.4"/>
    <m/>
    <n v="95"/>
    <m/>
    <n v="10"/>
    <m/>
    <n v="0"/>
    <n v="17"/>
    <n v="53"/>
    <n v="21"/>
    <n v="4"/>
    <n v="0"/>
    <n v="0"/>
    <n v="0"/>
    <n v="17"/>
    <n v="53"/>
    <n v="21"/>
    <n v="4"/>
    <n v="0"/>
    <n v="0"/>
    <n v="0"/>
    <n v="0"/>
    <n v="0"/>
    <n v="0"/>
    <n v="0"/>
    <n v="0"/>
    <n v="0"/>
    <n v="0"/>
    <n v="0"/>
    <n v="0"/>
    <n v="0"/>
    <n v="0"/>
    <n v="0"/>
    <n v="0"/>
    <x v="1"/>
    <x v="1"/>
    <x v="1"/>
    <n v="1"/>
    <n v="95"/>
    <m/>
    <m/>
    <m/>
    <m/>
    <m/>
    <m/>
    <m/>
    <m/>
    <m/>
    <m/>
    <m/>
    <m/>
    <m/>
    <m/>
    <m/>
    <m/>
    <m/>
    <m/>
    <m/>
    <n v="0"/>
    <n v="0"/>
  </r>
  <r>
    <n v="3514"/>
    <x v="0"/>
    <s v="2020/3867"/>
    <s v="Battersea Gasholder, 101 Prince of Wales Drive"/>
    <s v="Block F"/>
    <n v="528809"/>
    <n v="177181"/>
    <x v="1"/>
    <d v="2016-10-19T00:00:00"/>
    <m/>
    <n v="0"/>
    <x v="34"/>
    <x v="39"/>
    <n v="233"/>
    <n v="233"/>
    <x v="0"/>
    <s v="Application under Section 73 of the Town and Country Planning Act (as amended) for amendments to planning permission 2015/0591 dated 18/09/15, as amended by 2015/5347 dated 05/02/16, 2016/1517 dated 24/10/2016, 2016/6417 dated 03/05/17 and 2020/0501 dated 22/10/2020, for the redevelopment of the site to provide a mixed-use development comprising residential units, including affordable housing; flexible commercial floorspace including retail, financial and professional services, cafe/restaurant, offices, education, community and leisure (A1/A2/A3/B1/D1/D2) uses within buildings ranging from 2 to 26 storeys high; together with landscaped private amenity space and public realm, including publicly accessible routes through the site; an energy centre; basement car parking; basement and ground level cycle parking; refuse storage and servicing; vehicular access and demolition of remaining single-storey structures along the western boundary of the site, excluding the telecommunications equipment."/>
    <s v="S73"/>
    <d v="2020-11-12T00:00:00"/>
    <d v="2021-04-15T00:00:00"/>
    <x v="0"/>
    <s v="Nil"/>
    <m/>
    <s v="BF"/>
    <s v="NB"/>
    <x v="1"/>
    <x v="0"/>
    <n v="0.16900000000000001"/>
    <d v="2022-03-31T00:00:00"/>
    <x v="0"/>
    <d v="2024-03-31T00:00:00"/>
    <x v="1"/>
    <s v="M"/>
    <s v="2.1.4"/>
    <m/>
    <n v="92"/>
    <m/>
    <n v="10"/>
    <m/>
    <n v="0"/>
    <n v="28"/>
    <n v="56"/>
    <n v="4"/>
    <n v="4"/>
    <n v="0"/>
    <n v="0"/>
    <n v="0"/>
    <n v="28"/>
    <n v="56"/>
    <n v="4"/>
    <n v="4"/>
    <n v="0"/>
    <n v="0"/>
    <n v="0"/>
    <n v="0"/>
    <n v="0"/>
    <n v="0"/>
    <n v="0"/>
    <n v="0"/>
    <n v="0"/>
    <n v="0"/>
    <n v="0"/>
    <n v="0"/>
    <n v="0"/>
    <n v="0"/>
    <n v="0"/>
    <n v="0"/>
    <x v="1"/>
    <x v="1"/>
    <x v="1"/>
    <n v="1"/>
    <n v="92"/>
    <m/>
    <m/>
    <m/>
    <m/>
    <m/>
    <m/>
    <m/>
    <m/>
    <m/>
    <m/>
    <m/>
    <m/>
    <m/>
    <m/>
    <m/>
    <m/>
    <m/>
    <m/>
    <m/>
    <n v="0"/>
    <n v="0"/>
  </r>
  <r>
    <n v="7488"/>
    <x v="0"/>
    <s v="2020/4252"/>
    <s v="121 Earlsfield Road"/>
    <s v=""/>
    <n v="526356"/>
    <n v="173676"/>
    <x v="13"/>
    <d v="2021-04-20T00:00:00"/>
    <d v="2024-02-23T00:00:00"/>
    <n v="0"/>
    <x v="5"/>
    <x v="7"/>
    <n v="4"/>
    <n v="3"/>
    <x v="1"/>
    <s v="Erection of rear mansard, raising the ridge of the main roof by 300mm, erection of pod roof extension with roof terrace, erection of single storey ground floor rear side extension, excavation of front and rear lightwells, alterations to front boundary treatment, conversion of property into 4 self-contained residential units 2 x 3 bedroom, 1 x 2 bedroom and 1 x 1 bedroom units with associated refuse and cycle storage"/>
    <s v="PF"/>
    <d v="2020-11-09T00:00:00"/>
    <d v="2021-01-05T00:00:00"/>
    <x v="0"/>
    <s v="Nil"/>
    <m/>
    <s v="BF"/>
    <s v="CON"/>
    <x v="2"/>
    <x v="7"/>
    <n v="1.6E-2"/>
    <d v="2021-04-20T00:00:00"/>
    <x v="0"/>
    <d v="2024-02-23T00:00:00"/>
    <x v="1"/>
    <s v="M"/>
    <s v=""/>
    <m/>
    <m/>
    <m/>
    <m/>
    <m/>
    <n v="0"/>
    <n v="1"/>
    <n v="0"/>
    <n v="1"/>
    <n v="0"/>
    <n v="0"/>
    <n v="0"/>
    <n v="0"/>
    <n v="1"/>
    <n v="0"/>
    <n v="1"/>
    <n v="0"/>
    <n v="0"/>
    <n v="0"/>
    <n v="0"/>
    <n v="0"/>
    <n v="0"/>
    <n v="0"/>
    <n v="0"/>
    <n v="0"/>
    <n v="0"/>
    <n v="0"/>
    <n v="0"/>
    <n v="0"/>
    <n v="0"/>
    <n v="0"/>
    <n v="0"/>
    <n v="0"/>
    <x v="1"/>
    <x v="0"/>
    <x v="2"/>
    <n v="11"/>
    <n v="2"/>
    <m/>
    <m/>
    <m/>
    <m/>
    <m/>
    <m/>
    <m/>
    <m/>
    <m/>
    <m/>
    <m/>
    <m/>
    <m/>
    <m/>
    <m/>
    <m/>
    <m/>
    <m/>
    <m/>
    <n v="0"/>
    <n v="0"/>
  </r>
  <r>
    <n v="7488"/>
    <x v="0"/>
    <s v="2020/4252"/>
    <s v="121 Earlsfield Road"/>
    <s v=""/>
    <n v="526356"/>
    <n v="173676"/>
    <x v="13"/>
    <d v="2021-04-20T00:00:00"/>
    <d v="2024-02-23T00:00:00"/>
    <n v="1"/>
    <x v="5"/>
    <x v="5"/>
    <n v="4"/>
    <n v="3"/>
    <x v="1"/>
    <s v="Erection of rear mansard, raising the ridge of the main roof by 300mm, erection of pod roof extension with roof terrace, erection of single storey ground floor rear side extension, excavation of front and rear lightwells, alterations to front boundary treatment, conversion of property into 4 self-contained residential units 2 x 3 bedroom, 1 x 2 bedroom and 1 x 1 bedroom units with associated refuse and cycle storage"/>
    <s v="PF"/>
    <d v="2020-11-09T00:00:00"/>
    <d v="2021-01-05T00:00:00"/>
    <x v="0"/>
    <s v="Nil"/>
    <m/>
    <s v="BF"/>
    <s v="CON"/>
    <x v="2"/>
    <x v="10"/>
    <n v="1.6E-2"/>
    <d v="2021-04-20T00:00:00"/>
    <x v="0"/>
    <d v="2024-02-23T00:00:00"/>
    <x v="1"/>
    <s v="M"/>
    <s v=""/>
    <m/>
    <m/>
    <m/>
    <m/>
    <m/>
    <n v="0"/>
    <n v="0"/>
    <n v="1"/>
    <n v="1"/>
    <n v="0"/>
    <n v="-1"/>
    <n v="0"/>
    <n v="0"/>
    <n v="0"/>
    <n v="1"/>
    <n v="1"/>
    <n v="0"/>
    <n v="0"/>
    <n v="0"/>
    <n v="0"/>
    <n v="0"/>
    <n v="0"/>
    <n v="0"/>
    <n v="0"/>
    <n v="-1"/>
    <n v="0"/>
    <n v="0"/>
    <n v="0"/>
    <n v="0"/>
    <n v="0"/>
    <n v="0"/>
    <n v="0"/>
    <n v="0"/>
    <x v="1"/>
    <x v="0"/>
    <x v="2"/>
    <n v="11"/>
    <n v="1"/>
    <m/>
    <m/>
    <m/>
    <m/>
    <m/>
    <m/>
    <m/>
    <m/>
    <m/>
    <m/>
    <m/>
    <m/>
    <m/>
    <m/>
    <m/>
    <m/>
    <m/>
    <m/>
    <m/>
    <n v="0"/>
    <n v="0"/>
  </r>
  <r>
    <n v="6305"/>
    <x v="0"/>
    <s v="2020/4436"/>
    <s v="29 Roehampton Lane"/>
    <s v=""/>
    <n v="522122"/>
    <n v="175335"/>
    <x v="4"/>
    <d v="2022-06-01T00:00:00"/>
    <d v="2024-03-31T00:00:00"/>
    <n v="1"/>
    <x v="12"/>
    <x v="36"/>
    <n v="4"/>
    <n v="3"/>
    <x v="1"/>
    <s v="Alterations including installation of side dormer and rear dormer (with french doors and safety railing) and excavation to create basement with front and rear lightwells with grille over in connection with creation of 4 flats with associated bin and cycle storage."/>
    <s v="PF"/>
    <d v="2020-11-19T00:00:00"/>
    <d v="2021-02-01T00:00:00"/>
    <x v="0"/>
    <s v="Nil"/>
    <m/>
    <s v="BF"/>
    <s v="CON"/>
    <x v="2"/>
    <x v="10"/>
    <n v="4.3999999999999997E-2"/>
    <d v="2022-06-01T00:00:00"/>
    <x v="0"/>
    <d v="2024-03-31T00:00:00"/>
    <x v="1"/>
    <s v="M"/>
    <s v=""/>
    <m/>
    <m/>
    <m/>
    <m/>
    <m/>
    <n v="0"/>
    <n v="1"/>
    <n v="3"/>
    <n v="0"/>
    <n v="0"/>
    <n v="-1"/>
    <n v="0"/>
    <n v="0"/>
    <n v="1"/>
    <n v="3"/>
    <n v="0"/>
    <n v="0"/>
    <n v="0"/>
    <n v="0"/>
    <n v="0"/>
    <n v="0"/>
    <n v="0"/>
    <n v="0"/>
    <n v="0"/>
    <n v="-1"/>
    <n v="0"/>
    <n v="0"/>
    <n v="0"/>
    <n v="0"/>
    <n v="0"/>
    <n v="0"/>
    <n v="0"/>
    <n v="0"/>
    <x v="1"/>
    <x v="0"/>
    <x v="2"/>
    <n v="11"/>
    <n v="3"/>
    <m/>
    <m/>
    <m/>
    <m/>
    <m/>
    <m/>
    <m/>
    <m/>
    <m/>
    <m/>
    <m/>
    <m/>
    <m/>
    <m/>
    <m/>
    <m/>
    <m/>
    <m/>
    <m/>
    <n v="0"/>
    <n v="0"/>
  </r>
  <r>
    <n v="7495"/>
    <x v="0"/>
    <s v="2020/4494"/>
    <s v="30a Fountain Road"/>
    <s v=""/>
    <n v="526948"/>
    <n v="171621"/>
    <x v="0"/>
    <d v="2022-08-18T00:00:00"/>
    <d v="2023-09-20T00:00:00"/>
    <n v="0"/>
    <x v="3"/>
    <x v="5"/>
    <n v="1"/>
    <n v="1"/>
    <x v="1"/>
    <s v="Alterations including raising ridge height by 300mm, erection of a mansard roof extension on the main rear roof slope and above part of two-storey rear addition to form new 1-bedroom flat with the formation of a roof terrace with 1.7m obscured glazed screen."/>
    <s v="PF"/>
    <d v="2020-11-23T00:00:00"/>
    <d v="2021-02-15T00:00:00"/>
    <x v="0"/>
    <s v="Nil"/>
    <m/>
    <s v="BF"/>
    <s v="MIX"/>
    <x v="2"/>
    <x v="7"/>
    <n v="3.0000000000000001E-3"/>
    <d v="2022-08-18T00:00:00"/>
    <x v="0"/>
    <d v="2023-09-20T00:00:00"/>
    <x v="1"/>
    <s v="M"/>
    <s v=""/>
    <m/>
    <m/>
    <m/>
    <m/>
    <m/>
    <n v="0"/>
    <n v="1"/>
    <n v="0"/>
    <n v="0"/>
    <n v="0"/>
    <n v="0"/>
    <n v="0"/>
    <n v="0"/>
    <n v="1"/>
    <n v="0"/>
    <n v="0"/>
    <n v="0"/>
    <n v="0"/>
    <n v="0"/>
    <n v="0"/>
    <n v="0"/>
    <n v="0"/>
    <n v="0"/>
    <n v="0"/>
    <n v="0"/>
    <n v="0"/>
    <n v="0"/>
    <n v="0"/>
    <n v="0"/>
    <n v="0"/>
    <n v="0"/>
    <n v="0"/>
    <n v="0"/>
    <x v="1"/>
    <x v="0"/>
    <x v="2"/>
    <n v="11"/>
    <n v="1"/>
    <m/>
    <m/>
    <m/>
    <m/>
    <m/>
    <m/>
    <m/>
    <m/>
    <m/>
    <m/>
    <m/>
    <m/>
    <m/>
    <m/>
    <m/>
    <m/>
    <m/>
    <m/>
    <m/>
    <n v="0"/>
    <n v="0"/>
  </r>
  <r>
    <n v="4686"/>
    <x v="0"/>
    <s v="2020/4633"/>
    <s v="75 Bennerley Road"/>
    <s v=""/>
    <n v="527471"/>
    <n v="174831"/>
    <x v="11"/>
    <d v="2023-03-31T00:00:00"/>
    <d v="2023-04-18T00:00:00"/>
    <n v="2"/>
    <x v="3"/>
    <x v="3"/>
    <n v="1"/>
    <n v="-1"/>
    <x v="1"/>
    <s v="Change of use of basement and upper floor flat into a single dwelling"/>
    <s v="PF"/>
    <d v="2021-01-12T00:00:00"/>
    <d v="2021-03-09T00:00:00"/>
    <x v="0"/>
    <s v="Nil"/>
    <m/>
    <s v="BF"/>
    <s v="CON"/>
    <x v="2"/>
    <x v="11"/>
    <n v="1.2E-2"/>
    <d v="2023-03-31T00:00:00"/>
    <x v="0"/>
    <d v="2023-04-18T00:00:00"/>
    <x v="1"/>
    <s v="M"/>
    <s v=""/>
    <m/>
    <m/>
    <m/>
    <m/>
    <m/>
    <n v="0"/>
    <n v="-1"/>
    <n v="0"/>
    <n v="0"/>
    <n v="-1"/>
    <n v="1"/>
    <n v="0"/>
    <n v="0"/>
    <n v="-1"/>
    <n v="0"/>
    <n v="0"/>
    <n v="-1"/>
    <n v="0"/>
    <n v="0"/>
    <n v="0"/>
    <n v="0"/>
    <n v="0"/>
    <n v="0"/>
    <n v="0"/>
    <n v="1"/>
    <n v="0"/>
    <n v="0"/>
    <n v="0"/>
    <n v="0"/>
    <n v="0"/>
    <n v="0"/>
    <n v="0"/>
    <n v="0"/>
    <x v="1"/>
    <x v="0"/>
    <x v="3"/>
    <n v="11"/>
    <n v="-1"/>
    <m/>
    <m/>
    <m/>
    <m/>
    <m/>
    <m/>
    <m/>
    <m/>
    <m/>
    <m/>
    <m/>
    <m/>
    <m/>
    <m/>
    <m/>
    <m/>
    <m/>
    <m/>
    <m/>
    <n v="0"/>
    <n v="0"/>
  </r>
  <r>
    <n v="4793"/>
    <x v="0"/>
    <s v="2020/4678"/>
    <s v="75 Clapham Common North Side"/>
    <s v=""/>
    <n v="528375"/>
    <n v="175229"/>
    <x v="8"/>
    <d v="2023-03-31T00:00:00"/>
    <d v="2023-04-01T00:00:00"/>
    <n v="2"/>
    <x v="3"/>
    <x v="3"/>
    <n v="1"/>
    <n v="-1"/>
    <x v="1"/>
    <s v="Conversion of the property from two flats into a 6-bedroom single dwellinghouse."/>
    <s v="PF"/>
    <d v="2020-12-02T00:00:00"/>
    <d v="2021-02-19T00:00:00"/>
    <x v="0"/>
    <s v="Nil"/>
    <m/>
    <s v="BF"/>
    <s v="CON"/>
    <x v="2"/>
    <x v="11"/>
    <n v="0.02"/>
    <d v="2023-03-31T00:00:00"/>
    <x v="0"/>
    <d v="2023-04-01T00:00:00"/>
    <x v="1"/>
    <s v="M"/>
    <s v=""/>
    <m/>
    <m/>
    <m/>
    <m/>
    <m/>
    <n v="0"/>
    <n v="-1"/>
    <n v="0"/>
    <n v="0"/>
    <n v="0"/>
    <n v="0"/>
    <n v="0"/>
    <n v="0"/>
    <n v="-1"/>
    <n v="0"/>
    <n v="0"/>
    <n v="0"/>
    <n v="-1"/>
    <n v="0"/>
    <n v="0"/>
    <n v="0"/>
    <n v="0"/>
    <n v="0"/>
    <n v="0"/>
    <n v="1"/>
    <n v="0"/>
    <n v="0"/>
    <n v="0"/>
    <n v="0"/>
    <n v="0"/>
    <n v="0"/>
    <n v="0"/>
    <n v="0"/>
    <x v="1"/>
    <x v="0"/>
    <x v="2"/>
    <n v="11"/>
    <n v="-1"/>
    <m/>
    <m/>
    <m/>
    <m/>
    <m/>
    <m/>
    <m/>
    <m/>
    <m/>
    <m/>
    <m/>
    <m/>
    <m/>
    <m/>
    <m/>
    <m/>
    <m/>
    <m/>
    <m/>
    <n v="0"/>
    <n v="0"/>
  </r>
  <r>
    <n v="4693"/>
    <x v="0"/>
    <s v="2020/4959"/>
    <s v="22 Upper Richmond Road"/>
    <s v=""/>
    <n v="524887"/>
    <n v="174632"/>
    <x v="7"/>
    <d v="2022-04-01T00:00:00"/>
    <d v="2023-06-11T00:00:00"/>
    <n v="0"/>
    <x v="11"/>
    <x v="36"/>
    <n v="3"/>
    <n v="3"/>
    <x v="1"/>
    <s v="Alterations including erection of part single, part three-storey rear/side extension in connection with the creation of 1 x 1 bedroom flat and 2 x studio flats. Creation of roof-terrace at second floor level."/>
    <s v="PF"/>
    <d v="2020-12-21T00:00:00"/>
    <d v="2021-03-09T00:00:00"/>
    <x v="0"/>
    <s v="Nil"/>
    <m/>
    <s v="BF"/>
    <s v="MIX"/>
    <x v="2"/>
    <x v="3"/>
    <n v="5.0000000000000001E-3"/>
    <d v="2022-04-01T00:00:00"/>
    <x v="0"/>
    <d v="2023-06-11T00:00:00"/>
    <x v="1"/>
    <s v="M"/>
    <s v=""/>
    <m/>
    <m/>
    <m/>
    <m/>
    <m/>
    <n v="2"/>
    <n v="1"/>
    <n v="0"/>
    <n v="0"/>
    <n v="0"/>
    <n v="0"/>
    <n v="0"/>
    <n v="2"/>
    <n v="1"/>
    <n v="0"/>
    <n v="0"/>
    <n v="0"/>
    <n v="0"/>
    <n v="0"/>
    <n v="0"/>
    <n v="0"/>
    <n v="0"/>
    <n v="0"/>
    <n v="0"/>
    <n v="0"/>
    <n v="0"/>
    <n v="0"/>
    <n v="0"/>
    <n v="0"/>
    <n v="0"/>
    <n v="0"/>
    <n v="0"/>
    <n v="0"/>
    <x v="1"/>
    <x v="0"/>
    <x v="2"/>
    <n v="11"/>
    <n v="3"/>
    <m/>
    <m/>
    <m/>
    <m/>
    <m/>
    <m/>
    <m/>
    <m/>
    <m/>
    <m/>
    <m/>
    <m/>
    <m/>
    <m/>
    <m/>
    <m/>
    <m/>
    <m/>
    <m/>
    <n v="0"/>
    <n v="0"/>
  </r>
  <r>
    <n v="4762"/>
    <x v="0"/>
    <s v="2020/4967"/>
    <s v="and 182A, 182 Mitcham Road"/>
    <s v=""/>
    <n v="527890"/>
    <n v="170978"/>
    <x v="0"/>
    <d v="2022-04-10T00:00:00"/>
    <d v="2023-04-27T00:00:00"/>
    <n v="0"/>
    <x v="3"/>
    <x v="5"/>
    <n v="1"/>
    <n v="1"/>
    <x v="1"/>
    <s v="Alterations to existing single storey rear/side extension and replacement rear boundary treatment, in connection with the conversion of the rear part of the ground floor into one-bedroom studio flat."/>
    <s v="PF"/>
    <d v="2020-12-21T00:00:00"/>
    <d v="2021-09-14T00:00:00"/>
    <x v="0"/>
    <s v="Nil"/>
    <m/>
    <s v="BF"/>
    <s v="CON"/>
    <x v="2"/>
    <x v="6"/>
    <n v="4.4000000000000003E-3"/>
    <d v="2022-04-10T00:00:00"/>
    <x v="0"/>
    <d v="2023-04-27T00:00:00"/>
    <x v="1"/>
    <s v="M"/>
    <s v=""/>
    <m/>
    <m/>
    <m/>
    <m/>
    <m/>
    <n v="0"/>
    <n v="1"/>
    <n v="0"/>
    <n v="0"/>
    <n v="0"/>
    <n v="0"/>
    <n v="0"/>
    <n v="0"/>
    <n v="1"/>
    <n v="0"/>
    <n v="0"/>
    <n v="0"/>
    <n v="0"/>
    <n v="0"/>
    <n v="0"/>
    <n v="0"/>
    <n v="0"/>
    <n v="0"/>
    <n v="0"/>
    <n v="0"/>
    <n v="0"/>
    <n v="0"/>
    <n v="0"/>
    <n v="0"/>
    <n v="0"/>
    <n v="0"/>
    <n v="0"/>
    <n v="0"/>
    <x v="1"/>
    <x v="0"/>
    <x v="0"/>
    <n v="11"/>
    <n v="1"/>
    <m/>
    <m/>
    <m/>
    <m/>
    <m/>
    <m/>
    <m/>
    <m/>
    <m/>
    <m/>
    <m/>
    <m/>
    <m/>
    <m/>
    <m/>
    <m/>
    <m/>
    <m/>
    <m/>
    <n v="0"/>
    <n v="0"/>
  </r>
  <r>
    <n v="7291"/>
    <x v="0"/>
    <s v="2020/5053"/>
    <s v="Bank House, 250 Wimbledon Park Road"/>
    <s v=""/>
    <n v="524705"/>
    <n v="173268"/>
    <x v="5"/>
    <d v="2022-07-01T00:00:00"/>
    <d v="2023-04-01T00:00:00"/>
    <n v="0"/>
    <x v="11"/>
    <x v="36"/>
    <n v="3"/>
    <n v="3"/>
    <x v="1"/>
    <s v="Alterations including erection of two storey rear and side extensions at the rear and side (plus roof), and alterations at second floor level fronting Augustus Road in connection with change of use of part of the first and second floors from office (Class E) to 3 x 1-bedroom flats (Class C3) with associated cycle and refuse storage"/>
    <s v="PF"/>
    <d v="2020-12-24T00:00:00"/>
    <d v="2021-03-15T00:00:00"/>
    <x v="0"/>
    <s v="Nil"/>
    <m/>
    <s v="BF"/>
    <s v="MIX"/>
    <x v="2"/>
    <x v="7"/>
    <n v="7.0000000000000001E-3"/>
    <d v="2022-07-01T00:00:00"/>
    <x v="0"/>
    <d v="2023-04-01T00:00:00"/>
    <x v="1"/>
    <s v="M"/>
    <s v=""/>
    <m/>
    <m/>
    <m/>
    <m/>
    <m/>
    <n v="0"/>
    <n v="3"/>
    <n v="0"/>
    <n v="0"/>
    <n v="0"/>
    <n v="0"/>
    <n v="0"/>
    <n v="0"/>
    <n v="3"/>
    <n v="0"/>
    <n v="0"/>
    <n v="0"/>
    <n v="0"/>
    <n v="0"/>
    <n v="0"/>
    <n v="0"/>
    <n v="0"/>
    <n v="0"/>
    <n v="0"/>
    <n v="0"/>
    <n v="0"/>
    <n v="0"/>
    <n v="0"/>
    <n v="0"/>
    <n v="0"/>
    <n v="0"/>
    <n v="0"/>
    <n v="0"/>
    <x v="1"/>
    <x v="0"/>
    <x v="2"/>
    <n v="11"/>
    <n v="3"/>
    <m/>
    <m/>
    <m/>
    <m/>
    <m/>
    <m/>
    <m/>
    <m/>
    <m/>
    <m/>
    <m/>
    <m/>
    <m/>
    <m/>
    <m/>
    <m/>
    <m/>
    <m/>
    <m/>
    <n v="0"/>
    <n v="0"/>
  </r>
  <r>
    <n v="7397"/>
    <x v="0"/>
    <s v="2020/5071"/>
    <s v="The Studio, 81 Elmfield Road"/>
    <s v=""/>
    <n v="528375"/>
    <n v="172919"/>
    <x v="18"/>
    <d v="2023-05-05T00:00:00"/>
    <d v="2024-03-22T00:00:00"/>
    <n v="0"/>
    <x v="3"/>
    <x v="5"/>
    <n v="1"/>
    <n v="1"/>
    <x v="1"/>
    <s v="Demolition of existing single storey office building (Class E) and erection of two-storey (plus basement) 1-bedroom 1 x person house (Class C3)."/>
    <s v="PF"/>
    <d v="2020-12-28T00:00:00"/>
    <d v="2021-03-24T00:00:00"/>
    <x v="0"/>
    <s v="Nil"/>
    <m/>
    <s v="BF"/>
    <s v="NB"/>
    <x v="2"/>
    <x v="6"/>
    <n v="4.0000000000000001E-3"/>
    <d v="2023-05-05T00:00:00"/>
    <x v="1"/>
    <d v="2024-03-22T00:00:00"/>
    <x v="1"/>
    <s v="M"/>
    <s v=""/>
    <m/>
    <m/>
    <m/>
    <m/>
    <m/>
    <n v="0"/>
    <n v="1"/>
    <n v="0"/>
    <n v="0"/>
    <n v="0"/>
    <n v="0"/>
    <n v="0"/>
    <n v="0"/>
    <n v="0"/>
    <n v="0"/>
    <n v="0"/>
    <n v="0"/>
    <n v="0"/>
    <n v="0"/>
    <n v="0"/>
    <n v="1"/>
    <n v="0"/>
    <n v="0"/>
    <n v="0"/>
    <n v="0"/>
    <n v="0"/>
    <n v="0"/>
    <n v="0"/>
    <n v="0"/>
    <n v="0"/>
    <n v="0"/>
    <n v="0"/>
    <n v="0"/>
    <x v="1"/>
    <x v="0"/>
    <x v="2"/>
    <n v="1"/>
    <n v="1"/>
    <m/>
    <m/>
    <m/>
    <m/>
    <m/>
    <m/>
    <m/>
    <m/>
    <m/>
    <m/>
    <m/>
    <m/>
    <m/>
    <m/>
    <m/>
    <m/>
    <m/>
    <m/>
    <m/>
    <n v="0"/>
    <n v="0"/>
  </r>
  <r>
    <n v="7364"/>
    <x v="0"/>
    <s v="2021/0408"/>
    <s v="5 Parma Crescent"/>
    <s v=""/>
    <n v="527592"/>
    <n v="175427"/>
    <x v="8"/>
    <d v="2022-04-01T00:00:00"/>
    <d v="2023-05-15T00:00:00"/>
    <n v="1"/>
    <x v="10"/>
    <x v="0"/>
    <n v="7"/>
    <n v="6"/>
    <x v="1"/>
    <s v="Demolition of existing building and erection of a part 2-storey, part 3-storey building (with basement) to provide 7 flats (2 x 3-bed, 4 x 2-bed, 1 x 1-bed flats) with associated refuse and cycle storage."/>
    <s v="PF"/>
    <d v="2021-01-29T00:00:00"/>
    <d v="2021-05-28T00:00:00"/>
    <x v="0"/>
    <s v="Nil"/>
    <m/>
    <s v="BF"/>
    <s v="NB"/>
    <x v="2"/>
    <x v="3"/>
    <n v="3.2000000000000001E-2"/>
    <d v="2022-04-01T00:00:00"/>
    <x v="0"/>
    <d v="2023-05-15T00:00:00"/>
    <x v="1"/>
    <s v="M"/>
    <s v=""/>
    <m/>
    <m/>
    <m/>
    <m/>
    <m/>
    <n v="0"/>
    <n v="1"/>
    <n v="4"/>
    <n v="1"/>
    <n v="0"/>
    <n v="0"/>
    <n v="0"/>
    <n v="0"/>
    <n v="1"/>
    <n v="4"/>
    <n v="2"/>
    <n v="0"/>
    <n v="0"/>
    <n v="0"/>
    <n v="0"/>
    <n v="0"/>
    <n v="0"/>
    <n v="-1"/>
    <n v="0"/>
    <n v="0"/>
    <n v="0"/>
    <n v="0"/>
    <n v="0"/>
    <n v="0"/>
    <n v="0"/>
    <n v="0"/>
    <n v="0"/>
    <n v="0"/>
    <x v="1"/>
    <x v="0"/>
    <x v="3"/>
    <n v="1"/>
    <n v="6"/>
    <m/>
    <m/>
    <m/>
    <m/>
    <m/>
    <m/>
    <m/>
    <m/>
    <m/>
    <m/>
    <m/>
    <m/>
    <m/>
    <m/>
    <m/>
    <m/>
    <m/>
    <m/>
    <m/>
    <n v="0"/>
    <n v="0"/>
  </r>
  <r>
    <n v="3511"/>
    <x v="0"/>
    <s v="2021/0660"/>
    <s v="New Covent Garden Market, Nine Elms Lane (Combined Main Market, Entrance site and Thessaly College site)"/>
    <s v="N6"/>
    <n v="529369"/>
    <n v="177317"/>
    <x v="1"/>
    <d v="2019-12-01T00:00:00"/>
    <d v="2024-03-31T00:00:00"/>
    <n v="0"/>
    <x v="35"/>
    <x v="40"/>
    <n v="17"/>
    <n v="17"/>
    <x v="0"/>
    <s v="Non-Material Amendment (S96A) to amend the details of Reserved Matters approval (ref. 2019/2995 - dated 22 November 2019) for Phase 2 and amended under ref. 2020/1541 (approved 27 May 2020) for Application for approval of reserved matters (Access, Layout, Appearance, Scale and Landscaping) for the 'Phase 2' of the Northern Site Development Zone pursuant to part outline and part detailed planning permission 2014/2810, dated 11/02/15 for: &quot;(a) Demolition of existing wholesale Fruit and Vegetable and Flower Market and ancillary buildings and structures, and residential building on Nine Elms Lane (apart from the existing multi storey car park); (b) Construction of mixed use redevelopment comprising: a new Fruit and Vegetable Market and Flower Market and ancillary uses, including temporary and permanent façade; refurbishment and extension of existing waste collection area (including rooftop sports pitches); residential dwellings; flexible commercial uses, including retail, financial and professional services, café/restaurant, bar uses and hot food takeaways and offices; non-residential institutions; assembly and leisure uses; temporary storage and distribution buildings and associated works; associated car, cycle and motorcycle parking and servicing and new vehicle accesses, energy centres; and landscaping public realm and open space including part of the Linear Park. All matters reserved apart from access, details of all new markets and supporting buildings, and details of Building N8 and associated landscaping); (c) Site clearance and enabling works. An Environmental Statement has been submitted with the application under The Town and Country Planning (Environmental Impact Assessment) Regulations 2011.&quot;"/>
    <s v="S96A"/>
    <d v="2021-02-12T00:00:00"/>
    <d v="2021-05-12T00:00:00"/>
    <x v="0"/>
    <s v="Nil"/>
    <m/>
    <s v="BF"/>
    <s v="NB"/>
    <x v="1"/>
    <x v="0"/>
    <n v="0.72299999999999998"/>
    <d v="2019-12-01T00:00:00"/>
    <x v="0"/>
    <d v="2024-03-31T00:00:00"/>
    <x v="1"/>
    <s v="M"/>
    <s v="2.1.27"/>
    <m/>
    <m/>
    <m/>
    <m/>
    <m/>
    <n v="0"/>
    <n v="0"/>
    <n v="0"/>
    <n v="0"/>
    <n v="17"/>
    <n v="0"/>
    <n v="0"/>
    <n v="0"/>
    <n v="0"/>
    <n v="0"/>
    <n v="0"/>
    <n v="17"/>
    <n v="0"/>
    <n v="0"/>
    <n v="0"/>
    <n v="0"/>
    <n v="0"/>
    <n v="0"/>
    <n v="0"/>
    <n v="0"/>
    <n v="0"/>
    <n v="0"/>
    <n v="0"/>
    <n v="0"/>
    <n v="0"/>
    <n v="0"/>
    <n v="0"/>
    <n v="0"/>
    <x v="1"/>
    <x v="1"/>
    <x v="1"/>
    <n v="1"/>
    <n v="17"/>
    <m/>
    <m/>
    <m/>
    <m/>
    <m/>
    <m/>
    <m/>
    <m/>
    <m/>
    <m/>
    <m/>
    <m/>
    <m/>
    <m/>
    <m/>
    <m/>
    <m/>
    <m/>
    <m/>
    <n v="0"/>
    <n v="0"/>
  </r>
  <r>
    <n v="6794"/>
    <x v="0"/>
    <s v="2021/0769"/>
    <s v="35 Fullerton Road"/>
    <s v=""/>
    <n v="526068"/>
    <n v="174820"/>
    <x v="14"/>
    <d v="2022-03-01T00:00:00"/>
    <d v="2023-05-24T00:00:00"/>
    <n v="2"/>
    <x v="3"/>
    <x v="3"/>
    <n v="1"/>
    <n v="-1"/>
    <x v="1"/>
    <s v="Alterations including erection of a mansard roof extension to main rear roof including raising the ridge by 160mm, and extension above part of the two storey back addition; Erection of a part single/part two-storey rear and side addition; Increase to height of flank wall; Installation of a new front entrance door including associated relocation of front bay window at ground floor, and ground floor side entrance door to be replaced by window; In association with conversion of 2 x flats back to a single dwelling."/>
    <s v="PF"/>
    <d v="2021-03-19T00:00:00"/>
    <d v="2021-05-12T00:00:00"/>
    <x v="0"/>
    <s v="Nil"/>
    <m/>
    <s v="BF"/>
    <s v="CON"/>
    <x v="2"/>
    <x v="11"/>
    <n v="1.2999999999999999E-2"/>
    <d v="2022-03-01T00:00:00"/>
    <x v="0"/>
    <d v="2023-05-24T00:00:00"/>
    <x v="1"/>
    <s v="M"/>
    <s v=""/>
    <m/>
    <m/>
    <m/>
    <m/>
    <m/>
    <n v="0"/>
    <n v="-2"/>
    <n v="0"/>
    <n v="0"/>
    <n v="1"/>
    <n v="0"/>
    <n v="0"/>
    <n v="0"/>
    <n v="-2"/>
    <n v="0"/>
    <n v="0"/>
    <n v="0"/>
    <n v="0"/>
    <n v="0"/>
    <n v="0"/>
    <n v="0"/>
    <n v="0"/>
    <n v="0"/>
    <n v="1"/>
    <n v="0"/>
    <n v="0"/>
    <n v="0"/>
    <n v="0"/>
    <n v="0"/>
    <n v="0"/>
    <n v="0"/>
    <n v="0"/>
    <n v="0"/>
    <x v="1"/>
    <x v="0"/>
    <x v="2"/>
    <n v="11"/>
    <n v="-1"/>
    <m/>
    <m/>
    <m/>
    <m/>
    <m/>
    <m/>
    <m/>
    <m/>
    <m/>
    <m/>
    <m/>
    <m/>
    <m/>
    <m/>
    <m/>
    <m/>
    <m/>
    <m/>
    <m/>
    <n v="0"/>
    <n v="0"/>
  </r>
  <r>
    <n v="7361"/>
    <x v="0"/>
    <s v="2021/1302"/>
    <s v="1 Podmore Road"/>
    <s v=""/>
    <n v="526027"/>
    <n v="175089"/>
    <x v="14"/>
    <d v="2022-07-15T00:00:00"/>
    <d v="2023-05-05T00:00:00"/>
    <n v="0"/>
    <x v="3"/>
    <x v="5"/>
    <n v="1"/>
    <n v="1"/>
    <x v="1"/>
    <s v="Determination as to whether prior approval is required for change of use of office at ground floor level (Class E) to residential (Class C3) to provide 1 x 2-bedroom flat."/>
    <s v="PANR"/>
    <d v="2021-03-17T00:00:00"/>
    <d v="2021-05-11T00:00:00"/>
    <x v="0"/>
    <s v="Nil"/>
    <m/>
    <s v="BF"/>
    <s v="COU"/>
    <x v="2"/>
    <x v="6"/>
    <n v="6.0000000000000001E-3"/>
    <d v="2022-07-15T00:00:00"/>
    <x v="0"/>
    <d v="2023-05-05T00:00:00"/>
    <x v="1"/>
    <s v="M"/>
    <s v=""/>
    <m/>
    <m/>
    <m/>
    <m/>
    <m/>
    <n v="0"/>
    <n v="0"/>
    <n v="1"/>
    <n v="0"/>
    <n v="0"/>
    <n v="0"/>
    <n v="0"/>
    <n v="0"/>
    <n v="0"/>
    <n v="1"/>
    <n v="0"/>
    <n v="0"/>
    <n v="0"/>
    <n v="0"/>
    <n v="0"/>
    <n v="0"/>
    <n v="0"/>
    <n v="0"/>
    <n v="0"/>
    <n v="0"/>
    <n v="0"/>
    <n v="0"/>
    <n v="0"/>
    <n v="0"/>
    <n v="0"/>
    <n v="0"/>
    <n v="0"/>
    <n v="0"/>
    <x v="1"/>
    <x v="0"/>
    <x v="7"/>
    <n v="11"/>
    <n v="1"/>
    <m/>
    <m/>
    <m/>
    <m/>
    <m/>
    <m/>
    <m/>
    <m/>
    <m/>
    <m/>
    <m/>
    <m/>
    <m/>
    <m/>
    <m/>
    <m/>
    <m/>
    <m/>
    <m/>
    <n v="0"/>
    <n v="0"/>
  </r>
  <r>
    <n v="5029"/>
    <x v="0"/>
    <s v="2021/1399"/>
    <s v="272-274 Battersea Park road"/>
    <s v=""/>
    <n v="527404"/>
    <n v="176366"/>
    <x v="15"/>
    <d v="2023-02-01T00:00:00"/>
    <d v="2023-10-06T00:00:00"/>
    <n v="0"/>
    <x v="3"/>
    <x v="5"/>
    <n v="1"/>
    <n v="1"/>
    <x v="1"/>
    <s v="Alterations including erection of dormer roof extension to the rear and creation of roof terrace at third floor level with 1.7m glazed safety screen surround in connection with formation of new 1 x 2-bedroom flat; and insertion of rooflights into the front roofslope."/>
    <s v="PF"/>
    <d v="2021-03-24T00:00:00"/>
    <d v="2021-05-17T00:00:00"/>
    <x v="0"/>
    <s v="Nil"/>
    <m/>
    <s v="BF"/>
    <s v="MIX"/>
    <x v="2"/>
    <x v="7"/>
    <n v="7.0000000000000001E-3"/>
    <d v="2023-02-01T00:00:00"/>
    <x v="0"/>
    <d v="2023-10-06T00:00:00"/>
    <x v="1"/>
    <s v="M"/>
    <s v=""/>
    <m/>
    <m/>
    <m/>
    <m/>
    <m/>
    <n v="0"/>
    <n v="0"/>
    <n v="1"/>
    <n v="0"/>
    <n v="0"/>
    <n v="0"/>
    <n v="0"/>
    <n v="0"/>
    <n v="0"/>
    <n v="1"/>
    <n v="0"/>
    <n v="0"/>
    <n v="0"/>
    <n v="0"/>
    <n v="0"/>
    <n v="0"/>
    <n v="0"/>
    <n v="0"/>
    <n v="0"/>
    <n v="0"/>
    <n v="0"/>
    <n v="0"/>
    <n v="0"/>
    <n v="0"/>
    <n v="0"/>
    <n v="0"/>
    <n v="0"/>
    <n v="0"/>
    <x v="1"/>
    <x v="0"/>
    <x v="2"/>
    <n v="11"/>
    <n v="1"/>
    <m/>
    <m/>
    <m/>
    <m/>
    <m/>
    <m/>
    <m/>
    <m/>
    <m/>
    <m/>
    <m/>
    <m/>
    <m/>
    <m/>
    <m/>
    <m/>
    <m/>
    <m/>
    <m/>
    <n v="0"/>
    <n v="0"/>
  </r>
  <r>
    <n v="7631"/>
    <x v="0"/>
    <s v="2021/1530"/>
    <s v="104 Eswyn Road"/>
    <s v=""/>
    <n v="527889"/>
    <n v="171463"/>
    <x v="19"/>
    <d v="2021-11-10T00:00:00"/>
    <d v="2023-04-01T00:00:00"/>
    <n v="1"/>
    <x v="3"/>
    <x v="6"/>
    <n v="1"/>
    <n v="0"/>
    <x v="1"/>
    <s v="Alterations including erection of dormer roof extension to main rear roof and roof extension above two storey back addition in connection with conversion of dwelling house (Class C3) into house of multiple occupation (Class C4)."/>
    <s v="LDC Prop"/>
    <d v="2021-03-31T00:00:00"/>
    <d v="2021-05-25T00:00:00"/>
    <x v="0"/>
    <s v="Nil"/>
    <m/>
    <s v="BF"/>
    <s v="CON"/>
    <x v="2"/>
    <x v="10"/>
    <n v="3.4659999999999999E-3"/>
    <d v="2021-11-10T00:00:00"/>
    <x v="0"/>
    <d v="2023-04-01T00:00:00"/>
    <x v="1"/>
    <s v="MR"/>
    <s v=""/>
    <m/>
    <m/>
    <m/>
    <m/>
    <m/>
    <n v="0"/>
    <n v="0"/>
    <n v="0"/>
    <n v="0"/>
    <n v="-1"/>
    <n v="1"/>
    <n v="0"/>
    <n v="0"/>
    <n v="0"/>
    <n v="0"/>
    <n v="0"/>
    <n v="0"/>
    <n v="0"/>
    <n v="0"/>
    <n v="0"/>
    <n v="0"/>
    <n v="0"/>
    <n v="0"/>
    <n v="-1"/>
    <n v="1"/>
    <n v="0"/>
    <n v="0"/>
    <n v="0"/>
    <n v="0"/>
    <n v="0"/>
    <n v="0"/>
    <n v="0"/>
    <n v="0"/>
    <x v="1"/>
    <x v="0"/>
    <x v="2"/>
    <n v="11"/>
    <n v="0"/>
    <m/>
    <m/>
    <m/>
    <m/>
    <m/>
    <m/>
    <m/>
    <m/>
    <m/>
    <m/>
    <m/>
    <m/>
    <m/>
    <m/>
    <m/>
    <m/>
    <m/>
    <m/>
    <m/>
    <n v="0"/>
    <n v="0"/>
  </r>
  <r>
    <n v="6032"/>
    <x v="0"/>
    <s v="2021/1586"/>
    <s v="259 Putney Bridge Road"/>
    <s v=""/>
    <n v="524386"/>
    <n v="175298"/>
    <x v="3"/>
    <d v="2021-08-03T00:00:00"/>
    <d v="2023-08-18T00:00:00"/>
    <n v="0"/>
    <x v="3"/>
    <x v="5"/>
    <n v="1"/>
    <n v="1"/>
    <x v="1"/>
    <s v="Alterations including erection of front and rear roof extension to main roof (with French doors and safety railings to front elevation), extension above three-storey back addition to provide 1 x 1 bedroom flat with front roof terrace."/>
    <s v="PF"/>
    <d v="2021-04-02T00:00:00"/>
    <d v="2021-07-20T00:00:00"/>
    <x v="0"/>
    <s v="Nil"/>
    <m/>
    <s v="BF"/>
    <s v="EXT"/>
    <x v="2"/>
    <x v="7"/>
    <n v="5.4000000000000003E-3"/>
    <d v="2021-08-03T00:00:00"/>
    <x v="0"/>
    <d v="2023-08-18T00:00:00"/>
    <x v="1"/>
    <s v="MR"/>
    <s v=""/>
    <m/>
    <m/>
    <m/>
    <m/>
    <m/>
    <n v="0"/>
    <n v="1"/>
    <n v="0"/>
    <n v="0"/>
    <n v="0"/>
    <n v="0"/>
    <n v="0"/>
    <n v="0"/>
    <n v="1"/>
    <n v="0"/>
    <n v="0"/>
    <n v="0"/>
    <n v="0"/>
    <n v="0"/>
    <n v="0"/>
    <n v="0"/>
    <n v="0"/>
    <n v="0"/>
    <n v="0"/>
    <n v="0"/>
    <n v="0"/>
    <n v="0"/>
    <n v="0"/>
    <n v="0"/>
    <n v="0"/>
    <n v="0"/>
    <n v="0"/>
    <n v="0"/>
    <x v="1"/>
    <x v="0"/>
    <x v="2"/>
    <n v="11"/>
    <n v="1"/>
    <m/>
    <m/>
    <m/>
    <m/>
    <m/>
    <m/>
    <m/>
    <m/>
    <m/>
    <m/>
    <m/>
    <m/>
    <m/>
    <m/>
    <m/>
    <m/>
    <m/>
    <m/>
    <m/>
    <n v="0"/>
    <n v="0"/>
  </r>
  <r>
    <n v="7187"/>
    <x v="0"/>
    <s v="2021/1682"/>
    <s v="2-18 Yelverton Road"/>
    <s v="Intermediate"/>
    <n v="526782"/>
    <n v="176145"/>
    <x v="15"/>
    <d v="2020-12-04T00:00:00"/>
    <d v="2024-03-07T00:00:00"/>
    <n v="0"/>
    <x v="36"/>
    <x v="41"/>
    <n v="79"/>
    <n v="79"/>
    <x v="0"/>
    <s v="Erection of a part 3/17 storey mixed-use development plus basement, providing 369 sq.m of commercial office floor space (Class E) and 224 sq.m of creative workspace (flexible Class E/Sui Generis) at ground and basement levels and 79 residential units at upper levels; communal garden on the 3rd floor; with 6 car parking spaces and cycle parking spaces at basement level; disabled car parking space on Yelverton Road and visitor cycle parking spaces on York Road and associated infrastructure works."/>
    <s v="PFLA"/>
    <d v="2021-04-08T00:00:00"/>
    <d v="2022-12-22T00:00:00"/>
    <x v="0"/>
    <s v="Nil"/>
    <m/>
    <s v="BF"/>
    <s v="NB"/>
    <x v="1"/>
    <x v="0"/>
    <n v="2.1000000000000001E-2"/>
    <d v="2020-12-04T00:00:00"/>
    <x v="0"/>
    <d v="2024-03-07T00:00:00"/>
    <x v="0"/>
    <s v="ISL"/>
    <s v=""/>
    <m/>
    <m/>
    <m/>
    <m/>
    <n v="8"/>
    <n v="0"/>
    <n v="16"/>
    <n v="25"/>
    <n v="0"/>
    <n v="0"/>
    <n v="0"/>
    <n v="0"/>
    <n v="0"/>
    <n v="16"/>
    <n v="25"/>
    <n v="0"/>
    <n v="0"/>
    <n v="0"/>
    <n v="0"/>
    <n v="0"/>
    <n v="0"/>
    <n v="0"/>
    <n v="0"/>
    <n v="0"/>
    <n v="0"/>
    <n v="0"/>
    <n v="0"/>
    <n v="0"/>
    <n v="0"/>
    <n v="0"/>
    <n v="0"/>
    <n v="0"/>
    <n v="0"/>
    <x v="1"/>
    <x v="0"/>
    <x v="4"/>
    <n v="1"/>
    <n v="41"/>
    <m/>
    <m/>
    <m/>
    <m/>
    <m/>
    <m/>
    <m/>
    <m/>
    <m/>
    <m/>
    <m/>
    <m/>
    <m/>
    <m/>
    <m/>
    <m/>
    <m/>
    <m/>
    <m/>
    <n v="0"/>
    <n v="0"/>
  </r>
  <r>
    <n v="7187"/>
    <x v="0"/>
    <s v="2021/1682"/>
    <s v="2-18 Yelverton Road"/>
    <s v="Market"/>
    <n v="526782"/>
    <n v="176145"/>
    <x v="15"/>
    <d v="2020-12-04T00:00:00"/>
    <d v="2024-03-07T00:00:00"/>
    <n v="0"/>
    <x v="14"/>
    <x v="18"/>
    <n v="79"/>
    <n v="79"/>
    <x v="0"/>
    <s v="Erection of a part 3/17 storey mixed-use development plus basement, providing 369 sq.m of commercial office floor space (Class E) and 224 sq.m of creative workspace (flexible Class E/Sui Generis) at ground and basement levels and 79 residential units at upper levels; communal garden on the 3rd floor; with 6 car parking spaces and cycle parking spaces at basement level; disabled car parking space on Yelverton Road and visitor cycle parking spaces on York Road and associated infrastructure works."/>
    <s v="PFLA"/>
    <d v="2021-04-08T00:00:00"/>
    <d v="2022-12-22T00:00:00"/>
    <x v="0"/>
    <s v="Nil"/>
    <m/>
    <s v="BF"/>
    <s v="NB"/>
    <x v="1"/>
    <x v="0"/>
    <n v="0.02"/>
    <d v="2020-12-04T00:00:00"/>
    <x v="0"/>
    <d v="2024-03-07T00:00:00"/>
    <x v="1"/>
    <s v="MR"/>
    <s v=""/>
    <m/>
    <m/>
    <m/>
    <m/>
    <m/>
    <n v="0"/>
    <n v="8"/>
    <n v="28"/>
    <n v="2"/>
    <n v="0"/>
    <n v="0"/>
    <n v="0"/>
    <n v="0"/>
    <n v="8"/>
    <n v="28"/>
    <n v="2"/>
    <n v="0"/>
    <n v="0"/>
    <n v="0"/>
    <n v="0"/>
    <n v="0"/>
    <n v="0"/>
    <n v="0"/>
    <n v="0"/>
    <n v="0"/>
    <n v="0"/>
    <n v="0"/>
    <n v="0"/>
    <n v="0"/>
    <n v="0"/>
    <n v="0"/>
    <n v="0"/>
    <n v="0"/>
    <x v="1"/>
    <x v="0"/>
    <x v="4"/>
    <n v="1"/>
    <n v="38"/>
    <m/>
    <m/>
    <m/>
    <m/>
    <m/>
    <m/>
    <m/>
    <m/>
    <m/>
    <m/>
    <m/>
    <m/>
    <m/>
    <m/>
    <m/>
    <m/>
    <m/>
    <m/>
    <m/>
    <n v="0"/>
    <n v="0"/>
  </r>
  <r>
    <n v="3046"/>
    <x v="0"/>
    <s v="2021/2164"/>
    <s v="55 Brodrick Road"/>
    <s v=""/>
    <n v="527378"/>
    <n v="172911"/>
    <x v="10"/>
    <d v="2022-06-28T00:00:00"/>
    <d v="2023-12-14T00:00:00"/>
    <n v="5"/>
    <x v="3"/>
    <x v="42"/>
    <n v="1"/>
    <n v="-4"/>
    <x v="1"/>
    <s v="Alterations including erection of dormer roof extension to side roof, single storey rear and side extension, first floor rear extension and installation of replacement fenestration in connection with conversion of 5 flats into single dwellinghouse."/>
    <s v="PF"/>
    <d v="2021-05-06T00:00:00"/>
    <d v="2021-08-09T00:00:00"/>
    <x v="0"/>
    <s v="Nil"/>
    <m/>
    <s v="BF"/>
    <s v="MIX"/>
    <x v="2"/>
    <x v="11"/>
    <n v="6.4749999999999999E-3"/>
    <d v="2022-06-28T00:00:00"/>
    <x v="0"/>
    <d v="2023-12-14T00:00:00"/>
    <x v="1"/>
    <s v="M"/>
    <s v=""/>
    <m/>
    <m/>
    <m/>
    <m/>
    <m/>
    <n v="-4"/>
    <n v="-1"/>
    <n v="0"/>
    <n v="0"/>
    <n v="0"/>
    <n v="1"/>
    <n v="0"/>
    <n v="-4"/>
    <n v="-1"/>
    <n v="0"/>
    <n v="0"/>
    <n v="0"/>
    <n v="0"/>
    <n v="0"/>
    <n v="0"/>
    <n v="0"/>
    <n v="0"/>
    <n v="0"/>
    <n v="0"/>
    <n v="1"/>
    <n v="0"/>
    <n v="0"/>
    <n v="0"/>
    <n v="0"/>
    <n v="0"/>
    <n v="0"/>
    <n v="0"/>
    <n v="0"/>
    <x v="1"/>
    <x v="0"/>
    <x v="2"/>
    <n v="11"/>
    <n v="-4"/>
    <m/>
    <m/>
    <m/>
    <m/>
    <m/>
    <m/>
    <m/>
    <m/>
    <m/>
    <m/>
    <m/>
    <m/>
    <m/>
    <m/>
    <m/>
    <m/>
    <m/>
    <m/>
    <m/>
    <n v="0"/>
    <n v="0"/>
  </r>
  <r>
    <n v="7653"/>
    <x v="0"/>
    <s v="2021/2344"/>
    <s v="Garages Rear of, 88 Longley Road"/>
    <s v=""/>
    <n v="527507"/>
    <n v="170721"/>
    <x v="0"/>
    <d v="2022-07-01T00:00:00"/>
    <d v="2024-02-08T00:00:00"/>
    <n v="0"/>
    <x v="24"/>
    <x v="28"/>
    <n v="5"/>
    <n v="5"/>
    <x v="1"/>
    <s v="Demolition of existing garage/storage facilities and erection of twostorey building to provide 3 x 1-bedroom and 2 x 2-bedroom flats with_x000a_associated terraces, provision of refuse and cycle storage."/>
    <s v="PF"/>
    <d v="2021-06-14T00:00:00"/>
    <d v="2021-11-23T00:00:00"/>
    <x v="0"/>
    <s v="Nil"/>
    <m/>
    <s v="BF"/>
    <s v="NB"/>
    <x v="2"/>
    <x v="3"/>
    <n v="1.4999999999999999E-2"/>
    <d v="2022-07-01T00:00:00"/>
    <x v="0"/>
    <d v="2024-02-08T00:00:00"/>
    <x v="1"/>
    <s v="M"/>
    <s v=""/>
    <m/>
    <m/>
    <m/>
    <m/>
    <m/>
    <n v="0"/>
    <n v="3"/>
    <n v="2"/>
    <n v="0"/>
    <n v="0"/>
    <n v="0"/>
    <n v="0"/>
    <n v="0"/>
    <n v="3"/>
    <n v="2"/>
    <n v="0"/>
    <n v="0"/>
    <n v="0"/>
    <n v="0"/>
    <n v="0"/>
    <n v="0"/>
    <n v="0"/>
    <n v="0"/>
    <n v="0"/>
    <n v="0"/>
    <n v="0"/>
    <n v="0"/>
    <n v="0"/>
    <n v="0"/>
    <n v="0"/>
    <n v="0"/>
    <n v="0"/>
    <n v="0"/>
    <x v="1"/>
    <x v="0"/>
    <x v="2"/>
    <n v="1"/>
    <n v="5"/>
    <m/>
    <m/>
    <m/>
    <m/>
    <m/>
    <m/>
    <m/>
    <m/>
    <m/>
    <m/>
    <m/>
    <m/>
    <m/>
    <m/>
    <m/>
    <m/>
    <m/>
    <m/>
    <m/>
    <n v="0"/>
    <n v="0"/>
  </r>
  <r>
    <n v="3066"/>
    <x v="0"/>
    <s v="2021/2382"/>
    <s v="336 Upper Richmond Road"/>
    <s v=""/>
    <n v="523512"/>
    <n v="175269"/>
    <x v="16"/>
    <d v="2022-03-31T00:00:00"/>
    <d v="2023-06-14T00:00:00"/>
    <n v="2"/>
    <x v="10"/>
    <x v="28"/>
    <n v="7"/>
    <n v="5"/>
    <x v="1"/>
    <s v="Variation of condition 2 (Approved Drawings) and 13 (Unit mix) of planning permission dated 20/08/2020 ref 2020/1463 (Erection of replacement single-storey rear/side extensions, erection of dormer extension to main rear and side roof slopes, and formation of a basement with front and rear lightwells in connection with a change of use from Dental Surgery (Class D1) to residential (Class C3) to provide flats with associated amenity space, refuse and bicycle storage.) to allow the changes to the approved drawings to allow alterations to the fenestration; bridges over basement lightwell; door to flat 4; flank walls to lightwells; addition of two first floor balconies to flats 6 and 7 with obscured glazed screening; increase in ground floor extension height; new window on north flank at first floor level and roof light added in flat 5; change of unit mix to 3 x 1 bedroom  3 x 2 bedroom and 1 x 3 bedroom flats."/>
    <s v="PF"/>
    <d v="2021-06-15T00:00:00"/>
    <d v="2021-08-31T00:00:00"/>
    <x v="0"/>
    <s v="Nil"/>
    <m/>
    <s v="BF"/>
    <s v="MIX"/>
    <x v="2"/>
    <x v="8"/>
    <n v="6.6000000000000003E-2"/>
    <d v="2022-03-31T00:00:00"/>
    <x v="0"/>
    <d v="2023-06-14T00:00:00"/>
    <x v="1"/>
    <s v="M"/>
    <s v=""/>
    <m/>
    <m/>
    <m/>
    <m/>
    <m/>
    <n v="0"/>
    <n v="3"/>
    <n v="1"/>
    <n v="1"/>
    <n v="0"/>
    <n v="0"/>
    <n v="0"/>
    <n v="0"/>
    <n v="3"/>
    <n v="1"/>
    <n v="1"/>
    <n v="0"/>
    <n v="0"/>
    <n v="0"/>
    <n v="0"/>
    <n v="0"/>
    <n v="0"/>
    <n v="0"/>
    <n v="0"/>
    <n v="0"/>
    <n v="0"/>
    <n v="0"/>
    <n v="0"/>
    <n v="0"/>
    <n v="0"/>
    <n v="0"/>
    <n v="0"/>
    <n v="0"/>
    <x v="1"/>
    <x v="0"/>
    <x v="2"/>
    <n v="11"/>
    <n v="5"/>
    <m/>
    <m/>
    <m/>
    <m/>
    <m/>
    <m/>
    <m/>
    <m/>
    <m/>
    <m/>
    <m/>
    <m/>
    <m/>
    <m/>
    <m/>
    <m/>
    <m/>
    <m/>
    <m/>
    <n v="0"/>
    <n v="0"/>
  </r>
  <r>
    <n v="6804"/>
    <x v="0"/>
    <s v="2021/2432"/>
    <s v="125 Lower Richmond Road"/>
    <s v=""/>
    <n v="523594"/>
    <n v="175801"/>
    <x v="3"/>
    <d v="2023-03-31T00:00:00"/>
    <d v="2024-02-16T00:00:00"/>
    <n v="2"/>
    <x v="24"/>
    <x v="36"/>
    <n v="5"/>
    <n v="3"/>
    <x v="1"/>
    <s v="Alterations including erection of part single, part two storey side and rear extensions with roof terraces at first and second floor levels; roof extension to main rear roof with  access to thisrd floor level terrace;  excavation to extend basement including formation of side/rear lightwell;  in connection with conversion to 4 x 1-bedroom and 1 x 3-bedroom flats.  Installation of replacement shopfront and change of use of existing A1/B2 ground floor shop unit to Class E."/>
    <s v="PF"/>
    <d v="2021-06-21T00:00:00"/>
    <d v="2021-11-19T00:00:00"/>
    <x v="0"/>
    <s v="Nil"/>
    <m/>
    <s v="BF"/>
    <s v="MIX"/>
    <x v="2"/>
    <x v="8"/>
    <n v="6.8275000000000002E-3"/>
    <d v="2023-03-31T00:00:00"/>
    <x v="0"/>
    <d v="2024-02-16T00:00:00"/>
    <x v="1"/>
    <s v="M"/>
    <s v=""/>
    <m/>
    <m/>
    <m/>
    <m/>
    <m/>
    <n v="0"/>
    <n v="2"/>
    <n v="0"/>
    <n v="1"/>
    <n v="0"/>
    <n v="0"/>
    <n v="0"/>
    <n v="0"/>
    <n v="2"/>
    <n v="0"/>
    <n v="1"/>
    <n v="0"/>
    <n v="0"/>
    <n v="0"/>
    <n v="0"/>
    <n v="0"/>
    <n v="0"/>
    <n v="0"/>
    <n v="0"/>
    <n v="0"/>
    <n v="0"/>
    <n v="0"/>
    <n v="0"/>
    <n v="0"/>
    <n v="0"/>
    <n v="0"/>
    <n v="0"/>
    <n v="0"/>
    <x v="1"/>
    <x v="0"/>
    <x v="2"/>
    <n v="11"/>
    <n v="3"/>
    <m/>
    <m/>
    <m/>
    <m/>
    <m/>
    <m/>
    <m/>
    <m/>
    <m/>
    <m/>
    <m/>
    <m/>
    <m/>
    <m/>
    <m/>
    <m/>
    <m/>
    <m/>
    <m/>
    <n v="0"/>
    <n v="0"/>
  </r>
  <r>
    <n v="6153"/>
    <x v="0"/>
    <s v="2021/2524"/>
    <s v="58 Rowfant Road"/>
    <s v=""/>
    <n v="528193"/>
    <n v="172920"/>
    <x v="10"/>
    <d v="2021-03-31T00:00:00"/>
    <d v="2023-04-05T00:00:00"/>
    <n v="2"/>
    <x v="3"/>
    <x v="3"/>
    <n v="1"/>
    <n v="-1"/>
    <x v="1"/>
    <s v="Change of use from two flats into a single family dwelling"/>
    <s v="PF"/>
    <d v="2021-06-11T00:00:00"/>
    <d v="2021-08-06T00:00:00"/>
    <x v="0"/>
    <s v="Nil"/>
    <m/>
    <s v="BF"/>
    <s v="CON"/>
    <x v="2"/>
    <x v="11"/>
    <n v="5.1166600000000003E-3"/>
    <d v="2021-03-31T00:00:00"/>
    <x v="0"/>
    <d v="2023-04-05T00:00:00"/>
    <x v="1"/>
    <s v="MR"/>
    <s v=""/>
    <m/>
    <m/>
    <m/>
    <m/>
    <m/>
    <n v="0"/>
    <n v="-1"/>
    <n v="0"/>
    <n v="-1"/>
    <n v="1"/>
    <n v="0"/>
    <n v="0"/>
    <n v="0"/>
    <n v="-1"/>
    <n v="0"/>
    <n v="-1"/>
    <n v="0"/>
    <n v="0"/>
    <n v="0"/>
    <n v="0"/>
    <n v="0"/>
    <n v="0"/>
    <n v="0"/>
    <n v="1"/>
    <n v="0"/>
    <n v="0"/>
    <n v="0"/>
    <n v="0"/>
    <n v="0"/>
    <n v="0"/>
    <n v="0"/>
    <n v="0"/>
    <n v="0"/>
    <x v="1"/>
    <x v="0"/>
    <x v="2"/>
    <n v="11"/>
    <n v="-1"/>
    <m/>
    <m/>
    <m/>
    <m/>
    <m/>
    <m/>
    <m/>
    <m/>
    <m/>
    <m/>
    <m/>
    <m/>
    <m/>
    <m/>
    <m/>
    <m/>
    <m/>
    <m/>
    <m/>
    <n v="0"/>
    <n v="0"/>
  </r>
  <r>
    <n v="7673"/>
    <x v="0"/>
    <s v="2021/2779"/>
    <s v="307 Trinity Road"/>
    <s v=""/>
    <n v="527055"/>
    <n v="173767"/>
    <x v="17"/>
    <d v="2022-04-01T00:00:00"/>
    <d v="2023-11-27T00:00:00"/>
    <n v="3"/>
    <x v="3"/>
    <x v="13"/>
    <n v="1"/>
    <n v="-2"/>
    <x v="1"/>
    <s v="Alterations including erection of roof extension with side and rear dormers, erection of part single part two storey rear extension with first floor rear roof-terrace, excavation to enlarge basement, formation of vehicle crossover and formation of hardstanding in front garden and erection of single storey outbuilding in rear garden in connection with conversion of existing flats into single dwelling house."/>
    <s v="PF"/>
    <d v="2021-06-24T00:00:00"/>
    <d v="2021-12-22T00:00:00"/>
    <x v="0"/>
    <s v="Nil"/>
    <m/>
    <s v="BF"/>
    <s v="MIX"/>
    <x v="2"/>
    <x v="11"/>
    <n v="8.0000000000000002E-3"/>
    <d v="2022-04-01T00:00:00"/>
    <x v="0"/>
    <d v="2023-11-27T00:00:00"/>
    <x v="1"/>
    <s v="M"/>
    <s v=""/>
    <m/>
    <m/>
    <m/>
    <m/>
    <m/>
    <n v="0"/>
    <n v="-2"/>
    <n v="-1"/>
    <n v="0"/>
    <n v="0"/>
    <n v="1"/>
    <n v="0"/>
    <n v="0"/>
    <n v="-2"/>
    <n v="-1"/>
    <n v="0"/>
    <n v="0"/>
    <n v="0"/>
    <n v="0"/>
    <n v="0"/>
    <n v="0"/>
    <n v="0"/>
    <n v="0"/>
    <n v="0"/>
    <n v="1"/>
    <n v="0"/>
    <n v="0"/>
    <n v="0"/>
    <n v="0"/>
    <n v="0"/>
    <n v="0"/>
    <n v="0"/>
    <n v="0"/>
    <x v="1"/>
    <x v="0"/>
    <x v="2"/>
    <n v="11"/>
    <n v="-2"/>
    <m/>
    <m/>
    <m/>
    <m/>
    <m/>
    <m/>
    <m/>
    <m/>
    <m/>
    <m/>
    <m/>
    <m/>
    <m/>
    <m/>
    <m/>
    <m/>
    <m/>
    <m/>
    <m/>
    <n v="0"/>
    <n v="0"/>
  </r>
  <r>
    <n v="6188"/>
    <x v="0"/>
    <s v="2021/3023"/>
    <s v="Earlsfield House, 1 Swaffield Road"/>
    <s v=""/>
    <n v="525924"/>
    <n v="173800"/>
    <x v="13"/>
    <d v="2022-03-31T00:00:00"/>
    <d v="2023-08-24T00:00:00"/>
    <n v="0"/>
    <x v="24"/>
    <x v="28"/>
    <n v="5"/>
    <n v="5"/>
    <x v="1"/>
    <s v="Erection of a side extension with alterations as part of the change of use of Earlsfield House to provide 5 x 2-bedroom residential apartments."/>
    <s v="PF"/>
    <d v="2021-06-23T00:00:00"/>
    <d v="2021-08-31T00:00:00"/>
    <x v="0"/>
    <s v="Nil"/>
    <m/>
    <s v="BF"/>
    <s v="MIX"/>
    <x v="2"/>
    <x v="6"/>
    <n v="8.0000000000000002E-3"/>
    <d v="2022-03-31T00:00:00"/>
    <x v="0"/>
    <d v="2023-08-24T00:00:00"/>
    <x v="1"/>
    <s v="M"/>
    <s v=""/>
    <m/>
    <m/>
    <m/>
    <m/>
    <m/>
    <n v="0"/>
    <n v="1"/>
    <n v="4"/>
    <n v="0"/>
    <n v="0"/>
    <n v="0"/>
    <n v="0"/>
    <n v="0"/>
    <n v="1"/>
    <n v="4"/>
    <n v="0"/>
    <n v="0"/>
    <n v="0"/>
    <n v="0"/>
    <n v="0"/>
    <n v="0"/>
    <n v="0"/>
    <n v="0"/>
    <n v="0"/>
    <n v="0"/>
    <n v="0"/>
    <n v="0"/>
    <n v="0"/>
    <n v="0"/>
    <n v="0"/>
    <n v="0"/>
    <n v="0"/>
    <n v="0"/>
    <x v="1"/>
    <x v="0"/>
    <x v="5"/>
    <n v="11"/>
    <n v="5"/>
    <m/>
    <m/>
    <m/>
    <m/>
    <m/>
    <m/>
    <m/>
    <m/>
    <m/>
    <m/>
    <m/>
    <m/>
    <m/>
    <m/>
    <m/>
    <m/>
    <m/>
    <m/>
    <m/>
    <n v="0"/>
    <n v="0"/>
  </r>
  <r>
    <n v="3938"/>
    <x v="0"/>
    <s v="2021/3086"/>
    <s v="Sleaford Street Industrial Estate &amp; Dairy Crest Distribution Depot, Sleaford Street (Battersea Power Station Phase 4A)"/>
    <s v="Phase 4A (A1.1, A1.2 and A1.3)"/>
    <n v="529318"/>
    <n v="177190"/>
    <x v="1"/>
    <d v="2016-05-16T00:00:00"/>
    <d v="2023-10-11T00:00:00"/>
    <n v="0"/>
    <x v="37"/>
    <x v="43"/>
    <n v="386"/>
    <n v="386"/>
    <x v="0"/>
    <s v="Application under Section 96a of the Town and Country Planning Act 1990 for non-material amendments (variation to Condition 11 (approved drawings) to vary the mix of housing types to provide 10% M4(3) wheelchair user dwellings) to planning permission 2016/3778, dated 21/11/2016 for &quot;Application under Section 73 of the Town and Country Planning Act (as amended) for Amendments to planning permission (ref: 2015/3555) dated 3rd December 2015 (as amended by 19th April 2016 approval for non-material amendments under Section 96A - ref: 2016/2065) for the demolition of all existing buildings, and construction of seven new buildings of between 1-storey and 18-storeys, containing residential units; non-residential institution (D1) floorspace; business (B1) floorspace; retail/restaurant &amp; cafe (A1/A3) floorspace); and an electricity substation. The proposals include vehicle/cycle parking, plant, the alteration of the vehicle access from Thessaly Road, and associated works and landscaping. (The Amendments include removal of the primary electricity substation; removal of the basement level; provision of car and cycle parking at grade; replacement of flexible B1/C3 use on ground floor of Block A2 with B1 use and flexible A1/A3/B1 use; reconfiguration of health centre; revised finished floor level to Block A1; reduction in footprint of Block A2; minor alterations to elevations; and reconfiguration of internal layouts resulting in changes to unit and tenure mix and 12 additional residential units overall). An Environmental Statement has been submitted with the application under the Town and Country Planning (Environmental Impact Assessment) Regulations 2011 (as amended 2015)&quot;"/>
    <s v="S96A"/>
    <d v="2021-06-28T00:00:00"/>
    <d v="2021-07-26T00:00:00"/>
    <x v="0"/>
    <s v="Nil"/>
    <m/>
    <s v="BF"/>
    <s v="NB"/>
    <x v="1"/>
    <x v="0"/>
    <n v="0.309"/>
    <d v="2019-03-25T00:00:00"/>
    <x v="0"/>
    <d v="2023-10-11T00:00:00"/>
    <x v="2"/>
    <s v="AL"/>
    <s v="2.1.14"/>
    <m/>
    <m/>
    <n v="147"/>
    <m/>
    <n v="21"/>
    <n v="2"/>
    <n v="60"/>
    <n v="44"/>
    <n v="30"/>
    <n v="32"/>
    <n v="0"/>
    <n v="0"/>
    <n v="2"/>
    <n v="60"/>
    <n v="44"/>
    <n v="30"/>
    <n v="32"/>
    <n v="0"/>
    <n v="0"/>
    <n v="0"/>
    <n v="0"/>
    <n v="0"/>
    <n v="0"/>
    <n v="0"/>
    <n v="0"/>
    <n v="0"/>
    <n v="0"/>
    <n v="0"/>
    <n v="0"/>
    <n v="0"/>
    <n v="0"/>
    <n v="0"/>
    <n v="0"/>
    <x v="1"/>
    <x v="1"/>
    <x v="1"/>
    <n v="1"/>
    <n v="168"/>
    <m/>
    <m/>
    <m/>
    <m/>
    <m/>
    <m/>
    <m/>
    <m/>
    <m/>
    <m/>
    <m/>
    <m/>
    <m/>
    <m/>
    <m/>
    <m/>
    <m/>
    <m/>
    <m/>
    <n v="0"/>
    <n v="0"/>
  </r>
  <r>
    <n v="3938"/>
    <x v="0"/>
    <s v="2021/3086"/>
    <s v="Sleaford Street Industrial Estate &amp; Dairy Crest Distribution Depot, Sleaford Street (Battersea Power Station Phase 4A)"/>
    <s v="Phase 4A (A2 and A3)"/>
    <n v="529318"/>
    <n v="177190"/>
    <x v="1"/>
    <d v="2016-05-16T00:00:00"/>
    <d v="2023-10-11T00:00:00"/>
    <n v="0"/>
    <x v="38"/>
    <x v="44"/>
    <n v="386"/>
    <n v="386"/>
    <x v="0"/>
    <s v="Application under Section 96a of the Town and Country Planning Act 1990 for non-material amendments (variation to Condition 11 (approved drawings) to vary the mix of housing types to provide 10% M4(3) wheelchair user dwellings) to planning permission 2016/3778, dated 21/11/2016 for &quot;Application under Section 73 of the Town and Country Planning Act (as amended) for Amendments to planning permission (ref: 2015/3555) dated 3rd December 2015 (as amended by 19th April 2016 approval for non-material amendments under Section 96A - ref: 2016/2065) for the demolition of all existing buildings, and construction of seven new buildings of between 1-storey and 18-storeys, containing residential units; non-residential institution (D1) floorspace; business (B1) floorspace; retail/restaurant &amp; cafe (A1/A3) floorspace); and an electricity substation. The proposals include vehicle/cycle parking, plant, the alteration of the vehicle access from Thessaly Road, and associated works and landscaping. (The Amendments include removal of the primary electricity substation; removal of the basement level; provision of car and cycle parking at grade; replacement of flexible B1/C3 use on ground floor of Block A2 with B1 use and flexible A1/A3/B1 use; reconfiguration of health centre; revised finished floor level to Block A1; reduction in footprint of Block A2; minor alterations to elevations; and reconfiguration of internal layouts resulting in changes to unit and tenure mix and 12 additional residential units overall). An Environmental Statement has been submitted with the application under the Town and Country Planning (Environmental Impact Assessment) Regulations 2011 (as amended 2015)&quot;"/>
    <s v="S96A"/>
    <d v="2021-06-28T00:00:00"/>
    <d v="2021-07-26T00:00:00"/>
    <x v="0"/>
    <s v="Nil"/>
    <m/>
    <s v="BF"/>
    <s v="NB"/>
    <x v="1"/>
    <x v="0"/>
    <n v="0.151"/>
    <d v="2019-03-25T00:00:00"/>
    <x v="0"/>
    <d v="2023-10-11T00:00:00"/>
    <x v="2"/>
    <s v="AL"/>
    <s v="2.1.14"/>
    <m/>
    <m/>
    <n v="77"/>
    <m/>
    <n v="5"/>
    <n v="0"/>
    <n v="0"/>
    <n v="40"/>
    <n v="39"/>
    <n v="3"/>
    <n v="0"/>
    <n v="0"/>
    <n v="0"/>
    <n v="0"/>
    <n v="40"/>
    <n v="39"/>
    <n v="3"/>
    <n v="0"/>
    <n v="0"/>
    <n v="0"/>
    <n v="0"/>
    <n v="0"/>
    <n v="0"/>
    <n v="0"/>
    <n v="0"/>
    <n v="0"/>
    <n v="0"/>
    <n v="0"/>
    <n v="0"/>
    <n v="0"/>
    <n v="0"/>
    <n v="0"/>
    <n v="0"/>
    <x v="1"/>
    <x v="1"/>
    <x v="1"/>
    <n v="1"/>
    <n v="82"/>
    <m/>
    <m/>
    <m/>
    <m/>
    <m/>
    <m/>
    <m/>
    <m/>
    <m/>
    <m/>
    <m/>
    <m/>
    <m/>
    <m/>
    <m/>
    <m/>
    <m/>
    <m/>
    <m/>
    <n v="0"/>
    <n v="0"/>
  </r>
  <r>
    <n v="7787"/>
    <x v="0"/>
    <s v="2021/3294"/>
    <s v="34 Rogers Road"/>
    <s v=""/>
    <n v="527051"/>
    <n v="171896"/>
    <x v="0"/>
    <d v="2023-04-01T00:00:00"/>
    <d v="2023-04-01T00:00:00"/>
    <n v="1"/>
    <x v="6"/>
    <x v="3"/>
    <n v="0"/>
    <n v="-1"/>
    <x v="1"/>
    <s v="Change of use from House of Multiple Occupation (Class C4) for up to 6 occupants to House of Multiple Occupation (Sui generis) for up to 10 occupants and provision of cycle and refuse storage within the front garden."/>
    <s v="PF"/>
    <d v="2021-07-27T00:00:00"/>
    <d v="2021-09-21T00:00:00"/>
    <x v="0"/>
    <s v="Nil"/>
    <m/>
    <s v="BF"/>
    <s v="COU"/>
    <x v="2"/>
    <x v="9"/>
    <n v="0.182"/>
    <d v="2023-04-01T00:00:00"/>
    <x v="1"/>
    <d v="2023-04-01T00:00:00"/>
    <x v="1"/>
    <s v="M"/>
    <s v=""/>
    <m/>
    <m/>
    <m/>
    <m/>
    <m/>
    <n v="0"/>
    <n v="0"/>
    <n v="0"/>
    <n v="0"/>
    <n v="0"/>
    <n v="-1"/>
    <n v="0"/>
    <n v="0"/>
    <n v="0"/>
    <n v="0"/>
    <n v="0"/>
    <n v="0"/>
    <n v="-1"/>
    <n v="0"/>
    <n v="0"/>
    <n v="0"/>
    <n v="0"/>
    <n v="0"/>
    <n v="0"/>
    <n v="0"/>
    <n v="0"/>
    <n v="0"/>
    <n v="0"/>
    <n v="0"/>
    <n v="0"/>
    <n v="0"/>
    <n v="0"/>
    <n v="0"/>
    <x v="1"/>
    <x v="0"/>
    <x v="2"/>
    <n v="11"/>
    <n v="-1"/>
    <m/>
    <m/>
    <m/>
    <m/>
    <m/>
    <m/>
    <m/>
    <m/>
    <m/>
    <m/>
    <m/>
    <m/>
    <m/>
    <m/>
    <m/>
    <m/>
    <m/>
    <m/>
    <m/>
    <n v="0"/>
    <n v="0"/>
  </r>
  <r>
    <n v="6381"/>
    <x v="0"/>
    <s v="2021/3335"/>
    <s v="189b Balham High Road"/>
    <s v=""/>
    <n v="528420"/>
    <n v="173036"/>
    <x v="18"/>
    <d v="2022-07-31T00:00:00"/>
    <d v="2024-01-25T00:00:00"/>
    <n v="0"/>
    <x v="3"/>
    <x v="5"/>
    <n v="1"/>
    <n v="1"/>
    <x v="1"/>
    <s v="Change of use from storage facility (Class B8) to a single family dwelling house (Class C3) including external alterations."/>
    <s v="PF"/>
    <d v="2021-08-25T00:00:00"/>
    <d v="2022-01-17T00:00:00"/>
    <x v="0"/>
    <s v="Nil"/>
    <m/>
    <s v="BF"/>
    <s v="COU"/>
    <x v="2"/>
    <x v="8"/>
    <n v="6.0000000000000001E-3"/>
    <d v="2022-07-31T00:00:00"/>
    <x v="0"/>
    <d v="2024-01-25T00:00:00"/>
    <x v="1"/>
    <s v="M"/>
    <s v=""/>
    <m/>
    <m/>
    <m/>
    <m/>
    <m/>
    <n v="0"/>
    <n v="0"/>
    <n v="0"/>
    <n v="1"/>
    <n v="0"/>
    <n v="0"/>
    <n v="0"/>
    <n v="0"/>
    <n v="0"/>
    <n v="0"/>
    <n v="0"/>
    <n v="0"/>
    <n v="0"/>
    <n v="0"/>
    <n v="0"/>
    <n v="0"/>
    <n v="0"/>
    <n v="1"/>
    <n v="0"/>
    <n v="0"/>
    <n v="0"/>
    <n v="0"/>
    <n v="0"/>
    <n v="0"/>
    <n v="0"/>
    <n v="0"/>
    <n v="0"/>
    <n v="0"/>
    <x v="1"/>
    <x v="0"/>
    <x v="2"/>
    <n v="11"/>
    <n v="1"/>
    <m/>
    <m/>
    <m/>
    <m/>
    <m/>
    <m/>
    <m/>
    <m/>
    <m/>
    <m/>
    <m/>
    <m/>
    <m/>
    <m/>
    <m/>
    <m/>
    <m/>
    <m/>
    <m/>
    <n v="0"/>
    <n v="0"/>
  </r>
  <r>
    <n v="7624"/>
    <x v="0"/>
    <s v="2021/3621"/>
    <s v="26 Dalebury Road"/>
    <s v=""/>
    <n v="527535"/>
    <n v="172689"/>
    <x v="10"/>
    <d v="2023-03-31T00:00:00"/>
    <d v="2023-04-01T00:00:00"/>
    <n v="2"/>
    <x v="3"/>
    <x v="3"/>
    <n v="1"/>
    <n v="-1"/>
    <x v="1"/>
    <s v="Conversion of two flats into single dwelling house."/>
    <s v="PF"/>
    <d v="2021-08-02T00:00:00"/>
    <d v="2021-12-15T00:00:00"/>
    <x v="0"/>
    <s v="Nil"/>
    <m/>
    <s v="BF"/>
    <s v="CON"/>
    <x v="2"/>
    <x v="11"/>
    <n v="8.7226600000000001E-3"/>
    <d v="2023-03-31T00:00:00"/>
    <x v="0"/>
    <d v="2023-04-01T00:00:00"/>
    <x v="1"/>
    <s v="M"/>
    <s v=""/>
    <m/>
    <m/>
    <m/>
    <m/>
    <m/>
    <n v="0"/>
    <n v="0"/>
    <n v="-1"/>
    <n v="0"/>
    <n v="0"/>
    <n v="0"/>
    <n v="0"/>
    <n v="0"/>
    <n v="0"/>
    <n v="-1"/>
    <n v="0"/>
    <n v="0"/>
    <n v="-1"/>
    <n v="0"/>
    <n v="0"/>
    <n v="0"/>
    <n v="0"/>
    <n v="0"/>
    <n v="0"/>
    <n v="1"/>
    <n v="0"/>
    <n v="0"/>
    <n v="0"/>
    <n v="0"/>
    <n v="0"/>
    <n v="0"/>
    <n v="0"/>
    <n v="0"/>
    <x v="1"/>
    <x v="0"/>
    <x v="2"/>
    <n v="11"/>
    <n v="-1"/>
    <m/>
    <m/>
    <m/>
    <m/>
    <m/>
    <m/>
    <m/>
    <m/>
    <m/>
    <m/>
    <m/>
    <m/>
    <m/>
    <m/>
    <m/>
    <m/>
    <m/>
    <m/>
    <m/>
    <n v="0"/>
    <n v="0"/>
  </r>
  <r>
    <n v="7327"/>
    <x v="0"/>
    <s v="2021/3791"/>
    <s v="44 and 46, Alfriston Road"/>
    <s v=""/>
    <n v="527931"/>
    <n v="174869"/>
    <x v="11"/>
    <d v="2022-01-10T00:00:00"/>
    <d v="2024-01-09T00:00:00"/>
    <n v="2"/>
    <x v="5"/>
    <x v="6"/>
    <n v="2"/>
    <n v="0"/>
    <x v="1"/>
    <s v="Demolition of existing houses and erection of 2 x three-storey (plus basement) terraced houses and associated single-storey outbuildings, landscaping and boundary treatment."/>
    <s v="PF"/>
    <d v="2021-08-11T00:00:00"/>
    <d v="2021-11-23T00:00:00"/>
    <x v="0"/>
    <s v="Nil"/>
    <m/>
    <s v="BF"/>
    <s v="NB"/>
    <x v="2"/>
    <x v="3"/>
    <n v="1.4999999999999999E-2"/>
    <d v="2022-01-10T00:00:00"/>
    <x v="0"/>
    <d v="2024-01-09T00:00:00"/>
    <x v="1"/>
    <s v="M"/>
    <s v=""/>
    <m/>
    <m/>
    <m/>
    <m/>
    <m/>
    <n v="0"/>
    <n v="0"/>
    <n v="-2"/>
    <n v="0"/>
    <n v="2"/>
    <n v="0"/>
    <n v="0"/>
    <n v="0"/>
    <n v="0"/>
    <n v="-2"/>
    <n v="0"/>
    <n v="2"/>
    <n v="0"/>
    <n v="0"/>
    <n v="0"/>
    <n v="0"/>
    <n v="0"/>
    <n v="0"/>
    <n v="0"/>
    <n v="0"/>
    <n v="0"/>
    <n v="0"/>
    <n v="0"/>
    <n v="0"/>
    <n v="0"/>
    <n v="0"/>
    <n v="0"/>
    <n v="0"/>
    <x v="1"/>
    <x v="0"/>
    <x v="2"/>
    <n v="1"/>
    <n v="0"/>
    <m/>
    <m/>
    <m/>
    <m/>
    <m/>
    <m/>
    <m/>
    <m/>
    <m/>
    <m/>
    <m/>
    <m/>
    <m/>
    <m/>
    <m/>
    <m/>
    <m/>
    <m/>
    <m/>
    <n v="0"/>
    <n v="0"/>
  </r>
  <r>
    <n v="4257"/>
    <x v="0"/>
    <s v="2021/4289"/>
    <s v="50-52 Upper Tooting Road"/>
    <s v=""/>
    <n v="527846"/>
    <n v="172221"/>
    <x v="19"/>
    <d v="2022-03-31T00:00:00"/>
    <d v="2023-05-23T00:00:00"/>
    <n v="2"/>
    <x v="6"/>
    <x v="13"/>
    <n v="0"/>
    <n v="-2"/>
    <x v="1"/>
    <s v="Alterations including demolition of single storey rear extensions and outbuildings at rear of Nos.50-52 and part change of use of rear ground floors from takeaway (Sui Generis) to HMO (Sui Generis) at No.50 and from retail (Class E) to HMO (Sui Generis) at No.52.  Erection of single storey side/rear extension at No.52, erection of two-storey rear extensions and extensions over part of back additions at Nos.50-52, increased height of extract flue in connection with creation of a 13 rooms House of Multiple Occupation."/>
    <s v="PF"/>
    <d v="2021-10-08T00:00:00"/>
    <d v="2022-02-03T00:00:00"/>
    <x v="0"/>
    <s v="Nil"/>
    <m/>
    <s v="BF"/>
    <s v="MIX"/>
    <x v="2"/>
    <x v="7"/>
    <n v="0"/>
    <d v="2022-03-31T00:00:00"/>
    <x v="0"/>
    <d v="2023-05-23T00:00:00"/>
    <x v="1"/>
    <s v="MR"/>
    <s v=""/>
    <m/>
    <m/>
    <m/>
    <m/>
    <m/>
    <n v="0"/>
    <n v="0"/>
    <n v="0"/>
    <n v="0"/>
    <n v="0"/>
    <n v="-2"/>
    <n v="0"/>
    <n v="0"/>
    <n v="0"/>
    <n v="0"/>
    <n v="0"/>
    <n v="0"/>
    <n v="-2"/>
    <n v="0"/>
    <n v="0"/>
    <n v="0"/>
    <n v="0"/>
    <n v="0"/>
    <n v="0"/>
    <n v="0"/>
    <n v="0"/>
    <n v="0"/>
    <n v="0"/>
    <n v="0"/>
    <n v="0"/>
    <n v="0"/>
    <n v="0"/>
    <n v="0"/>
    <x v="1"/>
    <x v="0"/>
    <x v="2"/>
    <n v="11"/>
    <n v="-2"/>
    <m/>
    <m/>
    <m/>
    <m/>
    <m/>
    <m/>
    <m/>
    <m/>
    <m/>
    <m/>
    <m/>
    <m/>
    <m/>
    <m/>
    <m/>
    <m/>
    <m/>
    <m/>
    <m/>
    <n v="0"/>
    <n v="0"/>
  </r>
  <r>
    <n v="7730"/>
    <x v="0"/>
    <s v="2021/4534"/>
    <s v="99 Lacy Road (Guildford House)"/>
    <s v=""/>
    <n v="523735"/>
    <n v="175468"/>
    <x v="3"/>
    <d v="2022-09-05T00:00:00"/>
    <d v="2023-09-08T00:00:00"/>
    <n v="0"/>
    <x v="3"/>
    <x v="5"/>
    <n v="1"/>
    <n v="1"/>
    <x v="1"/>
    <s v="Formation of a new 2-bedroom dwelling at lower ground floor level."/>
    <s v="PF"/>
    <d v="2021-10-04T00:00:00"/>
    <d v="2022-02-23T00:00:00"/>
    <x v="0"/>
    <s v="Nil"/>
    <m/>
    <s v="BF"/>
    <s v="CON"/>
    <x v="2"/>
    <x v="8"/>
    <n v="6.0000000000000001E-3"/>
    <d v="2022-09-05T00:00:00"/>
    <x v="0"/>
    <d v="2023-09-08T00:00:00"/>
    <x v="1"/>
    <s v="M"/>
    <s v=""/>
    <m/>
    <m/>
    <m/>
    <m/>
    <m/>
    <n v="0"/>
    <n v="0"/>
    <n v="1"/>
    <n v="0"/>
    <n v="0"/>
    <n v="0"/>
    <n v="0"/>
    <n v="0"/>
    <n v="0"/>
    <n v="1"/>
    <n v="0"/>
    <n v="0"/>
    <n v="0"/>
    <n v="0"/>
    <n v="0"/>
    <n v="0"/>
    <n v="0"/>
    <n v="0"/>
    <n v="0"/>
    <n v="0"/>
    <n v="0"/>
    <n v="0"/>
    <n v="0"/>
    <n v="0"/>
    <n v="0"/>
    <n v="0"/>
    <n v="0"/>
    <n v="0"/>
    <x v="1"/>
    <x v="0"/>
    <x v="2"/>
    <n v="11"/>
    <n v="1"/>
    <m/>
    <m/>
    <m/>
    <m/>
    <m/>
    <m/>
    <m/>
    <m/>
    <m/>
    <m/>
    <m/>
    <m/>
    <m/>
    <m/>
    <m/>
    <m/>
    <m/>
    <m/>
    <m/>
    <n v="0"/>
    <n v="0"/>
  </r>
  <r>
    <n v="7781"/>
    <x v="0"/>
    <s v="2021/4551"/>
    <s v="178 Lavender Hill"/>
    <s v=""/>
    <n v="527713"/>
    <n v="175549"/>
    <x v="20"/>
    <d v="2022-04-01T00:00:00"/>
    <d v="2023-04-08T00:00:00"/>
    <n v="1"/>
    <x v="12"/>
    <x v="36"/>
    <n v="4"/>
    <n v="3"/>
    <x v="1"/>
    <s v="Alterations including erection of a dormer extension to side and rear roof; two-storey extension above two-storey back addition and part-single/part-two-storey rear extension to back-addition; Formation of a roof terraces/balconies at first, second, third and fourth floors; Partial change of use of basement and ground floor from commercial use class E to residential use class C3 in connection with the creation of 2 x 1 bedroom and 2 x 2 bedroom flats."/>
    <s v="PF"/>
    <d v="2021-10-25T00:00:00"/>
    <d v="2022-03-03T00:00:00"/>
    <x v="0"/>
    <s v="Nil"/>
    <m/>
    <s v="BF"/>
    <s v="MIX"/>
    <x v="2"/>
    <x v="1"/>
    <n v="5.3499999999999997E-3"/>
    <d v="2022-04-01T00:00:00"/>
    <x v="0"/>
    <d v="2023-04-08T00:00:00"/>
    <x v="1"/>
    <s v="M"/>
    <s v=""/>
    <m/>
    <m/>
    <m/>
    <m/>
    <m/>
    <n v="0"/>
    <n v="2"/>
    <n v="2"/>
    <n v="0"/>
    <n v="0"/>
    <n v="-1"/>
    <n v="0"/>
    <n v="0"/>
    <n v="2"/>
    <n v="2"/>
    <n v="0"/>
    <n v="0"/>
    <n v="-1"/>
    <n v="0"/>
    <n v="0"/>
    <n v="0"/>
    <n v="0"/>
    <n v="0"/>
    <n v="0"/>
    <n v="0"/>
    <n v="0"/>
    <n v="0"/>
    <n v="0"/>
    <n v="0"/>
    <n v="0"/>
    <n v="0"/>
    <n v="0"/>
    <n v="0"/>
    <x v="3"/>
    <x v="0"/>
    <x v="3"/>
    <n v="11"/>
    <n v="3"/>
    <m/>
    <m/>
    <m/>
    <m/>
    <m/>
    <m/>
    <m/>
    <m/>
    <m/>
    <m/>
    <m/>
    <m/>
    <m/>
    <m/>
    <m/>
    <m/>
    <m/>
    <m/>
    <m/>
    <n v="0"/>
    <n v="0"/>
  </r>
  <r>
    <n v="4396"/>
    <x v="0"/>
    <s v="2021/4566"/>
    <s v="314 Garratt Lane"/>
    <s v=""/>
    <n v="525854"/>
    <n v="173217"/>
    <x v="13"/>
    <d v="2022-12-08T00:00:00"/>
    <d v="2024-03-28T00:00:00"/>
    <n v="1"/>
    <x v="5"/>
    <x v="5"/>
    <n v="2"/>
    <n v="1"/>
    <x v="1"/>
    <s v="Alterations including erection of a roof extension to main rear roof, raising the main roof ridge height by 300mm, and extension above part of the two-storey back addition, in connection with conversion from 1 x 3-bed flat to 2 x 1-bed flats with associated refuse and cycle storage. (Amended drawings received.)"/>
    <s v="PF"/>
    <d v="2021-11-08T00:00:00"/>
    <d v="2022-03-04T00:00:00"/>
    <x v="0"/>
    <s v="Nil"/>
    <m/>
    <s v="BF"/>
    <s v="MIX"/>
    <x v="2"/>
    <x v="7"/>
    <n v="3.0000000000000001E-3"/>
    <d v="2022-12-08T00:00:00"/>
    <x v="0"/>
    <d v="2024-03-28T00:00:00"/>
    <x v="1"/>
    <s v="M"/>
    <s v=""/>
    <m/>
    <m/>
    <m/>
    <m/>
    <m/>
    <n v="0"/>
    <n v="2"/>
    <n v="0"/>
    <n v="-1"/>
    <n v="0"/>
    <n v="0"/>
    <n v="0"/>
    <n v="0"/>
    <n v="2"/>
    <n v="0"/>
    <n v="-1"/>
    <n v="0"/>
    <n v="0"/>
    <n v="0"/>
    <n v="0"/>
    <n v="0"/>
    <n v="0"/>
    <n v="0"/>
    <n v="0"/>
    <n v="0"/>
    <n v="0"/>
    <n v="0"/>
    <n v="0"/>
    <n v="0"/>
    <n v="0"/>
    <n v="0"/>
    <n v="0"/>
    <n v="0"/>
    <x v="1"/>
    <x v="0"/>
    <x v="5"/>
    <n v="11"/>
    <n v="1"/>
    <m/>
    <m/>
    <m/>
    <m/>
    <m/>
    <m/>
    <m/>
    <m/>
    <m/>
    <m/>
    <m/>
    <m/>
    <m/>
    <m/>
    <m/>
    <m/>
    <m/>
    <m/>
    <m/>
    <n v="0"/>
    <n v="0"/>
  </r>
  <r>
    <n v="7593"/>
    <x v="0"/>
    <s v="2021/4567"/>
    <s v="285-287 Putney Bridge Road"/>
    <s v=""/>
    <n v="524313"/>
    <n v="175351"/>
    <x v="3"/>
    <d v="2022-03-31T00:00:00"/>
    <m/>
    <n v="0"/>
    <x v="5"/>
    <x v="7"/>
    <n v="3"/>
    <n v="3"/>
    <x v="1"/>
    <s v="Change of use of the ground floor and basement levels from retail/restaurant (Class E)  into residential (Class C3) to provide 2 x 2-bedroom and 1 x 3-bedroom flats and formation of lightwells to rear and side. (Amendments to previous permission ref 2021/0535 dated 31/03/21 to amend the layouts of the flats)."/>
    <s v="PF"/>
    <d v="2021-10-05T00:00:00"/>
    <d v="2021-12-23T00:00:00"/>
    <x v="0"/>
    <s v="Nil"/>
    <m/>
    <s v="BF"/>
    <s v="MIX"/>
    <x v="2"/>
    <x v="4"/>
    <n v="1.7999999999999999E-2"/>
    <d v="2022-03-31T00:00:00"/>
    <x v="0"/>
    <d v="2023-09-30T00:00:00"/>
    <x v="1"/>
    <s v="M"/>
    <s v=""/>
    <m/>
    <m/>
    <m/>
    <m/>
    <m/>
    <n v="0"/>
    <n v="0"/>
    <n v="2"/>
    <n v="0"/>
    <n v="0"/>
    <n v="0"/>
    <n v="0"/>
    <n v="0"/>
    <n v="0"/>
    <n v="2"/>
    <n v="0"/>
    <n v="0"/>
    <n v="0"/>
    <n v="0"/>
    <n v="0"/>
    <n v="0"/>
    <n v="0"/>
    <n v="0"/>
    <n v="0"/>
    <n v="0"/>
    <n v="0"/>
    <n v="0"/>
    <n v="0"/>
    <n v="0"/>
    <n v="0"/>
    <n v="0"/>
    <n v="0"/>
    <n v="0"/>
    <x v="1"/>
    <x v="0"/>
    <x v="2"/>
    <n v="11"/>
    <n v="2"/>
    <m/>
    <m/>
    <m/>
    <m/>
    <m/>
    <m/>
    <m/>
    <m/>
    <m/>
    <m/>
    <m/>
    <m/>
    <m/>
    <m/>
    <m/>
    <m/>
    <m/>
    <m/>
    <m/>
    <n v="0"/>
    <n v="0"/>
  </r>
  <r>
    <n v="7361"/>
    <x v="0"/>
    <s v="2021/4589"/>
    <s v="1 Podmore Road"/>
    <s v=""/>
    <n v="526027"/>
    <n v="175089"/>
    <x v="14"/>
    <d v="2022-07-15T00:00:00"/>
    <d v="2023-05-05T00:00:00"/>
    <n v="1"/>
    <x v="5"/>
    <x v="5"/>
    <n v="2"/>
    <n v="1"/>
    <x v="1"/>
    <s v="Alterations including erection of front and rear roof extension to provide an additional floor of accommodation to create 1 x1 bedroom flat."/>
    <s v="PF"/>
    <d v="2021-10-06T00:00:00"/>
    <d v="2022-05-03T00:00:00"/>
    <x v="0"/>
    <s v="Nil"/>
    <m/>
    <s v="BF"/>
    <s v="EXT"/>
    <x v="2"/>
    <x v="7"/>
    <n v="3.0000000000000001E-3"/>
    <d v="2022-07-15T00:00:00"/>
    <x v="0"/>
    <d v="2023-05-05T00:00:00"/>
    <x v="1"/>
    <s v="M"/>
    <s v=""/>
    <m/>
    <m/>
    <m/>
    <m/>
    <m/>
    <n v="0"/>
    <n v="1"/>
    <n v="0"/>
    <n v="0"/>
    <n v="0"/>
    <n v="0"/>
    <n v="0"/>
    <n v="0"/>
    <n v="1"/>
    <n v="0"/>
    <n v="0"/>
    <n v="0"/>
    <n v="0"/>
    <n v="0"/>
    <n v="0"/>
    <n v="0"/>
    <n v="0"/>
    <n v="0"/>
    <n v="0"/>
    <n v="0"/>
    <n v="0"/>
    <n v="0"/>
    <n v="0"/>
    <n v="0"/>
    <n v="0"/>
    <n v="0"/>
    <n v="0"/>
    <n v="0"/>
    <x v="1"/>
    <x v="0"/>
    <x v="7"/>
    <n v="11"/>
    <n v="1"/>
    <m/>
    <m/>
    <m/>
    <m/>
    <m/>
    <m/>
    <m/>
    <m/>
    <m/>
    <m/>
    <m/>
    <m/>
    <m/>
    <m/>
    <m/>
    <m/>
    <m/>
    <m/>
    <m/>
    <n v="0"/>
    <n v="0"/>
  </r>
  <r>
    <n v="536"/>
    <x v="0"/>
    <s v="2021/4727"/>
    <s v="Argylle House, 1a All Saints Passage"/>
    <s v=""/>
    <n v="525441"/>
    <n v="174750"/>
    <x v="14"/>
    <d v="2022-02-03T00:00:00"/>
    <d v="2024-03-06T00:00:00"/>
    <n v="4"/>
    <x v="39"/>
    <x v="45"/>
    <n v="17"/>
    <n v="13"/>
    <x v="0"/>
    <s v="Variation of conditions 2 (in accordance with drawings) and 3 (materials) pursuant to planning permission dated 30/01/2020 ref 2016/7216 (Demolition of the existing building and construction of a part 4 part 5 storey building providing 17 residential units and 106sqm flexible B1 commercial floorspace with communal external amenity space at fourth floor level) to allow minor changes to the appearance of the building, layout of commercial waste and cycle stores and to change the wording of Condition 3 to include compliance trigger instead of pre-commencement."/>
    <s v="S73"/>
    <d v="2021-10-14T00:00:00"/>
    <d v="2022-06-21T00:00:00"/>
    <x v="0"/>
    <s v="Nil"/>
    <m/>
    <s v="BF"/>
    <s v="NB"/>
    <x v="1"/>
    <x v="0"/>
    <n v="4.3999999999999997E-2"/>
    <d v="2022-02-03T00:00:00"/>
    <x v="0"/>
    <d v="2024-03-06T00:00:00"/>
    <x v="1"/>
    <s v="M"/>
    <s v=""/>
    <m/>
    <m/>
    <n v="15"/>
    <m/>
    <n v="1"/>
    <n v="2"/>
    <n v="2"/>
    <n v="7"/>
    <n v="1"/>
    <n v="0"/>
    <n v="0"/>
    <n v="0"/>
    <n v="2"/>
    <n v="2"/>
    <n v="7"/>
    <n v="1"/>
    <n v="0"/>
    <n v="0"/>
    <n v="0"/>
    <n v="0"/>
    <n v="0"/>
    <n v="0"/>
    <n v="0"/>
    <n v="0"/>
    <n v="0"/>
    <n v="0"/>
    <n v="0"/>
    <n v="0"/>
    <n v="0"/>
    <n v="0"/>
    <n v="0"/>
    <n v="0"/>
    <n v="0"/>
    <x v="4"/>
    <x v="0"/>
    <x v="7"/>
    <n v="1"/>
    <n v="12"/>
    <m/>
    <m/>
    <m/>
    <m/>
    <m/>
    <m/>
    <m/>
    <m/>
    <m/>
    <m/>
    <m/>
    <m/>
    <m/>
    <m/>
    <m/>
    <m/>
    <m/>
    <m/>
    <m/>
    <n v="0"/>
    <n v="0"/>
  </r>
  <r>
    <n v="536"/>
    <x v="0"/>
    <s v="2021/4727"/>
    <s v="Argylle House, 1a All Saints Passage"/>
    <s v="1 x 3 unit @ g/f rear of commercial"/>
    <n v="525441"/>
    <n v="174750"/>
    <x v="14"/>
    <d v="2022-02-03T00:00:00"/>
    <d v="2024-03-06T00:00:00"/>
    <n v="0"/>
    <x v="3"/>
    <x v="5"/>
    <n v="17"/>
    <n v="13"/>
    <x v="0"/>
    <s v="Variation of conditions 2 (in accordance with drawings) and 3 (materials) pursuant to planning permission dated 30/01/2020 ref 2016/7216 (Demolition of the existing building and construction of a part 4 part 5 storey building providing 17 residential units and 106sqm flexible B1 commercial floorspace with communal external amenity space at fourth floor level) to allow minor changes to the appearance of the building, layout of commercial waste and cycle stores and to change the wording of Condition 3 to include compliance trigger instead of pre-commencement."/>
    <s v="S73"/>
    <d v="2021-10-14T00:00:00"/>
    <d v="2022-06-21T00:00:00"/>
    <x v="0"/>
    <s v="Nil"/>
    <m/>
    <s v="BF"/>
    <s v="NB"/>
    <x v="1"/>
    <x v="0"/>
    <n v="3.0000000000000001E-3"/>
    <d v="2022-02-03T00:00:00"/>
    <x v="0"/>
    <d v="2024-03-06T00:00:00"/>
    <x v="1"/>
    <s v="M"/>
    <s v=""/>
    <m/>
    <m/>
    <n v="1"/>
    <m/>
    <m/>
    <n v="0"/>
    <n v="0"/>
    <n v="0"/>
    <n v="1"/>
    <n v="0"/>
    <n v="0"/>
    <n v="0"/>
    <n v="0"/>
    <n v="0"/>
    <n v="0"/>
    <n v="1"/>
    <n v="0"/>
    <n v="0"/>
    <n v="0"/>
    <n v="0"/>
    <n v="0"/>
    <n v="0"/>
    <n v="0"/>
    <n v="0"/>
    <n v="0"/>
    <n v="0"/>
    <n v="0"/>
    <n v="0"/>
    <n v="0"/>
    <n v="0"/>
    <n v="0"/>
    <n v="0"/>
    <n v="0"/>
    <x v="4"/>
    <x v="0"/>
    <x v="7"/>
    <n v="1"/>
    <n v="1"/>
    <m/>
    <m/>
    <m/>
    <m/>
    <m/>
    <m/>
    <m/>
    <m/>
    <m/>
    <m/>
    <m/>
    <m/>
    <m/>
    <m/>
    <m/>
    <m/>
    <m/>
    <m/>
    <m/>
    <n v="0"/>
    <n v="0"/>
  </r>
  <r>
    <n v="7689"/>
    <x v="0"/>
    <s v="2021/4782"/>
    <s v="547 Old York Road"/>
    <s v=""/>
    <n v="525880"/>
    <n v="174953"/>
    <x v="14"/>
    <d v="2022-12-19T00:00:00"/>
    <d v="2024-02-21T00:00:00"/>
    <n v="1"/>
    <x v="11"/>
    <x v="7"/>
    <n v="3"/>
    <n v="2"/>
    <x v="1"/>
    <s v="Alterations including erection of a front dormer and a rear mansard roof extension (with French doors and safety railing) to main roof; extension above part of the two-storey back addition; erection of a single storey rear/side extension and formation of a first floor rear roof terrace with glazed screen; removal of window and installation of French doors and safety railing to first floor rear elevation; installation of a new shopfront and front access to upper floors; associated refuse and cycle storage, in connection with use of upper floors as 2 x 2- bed and 1 x 1-bed flats plus 1 x commercial unit (Class E) on part of the ground floor and basement levels."/>
    <s v="PF"/>
    <d v="2021-10-18T00:00:00"/>
    <d v="2021-12-13T00:00:00"/>
    <x v="0"/>
    <s v="Nil"/>
    <m/>
    <s v="BF"/>
    <s v="COU"/>
    <x v="2"/>
    <x v="7"/>
    <n v="7.0000000000000001E-3"/>
    <d v="2022-12-19T00:00:00"/>
    <x v="0"/>
    <d v="2024-02-21T00:00:00"/>
    <x v="1"/>
    <s v="M"/>
    <s v=""/>
    <m/>
    <m/>
    <m/>
    <m/>
    <m/>
    <n v="0"/>
    <n v="1"/>
    <n v="2"/>
    <n v="-1"/>
    <n v="0"/>
    <n v="0"/>
    <n v="0"/>
    <n v="0"/>
    <n v="1"/>
    <n v="2"/>
    <n v="0"/>
    <n v="0"/>
    <n v="0"/>
    <n v="0"/>
    <n v="0"/>
    <n v="0"/>
    <n v="0"/>
    <n v="-1"/>
    <n v="0"/>
    <n v="0"/>
    <n v="0"/>
    <n v="0"/>
    <n v="0"/>
    <n v="0"/>
    <n v="0"/>
    <n v="0"/>
    <n v="0"/>
    <n v="0"/>
    <x v="1"/>
    <x v="0"/>
    <x v="7"/>
    <n v="11"/>
    <n v="2"/>
    <m/>
    <m/>
    <m/>
    <m/>
    <m/>
    <m/>
    <m/>
    <m/>
    <m/>
    <m/>
    <m/>
    <m/>
    <m/>
    <m/>
    <m/>
    <m/>
    <m/>
    <m/>
    <m/>
    <n v="0"/>
    <n v="0"/>
  </r>
  <r>
    <n v="7654"/>
    <x v="0"/>
    <s v="2021/5066"/>
    <s v="468 Garratt Lane"/>
    <s v=""/>
    <n v="526105"/>
    <n v="172633"/>
    <x v="17"/>
    <d v="2023-03-31T00:00:00"/>
    <d v="2024-03-31T00:00:00"/>
    <n v="1"/>
    <x v="11"/>
    <x v="7"/>
    <n v="3"/>
    <n v="2"/>
    <x v="1"/>
    <s v="Alterations including erection of rear extensions at ground, first and second floor levels including raising the main ridge of the roof by 300mm; F ormation of roof terrace at rear first floor and provision of refuse and cycle storage at rear in connection with use of the rear part of the gorund floor and upper floors as  3 x 1-bedroom flats."/>
    <s v="PF"/>
    <d v="2021-11-04T00:00:00"/>
    <d v="2021-12-30T00:00:00"/>
    <x v="0"/>
    <s v="Nil"/>
    <m/>
    <s v="BF"/>
    <s v="CON"/>
    <x v="2"/>
    <x v="5"/>
    <n v="3.6075E-3"/>
    <d v="2023-03-31T00:00:00"/>
    <x v="0"/>
    <d v="2024-03-31T00:00:00"/>
    <x v="1"/>
    <s v="M"/>
    <s v=""/>
    <m/>
    <m/>
    <m/>
    <m/>
    <m/>
    <n v="0"/>
    <n v="3"/>
    <n v="-1"/>
    <n v="0"/>
    <n v="0"/>
    <n v="0"/>
    <n v="0"/>
    <n v="0"/>
    <n v="3"/>
    <n v="-1"/>
    <n v="0"/>
    <n v="0"/>
    <n v="0"/>
    <n v="0"/>
    <n v="0"/>
    <n v="0"/>
    <n v="0"/>
    <n v="0"/>
    <n v="0"/>
    <n v="0"/>
    <n v="0"/>
    <n v="0"/>
    <n v="0"/>
    <n v="0"/>
    <n v="0"/>
    <n v="0"/>
    <n v="0"/>
    <n v="0"/>
    <x v="1"/>
    <x v="0"/>
    <x v="5"/>
    <n v="11"/>
    <n v="2"/>
    <m/>
    <m/>
    <m/>
    <m/>
    <m/>
    <m/>
    <m/>
    <m/>
    <m/>
    <m/>
    <m/>
    <m/>
    <m/>
    <m/>
    <m/>
    <m/>
    <m/>
    <m/>
    <m/>
    <n v="0"/>
    <n v="0"/>
  </r>
  <r>
    <n v="7693"/>
    <x v="0"/>
    <s v="2021/5482"/>
    <s v="17 Haldon Road"/>
    <s v=""/>
    <n v="524931"/>
    <n v="174479"/>
    <x v="7"/>
    <d v="2022-03-31T00:00:00"/>
    <d v="2023-05-18T00:00:00"/>
    <n v="1"/>
    <x v="11"/>
    <x v="7"/>
    <n v="3"/>
    <n v="2"/>
    <x v="1"/>
    <s v="Alterations including erection of hip to gable roof extension and rear mansard extension with rear dormer (with french doors and safety railings), erection of roof extension above part of two storey back addition, and single storey side and rear extension. Works in connection with conversion of dwellinghouse into 2 x 3-bedroom and 1 x 1-bedroom flats; refuse and cycle storage proposed for front garden."/>
    <s v="PF"/>
    <d v="2021-12-06T00:00:00"/>
    <d v="2022-01-31T00:00:00"/>
    <x v="0"/>
    <s v="Nil"/>
    <m/>
    <s v="BF"/>
    <s v="MIX"/>
    <x v="2"/>
    <x v="10"/>
    <n v="5.0000000000000001E-3"/>
    <d v="2022-03-31T00:00:00"/>
    <x v="0"/>
    <d v="2023-05-18T00:00:00"/>
    <x v="1"/>
    <s v="M"/>
    <s v=""/>
    <m/>
    <m/>
    <m/>
    <m/>
    <m/>
    <n v="0"/>
    <n v="1"/>
    <n v="0"/>
    <n v="2"/>
    <n v="0"/>
    <n v="-1"/>
    <n v="0"/>
    <n v="0"/>
    <n v="1"/>
    <n v="0"/>
    <n v="2"/>
    <n v="0"/>
    <n v="0"/>
    <n v="0"/>
    <n v="0"/>
    <n v="0"/>
    <n v="0"/>
    <n v="0"/>
    <n v="0"/>
    <n v="-1"/>
    <n v="0"/>
    <n v="0"/>
    <n v="0"/>
    <n v="0"/>
    <n v="0"/>
    <n v="0"/>
    <n v="0"/>
    <n v="0"/>
    <x v="1"/>
    <x v="0"/>
    <x v="2"/>
    <n v="11"/>
    <n v="2"/>
    <m/>
    <m/>
    <m/>
    <m/>
    <m/>
    <m/>
    <m/>
    <m/>
    <m/>
    <m/>
    <m/>
    <m/>
    <m/>
    <m/>
    <m/>
    <m/>
    <m/>
    <m/>
    <m/>
    <n v="0"/>
    <n v="0"/>
  </r>
  <r>
    <n v="7628"/>
    <x v="0"/>
    <s v="2021/5566"/>
    <s v="Bristol Gardens, 4 Portsmouth Road"/>
    <s v=""/>
    <n v="523110"/>
    <n v="173693"/>
    <x v="16"/>
    <d v="2023-06-01T00:00:00"/>
    <d v="2023-08-31T00:00:00"/>
    <n v="3"/>
    <x v="3"/>
    <x v="13"/>
    <n v="1"/>
    <n v="-2"/>
    <x v="1"/>
    <s v="Alterations including demolition of existing garage and erection of a single storey rear extension; various changes to the facades and fenestration; insertion of rooflights and erection of refuse store against eastern boundary, in connection with deconversion to use as a single dwelling."/>
    <s v="PF"/>
    <d v="2022-01-07T00:00:00"/>
    <d v="2022-03-15T00:00:00"/>
    <x v="0"/>
    <s v="Nil"/>
    <m/>
    <s v="BF"/>
    <s v="MIX"/>
    <x v="2"/>
    <x v="11"/>
    <n v="1.396E-2"/>
    <d v="2023-06-01T00:00:00"/>
    <x v="1"/>
    <d v="2023-08-31T00:00:00"/>
    <x v="1"/>
    <s v="M"/>
    <s v=""/>
    <m/>
    <m/>
    <m/>
    <m/>
    <m/>
    <n v="0"/>
    <n v="-1"/>
    <n v="-2"/>
    <n v="0"/>
    <n v="0"/>
    <n v="1"/>
    <n v="0"/>
    <n v="0"/>
    <n v="-1"/>
    <n v="-2"/>
    <n v="0"/>
    <n v="0"/>
    <n v="0"/>
    <n v="0"/>
    <n v="0"/>
    <n v="0"/>
    <n v="0"/>
    <n v="0"/>
    <n v="0"/>
    <n v="1"/>
    <n v="0"/>
    <n v="0"/>
    <n v="0"/>
    <n v="0"/>
    <n v="0"/>
    <n v="0"/>
    <n v="0"/>
    <n v="0"/>
    <x v="1"/>
    <x v="0"/>
    <x v="2"/>
    <n v="11"/>
    <n v="-2"/>
    <m/>
    <m/>
    <m/>
    <m/>
    <m/>
    <m/>
    <m/>
    <m/>
    <m/>
    <m/>
    <m/>
    <m/>
    <m/>
    <m/>
    <m/>
    <m/>
    <m/>
    <m/>
    <m/>
    <n v="0"/>
    <n v="0"/>
  </r>
  <r>
    <n v="7751"/>
    <x v="0"/>
    <s v="2021/5596"/>
    <s v="93 Tooting Bec Road"/>
    <s v=""/>
    <n v="528291"/>
    <n v="172218"/>
    <x v="18"/>
    <d v="2023-03-31T00:00:00"/>
    <d v="2023-08-14T00:00:00"/>
    <n v="1"/>
    <x v="11"/>
    <x v="7"/>
    <n v="3"/>
    <n v="2"/>
    <x v="1"/>
    <s v="Alterations including erection of mansard roof extension to main rear roof, formation of roof terrace above two-storey back addition with 1.7m high screen surround, and  single-storey rear/side extension, in connection with conversion of property into  1 x 3-bedroom, 1 x 2-bedroom and 1 x 1-bedroom flats."/>
    <s v="PF"/>
    <d v="2021-12-21T00:00:00"/>
    <d v="2022-02-15T00:00:00"/>
    <x v="0"/>
    <s v="Nil"/>
    <m/>
    <s v="BF"/>
    <s v="MIX"/>
    <x v="2"/>
    <x v="10"/>
    <n v="6.0000000000000001E-3"/>
    <d v="2023-03-31T00:00:00"/>
    <x v="0"/>
    <d v="2023-08-14T00:00:00"/>
    <x v="1"/>
    <s v="M"/>
    <s v=""/>
    <m/>
    <m/>
    <m/>
    <m/>
    <m/>
    <n v="0"/>
    <n v="1"/>
    <n v="1"/>
    <n v="1"/>
    <n v="0"/>
    <n v="-1"/>
    <n v="0"/>
    <n v="0"/>
    <n v="1"/>
    <n v="1"/>
    <n v="1"/>
    <n v="0"/>
    <n v="0"/>
    <n v="0"/>
    <n v="0"/>
    <n v="0"/>
    <n v="0"/>
    <n v="0"/>
    <n v="0"/>
    <n v="-1"/>
    <n v="0"/>
    <n v="0"/>
    <n v="0"/>
    <n v="0"/>
    <n v="0"/>
    <n v="0"/>
    <n v="0"/>
    <n v="0"/>
    <x v="1"/>
    <x v="0"/>
    <x v="2"/>
    <n v="11"/>
    <n v="2"/>
    <m/>
    <m/>
    <m/>
    <m/>
    <m/>
    <m/>
    <m/>
    <m/>
    <m/>
    <m/>
    <m/>
    <m/>
    <m/>
    <m/>
    <m/>
    <m/>
    <m/>
    <m/>
    <m/>
    <n v="0"/>
    <n v="0"/>
  </r>
  <r>
    <n v="7756"/>
    <x v="0"/>
    <s v="2021/5781"/>
    <s v="8 Alderbrook Road"/>
    <s v=""/>
    <n v="528535"/>
    <n v="174164"/>
    <x v="6"/>
    <d v="2023-03-31T00:00:00"/>
    <d v="2024-03-04T00:00:00"/>
    <n v="1"/>
    <x v="0"/>
    <x v="28"/>
    <n v="6"/>
    <n v="5"/>
    <x v="1"/>
    <s v="Demolition of existing building and erection of three-storey (plus basement and roof levels) building comprising 2 x 1 bedroom flats, 2 x 2-bedroom flats and 2 x 3-bedroom flats with associated landscaping works, cycle parking and refuse storage."/>
    <s v="PF"/>
    <d v="2021-12-22T00:00:00"/>
    <d v="2022-03-28T00:00:00"/>
    <x v="0"/>
    <s v="Nil"/>
    <m/>
    <s v="BF"/>
    <s v="NB"/>
    <x v="2"/>
    <x v="3"/>
    <n v="1.439E-2"/>
    <d v="2023-05-23T00:00:00"/>
    <x v="1"/>
    <d v="2024-03-04T00:00:00"/>
    <x v="1"/>
    <s v="M"/>
    <s v=""/>
    <m/>
    <m/>
    <m/>
    <m/>
    <m/>
    <n v="0"/>
    <n v="2"/>
    <n v="2"/>
    <n v="2"/>
    <n v="-1"/>
    <n v="0"/>
    <n v="0"/>
    <n v="0"/>
    <n v="2"/>
    <n v="2"/>
    <n v="2"/>
    <n v="0"/>
    <n v="0"/>
    <n v="0"/>
    <n v="0"/>
    <n v="0"/>
    <n v="0"/>
    <n v="0"/>
    <n v="-1"/>
    <n v="0"/>
    <n v="0"/>
    <n v="0"/>
    <n v="0"/>
    <n v="0"/>
    <n v="0"/>
    <n v="0"/>
    <n v="0"/>
    <n v="0"/>
    <x v="1"/>
    <x v="0"/>
    <x v="2"/>
    <n v="1"/>
    <n v="5"/>
    <m/>
    <m/>
    <m/>
    <m/>
    <m/>
    <m/>
    <m/>
    <m/>
    <m/>
    <m/>
    <m/>
    <m/>
    <m/>
    <m/>
    <m/>
    <m/>
    <m/>
    <m/>
    <m/>
    <n v="0"/>
    <n v="0"/>
  </r>
  <r>
    <n v="6772"/>
    <x v="0"/>
    <s v="2022/0056"/>
    <s v="30 Bramcote Road"/>
    <s v=""/>
    <n v="522806"/>
    <n v="175115"/>
    <x v="16"/>
    <d v="2022-03-15T00:00:00"/>
    <d v="2023-12-20T00:00:00"/>
    <n v="1"/>
    <x v="3"/>
    <x v="6"/>
    <n v="1"/>
    <n v="0"/>
    <x v="1"/>
    <s v="Non-material amendment to planning permission dated 05/04/2019 ref_x000a_ 2018/4926 (Demolition of existing building and erection of a two-storey _x000a_(plus basement and roof levels) 5-bedroom detached house.) to allow _x000a_the basement to be omitted"/>
    <s v="S96A"/>
    <d v="2022-01-07T00:00:00"/>
    <d v="2022-02-24T00:00:00"/>
    <x v="0"/>
    <s v="Nil"/>
    <m/>
    <s v="BF"/>
    <s v="NB"/>
    <x v="2"/>
    <x v="3"/>
    <n v="2.7199999999999998E-2"/>
    <d v="2022-03-15T00:00:00"/>
    <x v="0"/>
    <d v="2023-12-20T00:00:00"/>
    <x v="1"/>
    <s v="M"/>
    <s v=""/>
    <m/>
    <m/>
    <m/>
    <m/>
    <m/>
    <n v="0"/>
    <n v="0"/>
    <n v="-1"/>
    <n v="0"/>
    <n v="0"/>
    <n v="1"/>
    <n v="0"/>
    <n v="0"/>
    <n v="0"/>
    <n v="0"/>
    <n v="0"/>
    <n v="0"/>
    <n v="0"/>
    <n v="0"/>
    <n v="0"/>
    <n v="0"/>
    <n v="-1"/>
    <n v="0"/>
    <n v="0"/>
    <n v="1"/>
    <n v="0"/>
    <n v="0"/>
    <n v="0"/>
    <n v="0"/>
    <n v="0"/>
    <n v="0"/>
    <n v="0"/>
    <n v="0"/>
    <x v="1"/>
    <x v="0"/>
    <x v="2"/>
    <n v="1"/>
    <n v="0"/>
    <m/>
    <m/>
    <m/>
    <m/>
    <m/>
    <m/>
    <m/>
    <m/>
    <m/>
    <m/>
    <m/>
    <m/>
    <m/>
    <m/>
    <m/>
    <m/>
    <m/>
    <m/>
    <m/>
    <n v="0"/>
    <n v="0"/>
  </r>
  <r>
    <n v="7794"/>
    <x v="0"/>
    <s v="2022/0128"/>
    <s v="Upper Floors, 6a York Road"/>
    <s v=""/>
    <n v="527039"/>
    <n v="176160"/>
    <x v="15"/>
    <d v="2023-01-20T00:00:00"/>
    <d v="2024-03-31T00:00:00"/>
    <n v="1"/>
    <x v="5"/>
    <x v="5"/>
    <n v="2"/>
    <n v="1"/>
    <x v="1"/>
    <s v="Alterations including erection of roof extension to create additional floor of accommodation; formation of roof terrace above two-storey back addition with screen surround and conversion of the upper floor flat into 1 x 2-bedroom and 1 x 1-bedroom  flat."/>
    <s v="PF"/>
    <d v="2022-03-04T00:00:00"/>
    <d v="2022-06-22T00:00:00"/>
    <x v="0"/>
    <s v="Nil"/>
    <m/>
    <s v="BF"/>
    <s v="MIX"/>
    <x v="2"/>
    <x v="5"/>
    <n v="4.7000000000000002E-3"/>
    <d v="2023-01-20T00:00:00"/>
    <x v="0"/>
    <d v="2024-03-31T00:00:00"/>
    <x v="1"/>
    <s v="M"/>
    <s v=""/>
    <m/>
    <m/>
    <m/>
    <m/>
    <m/>
    <n v="0"/>
    <n v="1"/>
    <n v="1"/>
    <n v="0"/>
    <n v="-1"/>
    <n v="0"/>
    <n v="0"/>
    <n v="0"/>
    <n v="1"/>
    <n v="1"/>
    <n v="0"/>
    <n v="-1"/>
    <n v="0"/>
    <n v="0"/>
    <n v="0"/>
    <n v="0"/>
    <n v="0"/>
    <n v="0"/>
    <n v="0"/>
    <n v="0"/>
    <n v="0"/>
    <n v="0"/>
    <n v="0"/>
    <n v="0"/>
    <n v="0"/>
    <n v="0"/>
    <n v="0"/>
    <n v="0"/>
    <x v="1"/>
    <x v="0"/>
    <x v="2"/>
    <n v="11"/>
    <n v="1"/>
    <m/>
    <m/>
    <m/>
    <m/>
    <m/>
    <m/>
    <m/>
    <m/>
    <m/>
    <m/>
    <m/>
    <m/>
    <m/>
    <m/>
    <m/>
    <m/>
    <m/>
    <m/>
    <m/>
    <n v="0"/>
    <n v="0"/>
  </r>
  <r>
    <n v="7763"/>
    <x v="0"/>
    <s v="2022/0172"/>
    <s v="34 Roehampton High Street"/>
    <s v=""/>
    <n v="522433"/>
    <n v="173822"/>
    <x v="4"/>
    <d v="2022-05-16T00:00:00"/>
    <d v="2023-05-15T00:00:00"/>
    <n v="1"/>
    <x v="5"/>
    <x v="5"/>
    <n v="2"/>
    <n v="1"/>
    <x v="1"/>
    <s v="Alterations to include the erection of two-storey rear extension, formation of a roof terrace above with opague balustrade. Change of use of part of lower and ground floor commercial space (Class Use E/A3) to form a 2-bedroom flat (Class Use C3)"/>
    <s v="PF"/>
    <d v="2022-02-02T00:00:00"/>
    <d v="2022-03-29T00:00:00"/>
    <x v="0"/>
    <s v="Nil"/>
    <m/>
    <s v="BF"/>
    <s v="MIX"/>
    <x v="2"/>
    <x v="8"/>
    <n v="8.6999999999999994E-3"/>
    <d v="2022-05-16T00:00:00"/>
    <x v="0"/>
    <d v="2023-05-15T00:00:00"/>
    <x v="1"/>
    <s v="MR"/>
    <s v=""/>
    <m/>
    <m/>
    <m/>
    <m/>
    <m/>
    <n v="0"/>
    <n v="0"/>
    <n v="1"/>
    <n v="0"/>
    <n v="0"/>
    <n v="0"/>
    <n v="0"/>
    <n v="0"/>
    <n v="0"/>
    <n v="1"/>
    <n v="0"/>
    <n v="0"/>
    <n v="0"/>
    <n v="0"/>
    <n v="0"/>
    <n v="0"/>
    <n v="0"/>
    <n v="0"/>
    <n v="0"/>
    <n v="0"/>
    <n v="0"/>
    <n v="0"/>
    <n v="0"/>
    <n v="0"/>
    <n v="0"/>
    <n v="0"/>
    <n v="0"/>
    <n v="0"/>
    <x v="1"/>
    <x v="0"/>
    <x v="8"/>
    <n v="11"/>
    <n v="1"/>
    <m/>
    <m/>
    <m/>
    <m/>
    <m/>
    <m/>
    <m/>
    <m/>
    <m/>
    <m/>
    <m/>
    <m/>
    <m/>
    <m/>
    <m/>
    <m/>
    <m/>
    <m/>
    <m/>
    <n v="0"/>
    <n v="0"/>
  </r>
  <r>
    <n v="5680"/>
    <x v="0"/>
    <s v="2022/0732"/>
    <s v="575 Battersea Park Road"/>
    <s v=""/>
    <n v="527140"/>
    <n v="176148"/>
    <x v="21"/>
    <d v="2023-03-31T00:00:00"/>
    <d v="2023-07-06T00:00:00"/>
    <n v="1"/>
    <x v="5"/>
    <x v="5"/>
    <n v="2"/>
    <n v="1"/>
    <x v="1"/>
    <s v="Alterations including erection of roof extensions to main rear roof and above two storey back addition, formation of first floor roof terrace with screen surround in connection with conversion of existing flat into 1 x 1-bedroom and 1 x studio flats."/>
    <s v="PF"/>
    <d v="2022-02-21T00:00:00"/>
    <d v="2022-07-13T00:00:00"/>
    <x v="0"/>
    <s v="Nil"/>
    <m/>
    <s v="BF"/>
    <s v="MIX"/>
    <x v="2"/>
    <x v="7"/>
    <n v="6.0000000000000001E-3"/>
    <d v="2023-03-31T00:00:00"/>
    <x v="0"/>
    <d v="2023-07-06T00:00:00"/>
    <x v="1"/>
    <s v="MR"/>
    <s v=""/>
    <m/>
    <m/>
    <m/>
    <m/>
    <m/>
    <n v="1"/>
    <n v="1"/>
    <n v="-1"/>
    <n v="0"/>
    <n v="0"/>
    <n v="0"/>
    <n v="0"/>
    <n v="1"/>
    <n v="1"/>
    <n v="-1"/>
    <n v="0"/>
    <n v="0"/>
    <n v="0"/>
    <n v="0"/>
    <n v="0"/>
    <n v="0"/>
    <n v="0"/>
    <n v="0"/>
    <n v="0"/>
    <n v="0"/>
    <n v="0"/>
    <n v="0"/>
    <n v="0"/>
    <n v="0"/>
    <n v="0"/>
    <n v="0"/>
    <n v="0"/>
    <n v="0"/>
    <x v="1"/>
    <x v="0"/>
    <x v="2"/>
    <n v="11"/>
    <n v="1"/>
    <m/>
    <m/>
    <m/>
    <m/>
    <m/>
    <m/>
    <m/>
    <m/>
    <m/>
    <m/>
    <m/>
    <m/>
    <m/>
    <m/>
    <m/>
    <m/>
    <m/>
    <m/>
    <m/>
    <n v="0"/>
    <n v="0"/>
  </r>
  <r>
    <n v="3240"/>
    <x v="0"/>
    <s v="2022/0779"/>
    <s v="Land rear of and, 165 Battersea High Street"/>
    <s v=""/>
    <n v="527072"/>
    <n v="176221"/>
    <x v="15"/>
    <d v="2023-03-31T00:00:00"/>
    <d v="2024-02-07T00:00:00"/>
    <n v="0"/>
    <x v="3"/>
    <x v="5"/>
    <n v="1"/>
    <n v="1"/>
    <x v="1"/>
    <s v="Change of use of ground floor from Class E (Commercial) to Class C3 (Dwellinghouse) 1-bedroom flat, together with associated external alterations including replacement frontage."/>
    <s v="PF"/>
    <d v="2022-02-24T00:00:00"/>
    <d v="2022-04-21T00:00:00"/>
    <x v="0"/>
    <s v="Nil"/>
    <m/>
    <s v="BF"/>
    <s v="CON"/>
    <x v="2"/>
    <x v="4"/>
    <n v="5.0000000000000001E-3"/>
    <d v="2023-03-31T00:00:00"/>
    <x v="0"/>
    <d v="2024-02-07T00:00:00"/>
    <x v="1"/>
    <s v="M"/>
    <s v=""/>
    <m/>
    <m/>
    <m/>
    <m/>
    <m/>
    <n v="0"/>
    <n v="1"/>
    <n v="0"/>
    <n v="0"/>
    <n v="0"/>
    <n v="0"/>
    <n v="0"/>
    <n v="0"/>
    <n v="1"/>
    <n v="0"/>
    <n v="0"/>
    <n v="0"/>
    <n v="0"/>
    <n v="0"/>
    <n v="0"/>
    <n v="0"/>
    <n v="0"/>
    <n v="0"/>
    <n v="0"/>
    <n v="0"/>
    <n v="0"/>
    <n v="0"/>
    <n v="0"/>
    <n v="0"/>
    <n v="0"/>
    <n v="0"/>
    <n v="0"/>
    <n v="0"/>
    <x v="1"/>
    <x v="0"/>
    <x v="2"/>
    <n v="11"/>
    <n v="1"/>
    <m/>
    <m/>
    <m/>
    <m/>
    <m/>
    <m/>
    <m/>
    <m/>
    <m/>
    <m/>
    <m/>
    <m/>
    <m/>
    <m/>
    <m/>
    <m/>
    <m/>
    <m/>
    <m/>
    <n v="0"/>
    <n v="0"/>
  </r>
  <r>
    <n v="7799"/>
    <x v="0"/>
    <s v="2022/0892"/>
    <s v="173 Earlsfield Road"/>
    <s v=""/>
    <n v="526281"/>
    <n v="173564"/>
    <x v="13"/>
    <d v="2022-07-31T00:00:00"/>
    <d v="2023-12-20T00:00:00"/>
    <n v="1"/>
    <x v="12"/>
    <x v="36"/>
    <n v="4"/>
    <n v="3"/>
    <x v="1"/>
    <s v="Alterations in connection with conversion of existing dwellinghouse into 2 x 3-bedroom, 1 x 2-bedroom and 1 x 1-bedroom flats with associated refuse and cycle storage."/>
    <s v="PF"/>
    <d v="2022-03-02T00:00:00"/>
    <d v="2022-05-05T00:00:00"/>
    <x v="0"/>
    <s v="Nil"/>
    <m/>
    <s v="BF"/>
    <s v="CON"/>
    <x v="2"/>
    <x v="10"/>
    <n v="8.2749999999999994E-3"/>
    <d v="2022-07-31T00:00:00"/>
    <x v="0"/>
    <d v="2023-12-20T00:00:00"/>
    <x v="1"/>
    <s v="M"/>
    <s v=""/>
    <m/>
    <m/>
    <m/>
    <m/>
    <m/>
    <n v="0"/>
    <n v="1"/>
    <n v="1"/>
    <n v="2"/>
    <n v="0"/>
    <n v="-1"/>
    <n v="0"/>
    <n v="0"/>
    <n v="1"/>
    <n v="1"/>
    <n v="2"/>
    <n v="0"/>
    <n v="0"/>
    <n v="0"/>
    <n v="0"/>
    <n v="0"/>
    <n v="0"/>
    <n v="0"/>
    <n v="0"/>
    <n v="-1"/>
    <n v="0"/>
    <n v="0"/>
    <n v="0"/>
    <n v="0"/>
    <n v="0"/>
    <n v="0"/>
    <n v="0"/>
    <n v="0"/>
    <x v="1"/>
    <x v="0"/>
    <x v="2"/>
    <n v="11"/>
    <n v="3"/>
    <m/>
    <m/>
    <m/>
    <m/>
    <m/>
    <m/>
    <m/>
    <m/>
    <m/>
    <m/>
    <m/>
    <m/>
    <m/>
    <m/>
    <m/>
    <m/>
    <m/>
    <m/>
    <m/>
    <n v="0"/>
    <n v="0"/>
  </r>
  <r>
    <n v="7841"/>
    <x v="0"/>
    <s v="2022/1787"/>
    <s v="59 Howards Lane"/>
    <s v=""/>
    <n v="523247"/>
    <n v="175077"/>
    <x v="16"/>
    <d v="2023-01-30T00:00:00"/>
    <d v="2024-02-06T00:00:00"/>
    <n v="1"/>
    <x v="3"/>
    <x v="6"/>
    <n v="1"/>
    <n v="0"/>
    <x v="1"/>
    <s v="Alterations including erection of side and rear dormers and single storey rear/side extension in connection with use of property as a single dwelling."/>
    <s v="PF"/>
    <d v="2022-05-25T00:00:00"/>
    <d v="2022-08-10T00:00:00"/>
    <x v="0"/>
    <s v="Nil"/>
    <m/>
    <s v="BF"/>
    <s v="CON"/>
    <x v="2"/>
    <x v="11"/>
    <n v="7.0000000000000001E-3"/>
    <d v="2023-01-30T00:00:00"/>
    <x v="0"/>
    <d v="2024-02-06T00:00:00"/>
    <x v="1"/>
    <s v="M"/>
    <s v=""/>
    <m/>
    <m/>
    <m/>
    <m/>
    <m/>
    <n v="0"/>
    <n v="0"/>
    <n v="-1"/>
    <n v="0"/>
    <n v="1"/>
    <n v="0"/>
    <n v="0"/>
    <n v="0"/>
    <n v="0"/>
    <n v="-1"/>
    <n v="0"/>
    <n v="0"/>
    <n v="0"/>
    <n v="0"/>
    <n v="0"/>
    <n v="0"/>
    <n v="0"/>
    <n v="0"/>
    <n v="1"/>
    <n v="0"/>
    <n v="0"/>
    <n v="0"/>
    <n v="0"/>
    <n v="0"/>
    <n v="0"/>
    <n v="0"/>
    <n v="0"/>
    <n v="0"/>
    <x v="1"/>
    <x v="0"/>
    <x v="2"/>
    <n v="11"/>
    <n v="0"/>
    <m/>
    <m/>
    <m/>
    <m/>
    <m/>
    <m/>
    <m/>
    <m/>
    <m/>
    <m/>
    <m/>
    <m/>
    <m/>
    <m/>
    <m/>
    <m/>
    <m/>
    <m/>
    <m/>
    <n v="0"/>
    <n v="0"/>
  </r>
  <r>
    <n v="7871"/>
    <x v="0"/>
    <s v="2022/2900"/>
    <s v="Ground Floor, 10 Trinity Crescent"/>
    <s v=""/>
    <n v="527933"/>
    <n v="172591"/>
    <x v="10"/>
    <d v="2023-04-01T00:00:00"/>
    <d v="2023-04-01T00:00:00"/>
    <n v="0"/>
    <x v="3"/>
    <x v="5"/>
    <n v="1"/>
    <n v="1"/>
    <x v="1"/>
    <s v="Determination as to whether prior approval is required for change of use from Nursery (Class E) to residential (Class C3) to provide 1 x 2-bedroom flat."/>
    <s v="PAG"/>
    <d v="2022-07-11T00:00:00"/>
    <d v="2022-09-01T00:00:00"/>
    <x v="0"/>
    <s v="Nil"/>
    <m/>
    <s v="BF"/>
    <s v="COU"/>
    <x v="2"/>
    <x v="8"/>
    <n v="7.7000000000000002E-3"/>
    <d v="2023-04-01T00:00:00"/>
    <x v="1"/>
    <d v="2023-04-01T00:00:00"/>
    <x v="1"/>
    <s v="M"/>
    <s v=""/>
    <m/>
    <m/>
    <m/>
    <m/>
    <m/>
    <n v="0"/>
    <n v="0"/>
    <n v="1"/>
    <n v="0"/>
    <n v="0"/>
    <n v="0"/>
    <n v="0"/>
    <n v="0"/>
    <n v="0"/>
    <n v="1"/>
    <n v="0"/>
    <n v="0"/>
    <n v="0"/>
    <n v="0"/>
    <n v="0"/>
    <n v="0"/>
    <n v="0"/>
    <n v="0"/>
    <n v="0"/>
    <n v="0"/>
    <n v="0"/>
    <n v="0"/>
    <n v="0"/>
    <n v="0"/>
    <n v="0"/>
    <n v="0"/>
    <n v="0"/>
    <n v="0"/>
    <x v="1"/>
    <x v="0"/>
    <x v="2"/>
    <n v="11"/>
    <n v="1"/>
    <m/>
    <m/>
    <m/>
    <m/>
    <m/>
    <m/>
    <m/>
    <m/>
    <m/>
    <m/>
    <m/>
    <m/>
    <m/>
    <m/>
    <m/>
    <m/>
    <m/>
    <m/>
    <m/>
    <n v="0"/>
    <n v="0"/>
  </r>
  <r>
    <n v="7874"/>
    <x v="0"/>
    <s v="2022/3040"/>
    <s v="70 Culverden Road"/>
    <s v=""/>
    <n v="529175"/>
    <n v="172575"/>
    <x v="18"/>
    <d v="2023-04-01T00:00:00"/>
    <d v="2023-12-04T00:00:00"/>
    <n v="3"/>
    <x v="3"/>
    <x v="13"/>
    <n v="1"/>
    <n v="-2"/>
    <x v="1"/>
    <s v="Conversion of building from three flats to single dwellinghouse."/>
    <s v="PF"/>
    <d v="2022-07-20T00:00:00"/>
    <d v="2022-09-14T00:00:00"/>
    <x v="0"/>
    <s v="Nil"/>
    <m/>
    <s v="BF"/>
    <s v="CON"/>
    <x v="2"/>
    <x v="11"/>
    <n v="6.1000000000000004E-3"/>
    <d v="2023-04-01T00:00:00"/>
    <x v="1"/>
    <d v="2023-12-04T00:00:00"/>
    <x v="1"/>
    <s v="M"/>
    <s v=""/>
    <m/>
    <m/>
    <m/>
    <m/>
    <m/>
    <n v="0"/>
    <n v="-1"/>
    <n v="-2"/>
    <n v="0"/>
    <n v="0"/>
    <n v="1"/>
    <n v="0"/>
    <n v="0"/>
    <n v="-1"/>
    <n v="-2"/>
    <n v="0"/>
    <n v="0"/>
    <n v="0"/>
    <n v="0"/>
    <n v="0"/>
    <n v="0"/>
    <n v="0"/>
    <n v="0"/>
    <n v="0"/>
    <n v="1"/>
    <n v="0"/>
    <n v="0"/>
    <n v="0"/>
    <n v="0"/>
    <n v="0"/>
    <n v="0"/>
    <n v="0"/>
    <n v="0"/>
    <x v="1"/>
    <x v="0"/>
    <x v="2"/>
    <n v="11"/>
    <n v="-2"/>
    <m/>
    <m/>
    <m/>
    <m/>
    <m/>
    <m/>
    <m/>
    <m/>
    <m/>
    <m/>
    <m/>
    <m/>
    <m/>
    <m/>
    <m/>
    <m/>
    <m/>
    <m/>
    <m/>
    <n v="0"/>
    <n v="0"/>
  </r>
  <r>
    <n v="177"/>
    <x v="0"/>
    <s v="2022/3107"/>
    <s v="BISHOPS WHF, RANSOME'S DK, Parkgate Road"/>
    <s v=""/>
    <n v="527351"/>
    <n v="177209"/>
    <x v="2"/>
    <d v="2023-04-01T00:00:00"/>
    <d v="2023-11-06T00:00:00"/>
    <n v="0"/>
    <x v="5"/>
    <x v="7"/>
    <n v="2"/>
    <n v="2"/>
    <x v="1"/>
    <s v="Alterations including installation of barrier to river walk frontage in connection with change of use of the ground floor from office (Class E) to residential (Class C3) to provide 2 x 3-bedroom flats."/>
    <s v="PF"/>
    <d v="2022-08-25T00:00:00"/>
    <d v="2022-10-31T00:00:00"/>
    <x v="0"/>
    <s v="Nil"/>
    <m/>
    <s v="BF"/>
    <s v="COU"/>
    <x v="2"/>
    <x v="6"/>
    <n v="3.2599999999999997E-2"/>
    <d v="2023-04-01T00:00:00"/>
    <x v="1"/>
    <d v="2023-11-06T00:00:00"/>
    <x v="1"/>
    <s v="M"/>
    <s v=""/>
    <m/>
    <m/>
    <m/>
    <m/>
    <m/>
    <n v="0"/>
    <n v="0"/>
    <n v="0"/>
    <n v="2"/>
    <n v="0"/>
    <n v="0"/>
    <n v="0"/>
    <n v="0"/>
    <n v="0"/>
    <n v="0"/>
    <n v="2"/>
    <n v="0"/>
    <n v="0"/>
    <n v="0"/>
    <n v="0"/>
    <n v="0"/>
    <n v="0"/>
    <n v="0"/>
    <n v="0"/>
    <n v="0"/>
    <n v="0"/>
    <n v="0"/>
    <n v="0"/>
    <n v="0"/>
    <n v="0"/>
    <n v="0"/>
    <n v="0"/>
    <n v="0"/>
    <x v="1"/>
    <x v="0"/>
    <x v="4"/>
    <n v="11"/>
    <n v="2"/>
    <m/>
    <m/>
    <m/>
    <m/>
    <m/>
    <m/>
    <m/>
    <m/>
    <m/>
    <m/>
    <m/>
    <m/>
    <m/>
    <m/>
    <m/>
    <m/>
    <m/>
    <m/>
    <m/>
    <n v="0"/>
    <n v="0"/>
  </r>
  <r>
    <n v="7876"/>
    <x v="0"/>
    <s v="2022/3165"/>
    <s v="43 Pulborough Road"/>
    <s v=""/>
    <n v="524744"/>
    <n v="173640"/>
    <x v="12"/>
    <d v="2024-03-31T00:00:00"/>
    <d v="2024-03-31T00:00:00"/>
    <n v="2"/>
    <x v="3"/>
    <x v="3"/>
    <n v="1"/>
    <n v="-1"/>
    <x v="1"/>
    <s v="Alterations in connection with de-conversion of two flats into single dwelling house."/>
    <s v="PF"/>
    <d v="2022-08-17T00:00:00"/>
    <d v="2022-10-21T00:00:00"/>
    <x v="0"/>
    <s v="Nil"/>
    <m/>
    <s v="BF"/>
    <s v="CON"/>
    <x v="2"/>
    <x v="11"/>
    <n v="5.566667E-3"/>
    <d v="2024-03-31T00:00:00"/>
    <x v="1"/>
    <d v="2024-03-31T00:00:00"/>
    <x v="1"/>
    <s v="M"/>
    <s v=""/>
    <m/>
    <m/>
    <m/>
    <m/>
    <m/>
    <n v="0"/>
    <n v="0"/>
    <n v="-2"/>
    <n v="0"/>
    <n v="0"/>
    <n v="1"/>
    <n v="0"/>
    <n v="0"/>
    <n v="0"/>
    <n v="-2"/>
    <n v="0"/>
    <n v="0"/>
    <n v="0"/>
    <n v="0"/>
    <n v="0"/>
    <n v="0"/>
    <n v="0"/>
    <n v="0"/>
    <n v="0"/>
    <n v="1"/>
    <n v="0"/>
    <n v="0"/>
    <n v="0"/>
    <n v="0"/>
    <n v="0"/>
    <n v="0"/>
    <n v="0"/>
    <n v="0"/>
    <x v="1"/>
    <x v="0"/>
    <x v="2"/>
    <n v="11"/>
    <n v="-1"/>
    <m/>
    <m/>
    <m/>
    <m/>
    <m/>
    <m/>
    <m/>
    <m/>
    <m/>
    <m/>
    <m/>
    <m/>
    <m/>
    <m/>
    <m/>
    <m/>
    <m/>
    <m/>
    <m/>
    <n v="0"/>
    <n v="0"/>
  </r>
  <r>
    <n v="6805"/>
    <x v="0"/>
    <s v="2022/3316"/>
    <s v="231 Putney Bridge Road"/>
    <s v=""/>
    <n v="524490"/>
    <n v="175266"/>
    <x v="3"/>
    <d v="2023-06-22T00:00:00"/>
    <d v="2024-02-21T00:00:00"/>
    <n v="0"/>
    <x v="11"/>
    <x v="36"/>
    <n v="3"/>
    <n v="3"/>
    <x v="1"/>
    <s v="Alterations in connection with use of the ground floor of the former bar/public house (Sui Generis Use)  as 2 x 1-bedroom and 1 x 2-bedroom flats with cycle and refuse storage."/>
    <s v="PFLA"/>
    <d v="2022-11-02T00:00:00"/>
    <d v="2023-11-08T00:00:00"/>
    <x v="1"/>
    <s v="Nil"/>
    <m/>
    <s v="BF"/>
    <s v="CON"/>
    <x v="2"/>
    <x v="8"/>
    <n v="1.8200000000000001E-2"/>
    <d v="2023-06-22T00:00:00"/>
    <x v="1"/>
    <d v="2024-02-21T00:00:00"/>
    <x v="1"/>
    <s v="M"/>
    <s v=""/>
    <m/>
    <m/>
    <m/>
    <m/>
    <m/>
    <n v="0"/>
    <n v="2"/>
    <n v="1"/>
    <n v="0"/>
    <n v="0"/>
    <n v="0"/>
    <n v="0"/>
    <n v="0"/>
    <n v="2"/>
    <n v="1"/>
    <n v="0"/>
    <n v="0"/>
    <n v="0"/>
    <n v="0"/>
    <n v="0"/>
    <n v="0"/>
    <n v="0"/>
    <n v="0"/>
    <n v="0"/>
    <n v="0"/>
    <n v="0"/>
    <n v="0"/>
    <n v="0"/>
    <n v="0"/>
    <n v="0"/>
    <n v="0"/>
    <n v="0"/>
    <n v="0"/>
    <x v="1"/>
    <x v="0"/>
    <x v="2"/>
    <n v="11"/>
    <n v="3"/>
    <m/>
    <m/>
    <m/>
    <m/>
    <m/>
    <m/>
    <m/>
    <m/>
    <m/>
    <m/>
    <m/>
    <m/>
    <m/>
    <m/>
    <m/>
    <m/>
    <m/>
    <m/>
    <m/>
    <n v="0"/>
    <n v="0"/>
  </r>
  <r>
    <n v="4705"/>
    <x v="0"/>
    <s v="2022/3830"/>
    <s v="165 Battersea Rise"/>
    <s v=""/>
    <n v="527104"/>
    <n v="174977"/>
    <x v="8"/>
    <d v="2023-04-01T00:00:00"/>
    <d v="2024-03-31T00:00:00"/>
    <n v="0"/>
    <x v="3"/>
    <x v="5"/>
    <n v="1"/>
    <n v="1"/>
    <x v="1"/>
    <s v="Determination as to whether prior approval is required for change of use from office (Class E) at ground floor level from (Class B) to residential (Class C3) to provide a studio flat (Class C3)."/>
    <s v="PAG"/>
    <d v="2022-09-13T00:00:00"/>
    <d v="2022-11-04T00:00:00"/>
    <x v="0"/>
    <s v="Nil"/>
    <m/>
    <s v="BF"/>
    <s v="COU"/>
    <x v="2"/>
    <x v="6"/>
    <n v="4.3E-3"/>
    <d v="2023-04-01T00:00:00"/>
    <x v="1"/>
    <d v="2024-03-31T00:00:00"/>
    <x v="1"/>
    <s v="M"/>
    <s v=""/>
    <m/>
    <m/>
    <m/>
    <m/>
    <m/>
    <n v="1"/>
    <n v="0"/>
    <n v="0"/>
    <n v="0"/>
    <n v="0"/>
    <n v="0"/>
    <n v="0"/>
    <n v="1"/>
    <n v="0"/>
    <n v="0"/>
    <n v="0"/>
    <n v="0"/>
    <n v="0"/>
    <n v="0"/>
    <n v="0"/>
    <n v="0"/>
    <n v="0"/>
    <n v="0"/>
    <n v="0"/>
    <n v="0"/>
    <n v="0"/>
    <n v="0"/>
    <n v="0"/>
    <n v="0"/>
    <n v="0"/>
    <n v="0"/>
    <n v="0"/>
    <n v="0"/>
    <x v="1"/>
    <x v="0"/>
    <x v="2"/>
    <n v="11"/>
    <n v="1"/>
    <m/>
    <m/>
    <m/>
    <m/>
    <m/>
    <m/>
    <m/>
    <m/>
    <m/>
    <m/>
    <m/>
    <m/>
    <m/>
    <m/>
    <m/>
    <m/>
    <m/>
    <m/>
    <m/>
    <n v="0"/>
    <n v="0"/>
  </r>
  <r>
    <n v="7848"/>
    <x v="0"/>
    <s v="2022/3863"/>
    <s v="302 Trinity Road"/>
    <s v=""/>
    <n v="527025"/>
    <n v="173893"/>
    <x v="17"/>
    <d v="2023-03-31T00:00:00"/>
    <d v="2023-12-11T00:00:00"/>
    <n v="3"/>
    <x v="3"/>
    <x v="13"/>
    <n v="1"/>
    <n v="-2"/>
    <x v="1"/>
    <s v="Conversion of property into a 4-bedroom house."/>
    <s v="PF"/>
    <d v="2022-10-08T00:00:00"/>
    <d v="2022-12-01T00:00:00"/>
    <x v="0"/>
    <s v="Nil"/>
    <m/>
    <s v="BF"/>
    <s v="CON"/>
    <x v="2"/>
    <x v="11"/>
    <n v="6.8999999999999999E-3"/>
    <d v="2023-03-31T00:00:00"/>
    <x v="0"/>
    <d v="2023-12-11T00:00:00"/>
    <x v="1"/>
    <s v="M"/>
    <s v=""/>
    <m/>
    <m/>
    <m/>
    <m/>
    <m/>
    <n v="0"/>
    <n v="-3"/>
    <n v="0"/>
    <n v="0"/>
    <n v="1"/>
    <n v="0"/>
    <n v="0"/>
    <n v="0"/>
    <n v="-3"/>
    <n v="0"/>
    <n v="0"/>
    <n v="0"/>
    <n v="0"/>
    <n v="0"/>
    <n v="0"/>
    <n v="0"/>
    <n v="0"/>
    <n v="0"/>
    <n v="1"/>
    <n v="0"/>
    <n v="0"/>
    <n v="0"/>
    <n v="0"/>
    <n v="0"/>
    <n v="0"/>
    <n v="0"/>
    <n v="0"/>
    <n v="0"/>
    <x v="1"/>
    <x v="0"/>
    <x v="2"/>
    <n v="11"/>
    <n v="-2"/>
    <m/>
    <m/>
    <m/>
    <m/>
    <m/>
    <m/>
    <m/>
    <m/>
    <m/>
    <m/>
    <m/>
    <m/>
    <m/>
    <m/>
    <m/>
    <m/>
    <m/>
    <m/>
    <m/>
    <n v="0"/>
    <n v="0"/>
  </r>
  <r>
    <n v="7908"/>
    <x v="0"/>
    <s v="2022/4228"/>
    <s v="101 Fernlea Road"/>
    <s v=""/>
    <n v="529032"/>
    <n v="173104"/>
    <x v="6"/>
    <d v="2023-04-01T00:00:00"/>
    <d v="2024-02-01T00:00:00"/>
    <n v="2"/>
    <x v="11"/>
    <x v="5"/>
    <n v="3"/>
    <n v="1"/>
    <x v="1"/>
    <s v="Erection of a hip to gable side roof extension with dormer extenion to rear roof slope and extension above two-storey rear addition. Erection of replacement rear/side ground floor extension. Extensions and alterations in connection with the conversion 1x 1-bedroom and 1x2 bedroom flats to 1x 3-bedroom, 1 x 2-bedroom and 1x 1-bedroom flats. _x000a_Conversion and extension of existing property from 2 flat to 3 flats."/>
    <s v="PF"/>
    <d v="2022-10-14T00:00:00"/>
    <d v="2023-01-03T00:00:00"/>
    <x v="0"/>
    <s v="Nil"/>
    <m/>
    <s v="BF"/>
    <s v="CON"/>
    <x v="2"/>
    <x v="7"/>
    <n v="7.566667E-3"/>
    <d v="2023-04-01T00:00:00"/>
    <x v="1"/>
    <d v="2024-02-01T00:00:00"/>
    <x v="1"/>
    <s v="M"/>
    <s v=""/>
    <m/>
    <m/>
    <m/>
    <m/>
    <m/>
    <n v="0"/>
    <n v="0"/>
    <n v="0"/>
    <n v="1"/>
    <n v="0"/>
    <n v="0"/>
    <n v="0"/>
    <n v="0"/>
    <n v="0"/>
    <n v="0"/>
    <n v="1"/>
    <n v="0"/>
    <n v="0"/>
    <n v="0"/>
    <n v="0"/>
    <n v="0"/>
    <n v="0"/>
    <n v="0"/>
    <n v="0"/>
    <n v="0"/>
    <n v="0"/>
    <n v="0"/>
    <n v="0"/>
    <n v="0"/>
    <n v="0"/>
    <n v="0"/>
    <n v="0"/>
    <n v="0"/>
    <x v="1"/>
    <x v="0"/>
    <x v="2"/>
    <n v="11"/>
    <n v="1"/>
    <m/>
    <m/>
    <m/>
    <m/>
    <m/>
    <m/>
    <m/>
    <m/>
    <m/>
    <m/>
    <m/>
    <m/>
    <m/>
    <m/>
    <m/>
    <m/>
    <m/>
    <m/>
    <m/>
    <n v="0"/>
    <n v="0"/>
  </r>
  <r>
    <n v="7640"/>
    <x v="0"/>
    <s v="2022/4451"/>
    <s v="172-174 Tooting High Street"/>
    <s v=""/>
    <n v="527216"/>
    <n v="171096"/>
    <x v="0"/>
    <d v="2023-03-11T00:00:00"/>
    <d v="2024-03-31T00:00:00"/>
    <n v="0"/>
    <x v="11"/>
    <x v="36"/>
    <n v="3"/>
    <n v="3"/>
    <x v="1"/>
    <s v="Alterations including erection of ground and first floor side/rear extension and part change of use from commercial (Class E) to residential (Class C3) to form 1 x studio and 1 x 1 bedroom residential units; erection of an additional storey at third floor level to form 1 x 1 bedroom residential unit. Erection of single-storey side extension to the Class E Commercial floorspace at ground floor level and external alterations."/>
    <s v="PF"/>
    <d v="2022-10-31T00:00:00"/>
    <d v="2023-01-24T00:00:00"/>
    <x v="0"/>
    <s v="Nil"/>
    <m/>
    <s v="BF"/>
    <s v="MIX"/>
    <x v="2"/>
    <x v="7"/>
    <n v="5.3666670000000003E-3"/>
    <d v="2023-06-13T00:00:00"/>
    <x v="1"/>
    <d v="2024-03-31T00:00:00"/>
    <x v="1"/>
    <s v="MR"/>
    <s v=""/>
    <m/>
    <m/>
    <m/>
    <m/>
    <m/>
    <n v="1"/>
    <n v="2"/>
    <n v="0"/>
    <n v="0"/>
    <n v="0"/>
    <n v="0"/>
    <n v="0"/>
    <n v="1"/>
    <n v="2"/>
    <n v="0"/>
    <n v="0"/>
    <n v="0"/>
    <n v="0"/>
    <n v="0"/>
    <n v="0"/>
    <n v="0"/>
    <n v="0"/>
    <n v="0"/>
    <n v="0"/>
    <n v="0"/>
    <n v="0"/>
    <n v="0"/>
    <n v="0"/>
    <n v="0"/>
    <n v="0"/>
    <n v="0"/>
    <n v="0"/>
    <n v="0"/>
    <x v="1"/>
    <x v="0"/>
    <x v="0"/>
    <n v="11"/>
    <n v="3"/>
    <m/>
    <m/>
    <m/>
    <m/>
    <m/>
    <m/>
    <m/>
    <m/>
    <m/>
    <m/>
    <m/>
    <m/>
    <m/>
    <m/>
    <m/>
    <m/>
    <m/>
    <m/>
    <m/>
    <n v="0"/>
    <n v="0"/>
  </r>
  <r>
    <n v="1469"/>
    <x v="0"/>
    <s v="2022/4595"/>
    <s v="144 Wandsworth High Street"/>
    <s v=""/>
    <n v="525271"/>
    <n v="174673"/>
    <x v="7"/>
    <d v="2023-06-07T00:00:00"/>
    <d v="2024-01-12T00:00:00"/>
    <n v="0"/>
    <x v="3"/>
    <x v="5"/>
    <n v="1"/>
    <n v="1"/>
    <x v="1"/>
    <s v="Change of use of the ground floor from retail (Class E) to a 1-bedroom flat  (Class C3) together with alterations to front and rear elevations."/>
    <s v="PF"/>
    <d v="2022-12-05T00:00:00"/>
    <d v="2023-02-27T00:00:00"/>
    <x v="0"/>
    <s v="Nil"/>
    <m/>
    <s v="BF"/>
    <s v="COU"/>
    <x v="2"/>
    <x v="4"/>
    <n v="4.1999999999999997E-3"/>
    <d v="2023-07-06T00:00:00"/>
    <x v="1"/>
    <d v="2024-01-12T00:00:00"/>
    <x v="1"/>
    <s v="MR"/>
    <s v=""/>
    <m/>
    <m/>
    <m/>
    <m/>
    <m/>
    <n v="1"/>
    <n v="0"/>
    <n v="0"/>
    <n v="0"/>
    <n v="0"/>
    <n v="0"/>
    <n v="0"/>
    <n v="1"/>
    <n v="0"/>
    <n v="0"/>
    <n v="0"/>
    <n v="0"/>
    <n v="0"/>
    <n v="0"/>
    <n v="0"/>
    <n v="0"/>
    <n v="0"/>
    <n v="0"/>
    <n v="0"/>
    <n v="0"/>
    <n v="0"/>
    <n v="0"/>
    <n v="0"/>
    <n v="0"/>
    <n v="0"/>
    <n v="0"/>
    <n v="0"/>
    <n v="0"/>
    <x v="1"/>
    <x v="0"/>
    <x v="7"/>
    <n v="11"/>
    <n v="1"/>
    <m/>
    <m/>
    <m/>
    <m/>
    <m/>
    <m/>
    <m/>
    <m/>
    <m/>
    <m/>
    <m/>
    <m/>
    <m/>
    <m/>
    <m/>
    <m/>
    <m/>
    <m/>
    <m/>
    <n v="0"/>
    <n v="0"/>
  </r>
  <r>
    <n v="6728"/>
    <x v="0"/>
    <s v="2022/4696"/>
    <s v="221 Mitcham Lane"/>
    <s v=""/>
    <n v="529035"/>
    <n v="170671"/>
    <x v="9"/>
    <d v="2023-01-24T00:00:00"/>
    <d v="2023-04-01T00:00:00"/>
    <n v="1"/>
    <x v="5"/>
    <x v="5"/>
    <n v="2"/>
    <n v="1"/>
    <x v="1"/>
    <s v="Alterations include the erection of a dormer roof extension to main rear roof and single-storey rear extension in connection with the conversion of the property into 1 x 3-bedroom and 1 x 4-bedroom flats with associated landscaping, cycle and refuse storage."/>
    <s v="PF"/>
    <d v="2022-11-29T00:00:00"/>
    <d v="2023-01-24T00:00:00"/>
    <x v="0"/>
    <s v="Nil"/>
    <m/>
    <s v="BF"/>
    <s v="MIX"/>
    <x v="2"/>
    <x v="10"/>
    <n v="6.0000000000000001E-3"/>
    <d v="2023-01-24T00:00:00"/>
    <x v="0"/>
    <d v="2023-04-01T00:00:00"/>
    <x v="1"/>
    <s v="M"/>
    <s v=""/>
    <m/>
    <m/>
    <m/>
    <m/>
    <m/>
    <n v="0"/>
    <n v="0"/>
    <n v="0"/>
    <n v="1"/>
    <n v="0"/>
    <n v="0"/>
    <n v="0"/>
    <n v="0"/>
    <n v="0"/>
    <n v="0"/>
    <n v="1"/>
    <n v="1"/>
    <n v="0"/>
    <n v="0"/>
    <n v="0"/>
    <n v="0"/>
    <n v="0"/>
    <n v="0"/>
    <n v="-1"/>
    <n v="0"/>
    <n v="0"/>
    <n v="0"/>
    <n v="0"/>
    <n v="0"/>
    <n v="0"/>
    <n v="0"/>
    <n v="0"/>
    <n v="0"/>
    <x v="1"/>
    <x v="0"/>
    <x v="2"/>
    <n v="11"/>
    <n v="1"/>
    <m/>
    <m/>
    <m/>
    <m/>
    <m/>
    <m/>
    <m/>
    <m/>
    <m/>
    <m/>
    <m/>
    <m/>
    <m/>
    <m/>
    <m/>
    <m/>
    <m/>
    <m/>
    <m/>
    <n v="0"/>
    <n v="0"/>
  </r>
  <r>
    <n v="7305"/>
    <x v="0"/>
    <s v="2022/4799"/>
    <s v="292 Cavendish Road"/>
    <s v=""/>
    <n v="529000"/>
    <n v="173317"/>
    <x v="6"/>
    <d v="2023-04-25T00:00:00"/>
    <d v="2024-03-04T00:00:00"/>
    <n v="0"/>
    <x v="3"/>
    <x v="5"/>
    <n v="1"/>
    <n v="1"/>
    <x v="1"/>
    <s v="Alterations including erection of single storey rear and side extension in connection with change of use and conversion of restaurant (Class E) to residential (Class C3) to provide 1 x 2-bedroom flat."/>
    <s v="PF"/>
    <d v="2022-11-23T00:00:00"/>
    <d v="2023-02-02T00:00:00"/>
    <x v="0"/>
    <s v="Nil"/>
    <m/>
    <s v="BF"/>
    <s v="CON"/>
    <x v="2"/>
    <x v="6"/>
    <n v="6.6000000000000003E-2"/>
    <d v="2023-04-25T00:00:00"/>
    <x v="1"/>
    <d v="2024-03-04T00:00:00"/>
    <x v="1"/>
    <s v="M"/>
    <s v=""/>
    <m/>
    <m/>
    <m/>
    <m/>
    <m/>
    <n v="0"/>
    <n v="0"/>
    <n v="1"/>
    <n v="0"/>
    <n v="0"/>
    <n v="0"/>
    <n v="0"/>
    <n v="0"/>
    <n v="0"/>
    <n v="1"/>
    <n v="0"/>
    <n v="0"/>
    <n v="0"/>
    <n v="0"/>
    <n v="0"/>
    <n v="0"/>
    <n v="0"/>
    <n v="0"/>
    <n v="0"/>
    <n v="0"/>
    <n v="0"/>
    <n v="0"/>
    <n v="0"/>
    <n v="0"/>
    <n v="0"/>
    <n v="0"/>
    <n v="0"/>
    <n v="0"/>
    <x v="1"/>
    <x v="0"/>
    <x v="2"/>
    <n v="11"/>
    <n v="1"/>
    <m/>
    <m/>
    <m/>
    <m/>
    <m/>
    <m/>
    <m/>
    <m/>
    <m/>
    <m/>
    <m/>
    <m/>
    <m/>
    <m/>
    <m/>
    <m/>
    <m/>
    <m/>
    <m/>
    <n v="0"/>
    <n v="0"/>
  </r>
  <r>
    <n v="7725"/>
    <x v="0"/>
    <s v="2022/5109"/>
    <s v="First &amp; Second Floors, 33 Clarendon Drive"/>
    <s v=""/>
    <n v="523495"/>
    <n v="175369"/>
    <x v="3"/>
    <d v="2023-04-13T00:00:00"/>
    <d v="2024-03-31T00:00:00"/>
    <n v="1"/>
    <x v="3"/>
    <x v="6"/>
    <n v="1"/>
    <n v="0"/>
    <x v="1"/>
    <s v="Alterations including erection of dormer to front roofslope and single storey rear and side extension in connection with change of use from house of multiple occupation (Class C4) to dwellinghouse (Class C3)."/>
    <s v="PF"/>
    <d v="2022-12-16T00:00:00"/>
    <d v="2023-03-07T00:00:00"/>
    <x v="0"/>
    <s v="Nil"/>
    <m/>
    <s v="BF"/>
    <s v="CON"/>
    <x v="2"/>
    <x v="8"/>
    <n v="3.3000000000000002E-2"/>
    <d v="2023-04-13T00:00:00"/>
    <x v="1"/>
    <d v="2024-03-31T00:00:00"/>
    <x v="1"/>
    <s v="M"/>
    <s v=""/>
    <m/>
    <m/>
    <m/>
    <m/>
    <m/>
    <n v="0"/>
    <n v="0"/>
    <n v="0"/>
    <n v="1"/>
    <n v="0"/>
    <n v="-1"/>
    <n v="0"/>
    <n v="0"/>
    <n v="0"/>
    <n v="0"/>
    <n v="0"/>
    <n v="0"/>
    <n v="0"/>
    <n v="0"/>
    <n v="0"/>
    <n v="0"/>
    <n v="0"/>
    <n v="1"/>
    <n v="0"/>
    <n v="-1"/>
    <n v="0"/>
    <n v="0"/>
    <n v="0"/>
    <n v="0"/>
    <n v="0"/>
    <n v="0"/>
    <n v="0"/>
    <n v="0"/>
    <x v="1"/>
    <x v="0"/>
    <x v="2"/>
    <n v="11"/>
    <n v="0"/>
    <m/>
    <m/>
    <m/>
    <m/>
    <m/>
    <m/>
    <m/>
    <m/>
    <m/>
    <m/>
    <m/>
    <m/>
    <m/>
    <m/>
    <m/>
    <m/>
    <m/>
    <m/>
    <m/>
    <n v="0"/>
    <n v="0"/>
  </r>
  <r>
    <n v="7930"/>
    <x v="0"/>
    <s v="2022/5140"/>
    <s v="8 Southcroft Road"/>
    <s v=""/>
    <n v="528073"/>
    <n v="170895"/>
    <x v="9"/>
    <d v="2023-03-31T00:00:00"/>
    <d v="2024-01-18T00:00:00"/>
    <n v="0"/>
    <x v="3"/>
    <x v="5"/>
    <n v="1"/>
    <n v="1"/>
    <x v="1"/>
    <s v="Alterations including erection of mansard roof extension to main rear roof and extension above part of the two-storey back addition, and formation of roof terrace above two-storey back addition with 1.7m high screen surround in connection with creation of 1 x 1 bedroom flat. Installation of glazed doors and external stairs at first floor rear elevation to rear garden."/>
    <s v="PF"/>
    <d v="2022-12-15T00:00:00"/>
    <d v="2023-02-16T00:00:00"/>
    <x v="0"/>
    <s v="Nil"/>
    <m/>
    <s v="BF"/>
    <s v="EXT"/>
    <x v="2"/>
    <x v="7"/>
    <n v="3.8999999999999998E-3"/>
    <d v="2023-03-31T00:00:00"/>
    <x v="0"/>
    <d v="2024-01-18T00:00:00"/>
    <x v="1"/>
    <s v="M"/>
    <s v=""/>
    <m/>
    <m/>
    <m/>
    <m/>
    <m/>
    <n v="0"/>
    <n v="1"/>
    <n v="0"/>
    <n v="0"/>
    <n v="0"/>
    <n v="0"/>
    <n v="0"/>
    <n v="0"/>
    <n v="1"/>
    <n v="0"/>
    <n v="0"/>
    <n v="0"/>
    <n v="0"/>
    <n v="0"/>
    <n v="0"/>
    <n v="0"/>
    <n v="0"/>
    <n v="0"/>
    <n v="0"/>
    <n v="0"/>
    <n v="0"/>
    <n v="0"/>
    <n v="0"/>
    <n v="0"/>
    <n v="0"/>
    <n v="0"/>
    <n v="0"/>
    <n v="0"/>
    <x v="1"/>
    <x v="0"/>
    <x v="2"/>
    <n v="11"/>
    <n v="1"/>
    <m/>
    <m/>
    <m/>
    <m/>
    <m/>
    <m/>
    <m/>
    <m/>
    <m/>
    <m/>
    <m/>
    <m/>
    <m/>
    <m/>
    <m/>
    <m/>
    <m/>
    <m/>
    <m/>
    <n v="0"/>
    <n v="0"/>
  </r>
  <r>
    <n v="7955"/>
    <x v="0"/>
    <s v="2023/0610"/>
    <s v="591 A Garratt Lane"/>
    <s v=""/>
    <n v="526135"/>
    <n v="172709"/>
    <x v="17"/>
    <d v="2023-05-15T00:00:00"/>
    <d v="2024-03-31T00:00:00"/>
    <n v="1"/>
    <x v="11"/>
    <x v="7"/>
    <n v="3"/>
    <n v="2"/>
    <x v="1"/>
    <s v="Alterations including erection of a dormer extension to main rear roof and extension above three storey back addition in connection with the conversion of 2 x 1 bedroom flats to 3 x 1 bedroom flats."/>
    <s v="PF"/>
    <d v="2023-02-15T00:00:00"/>
    <d v="2023-05-15T00:00:00"/>
    <x v="1"/>
    <s v="Nil"/>
    <m/>
    <s v="BF"/>
    <s v="CON"/>
    <x v="2"/>
    <x v="5"/>
    <n v="5.9665999999999999E-3"/>
    <d v="2023-05-15T00:00:00"/>
    <x v="1"/>
    <d v="2024-03-31T00:00:00"/>
    <x v="1"/>
    <s v="M"/>
    <s v=""/>
    <m/>
    <m/>
    <m/>
    <m/>
    <m/>
    <n v="1"/>
    <n v="2"/>
    <n v="0"/>
    <n v="0"/>
    <n v="-1"/>
    <n v="0"/>
    <n v="0"/>
    <n v="1"/>
    <n v="2"/>
    <n v="0"/>
    <n v="0"/>
    <n v="-1"/>
    <n v="0"/>
    <n v="0"/>
    <n v="0"/>
    <n v="0"/>
    <n v="0"/>
    <n v="0"/>
    <n v="0"/>
    <n v="0"/>
    <n v="0"/>
    <n v="0"/>
    <n v="0"/>
    <n v="0"/>
    <n v="0"/>
    <n v="0"/>
    <n v="0"/>
    <n v="0"/>
    <x v="1"/>
    <x v="0"/>
    <x v="5"/>
    <n v="11"/>
    <n v="2"/>
    <m/>
    <m/>
    <m/>
    <m/>
    <m/>
    <m/>
    <m/>
    <m/>
    <m/>
    <m/>
    <m/>
    <m/>
    <m/>
    <m/>
    <m/>
    <m/>
    <m/>
    <m/>
    <m/>
    <n v="0"/>
    <n v="0"/>
  </r>
  <r>
    <n v="3033"/>
    <x v="0"/>
    <s v="2023/0852"/>
    <s v="17 Earldom Road (Land rear of 40 Clarendon Drive)"/>
    <s v=""/>
    <n v="523403"/>
    <n v="175458"/>
    <x v="3"/>
    <d v="2023-04-28T00:00:00"/>
    <d v="2023-04-28T00:00:00"/>
    <n v="0"/>
    <x v="3"/>
    <x v="5"/>
    <n v="1"/>
    <n v="1"/>
    <x v="1"/>
    <s v="Continued use as 1-bedroom self contained dwelling."/>
    <s v="LDC Exist"/>
    <d v="2023-03-03T00:00:00"/>
    <d v="2023-04-28T00:00:00"/>
    <x v="1"/>
    <s v="Nil"/>
    <m/>
    <s v="BF"/>
    <s v="UK"/>
    <x v="2"/>
    <x v="8"/>
    <n v="5.0000000000000001E-3"/>
    <d v="2023-04-28T00:00:00"/>
    <x v="1"/>
    <d v="2023-04-28T00:00:00"/>
    <x v="1"/>
    <s v="M"/>
    <s v=""/>
    <m/>
    <m/>
    <m/>
    <m/>
    <m/>
    <n v="0"/>
    <n v="1"/>
    <n v="0"/>
    <n v="0"/>
    <n v="0"/>
    <n v="0"/>
    <n v="0"/>
    <n v="0"/>
    <n v="1"/>
    <n v="0"/>
    <n v="0"/>
    <n v="0"/>
    <n v="0"/>
    <n v="0"/>
    <n v="0"/>
    <n v="0"/>
    <n v="0"/>
    <n v="0"/>
    <n v="0"/>
    <n v="0"/>
    <n v="0"/>
    <n v="0"/>
    <n v="0"/>
    <n v="0"/>
    <n v="0"/>
    <n v="0"/>
    <n v="0"/>
    <n v="0"/>
    <x v="1"/>
    <x v="0"/>
    <x v="2"/>
    <n v="11"/>
    <n v="1"/>
    <m/>
    <m/>
    <m/>
    <m/>
    <m/>
    <m/>
    <m/>
    <m/>
    <m/>
    <m/>
    <m/>
    <m/>
    <m/>
    <m/>
    <m/>
    <m/>
    <m/>
    <m/>
    <m/>
    <n v="0"/>
    <n v="0"/>
  </r>
  <r>
    <n v="7972"/>
    <x v="0"/>
    <s v="2023/1034"/>
    <s v="Ground floor flat &amp; First Floor Flat, 34 Graveney Road"/>
    <s v=""/>
    <n v="527349"/>
    <n v="171670"/>
    <x v="0"/>
    <d v="2023-05-16T00:00:00"/>
    <d v="2023-05-16T00:00:00"/>
    <n v="1"/>
    <x v="5"/>
    <x v="5"/>
    <n v="2"/>
    <n v="1"/>
    <x v="1"/>
    <s v="Conversion of dwellinghouse to 2 flats."/>
    <s v="LDC Exist"/>
    <d v="2023-03-21T00:00:00"/>
    <d v="2023-05-16T00:00:00"/>
    <x v="1"/>
    <s v="Nil"/>
    <m/>
    <s v="BF"/>
    <s v="CON"/>
    <x v="2"/>
    <x v="10"/>
    <n v="5.4999999999999997E-3"/>
    <d v="2023-05-16T00:00:00"/>
    <x v="1"/>
    <d v="2023-05-16T00:00:00"/>
    <x v="1"/>
    <s v="M"/>
    <s v=""/>
    <m/>
    <m/>
    <m/>
    <m/>
    <m/>
    <n v="0"/>
    <n v="1"/>
    <n v="1"/>
    <n v="-1"/>
    <n v="0"/>
    <n v="0"/>
    <n v="0"/>
    <n v="0"/>
    <n v="1"/>
    <n v="1"/>
    <n v="0"/>
    <n v="0"/>
    <n v="0"/>
    <n v="0"/>
    <n v="0"/>
    <n v="0"/>
    <n v="0"/>
    <n v="-1"/>
    <n v="0"/>
    <n v="0"/>
    <n v="0"/>
    <n v="0"/>
    <n v="0"/>
    <n v="0"/>
    <n v="0"/>
    <n v="0"/>
    <n v="0"/>
    <n v="0"/>
    <x v="1"/>
    <x v="0"/>
    <x v="2"/>
    <n v="11"/>
    <n v="1"/>
    <m/>
    <m/>
    <m/>
    <m/>
    <m/>
    <m/>
    <m/>
    <m/>
    <m/>
    <m/>
    <m/>
    <m/>
    <m/>
    <m/>
    <m/>
    <m/>
    <m/>
    <m/>
    <m/>
    <n v="0"/>
    <n v="0"/>
  </r>
  <r>
    <n v="7906"/>
    <x v="0"/>
    <s v="2023/1082"/>
    <s v="92 Bedford Hill"/>
    <s v=""/>
    <n v="528720"/>
    <n v="173041"/>
    <x v="18"/>
    <d v="2023-03-31T00:00:00"/>
    <d v="2023-11-20T00:00:00"/>
    <n v="2"/>
    <x v="11"/>
    <x v="5"/>
    <n v="3"/>
    <n v="1"/>
    <x v="1"/>
    <s v="Alterations including erection of mansard roof extension to main rear roof to form additional storey, insertion of windows to ground floor rear elevation and new front entrance. Extensions, alterations and part change of use from commercial to residential in connection with creation of 2 x 2-bedroom and 1 x 1-bedroom flats with associated refuse and cycle storage."/>
    <s v="PF"/>
    <d v="2023-05-17T00:00:00"/>
    <d v="2023-11-15T00:00:00"/>
    <x v="1"/>
    <s v="Nil"/>
    <m/>
    <s v="BF"/>
    <s v="MIX"/>
    <x v="2"/>
    <x v="4"/>
    <n v="5.8966670000000004E-3"/>
    <d v="2023-03-31T00:00:00"/>
    <x v="0"/>
    <d v="2023-11-20T00:00:00"/>
    <x v="1"/>
    <s v="M"/>
    <s v=""/>
    <m/>
    <m/>
    <m/>
    <m/>
    <m/>
    <n v="-1"/>
    <n v="2"/>
    <n v="1"/>
    <n v="-1"/>
    <n v="0"/>
    <n v="0"/>
    <n v="0"/>
    <n v="-1"/>
    <n v="2"/>
    <n v="1"/>
    <n v="-1"/>
    <n v="0"/>
    <n v="0"/>
    <n v="0"/>
    <n v="0"/>
    <n v="0"/>
    <n v="0"/>
    <n v="0"/>
    <n v="0"/>
    <n v="0"/>
    <n v="0"/>
    <n v="0"/>
    <n v="0"/>
    <n v="0"/>
    <n v="0"/>
    <n v="0"/>
    <n v="0"/>
    <n v="0"/>
    <x v="1"/>
    <x v="0"/>
    <x v="2"/>
    <n v="11"/>
    <n v="1"/>
    <m/>
    <m/>
    <m/>
    <m/>
    <m/>
    <m/>
    <m/>
    <m/>
    <m/>
    <m/>
    <m/>
    <m/>
    <m/>
    <m/>
    <m/>
    <m/>
    <m/>
    <m/>
    <m/>
    <n v="0"/>
    <n v="0"/>
  </r>
  <r>
    <n v="7973"/>
    <x v="0"/>
    <s v="2023/1222"/>
    <s v="162 Mitcham Road"/>
    <s v=""/>
    <n v="527811"/>
    <n v="171019"/>
    <x v="0"/>
    <d v="2023-06-06T00:00:00"/>
    <d v="2023-11-23T00:00:00"/>
    <n v="0"/>
    <x v="3"/>
    <x v="5"/>
    <n v="1"/>
    <n v="1"/>
    <x v="1"/>
    <s v="Determination as to whether prior approval is required for part change of use from retail (Class E) to a studio flat (Class C3)."/>
    <s v="PAG"/>
    <d v="2023-03-29T00:00:00"/>
    <d v="2023-05-19T00:00:00"/>
    <x v="1"/>
    <s v="Nil"/>
    <m/>
    <s v="BF"/>
    <s v="COU"/>
    <x v="2"/>
    <x v="4"/>
    <n v="1.7700000000000001E-3"/>
    <d v="2023-06-06T00:00:00"/>
    <x v="1"/>
    <d v="2023-11-23T00:00:00"/>
    <x v="1"/>
    <s v="M"/>
    <s v=""/>
    <m/>
    <m/>
    <m/>
    <m/>
    <m/>
    <n v="1"/>
    <n v="0"/>
    <n v="0"/>
    <n v="0"/>
    <n v="0"/>
    <n v="0"/>
    <n v="0"/>
    <n v="1"/>
    <n v="0"/>
    <n v="0"/>
    <n v="0"/>
    <n v="0"/>
    <n v="0"/>
    <n v="0"/>
    <n v="0"/>
    <n v="0"/>
    <n v="0"/>
    <n v="0"/>
    <n v="0"/>
    <n v="0"/>
    <n v="0"/>
    <n v="0"/>
    <n v="0"/>
    <n v="0"/>
    <n v="0"/>
    <n v="0"/>
    <n v="0"/>
    <n v="0"/>
    <x v="1"/>
    <x v="0"/>
    <x v="0"/>
    <n v="11"/>
    <n v="1"/>
    <m/>
    <m/>
    <m/>
    <m/>
    <m/>
    <m/>
    <m/>
    <m/>
    <m/>
    <m/>
    <m/>
    <m/>
    <m/>
    <m/>
    <m/>
    <m/>
    <m/>
    <m/>
    <m/>
    <n v="0"/>
    <n v="0"/>
  </r>
  <r>
    <n v="7964"/>
    <x v="0"/>
    <s v="2023/1257"/>
    <s v="7 and 7a Khartoum Road"/>
    <s v=""/>
    <n v="526926"/>
    <n v="171727"/>
    <x v="0"/>
    <d v="2023-05-23T00:00:00"/>
    <d v="2023-05-23T00:00:00"/>
    <n v="1"/>
    <x v="5"/>
    <x v="5"/>
    <n v="2"/>
    <n v="1"/>
    <x v="1"/>
    <s v="Continued use of property as two flats"/>
    <s v="LDC"/>
    <d v="2023-03-31T00:00:00"/>
    <d v="2023-05-23T00:00:00"/>
    <x v="1"/>
    <s v="Nil"/>
    <m/>
    <s v="BF"/>
    <s v="CON"/>
    <x v="2"/>
    <x v="10"/>
    <n v="5.3E-3"/>
    <d v="2023-05-23T00:00:00"/>
    <x v="1"/>
    <d v="2023-05-23T00:00:00"/>
    <x v="1"/>
    <s v="M"/>
    <s v=""/>
    <m/>
    <m/>
    <m/>
    <m/>
    <m/>
    <n v="0"/>
    <n v="1"/>
    <n v="1"/>
    <n v="-1"/>
    <n v="0"/>
    <n v="0"/>
    <n v="0"/>
    <n v="0"/>
    <n v="1"/>
    <n v="1"/>
    <n v="0"/>
    <n v="0"/>
    <n v="0"/>
    <n v="0"/>
    <n v="0"/>
    <n v="0"/>
    <n v="0"/>
    <n v="-1"/>
    <n v="0"/>
    <n v="0"/>
    <n v="0"/>
    <n v="0"/>
    <n v="0"/>
    <n v="0"/>
    <n v="0"/>
    <n v="0"/>
    <n v="0"/>
    <n v="0"/>
    <x v="1"/>
    <x v="0"/>
    <x v="2"/>
    <n v="11"/>
    <n v="1"/>
    <m/>
    <m/>
    <m/>
    <m/>
    <m/>
    <m/>
    <m/>
    <m/>
    <m/>
    <m/>
    <m/>
    <m/>
    <m/>
    <m/>
    <m/>
    <m/>
    <m/>
    <m/>
    <m/>
    <n v="0"/>
    <n v="0"/>
  </r>
  <r>
    <n v="322"/>
    <x v="0"/>
    <s v="2023/1310"/>
    <s v="Battersea Park Studios, 2 Shuttleworth Road (131 Battersea High Street)"/>
    <s v="London Affordable"/>
    <n v="527020"/>
    <n v="176330"/>
    <x v="15"/>
    <d v="2023-07-04T00:00:00"/>
    <d v="2023-07-04T00:00:00"/>
    <n v="63"/>
    <x v="40"/>
    <x v="28"/>
    <n v="71"/>
    <n v="0"/>
    <x v="0"/>
    <s v="Submission of details pursuant to Condition 43 (Affordable Housing Tenure Mix) of planning permission 2019/0854 dated 28/11/19 (Minor Material Amendment (S73) to amend Condition 16 (No structures on Roof) and Condition 24 (Carbon Reduction), and remove Condition 25 (Details of Photovoltaic Panels), Condition 27 (BREEAM) and Condition 39 (Off-Site Highways Works) of planning permission 2017/0764 dated 06/11/17, which was a Minor Material Amendment (S73) pursuant to planning permission 2015/2963 dated 13/01/2017 for the demolition of existing recording studio and lock-up garages and erection of a three-to seven-storey building with basement to provide 77 residential units (C3 use class) (19 x1 bedroom, 50 x 2 bedroom, 8 x 3 bedroom) and 624 sqm of recording studio floorspace (sui-generis use class); associated car parking, landscaping and public realm improvements)."/>
    <s v="DT"/>
    <d v="2023-04-04T00:00:00"/>
    <d v="2023-07-04T00:00:00"/>
    <x v="1"/>
    <s v="Nil"/>
    <m/>
    <s v="BF"/>
    <s v="NB"/>
    <x v="1"/>
    <x v="0"/>
    <n v="0.27500000000000002"/>
    <d v="2023-07-04T00:00:00"/>
    <x v="1"/>
    <d v="2023-07-04T00:00:00"/>
    <x v="2"/>
    <s v="AL"/>
    <s v=""/>
    <m/>
    <m/>
    <m/>
    <m/>
    <m/>
    <n v="0"/>
    <n v="15"/>
    <n v="37"/>
    <n v="8"/>
    <n v="8"/>
    <n v="0"/>
    <n v="-63"/>
    <n v="0"/>
    <n v="15"/>
    <n v="37"/>
    <n v="8"/>
    <n v="8"/>
    <n v="0"/>
    <n v="-63"/>
    <n v="0"/>
    <n v="0"/>
    <n v="0"/>
    <n v="0"/>
    <n v="0"/>
    <n v="0"/>
    <n v="0"/>
    <n v="0"/>
    <n v="0"/>
    <n v="0"/>
    <n v="0"/>
    <n v="0"/>
    <n v="0"/>
    <n v="0"/>
    <x v="1"/>
    <x v="0"/>
    <x v="2"/>
    <n v="1"/>
    <n v="5"/>
    <m/>
    <m/>
    <m/>
    <m/>
    <m/>
    <m/>
    <m/>
    <m/>
    <m/>
    <m/>
    <m/>
    <m/>
    <m/>
    <m/>
    <m/>
    <m/>
    <m/>
    <m/>
    <m/>
    <n v="0"/>
    <n v="0"/>
  </r>
  <r>
    <n v="322"/>
    <x v="0"/>
    <s v="2023/1310"/>
    <s v="Battersea Park Studios, 2 Shuttleworth Road (131 Battersea High Street)"/>
    <s v="Shared Ownership"/>
    <n v="527020"/>
    <n v="176330"/>
    <x v="15"/>
    <d v="2023-07-04T00:00:00"/>
    <d v="2023-07-04T00:00:00"/>
    <n v="8"/>
    <x v="11"/>
    <x v="46"/>
    <n v="71"/>
    <n v="0"/>
    <x v="0"/>
    <s v="Submission of details pursuant to Condition 43 (Affordable Housing Tenure Mix) of planning permission 2019/0854 dated 28/11/19 (Minor Material Amendment (S73) to amend Condition 16 (No structures on Roof) and Condition 24 (Carbon Reduction), and remove Condition 25 (Details of Photovoltaic Panels), Condition 27 (BREEAM) and Condition 39 (Off-Site Highways Works) of planning permission 2017/0764 dated 06/11/17, which was a Minor Material Amendment (S73) pursuant to planning permission 2015/2963 dated 13/01/2017 for the demolition of existing recording studio and lock-up garages and erection of a three-to seven-storey building with basement to provide 77 residential units (C3 use class) (19 x1 bedroom, 50 x 2 bedroom, 8 x 3 bedroom) and 624 sqm of recording studio floorspace (sui-generis use class); associated car parking, landscaping and public realm improvements)."/>
    <s v="DT"/>
    <d v="2023-04-04T00:00:00"/>
    <d v="2023-07-04T00:00:00"/>
    <x v="1"/>
    <s v="Nil"/>
    <m/>
    <s v="BF"/>
    <s v="NB"/>
    <x v="1"/>
    <x v="0"/>
    <n v="1.2E-2"/>
    <d v="2023-07-04T00:00:00"/>
    <x v="1"/>
    <d v="2023-07-04T00:00:00"/>
    <x v="0"/>
    <s v="ISE"/>
    <s v=""/>
    <m/>
    <m/>
    <m/>
    <m/>
    <m/>
    <n v="0"/>
    <n v="0"/>
    <n v="2"/>
    <n v="1"/>
    <n v="0"/>
    <n v="0"/>
    <n v="-8"/>
    <n v="0"/>
    <n v="0"/>
    <n v="2"/>
    <n v="1"/>
    <n v="0"/>
    <n v="0"/>
    <n v="-8"/>
    <n v="0"/>
    <n v="0"/>
    <n v="0"/>
    <n v="0"/>
    <n v="0"/>
    <n v="0"/>
    <n v="0"/>
    <n v="0"/>
    <n v="0"/>
    <n v="0"/>
    <n v="0"/>
    <n v="0"/>
    <n v="0"/>
    <n v="0"/>
    <x v="1"/>
    <x v="0"/>
    <x v="2"/>
    <n v="1"/>
    <n v="-5"/>
    <m/>
    <m/>
    <m/>
    <m/>
    <m/>
    <m/>
    <m/>
    <m/>
    <m/>
    <m/>
    <m/>
    <m/>
    <m/>
    <m/>
    <m/>
    <m/>
    <m/>
    <m/>
    <m/>
    <n v="0"/>
    <n v="0"/>
  </r>
  <r>
    <n v="7976"/>
    <x v="0"/>
    <s v="2023/1384"/>
    <s v="Rear of, 631 Garratt Lane"/>
    <s v=""/>
    <n v="526142"/>
    <n v="172566"/>
    <x v="17"/>
    <d v="2023-06-12T00:00:00"/>
    <d v="2023-06-12T00:00:00"/>
    <n v="0"/>
    <x v="3"/>
    <x v="5"/>
    <n v="1"/>
    <n v="1"/>
    <x v="1"/>
    <s v="Retrospective permission for the erection of two-storey 1-bedroom house with access from Quinton Street.(Revisions to planning permission 2018/5918 dated 22/05/19 to allow omission of first floor side roof terrace, revisions to fenestration including addition of ground floor front windows in place of bifold doors and installation of air source heat pump to roof). Refuse and cycle storage provision."/>
    <s v="PF"/>
    <d v="2023-04-17T00:00:00"/>
    <d v="2023-06-12T00:00:00"/>
    <x v="1"/>
    <s v="Nil"/>
    <m/>
    <s v="BF"/>
    <s v="NB"/>
    <x v="2"/>
    <x v="3"/>
    <n v="3.3E-3"/>
    <d v="2023-06-12T00:00:00"/>
    <x v="1"/>
    <d v="2023-06-12T00:00:00"/>
    <x v="1"/>
    <s v="M"/>
    <s v=""/>
    <m/>
    <m/>
    <m/>
    <m/>
    <m/>
    <n v="0"/>
    <n v="1"/>
    <n v="0"/>
    <n v="0"/>
    <n v="0"/>
    <n v="0"/>
    <n v="0"/>
    <n v="0"/>
    <n v="0"/>
    <n v="0"/>
    <n v="0"/>
    <n v="0"/>
    <n v="0"/>
    <n v="0"/>
    <n v="0"/>
    <n v="1"/>
    <n v="0"/>
    <n v="0"/>
    <n v="0"/>
    <n v="0"/>
    <n v="0"/>
    <n v="0"/>
    <n v="0"/>
    <n v="0"/>
    <n v="0"/>
    <n v="0"/>
    <n v="0"/>
    <n v="0"/>
    <x v="1"/>
    <x v="0"/>
    <x v="5"/>
    <n v="1"/>
    <n v="1"/>
    <m/>
    <m/>
    <m/>
    <m/>
    <m/>
    <m/>
    <m/>
    <m/>
    <m/>
    <m/>
    <m/>
    <m/>
    <m/>
    <m/>
    <m/>
    <m/>
    <m/>
    <m/>
    <m/>
    <n v="0"/>
    <n v="0"/>
  </r>
  <r>
    <n v="4538"/>
    <x v="0"/>
    <s v="2023/1489"/>
    <s v="2 Coral Row"/>
    <s v=""/>
    <n v="526439"/>
    <n v="175756"/>
    <x v="15"/>
    <d v="2023-06-28T00:00:00"/>
    <d v="2023-06-28T00:00:00"/>
    <n v="1"/>
    <x v="3"/>
    <x v="6"/>
    <n v="1"/>
    <n v="0"/>
    <x v="1"/>
    <s v="Continued use as single dwelling house (Class C3)."/>
    <s v="LDC Exist"/>
    <d v="2023-04-19T00:00:00"/>
    <d v="2023-06-28T00:00:00"/>
    <x v="1"/>
    <s v="Nil"/>
    <m/>
    <s v="BF"/>
    <s v="CON"/>
    <x v="2"/>
    <x v="8"/>
    <n v="1.1900000000000001E-2"/>
    <d v="2023-06-28T00:00:00"/>
    <x v="1"/>
    <d v="2023-06-28T00:00:00"/>
    <x v="1"/>
    <s v="M"/>
    <s v="10.15"/>
    <m/>
    <m/>
    <m/>
    <m/>
    <m/>
    <n v="0"/>
    <n v="0"/>
    <n v="0"/>
    <n v="0"/>
    <n v="0"/>
    <n v="1"/>
    <n v="-1"/>
    <n v="0"/>
    <n v="0"/>
    <n v="0"/>
    <n v="0"/>
    <n v="0"/>
    <n v="0"/>
    <n v="0"/>
    <n v="0"/>
    <n v="0"/>
    <n v="0"/>
    <n v="0"/>
    <n v="0"/>
    <n v="1"/>
    <n v="0"/>
    <n v="0"/>
    <n v="0"/>
    <n v="0"/>
    <n v="0"/>
    <n v="0"/>
    <n v="0"/>
    <n v="-1"/>
    <x v="1"/>
    <x v="0"/>
    <x v="4"/>
    <n v="11"/>
    <n v="0"/>
    <m/>
    <m/>
    <m/>
    <m/>
    <m/>
    <m/>
    <m/>
    <m/>
    <m/>
    <m/>
    <m/>
    <m/>
    <m/>
    <m/>
    <m/>
    <m/>
    <m/>
    <m/>
    <m/>
    <n v="0"/>
    <n v="0"/>
  </r>
  <r>
    <n v="786"/>
    <x v="0"/>
    <s v="2023/1526"/>
    <s v="Laglin Lodge, 7 Eardley Road"/>
    <s v=""/>
    <n v="529441"/>
    <n v="171210"/>
    <x v="9"/>
    <d v="2023-06-15T00:00:00"/>
    <d v="2023-06-15T00:00:00"/>
    <n v="0"/>
    <x v="3"/>
    <x v="5"/>
    <n v="1"/>
    <n v="1"/>
    <x v="1"/>
    <s v="Continued use of the basement as a studio flat."/>
    <s v="LDC Exist"/>
    <d v="2023-04-21T00:00:00"/>
    <d v="2023-06-15T00:00:00"/>
    <x v="1"/>
    <s v="Nil"/>
    <m/>
    <s v="BF"/>
    <s v="EXT"/>
    <x v="2"/>
    <x v="7"/>
    <n v="3.3999999999999998E-3"/>
    <d v="2023-06-15T00:00:00"/>
    <x v="1"/>
    <d v="2023-06-15T00:00:00"/>
    <x v="1"/>
    <s v="M"/>
    <s v=""/>
    <m/>
    <m/>
    <m/>
    <m/>
    <m/>
    <n v="1"/>
    <n v="0"/>
    <n v="0"/>
    <n v="0"/>
    <n v="0"/>
    <n v="0"/>
    <n v="0"/>
    <n v="1"/>
    <n v="0"/>
    <n v="0"/>
    <n v="0"/>
    <n v="0"/>
    <n v="0"/>
    <n v="0"/>
    <n v="0"/>
    <n v="0"/>
    <n v="0"/>
    <n v="0"/>
    <n v="0"/>
    <n v="0"/>
    <n v="0"/>
    <n v="0"/>
    <n v="0"/>
    <n v="0"/>
    <n v="0"/>
    <n v="0"/>
    <n v="0"/>
    <n v="0"/>
    <x v="1"/>
    <x v="0"/>
    <x v="2"/>
    <n v="11"/>
    <n v="1"/>
    <m/>
    <m/>
    <m/>
    <m/>
    <m/>
    <m/>
    <m/>
    <m/>
    <m/>
    <m/>
    <m/>
    <m/>
    <m/>
    <m/>
    <m/>
    <m/>
    <m/>
    <m/>
    <m/>
    <n v="0"/>
    <n v="0"/>
  </r>
  <r>
    <n v="7977"/>
    <x v="0"/>
    <s v="2023/1663"/>
    <s v="41 Ashlone Road"/>
    <s v=""/>
    <n v="523507"/>
    <n v="176038"/>
    <x v="3"/>
    <d v="2023-07-12T00:00:00"/>
    <d v="2023-07-12T00:00:00"/>
    <n v="1"/>
    <x v="5"/>
    <x v="5"/>
    <n v="2"/>
    <n v="1"/>
    <x v="1"/>
    <s v="Continued use of the property as two flats."/>
    <s v="LDC Exist"/>
    <d v="2023-04-28T00:00:00"/>
    <d v="2023-07-12T00:00:00"/>
    <x v="1"/>
    <s v="Nil"/>
    <m/>
    <s v="BF"/>
    <s v="CON"/>
    <x v="2"/>
    <x v="10"/>
    <n v="6.45E-3"/>
    <d v="2023-07-12T00:00:00"/>
    <x v="1"/>
    <d v="2023-07-12T00:00:00"/>
    <x v="1"/>
    <s v="MR"/>
    <s v=""/>
    <m/>
    <m/>
    <m/>
    <m/>
    <m/>
    <n v="0"/>
    <n v="0"/>
    <n v="1"/>
    <n v="1"/>
    <n v="-1"/>
    <n v="0"/>
    <n v="0"/>
    <n v="0"/>
    <n v="0"/>
    <n v="1"/>
    <n v="1"/>
    <n v="0"/>
    <n v="0"/>
    <n v="0"/>
    <n v="0"/>
    <n v="0"/>
    <n v="0"/>
    <n v="0"/>
    <n v="-1"/>
    <n v="0"/>
    <n v="0"/>
    <n v="0"/>
    <n v="0"/>
    <n v="0"/>
    <n v="0"/>
    <n v="0"/>
    <n v="0"/>
    <n v="0"/>
    <x v="1"/>
    <x v="0"/>
    <x v="4"/>
    <n v="11"/>
    <n v="1"/>
    <m/>
    <m/>
    <m/>
    <m/>
    <m/>
    <m/>
    <m/>
    <m/>
    <m/>
    <m/>
    <m/>
    <m/>
    <m/>
    <m/>
    <m/>
    <m/>
    <m/>
    <m/>
    <m/>
    <n v="0"/>
    <n v="0"/>
  </r>
  <r>
    <n v="7988"/>
    <x v="0"/>
    <s v="2023/1850"/>
    <s v="64 Wimbledon Park"/>
    <s v=""/>
    <n v="525016"/>
    <n v="173968"/>
    <x v="7"/>
    <d v="2023-08-24T00:00:00"/>
    <d v="2023-11-30T00:00:00"/>
    <n v="2"/>
    <x v="3"/>
    <x v="3"/>
    <n v="1"/>
    <n v="-1"/>
    <x v="1"/>
    <s v="Installation of replacement windows throughout in connection with deconversion of two flats into a single dwelling house."/>
    <s v="PF"/>
    <d v="2023-05-12T00:00:00"/>
    <d v="2023-08-24T00:00:00"/>
    <x v="1"/>
    <s v="Nil"/>
    <m/>
    <s v="BF"/>
    <s v="CON"/>
    <x v="2"/>
    <x v="11"/>
    <n v="0.01"/>
    <d v="2023-08-24T00:00:00"/>
    <x v="1"/>
    <d v="2023-11-30T00:00:00"/>
    <x v="1"/>
    <s v="M"/>
    <s v=""/>
    <m/>
    <m/>
    <m/>
    <m/>
    <m/>
    <n v="0"/>
    <n v="-1"/>
    <n v="-1"/>
    <n v="1"/>
    <n v="0"/>
    <n v="0"/>
    <n v="0"/>
    <n v="0"/>
    <n v="0"/>
    <n v="0"/>
    <n v="0"/>
    <n v="0"/>
    <n v="0"/>
    <n v="0"/>
    <n v="0"/>
    <n v="-1"/>
    <n v="-1"/>
    <n v="1"/>
    <n v="0"/>
    <n v="0"/>
    <n v="0"/>
    <n v="0"/>
    <n v="0"/>
    <n v="0"/>
    <n v="0"/>
    <n v="0"/>
    <n v="0"/>
    <n v="0"/>
    <x v="1"/>
    <x v="0"/>
    <x v="2"/>
    <n v="11"/>
    <n v="-1"/>
    <m/>
    <m/>
    <m/>
    <m/>
    <m/>
    <m/>
    <m/>
    <m/>
    <m/>
    <m/>
    <m/>
    <m/>
    <m/>
    <m/>
    <m/>
    <m/>
    <m/>
    <m/>
    <m/>
    <n v="0"/>
    <n v="0"/>
  </r>
  <r>
    <n v="7995"/>
    <x v="0"/>
    <s v="2023/2045"/>
    <s v="7 Devereux Road"/>
    <s v=""/>
    <n v="527837"/>
    <n v="174319"/>
    <x v="11"/>
    <d v="2023-08-04T00:00:00"/>
    <d v="2023-08-04T00:00:00"/>
    <n v="1"/>
    <x v="3"/>
    <x v="6"/>
    <n v="1"/>
    <n v="0"/>
    <x v="1"/>
    <s v="Change of use from HMO use (Class C4) to residential dwelling house (Class C3)."/>
    <s v="LDC Prop"/>
    <d v="2023-06-09T00:00:00"/>
    <d v="2023-08-04T00:00:00"/>
    <x v="1"/>
    <s v="Nil"/>
    <m/>
    <s v="BF"/>
    <s v="CON"/>
    <x v="2"/>
    <x v="1"/>
    <n v="8.9999999999999993E-3"/>
    <d v="2023-08-04T00:00:00"/>
    <x v="1"/>
    <d v="2023-08-04T00:00:00"/>
    <x v="1"/>
    <s v="M"/>
    <s v=""/>
    <m/>
    <m/>
    <m/>
    <m/>
    <m/>
    <n v="0"/>
    <n v="0"/>
    <n v="0"/>
    <n v="0"/>
    <n v="1"/>
    <n v="-1"/>
    <n v="0"/>
    <n v="0"/>
    <n v="0"/>
    <n v="0"/>
    <n v="0"/>
    <n v="0"/>
    <n v="0"/>
    <n v="0"/>
    <n v="0"/>
    <n v="0"/>
    <n v="0"/>
    <n v="0"/>
    <n v="1"/>
    <n v="-1"/>
    <n v="0"/>
    <n v="0"/>
    <n v="0"/>
    <n v="0"/>
    <n v="0"/>
    <n v="0"/>
    <n v="0"/>
    <n v="0"/>
    <x v="1"/>
    <x v="0"/>
    <x v="2"/>
    <n v="11"/>
    <n v="0"/>
    <m/>
    <m/>
    <m/>
    <m/>
    <m/>
    <m/>
    <m/>
    <m/>
    <m/>
    <m/>
    <m/>
    <m/>
    <m/>
    <m/>
    <m/>
    <m/>
    <m/>
    <m/>
    <m/>
    <n v="0"/>
    <n v="0"/>
  </r>
  <r>
    <n v="7951"/>
    <x v="0"/>
    <s v="2023/2092"/>
    <s v="Flat G, 64-66 Lavender Hill"/>
    <s v=""/>
    <n v="528323"/>
    <n v="175738"/>
    <x v="20"/>
    <d v="2023-08-11T00:00:00"/>
    <d v="2023-08-11T00:00:00"/>
    <n v="0"/>
    <x v="3"/>
    <x v="5"/>
    <n v="1"/>
    <n v="1"/>
    <x v="1"/>
    <s v="Continued use of Flat G as 1 x 1-bedroom flat."/>
    <s v="LDC Exist"/>
    <d v="2023-06-19T00:00:00"/>
    <d v="2023-08-11T00:00:00"/>
    <x v="1"/>
    <s v="Nil"/>
    <m/>
    <s v="BF"/>
    <s v="CON"/>
    <x v="2"/>
    <x v="6"/>
    <n v="7.0000000000000001E-3"/>
    <d v="2023-08-11T00:00:00"/>
    <x v="1"/>
    <d v="2023-08-11T00:00:00"/>
    <x v="1"/>
    <s v="MR"/>
    <s v=""/>
    <m/>
    <m/>
    <m/>
    <m/>
    <m/>
    <n v="0"/>
    <n v="1"/>
    <n v="0"/>
    <n v="0"/>
    <n v="0"/>
    <n v="0"/>
    <n v="0"/>
    <n v="0"/>
    <n v="1"/>
    <n v="0"/>
    <n v="0"/>
    <n v="0"/>
    <n v="0"/>
    <n v="0"/>
    <n v="0"/>
    <n v="0"/>
    <n v="0"/>
    <n v="0"/>
    <n v="0"/>
    <n v="0"/>
    <n v="0"/>
    <n v="0"/>
    <n v="0"/>
    <n v="0"/>
    <n v="0"/>
    <n v="0"/>
    <n v="0"/>
    <n v="0"/>
    <x v="1"/>
    <x v="0"/>
    <x v="2"/>
    <n v="11"/>
    <n v="1"/>
    <m/>
    <m/>
    <m/>
    <m/>
    <m/>
    <m/>
    <m/>
    <m/>
    <m/>
    <m/>
    <m/>
    <m/>
    <m/>
    <m/>
    <m/>
    <m/>
    <m/>
    <m/>
    <m/>
    <n v="0"/>
    <n v="0"/>
  </r>
  <r>
    <n v="7941"/>
    <x v="0"/>
    <s v="2023/2484"/>
    <s v="Flat Ground Floor &amp; Flat First Floor, 4 Gartmoor Gardens"/>
    <s v=""/>
    <n v="524686"/>
    <n v="173123"/>
    <x v="5"/>
    <d v="2023-10-25T00:00:00"/>
    <d v="2024-02-18T00:00:00"/>
    <n v="2"/>
    <x v="3"/>
    <x v="3"/>
    <n v="1"/>
    <n v="-1"/>
    <x v="1"/>
    <s v="De-conversion of ground floor and first floor flat to a single-family house."/>
    <s v="PF"/>
    <d v="2023-07-06T00:00:00"/>
    <d v="2023-10-25T00:00:00"/>
    <x v="1"/>
    <s v="Nil"/>
    <m/>
    <s v="BF"/>
    <s v="CON"/>
    <x v="2"/>
    <x v="11"/>
    <n v="6.7999999999999996E-3"/>
    <d v="2023-10-25T00:00:00"/>
    <x v="1"/>
    <d v="2024-02-18T00:00:00"/>
    <x v="1"/>
    <s v="M"/>
    <s v=""/>
    <m/>
    <m/>
    <m/>
    <m/>
    <m/>
    <n v="0"/>
    <n v="-1"/>
    <n v="-1"/>
    <n v="0"/>
    <n v="1"/>
    <n v="0"/>
    <n v="0"/>
    <n v="0"/>
    <n v="-1"/>
    <n v="-1"/>
    <n v="0"/>
    <n v="0"/>
    <n v="0"/>
    <n v="0"/>
    <n v="0"/>
    <n v="0"/>
    <n v="0"/>
    <n v="0"/>
    <n v="1"/>
    <n v="0"/>
    <n v="0"/>
    <n v="0"/>
    <n v="0"/>
    <n v="0"/>
    <n v="0"/>
    <n v="0"/>
    <n v="0"/>
    <n v="0"/>
    <x v="1"/>
    <x v="0"/>
    <x v="2"/>
    <n v="11"/>
    <n v="-1"/>
    <m/>
    <m/>
    <m/>
    <m/>
    <m/>
    <m/>
    <m/>
    <m/>
    <m/>
    <m/>
    <m/>
    <m/>
    <m/>
    <m/>
    <m/>
    <m/>
    <m/>
    <m/>
    <m/>
    <n v="0"/>
    <n v="0"/>
  </r>
  <r>
    <n v="8014"/>
    <x v="0"/>
    <s v="2023/2543"/>
    <s v="and 10 Cinnamon Row SW11 3TW, 10 Molasses Row"/>
    <s v=""/>
    <n v="526480"/>
    <n v="175808"/>
    <x v="15"/>
    <d v="2023-09-18T00:00:00"/>
    <d v="2023-09-18T00:00:00"/>
    <n v="1"/>
    <x v="3"/>
    <x v="6"/>
    <n v="1"/>
    <n v="0"/>
    <x v="1"/>
    <s v="Alterations to include the change of use of the ground and first floor from office (Class E) to residential use (Class C3) and combination with existing residential floorspace above to form a single dwelling. Replacement of existing timber balcony with a glass floor; replacment of windows/doors."/>
    <s v="PF"/>
    <d v="2023-07-24T00:00:00"/>
    <d v="2023-09-18T00:00:00"/>
    <x v="1"/>
    <s v="Nil"/>
    <m/>
    <s v="BF"/>
    <s v="MIX"/>
    <x v="2"/>
    <x v="6"/>
    <n v="0.01"/>
    <d v="2023-09-18T00:00:00"/>
    <x v="1"/>
    <d v="2023-09-18T00:00:00"/>
    <x v="1"/>
    <s v="M"/>
    <s v=""/>
    <m/>
    <m/>
    <m/>
    <m/>
    <m/>
    <n v="0"/>
    <n v="0"/>
    <n v="-1"/>
    <n v="0"/>
    <n v="1"/>
    <n v="0"/>
    <n v="0"/>
    <n v="0"/>
    <n v="0"/>
    <n v="-1"/>
    <n v="0"/>
    <n v="0"/>
    <n v="0"/>
    <n v="0"/>
    <n v="0"/>
    <n v="0"/>
    <n v="0"/>
    <n v="0"/>
    <n v="1"/>
    <n v="0"/>
    <n v="0"/>
    <n v="0"/>
    <n v="0"/>
    <n v="0"/>
    <n v="0"/>
    <n v="0"/>
    <n v="0"/>
    <n v="0"/>
    <x v="1"/>
    <x v="0"/>
    <x v="4"/>
    <n v="11"/>
    <n v="0"/>
    <m/>
    <m/>
    <m/>
    <m/>
    <m/>
    <m/>
    <m/>
    <m/>
    <m/>
    <m/>
    <m/>
    <m/>
    <m/>
    <m/>
    <m/>
    <m/>
    <m/>
    <m/>
    <m/>
    <n v="0"/>
    <n v="0"/>
  </r>
  <r>
    <n v="7120"/>
    <x v="0"/>
    <s v="2023/3133"/>
    <s v="515 Battersea Park Road"/>
    <s v=""/>
    <n v="527464"/>
    <n v="176353"/>
    <x v="15"/>
    <d v="2023-12-04T00:00:00"/>
    <d v="2023-12-04T00:00:00"/>
    <n v="2"/>
    <x v="12"/>
    <x v="7"/>
    <n v="4"/>
    <n v="2"/>
    <x v="1"/>
    <s v="Retrospective planning application for alterations including the erection and retention of a second floor rear extension and terrace. Internal alterations and reconfiguration associated with changes to the existing unit mix to create 4 x 1 bed flats.  Increase in size of rear terrace at first floor level to be enclosed by an obscure glazed screen. Use of ground floor level as Class E (Office)."/>
    <s v="PF"/>
    <d v="2023-10-03T00:00:00"/>
    <d v="2023-12-04T00:00:00"/>
    <x v="1"/>
    <s v="Nil"/>
    <m/>
    <s v="BF"/>
    <s v="CON"/>
    <x v="2"/>
    <x v="5"/>
    <n v="8.5699999999999995E-3"/>
    <d v="2023-12-04T00:00:00"/>
    <x v="1"/>
    <d v="2023-12-04T00:00:00"/>
    <x v="1"/>
    <s v="M"/>
    <s v=""/>
    <m/>
    <m/>
    <m/>
    <m/>
    <m/>
    <n v="0"/>
    <n v="1"/>
    <n v="1"/>
    <n v="0"/>
    <n v="0"/>
    <n v="0"/>
    <n v="0"/>
    <n v="0"/>
    <n v="1"/>
    <n v="1"/>
    <n v="0"/>
    <n v="0"/>
    <n v="0"/>
    <n v="0"/>
    <n v="0"/>
    <n v="0"/>
    <n v="0"/>
    <n v="0"/>
    <n v="0"/>
    <n v="0"/>
    <n v="0"/>
    <n v="0"/>
    <n v="0"/>
    <n v="0"/>
    <n v="0"/>
    <n v="0"/>
    <n v="0"/>
    <n v="0"/>
    <x v="1"/>
    <x v="0"/>
    <x v="2"/>
    <n v="11"/>
    <n v="2"/>
    <m/>
    <m/>
    <m/>
    <m/>
    <m/>
    <m/>
    <m/>
    <m/>
    <m/>
    <m/>
    <m/>
    <m/>
    <m/>
    <m/>
    <m/>
    <m/>
    <m/>
    <m/>
    <m/>
    <n v="0"/>
    <n v="0"/>
  </r>
  <r>
    <n v="8032"/>
    <x v="0"/>
    <s v="2023/3199"/>
    <s v="81 Chestnut Grove"/>
    <s v=""/>
    <n v="528261"/>
    <n v="173519"/>
    <x v="6"/>
    <d v="2023-10-20T00:00:00"/>
    <d v="2023-10-20T00:00:00"/>
    <n v="1"/>
    <x v="5"/>
    <x v="5"/>
    <n v="2"/>
    <n v="1"/>
    <x v="1"/>
    <s v="Use of ground floor as two flats (Class C3)."/>
    <s v="LDC Exist"/>
    <d v="2023-08-21T00:00:00"/>
    <d v="2023-10-20T00:00:00"/>
    <x v="1"/>
    <s v="Nil"/>
    <m/>
    <s v="BF"/>
    <s v="CON"/>
    <x v="2"/>
    <x v="5"/>
    <n v="6.6604999999999998E-3"/>
    <d v="2023-10-20T00:00:00"/>
    <x v="1"/>
    <d v="2023-10-20T00:00:00"/>
    <x v="1"/>
    <s v="MR"/>
    <s v=""/>
    <m/>
    <m/>
    <m/>
    <m/>
    <m/>
    <n v="2"/>
    <n v="-1"/>
    <n v="0"/>
    <n v="0"/>
    <n v="0"/>
    <n v="0"/>
    <n v="0"/>
    <n v="2"/>
    <n v="-1"/>
    <n v="0"/>
    <n v="0"/>
    <n v="0"/>
    <n v="0"/>
    <n v="0"/>
    <n v="0"/>
    <n v="0"/>
    <n v="0"/>
    <n v="0"/>
    <n v="0"/>
    <n v="0"/>
    <n v="0"/>
    <n v="0"/>
    <n v="0"/>
    <n v="0"/>
    <n v="0"/>
    <n v="0"/>
    <n v="0"/>
    <n v="0"/>
    <x v="1"/>
    <x v="0"/>
    <x v="2"/>
    <n v="11"/>
    <n v="1"/>
    <m/>
    <m/>
    <m/>
    <m/>
    <m/>
    <m/>
    <m/>
    <m/>
    <m/>
    <m/>
    <m/>
    <m/>
    <m/>
    <m/>
    <m/>
    <m/>
    <m/>
    <m/>
    <m/>
    <n v="0"/>
    <n v="0"/>
  </r>
  <r>
    <n v="7816"/>
    <x v="0"/>
    <s v="2023/3519"/>
    <s v="Flat 1b, 178 Queenstown Road"/>
    <s v=""/>
    <n v="528747"/>
    <n v="176619"/>
    <x v="20"/>
    <d v="2023-11-22T00:00:00"/>
    <d v="2023-11-22T00:00:00"/>
    <n v="1"/>
    <x v="5"/>
    <x v="5"/>
    <n v="2"/>
    <n v="1"/>
    <x v="1"/>
    <s v="Continued use of the second floor as a self-contained unit."/>
    <s v="LDC Exist"/>
    <d v="2023-09-19T00:00:00"/>
    <d v="2023-11-22T00:00:00"/>
    <x v="1"/>
    <s v="Nil"/>
    <m/>
    <s v="BF"/>
    <s v="COU"/>
    <x v="2"/>
    <x v="5"/>
    <n v="1.1599999999999999E-2"/>
    <d v="2023-11-22T00:00:00"/>
    <x v="1"/>
    <d v="2023-11-22T00:00:00"/>
    <x v="1"/>
    <s v="M"/>
    <s v=""/>
    <m/>
    <m/>
    <m/>
    <m/>
    <m/>
    <n v="0"/>
    <n v="1"/>
    <n v="0"/>
    <n v="0"/>
    <n v="0"/>
    <n v="0"/>
    <n v="0"/>
    <n v="0"/>
    <n v="1"/>
    <n v="0"/>
    <n v="0"/>
    <n v="0"/>
    <n v="0"/>
    <n v="0"/>
    <n v="0"/>
    <n v="0"/>
    <n v="0"/>
    <n v="0"/>
    <n v="0"/>
    <n v="0"/>
    <n v="0"/>
    <n v="0"/>
    <n v="0"/>
    <n v="0"/>
    <n v="0"/>
    <n v="0"/>
    <n v="0"/>
    <n v="0"/>
    <x v="1"/>
    <x v="1"/>
    <x v="1"/>
    <n v="11"/>
    <n v="1"/>
    <m/>
    <m/>
    <m/>
    <m/>
    <m/>
    <m/>
    <m/>
    <m/>
    <m/>
    <m/>
    <m/>
    <m/>
    <m/>
    <m/>
    <m/>
    <m/>
    <m/>
    <m/>
    <m/>
    <n v="0"/>
    <n v="0"/>
  </r>
  <r>
    <n v="8005"/>
    <x v="0"/>
    <s v="2023/3555"/>
    <s v="252 C Battersea Park Road"/>
    <s v=""/>
    <n v="527468"/>
    <n v="176394"/>
    <x v="15"/>
    <d v="2023-12-08T00:00:00"/>
    <d v="2023-12-08T00:00:00"/>
    <n v="0"/>
    <x v="3"/>
    <x v="5"/>
    <n v="1"/>
    <n v="1"/>
    <x v="1"/>
    <s v="Use of ground floor as a single dwellling Class C3"/>
    <s v="LDC Exist"/>
    <d v="2023-10-13T00:00:00"/>
    <d v="2023-12-08T00:00:00"/>
    <x v="1"/>
    <s v="Nil"/>
    <m/>
    <s v="BF"/>
    <s v="COU"/>
    <x v="2"/>
    <x v="4"/>
    <n v="5.0000000000000001E-3"/>
    <d v="2023-12-08T00:00:00"/>
    <x v="1"/>
    <d v="2023-12-08T00:00:00"/>
    <x v="1"/>
    <s v="M"/>
    <s v=""/>
    <m/>
    <m/>
    <m/>
    <m/>
    <m/>
    <n v="0"/>
    <n v="1"/>
    <n v="0"/>
    <n v="0"/>
    <n v="0"/>
    <n v="0"/>
    <n v="0"/>
    <n v="0"/>
    <n v="1"/>
    <n v="0"/>
    <n v="0"/>
    <n v="0"/>
    <n v="0"/>
    <n v="0"/>
    <n v="0"/>
    <n v="0"/>
    <n v="0"/>
    <n v="0"/>
    <n v="0"/>
    <n v="0"/>
    <n v="0"/>
    <n v="0"/>
    <n v="0"/>
    <n v="0"/>
    <n v="0"/>
    <n v="0"/>
    <n v="0"/>
    <n v="0"/>
    <x v="1"/>
    <x v="0"/>
    <x v="2"/>
    <n v="11"/>
    <n v="1"/>
    <m/>
    <m/>
    <m/>
    <m/>
    <m/>
    <m/>
    <m/>
    <m/>
    <m/>
    <m/>
    <m/>
    <m/>
    <m/>
    <m/>
    <m/>
    <m/>
    <m/>
    <m/>
    <m/>
    <n v="0"/>
    <n v="0"/>
  </r>
  <r>
    <n v="6569"/>
    <x v="0"/>
    <s v="2023/3556"/>
    <s v="547 Battersea Park Road"/>
    <s v=""/>
    <n v="527371"/>
    <n v="176315"/>
    <x v="15"/>
    <d v="2023-12-07T00:00:00"/>
    <d v="2023-12-07T00:00:00"/>
    <n v="0"/>
    <x v="3"/>
    <x v="5"/>
    <n v="1"/>
    <n v="1"/>
    <x v="1"/>
    <s v="Continued use of the property as a self-contained flat to rear ground floor."/>
    <s v="LDC Exist"/>
    <d v="2023-10-13T00:00:00"/>
    <d v="2023-12-07T00:00:00"/>
    <x v="1"/>
    <s v="Nil"/>
    <m/>
    <s v="BF"/>
    <s v="COU"/>
    <x v="2"/>
    <x v="4"/>
    <n v="1.5E-3"/>
    <d v="2023-12-07T00:00:00"/>
    <x v="1"/>
    <d v="2023-12-07T00:00:00"/>
    <x v="1"/>
    <s v="M"/>
    <s v=""/>
    <m/>
    <m/>
    <m/>
    <m/>
    <m/>
    <n v="0"/>
    <n v="1"/>
    <n v="0"/>
    <n v="0"/>
    <n v="0"/>
    <n v="0"/>
    <n v="0"/>
    <n v="0"/>
    <n v="1"/>
    <n v="0"/>
    <n v="0"/>
    <n v="0"/>
    <n v="0"/>
    <n v="0"/>
    <n v="0"/>
    <n v="0"/>
    <n v="0"/>
    <n v="0"/>
    <n v="0"/>
    <n v="0"/>
    <n v="0"/>
    <n v="0"/>
    <n v="0"/>
    <n v="0"/>
    <n v="0"/>
    <n v="0"/>
    <n v="0"/>
    <n v="0"/>
    <x v="1"/>
    <x v="0"/>
    <x v="2"/>
    <n v="11"/>
    <n v="1"/>
    <m/>
    <m/>
    <m/>
    <m/>
    <m/>
    <m/>
    <m/>
    <m/>
    <m/>
    <m/>
    <m/>
    <m/>
    <m/>
    <m/>
    <m/>
    <m/>
    <m/>
    <m/>
    <m/>
    <n v="0"/>
    <n v="0"/>
  </r>
  <r>
    <n v="8063"/>
    <x v="0"/>
    <s v="2023/3978"/>
    <s v="4 Westover Road"/>
    <s v=""/>
    <n v="526445"/>
    <n v="174223"/>
    <x v="13"/>
    <d v="2024-01-17T00:00:00"/>
    <d v="2024-01-17T00:00:00"/>
    <n v="1"/>
    <x v="3"/>
    <x v="6"/>
    <n v="1"/>
    <n v="0"/>
    <x v="1"/>
    <s v="Retention of front façade with demolition and rebuilding of remainder of dwelling, incorporating alterations and extensions including an additional dormer and amended dormer to the main rear roof slope and replacement dormer to front roof slope; excavation to enlarge existing basement, including formation of front lightwells with grilles over; erection of single storey side and rear extensions; alterations to some fenestration, and erection of enlarged single storey rear outbuilding. [Note: This is a partially retrospective application]."/>
    <s v="PF"/>
    <d v="2023-10-20T00:00:00"/>
    <d v="2024-01-17T00:00:00"/>
    <x v="1"/>
    <s v="Nil"/>
    <m/>
    <s v="BF"/>
    <s v="NB"/>
    <x v="2"/>
    <x v="3"/>
    <n v="7.0107000000000003E-2"/>
    <d v="2024-01-17T00:00:00"/>
    <x v="1"/>
    <d v="2024-01-17T00:00:00"/>
    <x v="1"/>
    <s v="M"/>
    <s v=""/>
    <m/>
    <m/>
    <m/>
    <m/>
    <m/>
    <n v="0"/>
    <n v="0"/>
    <n v="0"/>
    <n v="0"/>
    <n v="0"/>
    <n v="0"/>
    <n v="0"/>
    <n v="0"/>
    <n v="0"/>
    <n v="0"/>
    <n v="0"/>
    <n v="0"/>
    <n v="0"/>
    <n v="0"/>
    <n v="0"/>
    <n v="0"/>
    <n v="0"/>
    <n v="0"/>
    <n v="0"/>
    <n v="0"/>
    <n v="0"/>
    <n v="0"/>
    <n v="0"/>
    <n v="0"/>
    <n v="0"/>
    <n v="0"/>
    <n v="0"/>
    <n v="0"/>
    <x v="1"/>
    <x v="0"/>
    <x v="2"/>
    <n v="1"/>
    <n v="0"/>
    <m/>
    <m/>
    <m/>
    <m/>
    <m/>
    <m/>
    <m/>
    <m/>
    <m/>
    <m/>
    <m/>
    <m/>
    <m/>
    <m/>
    <m/>
    <m/>
    <m/>
    <m/>
    <m/>
    <n v="0"/>
    <n v="0"/>
  </r>
  <r>
    <n v="5423"/>
    <x v="0"/>
    <s v="2023/4658"/>
    <s v="346 Garratt Lane"/>
    <s v=""/>
    <n v="525984"/>
    <n v="173043"/>
    <x v="13"/>
    <d v="2023-04-01T00:00:00"/>
    <d v="2024-03-31T00:00:00"/>
    <n v="0"/>
    <x v="3"/>
    <x v="5"/>
    <n v="1"/>
    <n v="1"/>
    <x v="1"/>
    <s v="Determination as to whether prior approval is required for change of use from office over first and second floor level (Class E(c) to a 1 x 2-bedroom dwelling (Class C3)"/>
    <s v="PANR"/>
    <d v="2023-12-14T00:00:00"/>
    <d v="2024-02-01T00:00:00"/>
    <x v="1"/>
    <s v="Nil"/>
    <m/>
    <s v="BF"/>
    <s v="COU"/>
    <x v="2"/>
    <x v="6"/>
    <n v="5.0000000000000001E-3"/>
    <d v="2023-04-01T00:00:00"/>
    <x v="1"/>
    <d v="2024-03-31T00:00:00"/>
    <x v="1"/>
    <s v="M"/>
    <s v=""/>
    <m/>
    <m/>
    <m/>
    <m/>
    <m/>
    <n v="0"/>
    <n v="0"/>
    <n v="1"/>
    <n v="0"/>
    <n v="0"/>
    <n v="0"/>
    <n v="0"/>
    <n v="0"/>
    <n v="0"/>
    <n v="1"/>
    <n v="0"/>
    <n v="0"/>
    <n v="0"/>
    <n v="0"/>
    <n v="0"/>
    <n v="0"/>
    <n v="0"/>
    <n v="0"/>
    <n v="0"/>
    <n v="0"/>
    <n v="0"/>
    <n v="0"/>
    <n v="0"/>
    <n v="0"/>
    <n v="0"/>
    <n v="0"/>
    <n v="0"/>
    <n v="0"/>
    <x v="1"/>
    <x v="0"/>
    <x v="5"/>
    <n v="11"/>
    <n v="1"/>
    <m/>
    <m/>
    <m/>
    <m/>
    <m/>
    <m/>
    <m/>
    <m/>
    <m/>
    <m/>
    <m/>
    <m/>
    <m/>
    <m/>
    <m/>
    <m/>
    <m/>
    <m/>
    <m/>
    <n v="0"/>
    <n v="0"/>
  </r>
  <r>
    <n v="8083"/>
    <x v="0"/>
    <s v="2023/4693"/>
    <s v="3 Archway Mews"/>
    <s v=""/>
    <n v="524447"/>
    <n v="175272"/>
    <x v="3"/>
    <d v="2024-02-23T00:00:00"/>
    <d v="2024-02-23T00:00:00"/>
    <n v="1"/>
    <x v="3"/>
    <x v="6"/>
    <n v="1"/>
    <n v="0"/>
    <x v="1"/>
    <s v="Continued use of the property as a single dwelling."/>
    <s v="LDC Exist"/>
    <d v="2023-12-19T00:00:00"/>
    <d v="2024-02-23T00:00:00"/>
    <x v="1"/>
    <s v="Nil"/>
    <m/>
    <s v="BF"/>
    <s v="COU"/>
    <x v="2"/>
    <x v="6"/>
    <n v="5.0000000000000001E-3"/>
    <d v="2024-02-23T00:00:00"/>
    <x v="1"/>
    <d v="2024-02-23T00:00:00"/>
    <x v="1"/>
    <s v="M"/>
    <s v=""/>
    <m/>
    <m/>
    <m/>
    <m/>
    <m/>
    <n v="0"/>
    <n v="0"/>
    <n v="0"/>
    <n v="0"/>
    <n v="0"/>
    <n v="0"/>
    <n v="0"/>
    <n v="0"/>
    <n v="0"/>
    <n v="0"/>
    <n v="0"/>
    <n v="0"/>
    <n v="0"/>
    <n v="0"/>
    <n v="0"/>
    <n v="0"/>
    <n v="0"/>
    <n v="1"/>
    <n v="0"/>
    <n v="0"/>
    <n v="0"/>
    <n v="0"/>
    <n v="0"/>
    <n v="0"/>
    <n v="-1"/>
    <n v="0"/>
    <n v="0"/>
    <n v="0"/>
    <x v="1"/>
    <x v="0"/>
    <x v="2"/>
    <n v="11"/>
    <n v="0"/>
    <m/>
    <m/>
    <m/>
    <m/>
    <m/>
    <m/>
    <m/>
    <m/>
    <m/>
    <m/>
    <m/>
    <m/>
    <m/>
    <m/>
    <m/>
    <m/>
    <m/>
    <m/>
    <m/>
    <n v="0"/>
    <n v="0"/>
  </r>
  <r>
    <n v="7809"/>
    <x v="0"/>
    <s v="2023/4697"/>
    <s v="22 Gwendolen Avenue"/>
    <s v=""/>
    <n v="523600"/>
    <n v="174996"/>
    <x v="16"/>
    <d v="2024-02-14T00:00:00"/>
    <d v="2024-02-14T00:00:00"/>
    <n v="3"/>
    <x v="3"/>
    <x v="13"/>
    <n v="1"/>
    <n v="-2"/>
    <x v="1"/>
    <s v="Use as single dwelling house (Class C3)."/>
    <s v="LDC Exist"/>
    <d v="2023-12-20T00:00:00"/>
    <d v="2024-02-14T00:00:00"/>
    <x v="1"/>
    <s v="Nil"/>
    <m/>
    <s v="BF"/>
    <s v="CON"/>
    <x v="2"/>
    <x v="11"/>
    <n v="0"/>
    <d v="2024-02-14T00:00:00"/>
    <x v="1"/>
    <d v="2024-02-14T00:00:00"/>
    <x v="1"/>
    <s v="M"/>
    <s v=""/>
    <m/>
    <m/>
    <m/>
    <m/>
    <m/>
    <n v="0"/>
    <n v="-1"/>
    <n v="-2"/>
    <n v="0"/>
    <n v="1"/>
    <n v="0"/>
    <n v="0"/>
    <n v="0"/>
    <n v="-1"/>
    <n v="-2"/>
    <n v="0"/>
    <n v="0"/>
    <n v="0"/>
    <n v="0"/>
    <n v="0"/>
    <n v="0"/>
    <n v="0"/>
    <n v="0"/>
    <n v="1"/>
    <n v="0"/>
    <n v="0"/>
    <n v="0"/>
    <n v="0"/>
    <n v="0"/>
    <n v="0"/>
    <n v="0"/>
    <n v="0"/>
    <n v="0"/>
    <x v="1"/>
    <x v="0"/>
    <x v="2"/>
    <n v="11"/>
    <n v="-2"/>
    <m/>
    <m/>
    <m/>
    <m/>
    <m/>
    <m/>
    <m/>
    <m/>
    <m/>
    <m/>
    <m/>
    <m/>
    <m/>
    <m/>
    <m/>
    <m/>
    <m/>
    <m/>
    <m/>
    <n v="0"/>
    <n v="0"/>
  </r>
  <r>
    <n v="8086"/>
    <x v="0"/>
    <s v="2023/4778"/>
    <s v="13 Baskerville Road"/>
    <s v=""/>
    <n v="527273"/>
    <n v="173831"/>
    <x v="17"/>
    <d v="2024-03-08T00:00:00"/>
    <d v="2024-03-08T00:00:00"/>
    <n v="1"/>
    <x v="3"/>
    <x v="6"/>
    <n v="1"/>
    <n v="0"/>
    <x v="1"/>
    <s v="Change of use from HMO use (Class C4) to residential dwelling house (Class C3)."/>
    <s v="LDC Prop"/>
    <d v="2024-01-03T00:00:00"/>
    <d v="2024-03-08T00:00:00"/>
    <x v="1"/>
    <s v="Nil"/>
    <m/>
    <s v="BF"/>
    <s v="COU"/>
    <x v="2"/>
    <x v="11"/>
    <n v="3.8351000000000003E-2"/>
    <d v="2024-03-08T00:00:00"/>
    <x v="1"/>
    <d v="2024-03-08T00:00:00"/>
    <x v="1"/>
    <s v="M"/>
    <s v=""/>
    <m/>
    <m/>
    <m/>
    <m/>
    <m/>
    <n v="0"/>
    <n v="0"/>
    <n v="0"/>
    <n v="0"/>
    <n v="0"/>
    <n v="0"/>
    <n v="0"/>
    <n v="0"/>
    <n v="0"/>
    <n v="0"/>
    <n v="0"/>
    <n v="0"/>
    <n v="0"/>
    <n v="0"/>
    <n v="0"/>
    <n v="0"/>
    <n v="0"/>
    <n v="0"/>
    <n v="0"/>
    <n v="0"/>
    <n v="0"/>
    <n v="0"/>
    <n v="0"/>
    <n v="0"/>
    <n v="0"/>
    <n v="0"/>
    <n v="0"/>
    <n v="0"/>
    <x v="1"/>
    <x v="0"/>
    <x v="2"/>
    <n v="11"/>
    <n v="0"/>
    <m/>
    <m/>
    <m/>
    <m/>
    <m/>
    <m/>
    <m/>
    <m/>
    <m/>
    <m/>
    <m/>
    <m/>
    <m/>
    <m/>
    <m/>
    <m/>
    <m/>
    <m/>
    <m/>
    <n v="0"/>
    <n v="0"/>
  </r>
  <r>
    <n v="8110"/>
    <x v="0"/>
    <s v="2024/0296"/>
    <s v="5 Coral Row"/>
    <s v=""/>
    <n v="526413"/>
    <n v="175739"/>
    <x v="15"/>
    <d v="2024-03-22T00:00:00"/>
    <d v="2024-03-22T00:00:00"/>
    <n v="1"/>
    <x v="3"/>
    <x v="6"/>
    <n v="1"/>
    <n v="0"/>
    <x v="1"/>
    <s v="To establish the use of the property as a single family dwellinghouse (Use Class C3)."/>
    <s v="LDC Exist"/>
    <d v="2024-01-29T00:00:00"/>
    <d v="2024-03-22T00:00:00"/>
    <x v="1"/>
    <s v="Nil"/>
    <m/>
    <s v="BF"/>
    <s v="CON"/>
    <x v="2"/>
    <x v="8"/>
    <n v="1.0992E-2"/>
    <d v="2024-03-22T00:00:00"/>
    <x v="1"/>
    <d v="2024-03-22T00:00:00"/>
    <x v="1"/>
    <s v="M"/>
    <s v=""/>
    <m/>
    <m/>
    <m/>
    <m/>
    <m/>
    <n v="0"/>
    <n v="0"/>
    <n v="0"/>
    <n v="0"/>
    <n v="1"/>
    <n v="-1"/>
    <n v="0"/>
    <n v="0"/>
    <n v="0"/>
    <n v="0"/>
    <n v="0"/>
    <n v="0"/>
    <n v="0"/>
    <n v="0"/>
    <n v="0"/>
    <n v="0"/>
    <n v="0"/>
    <n v="0"/>
    <n v="1"/>
    <n v="0"/>
    <n v="0"/>
    <n v="0"/>
    <n v="0"/>
    <n v="0"/>
    <n v="0"/>
    <n v="0"/>
    <n v="-1"/>
    <n v="0"/>
    <x v="1"/>
    <x v="0"/>
    <x v="4"/>
    <n v="11"/>
    <n v="0"/>
    <m/>
    <m/>
    <m/>
    <m/>
    <m/>
    <m/>
    <m/>
    <m/>
    <m/>
    <m/>
    <m/>
    <m/>
    <m/>
    <m/>
    <m/>
    <m/>
    <m/>
    <m/>
    <m/>
    <n v="0"/>
    <n v="0"/>
  </r>
  <r>
    <n v="3961"/>
    <x v="0"/>
    <s v="2022/3055"/>
    <s v="Dadu's Parade, 180-218 Upper Tooting Road"/>
    <s v=""/>
    <n v="527645"/>
    <n v="171873"/>
    <x v="19"/>
    <s v="18/11/2022"/>
    <s v="18/11/2022"/>
    <n v="32"/>
    <x v="6"/>
    <x v="47"/>
    <n v="0"/>
    <n v="0"/>
    <x v="0"/>
    <s v="Submission of details for the viability review mechanism pursuant to Schedule 3 of section 106 agreement dated 10th August 2018 related to planning permission ref 2017/4726 (as varied by 2020/2855 dated 02/12/2021) (Demolition of the existing buildings, with the retention and restoration of the RACS building facade and redevelopment of the remainder of the site to provide a part single/part four/part five-storey building to provide up to 2,105sqm of flexible floorspace at ground level for retail, financial and professional services, restaurant, pub and bar (Classes A1-A4) and 173sqm floorspace for community use (Class D1/D2); a 96-bedroom hotel (Class C1); 41 residential units (comprising 9 x 1-bedroom, 29 x 2-bedroom and 3 x 3-bedroom units); associated car parking for 45 cars (including 29 spaces for public use), 124 cycle parking spaces, servicing areas and landscaping) and to modify the s.106 legal agreement to remove obligations relating to affordable housing provision."/>
    <s v="S106"/>
    <s v="21/07/2022"/>
    <s v="18/11/2022"/>
    <x v="0"/>
    <s v="Nil"/>
    <s v=""/>
    <s v="BF"/>
    <s v="CON"/>
    <x v="3"/>
    <x v="0"/>
    <n v="0.14599999999999999"/>
    <s v="18/11/2022"/>
    <x v="0"/>
    <s v="18/11/2022"/>
    <x v="1"/>
    <s v="MR"/>
    <s v="5.1"/>
    <m/>
    <n v="0"/>
    <m/>
    <n v="0"/>
    <m/>
    <n v="0"/>
    <n v="-7"/>
    <n v="-22"/>
    <n v="-3"/>
    <n v="0"/>
    <n v="0"/>
    <n v="0"/>
    <n v="0"/>
    <n v="-7"/>
    <n v="-22"/>
    <n v="-3"/>
    <n v="0"/>
    <n v="0"/>
    <n v="0"/>
    <n v="0"/>
    <n v="0"/>
    <n v="0"/>
    <n v="0"/>
    <n v="0"/>
    <n v="0"/>
    <n v="0"/>
    <n v="0"/>
    <n v="0"/>
    <n v="0"/>
    <n v="0"/>
    <n v="0"/>
    <n v="0"/>
    <n v="0"/>
    <x v="0"/>
    <x v="0"/>
    <x v="0"/>
    <n v="23"/>
    <n v="-32"/>
    <m/>
    <m/>
    <m/>
    <m/>
    <m/>
    <m/>
    <m/>
    <m/>
    <m/>
    <m/>
    <m/>
    <m/>
    <m/>
    <m/>
    <m/>
    <m/>
    <m/>
    <m/>
    <m/>
    <n v="0"/>
    <n v="0"/>
  </r>
  <r>
    <n v="3961"/>
    <x v="0"/>
    <s v="2022/3055"/>
    <s v="Dadu's Parade, 180-218 Upper Tooting Road"/>
    <s v=""/>
    <n v="527645"/>
    <n v="171873"/>
    <x v="19"/>
    <s v="18/11/2022"/>
    <s v="18/11/2022"/>
    <n v="9"/>
    <x v="6"/>
    <x v="48"/>
    <n v="0"/>
    <n v="0"/>
    <x v="0"/>
    <s v="Submission of details for the viability review mechanism pursuant to Schedule 3 of section 106 agreement dated 10th August 2018 related to planning permission ref 2017/4726 (as varied by 2020/2855 dated 02/12/2021) (Demolition of the existing buildings, with the retention and restoration of the RACS building facade and redevelopment of the remainder of the site to provide a part single/part four/part five-storey building to provide up to 2,105sqm of flexible floorspace at ground level for retail, financial and professional services, restaurant, pub and bar (Classes A1-A4) and 173sqm floorspace for community use (Class D1/D2); a 96-bedroom hotel (Class C1); 41 residential units (comprising 9 x 1-bedroom, 29 x 2-bedroom and 3 x 3-bedroom units); associated car parking for 45 cars (including 29 spaces for public use), 124 cycle parking spaces, servicing areas and landscaping) and to modify the s.106 legal agreement to remove obligations relating to affordable housing provision."/>
    <s v="S106"/>
    <s v="21/07/2022"/>
    <s v="18/11/2022"/>
    <x v="0"/>
    <s v="Nil"/>
    <s v=""/>
    <s v="BF"/>
    <s v="CON"/>
    <x v="3"/>
    <x v="0"/>
    <n v="0.06"/>
    <s v="18/11/2022"/>
    <x v="0"/>
    <s v="18/11/2022"/>
    <x v="1"/>
    <s v="MR"/>
    <s v="5.1"/>
    <m/>
    <n v="0"/>
    <m/>
    <n v="0"/>
    <m/>
    <n v="0"/>
    <n v="-2"/>
    <n v="-6"/>
    <n v="-1"/>
    <n v="0"/>
    <n v="0"/>
    <n v="0"/>
    <n v="0"/>
    <n v="-2"/>
    <n v="-6"/>
    <n v="-1"/>
    <n v="0"/>
    <n v="0"/>
    <n v="0"/>
    <n v="0"/>
    <n v="0"/>
    <n v="0"/>
    <n v="0"/>
    <n v="0"/>
    <n v="0"/>
    <n v="0"/>
    <n v="0"/>
    <n v="0"/>
    <n v="0"/>
    <n v="0"/>
    <n v="0"/>
    <n v="0"/>
    <n v="0"/>
    <x v="0"/>
    <x v="0"/>
    <x v="0"/>
    <n v="23"/>
    <n v="-9"/>
    <m/>
    <m/>
    <m/>
    <m/>
    <m/>
    <m/>
    <m/>
    <m/>
    <m/>
    <m/>
    <m/>
    <m/>
    <m/>
    <m/>
    <m/>
    <m/>
    <m/>
    <m/>
    <m/>
    <n v="0"/>
    <n v="0"/>
  </r>
  <r>
    <n v="378"/>
    <x v="1"/>
    <s v="2022/3878"/>
    <s v="190-194 Mitcham Road"/>
    <s v=""/>
    <n v="527913"/>
    <n v="170958"/>
    <x v="0"/>
    <d v="2023-08-16T00:00:00"/>
    <m/>
    <n v="0"/>
    <x v="22"/>
    <x v="26"/>
    <n v="21"/>
    <n v="21"/>
    <x v="0"/>
    <s v="Demolition of existing building and erection of part 3 and part 4 storey building to provide 21 no. residential apartments (use class C3), and commercial/community space (use class E) together with private amenity space, blue badge parking space, access and landscaping."/>
    <s v="PFLA"/>
    <d v="2022-09-16T00:00:00"/>
    <d v="2023-03-31T00:00:00"/>
    <x v="0"/>
    <s v="Nil"/>
    <m/>
    <s v="BF"/>
    <s v="NB"/>
    <x v="1"/>
    <x v="0"/>
    <n v="4.5874999999999999E-2"/>
    <d v="2023-08-16T00:00:00"/>
    <x v="1"/>
    <m/>
    <x v="1"/>
    <s v="M"/>
    <s v=""/>
    <m/>
    <m/>
    <n v="19"/>
    <m/>
    <n v="2"/>
    <n v="1"/>
    <n v="4"/>
    <n v="14"/>
    <n v="2"/>
    <n v="0"/>
    <n v="0"/>
    <n v="0"/>
    <n v="1"/>
    <n v="4"/>
    <n v="14"/>
    <n v="2"/>
    <n v="0"/>
    <n v="0"/>
    <n v="0"/>
    <n v="0"/>
    <n v="0"/>
    <n v="0"/>
    <n v="0"/>
    <n v="0"/>
    <n v="0"/>
    <n v="0"/>
    <n v="0"/>
    <n v="0"/>
    <n v="0"/>
    <n v="0"/>
    <n v="0"/>
    <n v="0"/>
    <n v="0"/>
    <x v="1"/>
    <x v="0"/>
    <x v="2"/>
    <n v="5"/>
    <m/>
    <m/>
    <n v="21"/>
    <m/>
    <m/>
    <m/>
    <m/>
    <m/>
    <m/>
    <m/>
    <m/>
    <m/>
    <m/>
    <m/>
    <m/>
    <m/>
    <m/>
    <m/>
    <m/>
    <m/>
    <n v="21"/>
    <n v="21"/>
  </r>
  <r>
    <n v="4260"/>
    <x v="1"/>
    <s v="2013/5264"/>
    <s v="155 Burntwood Lane"/>
    <s v=""/>
    <n v="526461"/>
    <n v="172543"/>
    <x v="17"/>
    <d v="2018-03-31T00:00:00"/>
    <m/>
    <n v="0"/>
    <x v="11"/>
    <x v="36"/>
    <n v="3"/>
    <n v="3"/>
    <x v="1"/>
    <s v="Demolition of rear addition and alterations including erection of part single part two-storey front, side, rear extensions to rear addition, alterations to front and side ground floor elevations and enclosure of front and side forecourt in connection with use as three flats."/>
    <s v="PF"/>
    <d v="2013-10-21T00:00:00"/>
    <d v="2013-10-21T00:00:00"/>
    <x v="0"/>
    <s v="Nil"/>
    <m/>
    <s v="BF"/>
    <s v="MIX"/>
    <x v="2"/>
    <x v="4"/>
    <n v="3.4000000000000002E-2"/>
    <d v="2018-03-31T00:00:00"/>
    <x v="0"/>
    <m/>
    <x v="1"/>
    <s v="M"/>
    <s v=""/>
    <m/>
    <m/>
    <m/>
    <m/>
    <m/>
    <n v="0"/>
    <n v="0"/>
    <n v="2"/>
    <n v="1"/>
    <n v="0"/>
    <n v="0"/>
    <n v="0"/>
    <n v="0"/>
    <n v="0"/>
    <n v="2"/>
    <n v="1"/>
    <n v="0"/>
    <n v="0"/>
    <n v="0"/>
    <n v="0"/>
    <n v="0"/>
    <n v="0"/>
    <n v="0"/>
    <n v="0"/>
    <n v="0"/>
    <n v="0"/>
    <n v="0"/>
    <n v="0"/>
    <n v="0"/>
    <n v="0"/>
    <n v="0"/>
    <n v="0"/>
    <n v="0"/>
    <x v="1"/>
    <x v="0"/>
    <x v="2"/>
    <n v="13"/>
    <m/>
    <n v="3"/>
    <m/>
    <m/>
    <m/>
    <m/>
    <m/>
    <m/>
    <m/>
    <m/>
    <m/>
    <m/>
    <m/>
    <m/>
    <m/>
    <m/>
    <m/>
    <m/>
    <m/>
    <m/>
    <n v="3"/>
    <n v="3"/>
  </r>
  <r>
    <n v="5514"/>
    <x v="1"/>
    <s v="2013/6430"/>
    <s v="15 Fernthorpe Road"/>
    <s v=""/>
    <n v="529246"/>
    <n v="170855"/>
    <x v="9"/>
    <d v="2017-04-01T00:00:00"/>
    <m/>
    <n v="0"/>
    <x v="3"/>
    <x v="5"/>
    <n v="1"/>
    <n v="1"/>
    <x v="1"/>
    <s v="Demolition of existing garage. Construction of three-storey side extension with rear roof extension and conversion into self contained two bedroomed dwelling. Installation of 6 solar panels to front roof slope."/>
    <s v="PF"/>
    <d v="2014-01-08T00:00:00"/>
    <d v="2015-04-13T00:00:00"/>
    <x v="0"/>
    <s v="Nil"/>
    <m/>
    <s v="BF"/>
    <s v="MIX"/>
    <x v="2"/>
    <x v="3"/>
    <n v="7.0000000000000001E-3"/>
    <d v="2017-04-01T00:00:00"/>
    <x v="0"/>
    <m/>
    <x v="1"/>
    <s v="M"/>
    <s v=""/>
    <m/>
    <n v="1"/>
    <m/>
    <m/>
    <m/>
    <n v="0"/>
    <n v="0"/>
    <n v="1"/>
    <n v="0"/>
    <n v="0"/>
    <n v="0"/>
    <n v="0"/>
    <n v="0"/>
    <n v="0"/>
    <n v="0"/>
    <n v="0"/>
    <n v="0"/>
    <n v="0"/>
    <n v="0"/>
    <n v="0"/>
    <n v="0"/>
    <n v="1"/>
    <n v="0"/>
    <n v="0"/>
    <n v="0"/>
    <n v="0"/>
    <n v="0"/>
    <n v="0"/>
    <n v="0"/>
    <n v="0"/>
    <n v="0"/>
    <n v="0"/>
    <n v="0"/>
    <x v="1"/>
    <x v="0"/>
    <x v="2"/>
    <n v="13"/>
    <m/>
    <n v="1"/>
    <m/>
    <m/>
    <m/>
    <m/>
    <m/>
    <m/>
    <m/>
    <m/>
    <m/>
    <m/>
    <m/>
    <m/>
    <m/>
    <m/>
    <m/>
    <m/>
    <m/>
    <m/>
    <n v="1"/>
    <n v="1"/>
  </r>
  <r>
    <n v="2154"/>
    <x v="1"/>
    <s v="2014/1622"/>
    <s v="Mission Church development site, 22-24 Kellino Street (Tooting Boys' Club)"/>
    <s v=""/>
    <n v="527691"/>
    <n v="171695"/>
    <x v="19"/>
    <d v="2017-09-11T00:00:00"/>
    <m/>
    <n v="0"/>
    <x v="12"/>
    <x v="15"/>
    <n v="4"/>
    <n v="4"/>
    <x v="1"/>
    <s v="Change of use of the existing building from former community building (Class D1) to create four self-contained residential units comprising internal and external alterations (including terraces) and extensions."/>
    <s v="PF"/>
    <d v="2014-05-06T00:00:00"/>
    <d v="2014-07-18T00:00:00"/>
    <x v="0"/>
    <s v="Nil"/>
    <m/>
    <s v="BF"/>
    <s v="MIX"/>
    <x v="2"/>
    <x v="3"/>
    <n v="1.9E-2"/>
    <d v="2017-09-11T00:00:00"/>
    <x v="0"/>
    <m/>
    <x v="1"/>
    <s v="M"/>
    <s v=""/>
    <m/>
    <m/>
    <m/>
    <m/>
    <m/>
    <n v="0"/>
    <n v="0"/>
    <n v="2"/>
    <n v="2"/>
    <n v="0"/>
    <n v="0"/>
    <n v="0"/>
    <n v="0"/>
    <n v="0"/>
    <n v="2"/>
    <n v="2"/>
    <n v="0"/>
    <n v="0"/>
    <n v="0"/>
    <n v="0"/>
    <n v="0"/>
    <n v="0"/>
    <n v="0"/>
    <n v="0"/>
    <n v="0"/>
    <n v="0"/>
    <n v="0"/>
    <n v="0"/>
    <n v="0"/>
    <n v="0"/>
    <n v="0"/>
    <n v="0"/>
    <n v="0"/>
    <x v="1"/>
    <x v="0"/>
    <x v="0"/>
    <n v="13"/>
    <m/>
    <n v="4"/>
    <m/>
    <m/>
    <m/>
    <m/>
    <m/>
    <m/>
    <m/>
    <m/>
    <m/>
    <m/>
    <m/>
    <m/>
    <m/>
    <m/>
    <m/>
    <m/>
    <m/>
    <m/>
    <n v="4"/>
    <n v="4"/>
  </r>
  <r>
    <n v="3511"/>
    <x v="1"/>
    <s v="2019/4187"/>
    <s v="New Covent Garden Market, Nine Elms Lane (Combined Main Market, Entrance site and Thessaly College site)"/>
    <s v="N10"/>
    <n v="529369"/>
    <n v="177317"/>
    <x v="1"/>
    <d v="2019-07-26T00:00:00"/>
    <m/>
    <n v="0"/>
    <x v="41"/>
    <x v="49"/>
    <n v="542"/>
    <n v="542"/>
    <x v="0"/>
    <s v="Section 96A application for non-material amendments (alteration to the layouts of Buildings N9 and N10 to accommodate additional family units, alterations at ground floor to residential amenity areas and external design changes to Buildings N9 and N10) to Reserved Matters Approval ref. 2018/5698 dated 22/03/2019: &quot;Application for approval of reserved matters (Access, Layout, Appearance, Scale and Landscaping) for Phase 1B of the Northern Site Development Zone pursuant to part outline and part detailed planning permission 2014/2810, dated 11/02/15 &quot;For part outline and part detail planning permission for: (a) demolition of existing wholesale Fruit and Vegetable and Flower Market and ancillary buildings and structures, and residential building on Nine Elms Lane (apart from the existing multi storey car park); (b) Construction of mixed-use redevelopment comprising: a new Fruit and Vegetable Market and Flower Market and ancillary uses, including temporary and permanent façade; refurbishment and extension of existing waste collection area (including rooftop sports pitches); residential dwellings; flexible commercial uses, including retail, financial and professional services, café/restaurant, bar uses and hot food takeaways and offices; non-residential institutions; assembly and leisure uses; temporary storage and distribution buildings and associated works; associated car, cycle and motorcycle parking and servicing and new vehicle accesses, energy centres; and landscaping public realm and open space including part of the Linear Park. All matters reserved apart from access, details of all new markets and supporting buildings, and details of Building N8 and associated landscaping); (c) Site clearance and enabling works. An Environmental Statement has been submitted with the application under The Town and Country Planning (Environmental Impact Assessment) Regulations 2011.&quot;"/>
    <s v="S96A"/>
    <d v="2019-10-08T00:00:00"/>
    <d v="2019-10-22T00:00:00"/>
    <x v="0"/>
    <s v="Nil"/>
    <m/>
    <s v="BF"/>
    <s v="NB"/>
    <x v="1"/>
    <x v="0"/>
    <n v="1.764"/>
    <d v="2019-07-26T00:00:00"/>
    <x v="0"/>
    <m/>
    <x v="1"/>
    <s v="M"/>
    <s v="2.1.27"/>
    <m/>
    <n v="288"/>
    <m/>
    <n v="28"/>
    <m/>
    <n v="0"/>
    <n v="98"/>
    <n v="134"/>
    <n v="74"/>
    <n v="10"/>
    <n v="0"/>
    <n v="0"/>
    <n v="0"/>
    <n v="98"/>
    <n v="134"/>
    <n v="74"/>
    <n v="10"/>
    <n v="0"/>
    <n v="0"/>
    <n v="0"/>
    <n v="0"/>
    <n v="0"/>
    <n v="0"/>
    <n v="0"/>
    <n v="0"/>
    <n v="0"/>
    <n v="0"/>
    <n v="0"/>
    <n v="0"/>
    <n v="0"/>
    <n v="0"/>
    <n v="0"/>
    <n v="0"/>
    <x v="1"/>
    <x v="1"/>
    <x v="1"/>
    <n v="5"/>
    <m/>
    <m/>
    <m/>
    <m/>
    <m/>
    <m/>
    <n v="316"/>
    <m/>
    <m/>
    <m/>
    <m/>
    <m/>
    <m/>
    <m/>
    <m/>
    <m/>
    <m/>
    <m/>
    <m/>
    <m/>
    <n v="0"/>
    <n v="316"/>
  </r>
  <r>
    <n v="2502"/>
    <x v="1"/>
    <s v="2022/4812"/>
    <s v="Springfield Hospital site, 61 Glenburnie Road"/>
    <s v="Plot F - Affordable"/>
    <n v="527221"/>
    <n v="172443"/>
    <x v="17"/>
    <d v="2024-03-31T00:00:00"/>
    <m/>
    <n v="0"/>
    <x v="42"/>
    <x v="50"/>
    <n v="253"/>
    <n v="253"/>
    <x v="0"/>
    <s v="Reserved matters application relating to landscaping, scale and appearance of Springfield Hospital Plots P, Q, G and F pursuant to Condition 1 of Outline Permission (reference: 2010/3703 as amended by 2014/6585, 2016/4760 and 2019/2495) in respect of the demolition, clearance and redevelopment of the plots to provide 253 residential units, landscaping and associated works."/>
    <s v="DT"/>
    <d v="2022-11-22T00:00:00"/>
    <d v="2023-04-26T00:00:00"/>
    <x v="1"/>
    <s v="Nil"/>
    <m/>
    <s v="BF"/>
    <s v="NB"/>
    <x v="1"/>
    <x v="0"/>
    <n v="0.313"/>
    <d v="2024-03-31T00:00:00"/>
    <x v="1"/>
    <m/>
    <x v="2"/>
    <s v="AL"/>
    <s v="9.1"/>
    <m/>
    <m/>
    <n v="37"/>
    <m/>
    <m/>
    <n v="0"/>
    <n v="0"/>
    <n v="0"/>
    <n v="30"/>
    <n v="7"/>
    <n v="0"/>
    <n v="0"/>
    <n v="0"/>
    <n v="0"/>
    <n v="0"/>
    <n v="25"/>
    <n v="7"/>
    <n v="0"/>
    <n v="0"/>
    <n v="0"/>
    <n v="0"/>
    <n v="0"/>
    <n v="5"/>
    <n v="0"/>
    <n v="0"/>
    <n v="0"/>
    <n v="0"/>
    <n v="0"/>
    <n v="0"/>
    <n v="0"/>
    <n v="0"/>
    <n v="0"/>
    <n v="0"/>
    <x v="1"/>
    <x v="0"/>
    <x v="2"/>
    <n v="5"/>
    <m/>
    <m/>
    <m/>
    <n v="37"/>
    <m/>
    <m/>
    <m/>
    <m/>
    <m/>
    <m/>
    <m/>
    <m/>
    <m/>
    <m/>
    <m/>
    <m/>
    <m/>
    <m/>
    <m/>
    <m/>
    <n v="37"/>
    <n v="37"/>
  </r>
  <r>
    <n v="5775"/>
    <x v="1"/>
    <s v="2014/6325"/>
    <s v="Land rear of, 13 Thurleigh Road"/>
    <s v=""/>
    <n v="527719"/>
    <n v="174043"/>
    <x v="11"/>
    <d v="2017-07-05T00:00:00"/>
    <m/>
    <n v="0"/>
    <x v="3"/>
    <x v="5"/>
    <n v="1"/>
    <n v="1"/>
    <x v="1"/>
    <s v="Demolition of existing garages, erection of a single-storey plus basement attached self-contained dwelling fronting Blenkame Road with boundary treatment and associated landscaping."/>
    <s v="PF"/>
    <d v="2014-11-06T00:00:00"/>
    <d v="2015-02-27T00:00:00"/>
    <x v="0"/>
    <s v="Nil"/>
    <m/>
    <s v="BF"/>
    <s v="NB"/>
    <x v="2"/>
    <x v="3"/>
    <n v="8.9999999999999993E-3"/>
    <d v="2017-07-05T00:00:00"/>
    <x v="0"/>
    <m/>
    <x v="1"/>
    <s v="M"/>
    <s v=""/>
    <m/>
    <m/>
    <m/>
    <m/>
    <m/>
    <n v="0"/>
    <n v="0"/>
    <n v="1"/>
    <n v="0"/>
    <n v="0"/>
    <n v="0"/>
    <n v="0"/>
    <n v="0"/>
    <n v="0"/>
    <n v="0"/>
    <n v="0"/>
    <n v="0"/>
    <n v="0"/>
    <n v="0"/>
    <n v="0"/>
    <n v="0"/>
    <n v="1"/>
    <n v="0"/>
    <n v="0"/>
    <n v="0"/>
    <n v="0"/>
    <n v="0"/>
    <n v="0"/>
    <n v="0"/>
    <n v="0"/>
    <n v="0"/>
    <n v="0"/>
    <n v="0"/>
    <x v="1"/>
    <x v="0"/>
    <x v="2"/>
    <n v="3"/>
    <m/>
    <n v="1"/>
    <m/>
    <m/>
    <m/>
    <m/>
    <m/>
    <m/>
    <m/>
    <m/>
    <m/>
    <m/>
    <m/>
    <m/>
    <m/>
    <m/>
    <m/>
    <m/>
    <m/>
    <m/>
    <n v="1"/>
    <n v="1"/>
  </r>
  <r>
    <n v="5554"/>
    <x v="1"/>
    <s v="2015/0277"/>
    <s v="Kerry Cottage, 1A Cambalt Road"/>
    <s v=""/>
    <n v="523841"/>
    <n v="174804"/>
    <x v="16"/>
    <d v="2017-07-21T00:00:00"/>
    <m/>
    <n v="1"/>
    <x v="3"/>
    <x v="6"/>
    <n v="1"/>
    <n v="0"/>
    <x v="1"/>
    <s v="Demolition of existing building and erection of detached 2-storey house with accommodation at basement level; erection of east brick boundary wall."/>
    <s v="PF"/>
    <d v="2015-01-20T00:00:00"/>
    <d v="2015-03-17T00:00:00"/>
    <x v="0"/>
    <s v="Nil"/>
    <m/>
    <s v="BF"/>
    <s v="NB"/>
    <x v="2"/>
    <x v="3"/>
    <n v="2.3E-2"/>
    <d v="2017-07-21T00:00:00"/>
    <x v="0"/>
    <m/>
    <x v="1"/>
    <s v="M"/>
    <s v=""/>
    <m/>
    <m/>
    <m/>
    <m/>
    <m/>
    <n v="0"/>
    <n v="0"/>
    <n v="0"/>
    <n v="-1"/>
    <n v="1"/>
    <n v="0"/>
    <n v="0"/>
    <n v="0"/>
    <n v="0"/>
    <n v="0"/>
    <n v="0"/>
    <n v="0"/>
    <n v="0"/>
    <n v="0"/>
    <n v="0"/>
    <n v="0"/>
    <n v="0"/>
    <n v="-1"/>
    <n v="1"/>
    <n v="0"/>
    <n v="0"/>
    <n v="0"/>
    <n v="0"/>
    <n v="0"/>
    <n v="0"/>
    <n v="0"/>
    <n v="0"/>
    <n v="0"/>
    <x v="1"/>
    <x v="0"/>
    <x v="2"/>
    <n v="3"/>
    <m/>
    <n v="0"/>
    <m/>
    <m/>
    <m/>
    <m/>
    <m/>
    <m/>
    <m/>
    <m/>
    <m/>
    <m/>
    <m/>
    <m/>
    <m/>
    <m/>
    <m/>
    <m/>
    <m/>
    <m/>
    <n v="0"/>
    <n v="0"/>
  </r>
  <r>
    <n v="2304"/>
    <x v="1"/>
    <s v="2015/5875"/>
    <s v="Chelsea Bridge Wharf (southern site), Queenstown Road (Phase 5, Residential Blocks F &amp; G (Lanson House &amp; Burnelli House))"/>
    <s v=""/>
    <n v="528666"/>
    <n v="177450"/>
    <x v="2"/>
    <d v="2019-03-31T00:00:00"/>
    <m/>
    <n v="0"/>
    <x v="10"/>
    <x v="14"/>
    <n v="7"/>
    <n v="7"/>
    <x v="1"/>
    <s v="Change of use from &quot;flexible commercial space&quot; to provide 7 residential apartments with associated screening and landscaping"/>
    <s v="PFLA"/>
    <d v="2015-10-19T00:00:00"/>
    <d v="2016-04-05T00:00:00"/>
    <x v="0"/>
    <s v="Nil"/>
    <m/>
    <s v="BF"/>
    <s v="COU"/>
    <x v="2"/>
    <x v="6"/>
    <n v="5.8999999999999997E-2"/>
    <d v="2019-03-31T00:00:00"/>
    <x v="0"/>
    <m/>
    <x v="1"/>
    <s v="M"/>
    <s v=""/>
    <m/>
    <n v="7"/>
    <m/>
    <m/>
    <m/>
    <n v="0"/>
    <n v="3"/>
    <n v="4"/>
    <n v="0"/>
    <n v="0"/>
    <n v="0"/>
    <n v="0"/>
    <n v="0"/>
    <n v="3"/>
    <n v="4"/>
    <n v="0"/>
    <n v="0"/>
    <n v="0"/>
    <n v="0"/>
    <n v="0"/>
    <n v="0"/>
    <n v="0"/>
    <n v="0"/>
    <n v="0"/>
    <n v="0"/>
    <n v="0"/>
    <n v="0"/>
    <n v="0"/>
    <n v="0"/>
    <n v="0"/>
    <n v="0"/>
    <n v="0"/>
    <n v="0"/>
    <x v="1"/>
    <x v="1"/>
    <x v="1"/>
    <n v="13"/>
    <m/>
    <n v="7"/>
    <m/>
    <m/>
    <m/>
    <m/>
    <m/>
    <m/>
    <m/>
    <m/>
    <m/>
    <m/>
    <m/>
    <m/>
    <m/>
    <m/>
    <m/>
    <m/>
    <m/>
    <m/>
    <n v="7"/>
    <n v="7"/>
  </r>
  <r>
    <n v="5589"/>
    <x v="1"/>
    <s v="2016/3838"/>
    <s v="Chatfield Court, 56 Chatfield Road"/>
    <s v=""/>
    <n v="526329"/>
    <n v="175625"/>
    <x v="15"/>
    <d v="2020-04-01T00:00:00"/>
    <m/>
    <n v="0"/>
    <x v="29"/>
    <x v="33"/>
    <n v="9"/>
    <n v="9"/>
    <x v="1"/>
    <s v="Demolition of existing roof structure and erection of four-storey extension (to create fourth, fifth, sixth and seventh floors) to provide 2 x 1-bedroom, 5 x 2-bedroom and  2 x 3-bedroom residential units, creation of balconies and roof terraces, and external alterations."/>
    <s v="PF"/>
    <d v="2016-06-30T00:00:00"/>
    <d v="2016-11-28T00:00:00"/>
    <x v="0"/>
    <s v="Nil"/>
    <m/>
    <s v="BF"/>
    <s v="EXT"/>
    <x v="2"/>
    <x v="7"/>
    <n v="2.7E-2"/>
    <d v="2020-04-01T00:00:00"/>
    <x v="0"/>
    <m/>
    <x v="1"/>
    <s v="M"/>
    <s v=""/>
    <m/>
    <n v="9"/>
    <m/>
    <m/>
    <m/>
    <n v="0"/>
    <n v="2"/>
    <n v="5"/>
    <n v="2"/>
    <n v="0"/>
    <n v="0"/>
    <n v="0"/>
    <n v="0"/>
    <n v="2"/>
    <n v="5"/>
    <n v="2"/>
    <n v="0"/>
    <n v="0"/>
    <n v="0"/>
    <n v="0"/>
    <n v="0"/>
    <n v="0"/>
    <n v="0"/>
    <n v="0"/>
    <n v="0"/>
    <n v="0"/>
    <n v="0"/>
    <n v="0"/>
    <n v="0"/>
    <n v="0"/>
    <n v="0"/>
    <n v="0"/>
    <n v="0"/>
    <x v="1"/>
    <x v="0"/>
    <x v="4"/>
    <n v="13"/>
    <m/>
    <n v="9"/>
    <m/>
    <m/>
    <m/>
    <m/>
    <m/>
    <m/>
    <m/>
    <m/>
    <m/>
    <m/>
    <m/>
    <m/>
    <m/>
    <m/>
    <m/>
    <m/>
    <m/>
    <m/>
    <n v="9"/>
    <n v="9"/>
  </r>
  <r>
    <n v="5377"/>
    <x v="1"/>
    <s v="2016/4349"/>
    <s v="28 Tooting Bec Road"/>
    <s v=""/>
    <n v="528146"/>
    <n v="172290"/>
    <x v="19"/>
    <d v="2018-03-31T00:00:00"/>
    <m/>
    <n v="1"/>
    <x v="11"/>
    <x v="7"/>
    <n v="3"/>
    <n v="2"/>
    <x v="1"/>
    <s v="Alterations including the erection of a single storey side and rear extension, rear mansard roof extension and extension over part of rear addition, excavation to create basement including a rear lightwell, installation of roof-lights to the front in connection with conversion of part of the basement level, rear of the ground floor, 1st and 2nd floors of the property to form 2 x 1-bedroom and 1 x 2-bedroom flats, and  use of part of the basement for commercial purposes."/>
    <s v="PF"/>
    <d v="2016-08-05T00:00:00"/>
    <d v="2016-10-24T00:00:00"/>
    <x v="0"/>
    <s v="Nil"/>
    <m/>
    <s v="BF"/>
    <s v="MIX"/>
    <x v="2"/>
    <x v="5"/>
    <n v="7.0000000000000001E-3"/>
    <d v="2018-03-31T00:00:00"/>
    <x v="0"/>
    <m/>
    <x v="1"/>
    <s v="M"/>
    <s v=""/>
    <m/>
    <m/>
    <m/>
    <m/>
    <m/>
    <n v="0"/>
    <n v="2"/>
    <n v="1"/>
    <n v="-1"/>
    <n v="0"/>
    <n v="0"/>
    <n v="0"/>
    <n v="0"/>
    <n v="2"/>
    <n v="1"/>
    <n v="-1"/>
    <n v="0"/>
    <n v="0"/>
    <n v="0"/>
    <n v="0"/>
    <n v="0"/>
    <n v="0"/>
    <n v="0"/>
    <n v="0"/>
    <n v="0"/>
    <n v="0"/>
    <n v="0"/>
    <n v="0"/>
    <n v="0"/>
    <n v="0"/>
    <n v="0"/>
    <n v="0"/>
    <n v="0"/>
    <x v="1"/>
    <x v="0"/>
    <x v="2"/>
    <n v="13"/>
    <m/>
    <n v="2"/>
    <m/>
    <m/>
    <m/>
    <m/>
    <m/>
    <m/>
    <m/>
    <m/>
    <m/>
    <m/>
    <m/>
    <m/>
    <m/>
    <m/>
    <m/>
    <m/>
    <m/>
    <m/>
    <n v="2"/>
    <n v="2"/>
  </r>
  <r>
    <n v="2502"/>
    <x v="1"/>
    <s v="2022/4812"/>
    <s v="Springfield Hospital site, 61 Glenburnie Road"/>
    <s v="Plot F - Intermediate"/>
    <n v="527221"/>
    <n v="172443"/>
    <x v="17"/>
    <d v="2024-03-31T00:00:00"/>
    <m/>
    <n v="0"/>
    <x v="28"/>
    <x v="32"/>
    <n v="253"/>
    <n v="253"/>
    <x v="0"/>
    <s v="Reserved matters application relating to landscaping, scale and appearance of Springfield Hospital Plots P, Q, G and F pursuant to Condition 1 of Outline Permission (reference: 2010/3703 as amended by 2014/6585, 2016/4760 and 2019/2495) in respect of the demolition, clearance and redevelopment of the plots to provide 253 residential units, landscaping and associated works."/>
    <s v="DT"/>
    <d v="2022-11-22T00:00:00"/>
    <d v="2023-04-26T00:00:00"/>
    <x v="1"/>
    <s v="Nil"/>
    <m/>
    <s v="BF"/>
    <s v="NB"/>
    <x v="1"/>
    <x v="0"/>
    <n v="0.127"/>
    <d v="2024-03-31T00:00:00"/>
    <x v="1"/>
    <m/>
    <x v="0"/>
    <s v="ISL"/>
    <s v="9.1"/>
    <m/>
    <m/>
    <m/>
    <m/>
    <n v="1"/>
    <n v="0"/>
    <n v="7"/>
    <n v="2"/>
    <n v="6"/>
    <n v="0"/>
    <n v="0"/>
    <n v="0"/>
    <n v="0"/>
    <n v="7"/>
    <n v="2"/>
    <n v="6"/>
    <n v="0"/>
    <n v="0"/>
    <n v="0"/>
    <n v="0"/>
    <n v="0"/>
    <n v="0"/>
    <n v="0"/>
    <n v="0"/>
    <n v="0"/>
    <n v="0"/>
    <n v="0"/>
    <n v="0"/>
    <n v="0"/>
    <n v="0"/>
    <n v="0"/>
    <n v="0"/>
    <n v="0"/>
    <x v="1"/>
    <x v="0"/>
    <x v="2"/>
    <n v="5"/>
    <m/>
    <m/>
    <m/>
    <n v="15"/>
    <m/>
    <m/>
    <m/>
    <m/>
    <m/>
    <m/>
    <m/>
    <m/>
    <m/>
    <m/>
    <m/>
    <m/>
    <m/>
    <m/>
    <m/>
    <m/>
    <n v="15"/>
    <n v="15"/>
  </r>
  <r>
    <n v="6311"/>
    <x v="1"/>
    <s v="2016/6287"/>
    <s v="25 Crockerton Road"/>
    <s v=""/>
    <n v="527604"/>
    <n v="172607"/>
    <x v="10"/>
    <d v="2017-11-08T00:00:00"/>
    <m/>
    <n v="4"/>
    <x v="3"/>
    <x v="51"/>
    <n v="1"/>
    <n v="-3"/>
    <x v="1"/>
    <s v="Alterations in connection with the conversion of the property from four flats (2 x 1-bedroom and 2 x 2-bedroom) to a single dwellinghouse (seven-bedroom). Formation of rear roof terrace at main roof level with 1.1m high balustrade."/>
    <s v="PF"/>
    <d v="2016-10-27T00:00:00"/>
    <d v="2016-12-21T00:00:00"/>
    <x v="0"/>
    <s v="Nil"/>
    <m/>
    <s v="BF"/>
    <s v="CON"/>
    <x v="2"/>
    <x v="11"/>
    <n v="2.8000000000000001E-2"/>
    <d v="2017-11-08T00:00:00"/>
    <x v="0"/>
    <m/>
    <x v="1"/>
    <s v="M"/>
    <s v=""/>
    <m/>
    <m/>
    <m/>
    <m/>
    <m/>
    <n v="0"/>
    <n v="-2"/>
    <n v="-2"/>
    <n v="0"/>
    <n v="0"/>
    <n v="1"/>
    <n v="0"/>
    <n v="0"/>
    <n v="-2"/>
    <n v="-2"/>
    <n v="0"/>
    <n v="0"/>
    <n v="0"/>
    <n v="0"/>
    <n v="0"/>
    <n v="0"/>
    <n v="0"/>
    <n v="0"/>
    <n v="0"/>
    <n v="1"/>
    <n v="0"/>
    <n v="0"/>
    <n v="0"/>
    <n v="0"/>
    <n v="0"/>
    <n v="0"/>
    <n v="0"/>
    <n v="0"/>
    <x v="1"/>
    <x v="0"/>
    <x v="2"/>
    <n v="13"/>
    <m/>
    <n v="-3"/>
    <m/>
    <m/>
    <m/>
    <m/>
    <m/>
    <m/>
    <m/>
    <m/>
    <m/>
    <m/>
    <m/>
    <m/>
    <m/>
    <m/>
    <m/>
    <m/>
    <m/>
    <m/>
    <n v="-3"/>
    <n v="-3"/>
  </r>
  <r>
    <n v="2502"/>
    <x v="1"/>
    <s v="2022/4812"/>
    <s v="Springfield Hospital site, 61 Glenburnie Road"/>
    <s v="Plot G - Extra Care"/>
    <n v="527221"/>
    <n v="172443"/>
    <x v="17"/>
    <d v="2024-03-31T00:00:00"/>
    <m/>
    <n v="0"/>
    <x v="32"/>
    <x v="37"/>
    <n v="253"/>
    <n v="253"/>
    <x v="0"/>
    <s v="Reserved matters application relating to landscaping, scale and appearance of Springfield Hospital Plots P, Q, G and F pursuant to Condition 1 of Outline Permission (reference: 2010/3703 as amended by 2014/6585, 2016/4760 and 2019/2495) in respect of the demolition, clearance and redevelopment of the plots to provide 253 residential units, landscaping and associated works."/>
    <s v="DT"/>
    <d v="2022-11-22T00:00:00"/>
    <d v="2023-04-26T00:00:00"/>
    <x v="1"/>
    <s v="Nil"/>
    <m/>
    <s v="BF"/>
    <s v="NB"/>
    <x v="1"/>
    <x v="0"/>
    <n v="0.26400000000000001"/>
    <d v="2024-03-31T00:00:00"/>
    <x v="1"/>
    <m/>
    <x v="2"/>
    <s v="AS"/>
    <s v="9.1"/>
    <m/>
    <m/>
    <n v="35"/>
    <m/>
    <n v="11"/>
    <n v="0"/>
    <n v="46"/>
    <n v="0"/>
    <n v="0"/>
    <n v="0"/>
    <n v="0"/>
    <n v="0"/>
    <n v="0"/>
    <n v="46"/>
    <n v="0"/>
    <n v="0"/>
    <n v="0"/>
    <n v="0"/>
    <n v="0"/>
    <n v="0"/>
    <n v="0"/>
    <n v="0"/>
    <n v="0"/>
    <n v="0"/>
    <n v="0"/>
    <n v="0"/>
    <n v="0"/>
    <n v="0"/>
    <n v="0"/>
    <n v="0"/>
    <n v="0"/>
    <n v="0"/>
    <n v="0"/>
    <x v="1"/>
    <x v="0"/>
    <x v="2"/>
    <n v="5"/>
    <m/>
    <m/>
    <m/>
    <n v="46"/>
    <m/>
    <m/>
    <m/>
    <m/>
    <m/>
    <m/>
    <m/>
    <m/>
    <m/>
    <m/>
    <m/>
    <m/>
    <m/>
    <m/>
    <m/>
    <m/>
    <n v="46"/>
    <n v="46"/>
  </r>
  <r>
    <n v="2502"/>
    <x v="1"/>
    <s v="2022/4812"/>
    <s v="Springfield Hospital site, 61 Glenburnie Road"/>
    <s v="Plot G - Extra Care (Supported Living)"/>
    <n v="527221"/>
    <n v="172443"/>
    <x v="17"/>
    <d v="2024-03-31T00:00:00"/>
    <m/>
    <n v="0"/>
    <x v="43"/>
    <x v="52"/>
    <n v="253"/>
    <n v="253"/>
    <x v="0"/>
    <s v="Reserved matters application relating to landscaping, scale and appearance of Springfield Hospital Plots P, Q, G and F pursuant to Condition 1 of Outline Permission (reference: 2010/3703 as amended by 2014/6585, 2016/4760 and 2019/2495) in respect of the demolition, clearance and redevelopment of the plots to provide 253 residential units, landscaping and associated works."/>
    <s v="DT"/>
    <d v="2022-11-22T00:00:00"/>
    <d v="2023-04-26T00:00:00"/>
    <x v="1"/>
    <s v="Nil"/>
    <m/>
    <s v="BF"/>
    <s v="NB"/>
    <x v="1"/>
    <x v="0"/>
    <n v="5.7000000000000002E-2"/>
    <d v="2024-03-31T00:00:00"/>
    <x v="1"/>
    <m/>
    <x v="2"/>
    <s v="AA"/>
    <s v="9.1"/>
    <m/>
    <m/>
    <n v="10"/>
    <m/>
    <m/>
    <n v="0"/>
    <n v="10"/>
    <n v="0"/>
    <n v="0"/>
    <n v="0"/>
    <n v="0"/>
    <n v="0"/>
    <n v="0"/>
    <n v="10"/>
    <n v="0"/>
    <n v="0"/>
    <n v="0"/>
    <n v="0"/>
    <n v="0"/>
    <n v="0"/>
    <n v="0"/>
    <n v="0"/>
    <n v="0"/>
    <n v="0"/>
    <n v="0"/>
    <n v="0"/>
    <n v="0"/>
    <n v="0"/>
    <n v="0"/>
    <n v="0"/>
    <n v="0"/>
    <n v="0"/>
    <n v="0"/>
    <x v="1"/>
    <x v="0"/>
    <x v="2"/>
    <n v="5"/>
    <m/>
    <m/>
    <m/>
    <n v="10"/>
    <m/>
    <m/>
    <m/>
    <m/>
    <m/>
    <m/>
    <m/>
    <m/>
    <m/>
    <m/>
    <m/>
    <m/>
    <m/>
    <m/>
    <m/>
    <m/>
    <n v="10"/>
    <n v="10"/>
  </r>
  <r>
    <n v="5376"/>
    <x v="1"/>
    <s v="2017/2024"/>
    <s v="land adjacent to 72, 72A Bedford Hill"/>
    <s v=""/>
    <n v="528703"/>
    <n v="173099"/>
    <x v="18"/>
    <d v="2017-11-06T00:00:00"/>
    <m/>
    <n v="0"/>
    <x v="3"/>
    <x v="5"/>
    <n v="2"/>
    <n v="2"/>
    <x v="1"/>
    <s v="Erection of a three storey building (between 72 Bedford Hill and the railway embankment) to provide a shop/store on ground floor and a two bedroom maisonette on first and second floors.  (Amended drawings received  showing alterations to the development) (Amendments to planning permission dated 23/07/2014 ref 2013/3267 to include the erection of mansard roof extension to main rear roof and conversion  to provide 1 x 1-bedroom.)"/>
    <s v="PF"/>
    <d v="2017-09-12T00:00:00"/>
    <d v="2017-11-06T00:00:00"/>
    <x v="0"/>
    <s v="Nil"/>
    <m/>
    <s v="BF"/>
    <s v="EXT"/>
    <x v="2"/>
    <x v="7"/>
    <n v="4.0000000000000001E-3"/>
    <d v="2017-11-06T00:00:00"/>
    <x v="0"/>
    <m/>
    <x v="1"/>
    <s v="M"/>
    <s v=""/>
    <m/>
    <m/>
    <m/>
    <m/>
    <m/>
    <n v="1"/>
    <n v="0"/>
    <n v="0"/>
    <n v="0"/>
    <n v="0"/>
    <n v="0"/>
    <n v="0"/>
    <n v="1"/>
    <n v="0"/>
    <n v="0"/>
    <n v="0"/>
    <n v="0"/>
    <n v="0"/>
    <n v="0"/>
    <n v="0"/>
    <n v="0"/>
    <n v="0"/>
    <n v="0"/>
    <n v="0"/>
    <n v="0"/>
    <n v="0"/>
    <n v="0"/>
    <n v="0"/>
    <n v="0"/>
    <n v="0"/>
    <n v="0"/>
    <n v="0"/>
    <n v="0"/>
    <x v="1"/>
    <x v="0"/>
    <x v="9"/>
    <n v="13"/>
    <m/>
    <n v="1"/>
    <m/>
    <m/>
    <m/>
    <m/>
    <m/>
    <m/>
    <m/>
    <m/>
    <m/>
    <m/>
    <m/>
    <m/>
    <m/>
    <m/>
    <m/>
    <m/>
    <m/>
    <m/>
    <n v="1"/>
    <n v="1"/>
  </r>
  <r>
    <n v="5376"/>
    <x v="1"/>
    <s v="2017/2024"/>
    <s v="land adjacent to 72, 72A Bedford Hill"/>
    <s v=""/>
    <n v="528703"/>
    <n v="173099"/>
    <x v="18"/>
    <d v="2017-11-06T00:00:00"/>
    <m/>
    <n v="0"/>
    <x v="3"/>
    <x v="5"/>
    <n v="2"/>
    <n v="2"/>
    <x v="1"/>
    <s v="Erection of a three storey building (between 72 Bedford Hill and the railway embankment) to provide a shop/store on ground floor and a two bedroom maisonette on first and second floors.  (Amended drawings received  showing alterations to the development) (Amendments to planning permission dated 23/07/2014 ref 2013/3267 to include the erection of mansard roof extension to main rear roof and conversion  to provide 1 x 1-bedroom.)"/>
    <s v="PF"/>
    <d v="2017-09-12T00:00:00"/>
    <d v="2017-11-06T00:00:00"/>
    <x v="0"/>
    <s v="Nil"/>
    <m/>
    <s v="BF"/>
    <s v="EXT"/>
    <x v="2"/>
    <x v="3"/>
    <n v="6.0000000000000001E-3"/>
    <d v="2017-11-06T00:00:00"/>
    <x v="0"/>
    <m/>
    <x v="1"/>
    <s v="M"/>
    <s v=""/>
    <m/>
    <m/>
    <m/>
    <m/>
    <m/>
    <n v="0"/>
    <n v="0"/>
    <n v="1"/>
    <n v="0"/>
    <n v="0"/>
    <n v="0"/>
    <n v="0"/>
    <n v="0"/>
    <n v="0"/>
    <n v="1"/>
    <n v="0"/>
    <n v="0"/>
    <n v="0"/>
    <n v="0"/>
    <n v="0"/>
    <n v="0"/>
    <n v="0"/>
    <n v="0"/>
    <n v="0"/>
    <n v="0"/>
    <n v="0"/>
    <n v="0"/>
    <n v="0"/>
    <n v="0"/>
    <n v="0"/>
    <n v="0"/>
    <n v="0"/>
    <n v="0"/>
    <x v="1"/>
    <x v="0"/>
    <x v="9"/>
    <n v="13"/>
    <m/>
    <n v="1"/>
    <m/>
    <m/>
    <m/>
    <m/>
    <m/>
    <m/>
    <m/>
    <m/>
    <m/>
    <m/>
    <m/>
    <m/>
    <m/>
    <m/>
    <m/>
    <m/>
    <m/>
    <m/>
    <n v="1"/>
    <n v="1"/>
  </r>
  <r>
    <n v="6318"/>
    <x v="1"/>
    <s v="2017/3137"/>
    <s v="37 Oldridge Road"/>
    <s v=""/>
    <n v="528567"/>
    <n v="173770"/>
    <x v="6"/>
    <d v="2022-04-01T00:00:00"/>
    <m/>
    <n v="1"/>
    <x v="24"/>
    <x v="15"/>
    <n v="5"/>
    <n v="4"/>
    <x v="1"/>
    <s v="Demolition of existing building and erection of a four-storey building to provide 1 x studio, 1 x 1-bedroom and 2 x 2 bedroom flats, the erection of  a single-storey (plus basement) 1-bedroom house; associated cycle and refuse storage."/>
    <s v="PF"/>
    <d v="2017-06-05T00:00:00"/>
    <d v="2017-10-24T00:00:00"/>
    <x v="0"/>
    <s v="Nil"/>
    <m/>
    <s v="BF"/>
    <s v="NB"/>
    <x v="2"/>
    <x v="3"/>
    <n v="0.01"/>
    <d v="2022-04-01T00:00:00"/>
    <x v="0"/>
    <m/>
    <x v="1"/>
    <s v="M"/>
    <s v=""/>
    <m/>
    <m/>
    <m/>
    <m/>
    <m/>
    <n v="1"/>
    <n v="2"/>
    <n v="1"/>
    <n v="0"/>
    <n v="0"/>
    <n v="0"/>
    <n v="0"/>
    <n v="1"/>
    <n v="1"/>
    <n v="2"/>
    <n v="0"/>
    <n v="0"/>
    <n v="0"/>
    <n v="0"/>
    <n v="0"/>
    <n v="1"/>
    <n v="-1"/>
    <n v="0"/>
    <n v="0"/>
    <n v="0"/>
    <n v="0"/>
    <n v="0"/>
    <n v="0"/>
    <n v="0"/>
    <n v="0"/>
    <n v="0"/>
    <n v="0"/>
    <n v="0"/>
    <x v="1"/>
    <x v="0"/>
    <x v="2"/>
    <n v="3"/>
    <m/>
    <n v="4"/>
    <m/>
    <m/>
    <m/>
    <m/>
    <m/>
    <m/>
    <m/>
    <m/>
    <m/>
    <m/>
    <m/>
    <m/>
    <m/>
    <m/>
    <m/>
    <m/>
    <m/>
    <m/>
    <n v="4"/>
    <n v="4"/>
  </r>
  <r>
    <n v="5142"/>
    <x v="1"/>
    <s v="2017/6879"/>
    <s v="5 Laitwood Road"/>
    <s v=""/>
    <n v="528703"/>
    <n v="173473"/>
    <x v="6"/>
    <d v="2022-04-01T00:00:00"/>
    <m/>
    <n v="1"/>
    <x v="24"/>
    <x v="15"/>
    <n v="5"/>
    <n v="4"/>
    <x v="1"/>
    <s v="Alterations including the erection of a part single, part two-storey rear extension and excavation of a basement level including formation of front lightwell with grille over and rear lightwell with high screen surrounds; in connection with conversion of existing dwelling into 1x1-bedroom, 2 x2-bedroom and 2x3-bedroom flats with assoicated cycle and refuse storage."/>
    <s v="PF"/>
    <d v="2017-12-15T00:00:00"/>
    <d v="2018-02-09T00:00:00"/>
    <x v="0"/>
    <s v="Nil"/>
    <m/>
    <s v="BF"/>
    <s v="MIX"/>
    <x v="2"/>
    <x v="10"/>
    <n v="3.6999999999999998E-2"/>
    <d v="2022-04-01T00:00:00"/>
    <x v="0"/>
    <m/>
    <x v="1"/>
    <s v="M"/>
    <s v=""/>
    <m/>
    <m/>
    <m/>
    <m/>
    <m/>
    <n v="0"/>
    <n v="1"/>
    <n v="2"/>
    <n v="2"/>
    <n v="0"/>
    <n v="-1"/>
    <n v="0"/>
    <n v="0"/>
    <n v="1"/>
    <n v="2"/>
    <n v="2"/>
    <n v="0"/>
    <n v="0"/>
    <n v="0"/>
    <n v="0"/>
    <n v="0"/>
    <n v="0"/>
    <n v="0"/>
    <n v="0"/>
    <n v="-1"/>
    <n v="0"/>
    <n v="0"/>
    <n v="0"/>
    <n v="0"/>
    <n v="0"/>
    <n v="0"/>
    <n v="0"/>
    <n v="0"/>
    <x v="1"/>
    <x v="0"/>
    <x v="9"/>
    <n v="13"/>
    <m/>
    <n v="4"/>
    <m/>
    <m/>
    <m/>
    <m/>
    <m/>
    <m/>
    <m/>
    <m/>
    <m/>
    <m/>
    <m/>
    <m/>
    <m/>
    <m/>
    <m/>
    <m/>
    <m/>
    <m/>
    <n v="4"/>
    <n v="4"/>
  </r>
  <r>
    <n v="5561"/>
    <x v="1"/>
    <s v="2018/0001"/>
    <s v="27 Sainfoin Road"/>
    <s v=""/>
    <n v="528467"/>
    <n v="172710"/>
    <x v="18"/>
    <d v="2021-02-08T00:00:00"/>
    <m/>
    <n v="1"/>
    <x v="11"/>
    <x v="7"/>
    <n v="3"/>
    <n v="2"/>
    <x v="1"/>
    <s v="Erection of mansard extension to main rear roof (with French doors and safety railings) and single storey rear/side extension, in connection with conversion of property into 1 x 3-bedroom and 2 x 2-bedroom flats."/>
    <s v="PF"/>
    <d v="2018-01-02T00:00:00"/>
    <d v="2018-02-27T00:00:00"/>
    <x v="0"/>
    <s v="Nil"/>
    <m/>
    <s v="BF"/>
    <s v="MIX"/>
    <x v="2"/>
    <x v="10"/>
    <n v="1.7000000000000001E-2"/>
    <d v="2021-02-08T00:00:00"/>
    <x v="0"/>
    <m/>
    <x v="1"/>
    <s v="M"/>
    <s v=""/>
    <m/>
    <m/>
    <m/>
    <m/>
    <m/>
    <n v="0"/>
    <n v="0"/>
    <n v="2"/>
    <n v="1"/>
    <n v="-1"/>
    <n v="0"/>
    <n v="0"/>
    <n v="0"/>
    <n v="0"/>
    <n v="2"/>
    <n v="1"/>
    <n v="0"/>
    <n v="0"/>
    <n v="0"/>
    <n v="0"/>
    <n v="0"/>
    <n v="0"/>
    <n v="0"/>
    <n v="-1"/>
    <n v="0"/>
    <n v="0"/>
    <n v="0"/>
    <n v="0"/>
    <n v="0"/>
    <n v="0"/>
    <n v="0"/>
    <n v="0"/>
    <n v="0"/>
    <x v="1"/>
    <x v="0"/>
    <x v="2"/>
    <n v="13"/>
    <m/>
    <n v="2"/>
    <m/>
    <m/>
    <m/>
    <m/>
    <m/>
    <m/>
    <m/>
    <m/>
    <m/>
    <m/>
    <m/>
    <m/>
    <m/>
    <m/>
    <m/>
    <m/>
    <m/>
    <m/>
    <n v="2"/>
    <n v="2"/>
  </r>
  <r>
    <n v="2502"/>
    <x v="1"/>
    <s v="2022/4812"/>
    <s v="Springfield Hospital site, 61 Glenburnie Road"/>
    <s v="Plot F - Market"/>
    <n v="527221"/>
    <n v="172443"/>
    <x v="17"/>
    <d v="2024-03-31T00:00:00"/>
    <m/>
    <n v="0"/>
    <x v="12"/>
    <x v="15"/>
    <n v="253"/>
    <n v="253"/>
    <x v="0"/>
    <s v="Reserved matters application relating to landscaping, scale and appearance of Springfield Hospital Plots P, Q, G and F pursuant to Condition 1 of Outline Permission (reference: 2010/3703 as amended by 2014/6585, 2016/4760 and 2019/2495) in respect of the demolition, clearance and redevelopment of the plots to provide 253 residential units, landscaping and associated works."/>
    <s v="DT"/>
    <d v="2022-11-22T00:00:00"/>
    <d v="2023-04-26T00:00:00"/>
    <x v="1"/>
    <s v="Nil"/>
    <m/>
    <s v="BF"/>
    <s v="NB"/>
    <x v="1"/>
    <x v="0"/>
    <n v="3.4000000000000002E-2"/>
    <d v="2024-03-31T00:00:00"/>
    <x v="1"/>
    <m/>
    <x v="1"/>
    <s v="M"/>
    <s v="9.1"/>
    <m/>
    <m/>
    <m/>
    <m/>
    <m/>
    <n v="0"/>
    <n v="0"/>
    <n v="0"/>
    <n v="4"/>
    <n v="0"/>
    <n v="0"/>
    <n v="0"/>
    <n v="0"/>
    <n v="0"/>
    <n v="0"/>
    <n v="0"/>
    <n v="0"/>
    <n v="0"/>
    <n v="0"/>
    <n v="0"/>
    <n v="0"/>
    <n v="0"/>
    <n v="4"/>
    <n v="0"/>
    <n v="0"/>
    <n v="0"/>
    <n v="0"/>
    <n v="0"/>
    <n v="0"/>
    <n v="0"/>
    <n v="0"/>
    <n v="0"/>
    <n v="0"/>
    <x v="1"/>
    <x v="0"/>
    <x v="2"/>
    <n v="5"/>
    <m/>
    <m/>
    <m/>
    <n v="4"/>
    <m/>
    <m/>
    <m/>
    <m/>
    <m/>
    <m/>
    <m/>
    <m/>
    <m/>
    <m/>
    <m/>
    <m/>
    <m/>
    <m/>
    <m/>
    <m/>
    <n v="4"/>
    <n v="4"/>
  </r>
  <r>
    <n v="2502"/>
    <x v="1"/>
    <s v="2022/4812"/>
    <s v="Springfield Hospital site, 61 Glenburnie Road"/>
    <s v="Plot G - Market"/>
    <n v="527221"/>
    <n v="172443"/>
    <x v="17"/>
    <d v="2024-03-31T00:00:00"/>
    <m/>
    <n v="0"/>
    <x v="44"/>
    <x v="53"/>
    <n v="253"/>
    <n v="253"/>
    <x v="0"/>
    <s v="Reserved matters application relating to landscaping, scale and appearance of Springfield Hospital Plots P, Q, G and F pursuant to Condition 1 of Outline Permission (reference: 2010/3703 as amended by 2014/6585, 2016/4760 and 2019/2495) in respect of the demolition, clearance and redevelopment of the plots to provide 253 residential units, landscaping and associated works."/>
    <s v="DT"/>
    <d v="2022-11-22T00:00:00"/>
    <d v="2023-04-26T00:00:00"/>
    <x v="1"/>
    <s v="Nil"/>
    <m/>
    <s v="BF"/>
    <s v="NB"/>
    <x v="1"/>
    <x v="0"/>
    <n v="0.36199999999999999"/>
    <d v="2024-03-31T00:00:00"/>
    <x v="1"/>
    <m/>
    <x v="1"/>
    <s v="M"/>
    <s v="9.1"/>
    <m/>
    <m/>
    <m/>
    <m/>
    <n v="14"/>
    <n v="0"/>
    <n v="26"/>
    <n v="22"/>
    <n v="15"/>
    <n v="0"/>
    <n v="0"/>
    <n v="0"/>
    <n v="0"/>
    <n v="26"/>
    <n v="22"/>
    <n v="15"/>
    <n v="0"/>
    <n v="0"/>
    <n v="0"/>
    <n v="0"/>
    <n v="0"/>
    <n v="0"/>
    <n v="0"/>
    <n v="0"/>
    <n v="0"/>
    <n v="0"/>
    <n v="0"/>
    <n v="0"/>
    <n v="0"/>
    <n v="0"/>
    <n v="0"/>
    <n v="0"/>
    <n v="0"/>
    <x v="1"/>
    <x v="0"/>
    <x v="2"/>
    <n v="5"/>
    <m/>
    <m/>
    <m/>
    <n v="63"/>
    <m/>
    <m/>
    <m/>
    <m/>
    <m/>
    <m/>
    <m/>
    <m/>
    <m/>
    <m/>
    <m/>
    <m/>
    <m/>
    <m/>
    <m/>
    <m/>
    <n v="63"/>
    <n v="63"/>
  </r>
  <r>
    <n v="2502"/>
    <x v="1"/>
    <s v="2022/4812"/>
    <s v="Springfield Hospital site, 61 Glenburnie Road"/>
    <s v="Plot P - Market"/>
    <n v="527221"/>
    <n v="172443"/>
    <x v="17"/>
    <d v="2024-03-31T00:00:00"/>
    <m/>
    <n v="0"/>
    <x v="45"/>
    <x v="54"/>
    <n v="253"/>
    <n v="253"/>
    <x v="0"/>
    <s v="Reserved matters application relating to landscaping, scale and appearance of Springfield Hospital Plots P, Q, G and F pursuant to Condition 1 of Outline Permission (reference: 2010/3703 as amended by 2014/6585, 2016/4760 and 2019/2495) in respect of the demolition, clearance and redevelopment of the plots to provide 253 residential units, landscaping and associated works."/>
    <s v="DT"/>
    <d v="2022-11-22T00:00:00"/>
    <d v="2023-04-26T00:00:00"/>
    <x v="1"/>
    <s v="Nil"/>
    <m/>
    <s v="BF"/>
    <s v="NB"/>
    <x v="1"/>
    <x v="0"/>
    <n v="0.623"/>
    <d v="2024-03-31T00:00:00"/>
    <x v="1"/>
    <m/>
    <x v="1"/>
    <s v="M"/>
    <s v="9.1"/>
    <m/>
    <m/>
    <m/>
    <m/>
    <m/>
    <n v="0"/>
    <n v="8"/>
    <n v="24"/>
    <n v="10"/>
    <n v="2"/>
    <n v="0"/>
    <n v="0"/>
    <n v="0"/>
    <n v="8"/>
    <n v="24"/>
    <n v="0"/>
    <n v="0"/>
    <n v="0"/>
    <n v="0"/>
    <n v="0"/>
    <n v="0"/>
    <n v="0"/>
    <n v="10"/>
    <n v="2"/>
    <n v="0"/>
    <n v="0"/>
    <n v="0"/>
    <n v="0"/>
    <n v="0"/>
    <n v="0"/>
    <n v="0"/>
    <n v="0"/>
    <n v="0"/>
    <x v="1"/>
    <x v="0"/>
    <x v="2"/>
    <n v="5"/>
    <m/>
    <m/>
    <n v="44"/>
    <m/>
    <m/>
    <m/>
    <m/>
    <m/>
    <m/>
    <m/>
    <m/>
    <m/>
    <m/>
    <m/>
    <m/>
    <m/>
    <m/>
    <m/>
    <m/>
    <m/>
    <n v="44"/>
    <n v="44"/>
  </r>
  <r>
    <n v="6815"/>
    <x v="1"/>
    <s v="2018/0585"/>
    <s v="The Surgery, Claudia Place"/>
    <s v=""/>
    <n v="524144"/>
    <n v="173132"/>
    <x v="5"/>
    <d v="2020-03-25T00:00:00"/>
    <m/>
    <n v="0"/>
    <x v="3"/>
    <x v="5"/>
    <n v="1"/>
    <n v="1"/>
    <x v="1"/>
    <s v="Demolition of existing building and erection of a part-single, part four-storey 3-bedroomed dwellinghouse including roof terrace, with one off-street parking space."/>
    <s v="PF"/>
    <d v="2018-02-15T00:00:00"/>
    <d v="2018-07-23T00:00:00"/>
    <x v="0"/>
    <s v="Nil"/>
    <m/>
    <s v="BF"/>
    <s v="NB"/>
    <x v="2"/>
    <x v="3"/>
    <n v="7.0000000000000001E-3"/>
    <d v="2020-03-25T00:00:00"/>
    <x v="0"/>
    <m/>
    <x v="1"/>
    <s v="M"/>
    <s v=""/>
    <m/>
    <m/>
    <m/>
    <m/>
    <m/>
    <n v="0"/>
    <n v="0"/>
    <n v="0"/>
    <n v="1"/>
    <n v="0"/>
    <n v="0"/>
    <n v="0"/>
    <n v="0"/>
    <n v="0"/>
    <n v="0"/>
    <n v="0"/>
    <n v="0"/>
    <n v="0"/>
    <n v="0"/>
    <n v="0"/>
    <n v="0"/>
    <n v="0"/>
    <n v="1"/>
    <n v="0"/>
    <n v="0"/>
    <n v="0"/>
    <n v="0"/>
    <n v="0"/>
    <n v="0"/>
    <n v="0"/>
    <n v="0"/>
    <n v="0"/>
    <n v="0"/>
    <x v="1"/>
    <x v="0"/>
    <x v="2"/>
    <n v="3"/>
    <m/>
    <n v="1"/>
    <m/>
    <m/>
    <m/>
    <m/>
    <m/>
    <m/>
    <m/>
    <m/>
    <m/>
    <m/>
    <m/>
    <m/>
    <m/>
    <m/>
    <m/>
    <m/>
    <m/>
    <m/>
    <n v="1"/>
    <n v="1"/>
  </r>
  <r>
    <n v="5862"/>
    <x v="1"/>
    <s v="2018/0859"/>
    <s v="87 Putney High Street"/>
    <s v="conversion + extn"/>
    <n v="524068"/>
    <n v="175336"/>
    <x v="3"/>
    <d v="2018-03-31T00:00:00"/>
    <m/>
    <n v="1"/>
    <x v="11"/>
    <x v="7"/>
    <n v="5"/>
    <n v="4"/>
    <x v="1"/>
    <s v="Alterations and erection of three-storey (first to third floors) rear extension in connection with conversion of upper floors into 3 x 2-bedroom self-contained flats (Class C3) together with the erection of a three storey building to the rear of the site to provide 2 residential flats (Class C3)  (1 x 1-bedroom and 1 x 2-bedroom). Formation of a communal first floor terrace and new residential access with cycle and refuse stores from Token Yard."/>
    <s v="PF"/>
    <d v="2018-03-29T00:00:00"/>
    <d v="2018-08-23T00:00:00"/>
    <x v="0"/>
    <s v="Nil"/>
    <m/>
    <s v="BF"/>
    <s v="MIX"/>
    <x v="2"/>
    <x v="5"/>
    <n v="8.9999999999999993E-3"/>
    <d v="2018-03-31T00:00:00"/>
    <x v="0"/>
    <m/>
    <x v="1"/>
    <s v="M"/>
    <s v=""/>
    <m/>
    <m/>
    <m/>
    <m/>
    <m/>
    <n v="0"/>
    <n v="0"/>
    <n v="3"/>
    <n v="-1"/>
    <n v="0"/>
    <n v="0"/>
    <n v="0"/>
    <n v="0"/>
    <n v="0"/>
    <n v="3"/>
    <n v="-1"/>
    <n v="0"/>
    <n v="0"/>
    <n v="0"/>
    <n v="0"/>
    <n v="0"/>
    <n v="0"/>
    <n v="0"/>
    <n v="0"/>
    <n v="0"/>
    <n v="0"/>
    <n v="0"/>
    <n v="0"/>
    <n v="0"/>
    <n v="0"/>
    <n v="0"/>
    <n v="0"/>
    <n v="0"/>
    <x v="2"/>
    <x v="0"/>
    <x v="6"/>
    <n v="13"/>
    <m/>
    <n v="2"/>
    <m/>
    <m/>
    <m/>
    <m/>
    <m/>
    <m/>
    <m/>
    <m/>
    <m/>
    <m/>
    <m/>
    <m/>
    <m/>
    <m/>
    <m/>
    <m/>
    <m/>
    <m/>
    <n v="2"/>
    <n v="2"/>
  </r>
  <r>
    <n v="5862"/>
    <x v="1"/>
    <s v="2018/0859"/>
    <s v="87 Putney High Street"/>
    <s v="new build"/>
    <n v="524068"/>
    <n v="175336"/>
    <x v="3"/>
    <d v="2018-03-31T00:00:00"/>
    <m/>
    <n v="0"/>
    <x v="5"/>
    <x v="7"/>
    <n v="5"/>
    <n v="4"/>
    <x v="1"/>
    <s v="Alterations and erection of three-storey (first to third floors) rear extension in connection with conversion of upper floors into 3 x 2-bedroom self-contained flats (Class C3) together with the erection of a three storey building to the rear of the site to provide 2 residential flats (Class C3)  (1 x 1-bedroom and 1 x 2-bedroom). Formation of a communal first floor terrace and new residential access with cycle and refuse stores from Token Yard."/>
    <s v="PF"/>
    <d v="2018-03-29T00:00:00"/>
    <d v="2018-08-23T00:00:00"/>
    <x v="0"/>
    <s v="Nil"/>
    <m/>
    <s v="BF"/>
    <s v="MIX"/>
    <x v="2"/>
    <x v="3"/>
    <n v="5.0000000000000001E-3"/>
    <d v="2018-03-31T00:00:00"/>
    <x v="0"/>
    <m/>
    <x v="1"/>
    <s v="M"/>
    <s v=""/>
    <m/>
    <m/>
    <m/>
    <m/>
    <m/>
    <n v="0"/>
    <n v="1"/>
    <n v="1"/>
    <n v="0"/>
    <n v="0"/>
    <n v="0"/>
    <n v="0"/>
    <n v="0"/>
    <n v="1"/>
    <n v="1"/>
    <n v="0"/>
    <n v="0"/>
    <n v="0"/>
    <n v="0"/>
    <n v="0"/>
    <n v="0"/>
    <n v="0"/>
    <n v="0"/>
    <n v="0"/>
    <n v="0"/>
    <n v="0"/>
    <n v="0"/>
    <n v="0"/>
    <n v="0"/>
    <n v="0"/>
    <n v="0"/>
    <n v="0"/>
    <n v="0"/>
    <x v="2"/>
    <x v="0"/>
    <x v="6"/>
    <n v="13"/>
    <m/>
    <n v="2"/>
    <m/>
    <m/>
    <m/>
    <m/>
    <m/>
    <m/>
    <m/>
    <m/>
    <m/>
    <m/>
    <m/>
    <m/>
    <m/>
    <m/>
    <m/>
    <m/>
    <m/>
    <m/>
    <n v="2"/>
    <n v="2"/>
  </r>
  <r>
    <n v="6196"/>
    <x v="1"/>
    <s v="2018/0917"/>
    <s v="Land adjacent, 80 Manville Road"/>
    <s v=""/>
    <n v="528701"/>
    <n v="172342"/>
    <x v="18"/>
    <d v="2021-04-01T00:00:00"/>
    <m/>
    <n v="0"/>
    <x v="3"/>
    <x v="5"/>
    <n v="1"/>
    <n v="1"/>
    <x v="1"/>
    <s v="Demolition of existing garage and erection of part single, part two-storey (plus basement) 3-bedroom detached house with associated landscaping, boundary treatment, cycle, refuse storage and car parking."/>
    <s v="PF"/>
    <d v="2018-03-06T00:00:00"/>
    <d v="2018-05-30T00:00:00"/>
    <x v="0"/>
    <s v="Nil"/>
    <m/>
    <s v="BF"/>
    <s v="NB"/>
    <x v="2"/>
    <x v="3"/>
    <n v="8.9999999999999993E-3"/>
    <d v="2021-04-01T00:00:00"/>
    <x v="0"/>
    <m/>
    <x v="1"/>
    <s v="M"/>
    <s v=""/>
    <m/>
    <m/>
    <m/>
    <m/>
    <m/>
    <n v="0"/>
    <n v="0"/>
    <n v="0"/>
    <n v="1"/>
    <n v="0"/>
    <n v="0"/>
    <n v="0"/>
    <n v="0"/>
    <n v="0"/>
    <n v="0"/>
    <n v="0"/>
    <n v="0"/>
    <n v="0"/>
    <n v="0"/>
    <n v="0"/>
    <n v="0"/>
    <n v="0"/>
    <n v="1"/>
    <n v="0"/>
    <n v="0"/>
    <n v="0"/>
    <n v="0"/>
    <n v="0"/>
    <n v="0"/>
    <n v="0"/>
    <n v="0"/>
    <n v="0"/>
    <n v="0"/>
    <x v="1"/>
    <x v="0"/>
    <x v="2"/>
    <n v="3"/>
    <m/>
    <n v="1"/>
    <m/>
    <m/>
    <m/>
    <m/>
    <m/>
    <m/>
    <m/>
    <m/>
    <m/>
    <m/>
    <m/>
    <m/>
    <m/>
    <m/>
    <m/>
    <m/>
    <m/>
    <m/>
    <n v="1"/>
    <n v="1"/>
  </r>
  <r>
    <n v="6969"/>
    <x v="1"/>
    <s v="2018/2554"/>
    <s v="Vehicle Repair Workshop Rear of, 7-9 Aldis Street"/>
    <s v=""/>
    <n v="527156"/>
    <n v="171085"/>
    <x v="0"/>
    <d v="2022-04-01T00:00:00"/>
    <m/>
    <n v="0"/>
    <x v="5"/>
    <x v="7"/>
    <n v="2"/>
    <n v="2"/>
    <x v="1"/>
    <s v="Demolition of existing building and erection of two x 2-bedroom single storey houses with associated cycle and refuse storage."/>
    <s v="PF"/>
    <d v="2018-05-31T00:00:00"/>
    <d v="2018-09-03T00:00:00"/>
    <x v="0"/>
    <s v="Nil"/>
    <m/>
    <s v="BF"/>
    <s v="NB"/>
    <x v="2"/>
    <x v="3"/>
    <n v="2.8000000000000001E-2"/>
    <d v="2022-04-01T00:00:00"/>
    <x v="0"/>
    <m/>
    <x v="1"/>
    <s v="M"/>
    <s v=""/>
    <m/>
    <m/>
    <m/>
    <m/>
    <m/>
    <n v="0"/>
    <n v="0"/>
    <n v="2"/>
    <n v="0"/>
    <n v="0"/>
    <n v="0"/>
    <n v="0"/>
    <n v="0"/>
    <n v="0"/>
    <n v="0"/>
    <n v="0"/>
    <n v="0"/>
    <n v="0"/>
    <n v="0"/>
    <n v="0"/>
    <n v="0"/>
    <n v="2"/>
    <n v="0"/>
    <n v="0"/>
    <n v="0"/>
    <n v="0"/>
    <n v="0"/>
    <n v="0"/>
    <n v="0"/>
    <n v="0"/>
    <n v="0"/>
    <n v="0"/>
    <n v="0"/>
    <x v="1"/>
    <x v="0"/>
    <x v="0"/>
    <n v="3"/>
    <m/>
    <n v="2"/>
    <m/>
    <m/>
    <m/>
    <m/>
    <m/>
    <m/>
    <m/>
    <m/>
    <m/>
    <m/>
    <m/>
    <m/>
    <m/>
    <m/>
    <m/>
    <m/>
    <m/>
    <m/>
    <n v="2"/>
    <n v="2"/>
  </r>
  <r>
    <n v="6317"/>
    <x v="1"/>
    <s v="2018/3122"/>
    <s v="Garages rear of 21, Granard Avenue"/>
    <s v=""/>
    <n v="522879"/>
    <n v="174549"/>
    <x v="16"/>
    <d v="2021-09-13T00:00:00"/>
    <m/>
    <n v="0"/>
    <x v="12"/>
    <x v="15"/>
    <n v="4"/>
    <n v="4"/>
    <x v="1"/>
    <s v="Demolition of existing garages and construction of 4 x 2-bedroom houses ground and first floors with part basement."/>
    <s v="PF"/>
    <d v="2018-06-25T00:00:00"/>
    <d v="2018-10-23T00:00:00"/>
    <x v="0"/>
    <s v="Nil"/>
    <m/>
    <s v="BF"/>
    <s v="NB"/>
    <x v="2"/>
    <x v="3"/>
    <n v="5.6000000000000001E-2"/>
    <d v="2021-09-13T00:00:00"/>
    <x v="0"/>
    <m/>
    <x v="1"/>
    <s v="M"/>
    <s v=""/>
    <m/>
    <m/>
    <m/>
    <m/>
    <m/>
    <n v="0"/>
    <n v="0"/>
    <n v="4"/>
    <n v="0"/>
    <n v="0"/>
    <n v="0"/>
    <n v="0"/>
    <n v="0"/>
    <n v="0"/>
    <n v="0"/>
    <n v="0"/>
    <n v="0"/>
    <n v="0"/>
    <n v="0"/>
    <n v="0"/>
    <n v="0"/>
    <n v="4"/>
    <n v="0"/>
    <n v="0"/>
    <n v="0"/>
    <n v="0"/>
    <n v="0"/>
    <n v="0"/>
    <n v="0"/>
    <n v="0"/>
    <n v="0"/>
    <n v="0"/>
    <n v="0"/>
    <x v="1"/>
    <x v="0"/>
    <x v="2"/>
    <n v="3"/>
    <m/>
    <n v="4"/>
    <m/>
    <m/>
    <m/>
    <m/>
    <m/>
    <m/>
    <m/>
    <m/>
    <m/>
    <m/>
    <m/>
    <m/>
    <m/>
    <m/>
    <m/>
    <m/>
    <m/>
    <m/>
    <n v="4"/>
    <n v="4"/>
  </r>
  <r>
    <n v="7005"/>
    <x v="1"/>
    <s v="2018/3634"/>
    <s v="26 Drakefield Road"/>
    <s v=""/>
    <n v="528240"/>
    <n v="172415"/>
    <x v="18"/>
    <d v="2021-04-01T00:00:00"/>
    <m/>
    <n v="3"/>
    <x v="3"/>
    <x v="13"/>
    <n v="1"/>
    <n v="-2"/>
    <x v="1"/>
    <s v="Alterations including the erection of a single storey side and rear extension; conversion of building from 1 x 1 bedroom and 2 x 2 bedroom flats into a single dwellinghouse."/>
    <s v="PF"/>
    <d v="2018-08-13T00:00:00"/>
    <d v="2018-10-05T00:00:00"/>
    <x v="0"/>
    <s v="Nil"/>
    <m/>
    <s v="BF"/>
    <s v="MIX"/>
    <x v="2"/>
    <x v="11"/>
    <n v="2.3E-2"/>
    <d v="2021-04-01T00:00:00"/>
    <x v="0"/>
    <m/>
    <x v="1"/>
    <s v="M"/>
    <s v=""/>
    <m/>
    <m/>
    <m/>
    <m/>
    <m/>
    <n v="0"/>
    <n v="-1"/>
    <n v="-2"/>
    <n v="0"/>
    <n v="1"/>
    <n v="0"/>
    <n v="0"/>
    <n v="0"/>
    <n v="-1"/>
    <n v="-2"/>
    <n v="0"/>
    <n v="0"/>
    <n v="0"/>
    <n v="0"/>
    <n v="0"/>
    <n v="0"/>
    <n v="0"/>
    <n v="0"/>
    <n v="1"/>
    <n v="0"/>
    <n v="0"/>
    <n v="0"/>
    <n v="0"/>
    <n v="0"/>
    <n v="0"/>
    <n v="0"/>
    <n v="0"/>
    <n v="0"/>
    <x v="1"/>
    <x v="0"/>
    <x v="2"/>
    <n v="13"/>
    <m/>
    <n v="-2"/>
    <m/>
    <m/>
    <m/>
    <m/>
    <m/>
    <m/>
    <m/>
    <m/>
    <m/>
    <m/>
    <m/>
    <m/>
    <m/>
    <m/>
    <m/>
    <m/>
    <m/>
    <m/>
    <n v="-2"/>
    <n v="-2"/>
  </r>
  <r>
    <n v="5589"/>
    <x v="1"/>
    <s v="2018/4579"/>
    <s v="Chatfield Court, 56 Chatfield Road"/>
    <s v=""/>
    <n v="526329"/>
    <n v="175625"/>
    <x v="15"/>
    <d v="2020-04-01T00:00:00"/>
    <m/>
    <n v="0"/>
    <x v="46"/>
    <x v="55"/>
    <n v="14"/>
    <n v="14"/>
    <x v="0"/>
    <s v="Determination as to whether prior approval is required for change of use from office (Class B1a) to residential (Class C3) to provide 13 x 1-bedroom and 1 x 2-bedroom flats."/>
    <s v="PAG"/>
    <d v="2018-10-01T00:00:00"/>
    <d v="2018-11-22T00:00:00"/>
    <x v="0"/>
    <s v="Nil"/>
    <m/>
    <s v="BF"/>
    <s v="COU"/>
    <x v="4"/>
    <x v="0"/>
    <n v="4.3999999999999997E-2"/>
    <d v="2020-04-01T00:00:00"/>
    <x v="0"/>
    <m/>
    <x v="1"/>
    <s v="M"/>
    <s v=""/>
    <m/>
    <m/>
    <m/>
    <m/>
    <m/>
    <n v="0"/>
    <n v="13"/>
    <n v="1"/>
    <n v="0"/>
    <n v="0"/>
    <n v="0"/>
    <n v="0"/>
    <n v="0"/>
    <n v="13"/>
    <n v="1"/>
    <n v="0"/>
    <n v="0"/>
    <n v="0"/>
    <n v="0"/>
    <n v="0"/>
    <n v="0"/>
    <n v="0"/>
    <n v="0"/>
    <n v="0"/>
    <n v="0"/>
    <n v="0"/>
    <n v="0"/>
    <n v="0"/>
    <n v="0"/>
    <n v="0"/>
    <n v="0"/>
    <n v="0"/>
    <n v="0"/>
    <x v="1"/>
    <x v="0"/>
    <x v="4"/>
    <n v="13"/>
    <m/>
    <n v="14"/>
    <m/>
    <m/>
    <m/>
    <m/>
    <m/>
    <m/>
    <m/>
    <m/>
    <m/>
    <m/>
    <m/>
    <m/>
    <m/>
    <m/>
    <m/>
    <m/>
    <m/>
    <m/>
    <n v="14"/>
    <n v="14"/>
  </r>
  <r>
    <n v="6669"/>
    <x v="1"/>
    <s v="2018/4639"/>
    <s v="Car storage site rear of, 1 Kenlor Road"/>
    <s v=""/>
    <n v="527101"/>
    <n v="170989"/>
    <x v="0"/>
    <d v="2022-01-18T00:00:00"/>
    <m/>
    <n v="0"/>
    <x v="3"/>
    <x v="5"/>
    <n v="1"/>
    <n v="1"/>
    <x v="1"/>
    <s v="Demolition of existing single storey building and the erection of a single-storey one bedroom detached house with associated cycle and refuse storage and landscaping."/>
    <s v="PF"/>
    <d v="2018-10-01T00:00:00"/>
    <d v="2018-11-26T00:00:00"/>
    <x v="0"/>
    <s v="Nil"/>
    <m/>
    <s v="BF"/>
    <s v="NB"/>
    <x v="2"/>
    <x v="3"/>
    <n v="7.0000000000000001E-3"/>
    <d v="2022-01-18T00:00:00"/>
    <x v="0"/>
    <m/>
    <x v="1"/>
    <s v="M"/>
    <s v=""/>
    <m/>
    <m/>
    <m/>
    <m/>
    <m/>
    <n v="0"/>
    <n v="1"/>
    <n v="0"/>
    <n v="0"/>
    <n v="0"/>
    <n v="0"/>
    <n v="0"/>
    <n v="0"/>
    <n v="0"/>
    <n v="0"/>
    <n v="0"/>
    <n v="0"/>
    <n v="0"/>
    <n v="0"/>
    <n v="0"/>
    <n v="1"/>
    <n v="0"/>
    <n v="0"/>
    <n v="0"/>
    <n v="0"/>
    <n v="0"/>
    <n v="0"/>
    <n v="0"/>
    <n v="0"/>
    <n v="0"/>
    <n v="0"/>
    <n v="0"/>
    <n v="0"/>
    <x v="1"/>
    <x v="0"/>
    <x v="0"/>
    <n v="3"/>
    <m/>
    <n v="1"/>
    <m/>
    <m/>
    <m/>
    <m/>
    <m/>
    <m/>
    <m/>
    <m/>
    <m/>
    <m/>
    <m/>
    <m/>
    <m/>
    <m/>
    <m/>
    <m/>
    <m/>
    <m/>
    <n v="1"/>
    <n v="1"/>
  </r>
  <r>
    <n v="6167"/>
    <x v="1"/>
    <s v="2018/5658"/>
    <s v="Garages between 23 &amp; 25, Darley Road"/>
    <s v=""/>
    <n v="527551"/>
    <n v="174388"/>
    <x v="11"/>
    <d v="2022-04-01T00:00:00"/>
    <m/>
    <n v="0"/>
    <x v="3"/>
    <x v="5"/>
    <n v="1"/>
    <n v="1"/>
    <x v="1"/>
    <s v="Demolition of existing garages and erection of two-storey(plus basement) 4-bedroom house with associated refuse and cycle storage."/>
    <s v="PF"/>
    <d v="2018-12-05T00:00:00"/>
    <d v="2019-05-02T00:00:00"/>
    <x v="0"/>
    <s v="Nil"/>
    <m/>
    <s v="BF"/>
    <s v="NB"/>
    <x v="2"/>
    <x v="3"/>
    <n v="1.7999999999999999E-2"/>
    <d v="2022-04-01T00:00:00"/>
    <x v="0"/>
    <m/>
    <x v="1"/>
    <s v="M"/>
    <s v=""/>
    <m/>
    <m/>
    <m/>
    <m/>
    <m/>
    <n v="0"/>
    <n v="0"/>
    <n v="0"/>
    <n v="0"/>
    <n v="1"/>
    <n v="0"/>
    <n v="0"/>
    <n v="0"/>
    <n v="0"/>
    <n v="0"/>
    <n v="0"/>
    <n v="0"/>
    <n v="0"/>
    <n v="0"/>
    <n v="0"/>
    <n v="0"/>
    <n v="0"/>
    <n v="0"/>
    <n v="1"/>
    <n v="0"/>
    <n v="0"/>
    <n v="0"/>
    <n v="0"/>
    <n v="0"/>
    <n v="0"/>
    <n v="0"/>
    <n v="0"/>
    <n v="0"/>
    <x v="1"/>
    <x v="0"/>
    <x v="2"/>
    <n v="3"/>
    <m/>
    <n v="1"/>
    <m/>
    <m/>
    <m/>
    <m/>
    <m/>
    <m/>
    <m/>
    <m/>
    <m/>
    <m/>
    <m/>
    <m/>
    <m/>
    <m/>
    <m/>
    <m/>
    <m/>
    <m/>
    <n v="1"/>
    <n v="1"/>
  </r>
  <r>
    <n v="1188"/>
    <x v="1"/>
    <s v="2019/0014"/>
    <s v="113 St Johns Hill"/>
    <s v=""/>
    <n v="526940"/>
    <n v="175148"/>
    <x v="14"/>
    <d v="2022-04-01T00:00:00"/>
    <m/>
    <n v="0"/>
    <x v="11"/>
    <x v="36"/>
    <n v="3"/>
    <n v="3"/>
    <x v="1"/>
    <s v="Erection of four-storey (including accommodation within the roofspace) plus basement level building to provide flexible commercial use for retail (Class A1), professional services (Class A2) or business (Class B1) in the front part of both ground floor level and basement; with 2 x 2-bedroom and 1 x1 bedroom flats in the remainder of the building. [The main changes are a reduction of rearmost element from two-storeys to single storey; omssion of roof terraces and juliette balconies; alterations to some proposed windows, including reduction in size of dormer within rear roofslope, and amendments to proposed shopfront; reduction of flat A from a 2 bedroom to a one bedroom unit]."/>
    <s v="PF"/>
    <d v="2019-01-03T00:00:00"/>
    <d v="2019-06-28T00:00:00"/>
    <x v="0"/>
    <s v="Nil"/>
    <m/>
    <s v="BF"/>
    <s v="MIX"/>
    <x v="2"/>
    <x v="3"/>
    <n v="7.0000000000000001E-3"/>
    <d v="2022-04-01T00:00:00"/>
    <x v="0"/>
    <m/>
    <x v="1"/>
    <s v="M"/>
    <s v=""/>
    <m/>
    <m/>
    <m/>
    <m/>
    <m/>
    <n v="0"/>
    <n v="0"/>
    <n v="3"/>
    <n v="0"/>
    <n v="0"/>
    <n v="0"/>
    <n v="0"/>
    <n v="0"/>
    <n v="0"/>
    <n v="3"/>
    <n v="0"/>
    <n v="0"/>
    <n v="0"/>
    <n v="0"/>
    <n v="0"/>
    <n v="0"/>
    <n v="0"/>
    <n v="0"/>
    <n v="0"/>
    <n v="0"/>
    <n v="0"/>
    <n v="0"/>
    <n v="0"/>
    <n v="0"/>
    <n v="0"/>
    <n v="0"/>
    <n v="0"/>
    <n v="0"/>
    <x v="1"/>
    <x v="0"/>
    <x v="2"/>
    <n v="13"/>
    <m/>
    <n v="3"/>
    <m/>
    <m/>
    <m/>
    <m/>
    <m/>
    <m/>
    <m/>
    <m/>
    <m/>
    <m/>
    <m/>
    <m/>
    <m/>
    <m/>
    <m/>
    <m/>
    <m/>
    <m/>
    <n v="3"/>
    <n v="3"/>
  </r>
  <r>
    <n v="6704"/>
    <x v="1"/>
    <s v="2019/0435"/>
    <s v="Ross Court, 81 Putney Hill"/>
    <s v=""/>
    <n v="523738"/>
    <n v="173863"/>
    <x v="7"/>
    <d v="2021-06-16T00:00:00"/>
    <m/>
    <n v="0"/>
    <x v="3"/>
    <x v="5"/>
    <n v="1"/>
    <n v="1"/>
    <x v="1"/>
    <s v="Determination as to whether prior approval is required for change of use from storage (Class B8) to residential (Class C3) to provide 1 x 1-bed flat."/>
    <s v="PAG"/>
    <d v="2019-02-06T00:00:00"/>
    <d v="2019-03-29T00:00:00"/>
    <x v="0"/>
    <s v="Nil"/>
    <m/>
    <s v="BF"/>
    <s v="COU"/>
    <x v="2"/>
    <x v="8"/>
    <n v="8.9999999999999993E-3"/>
    <d v="2021-06-16T00:00:00"/>
    <x v="0"/>
    <m/>
    <x v="1"/>
    <s v="M"/>
    <s v=""/>
    <m/>
    <m/>
    <m/>
    <m/>
    <m/>
    <n v="0"/>
    <n v="1"/>
    <n v="0"/>
    <n v="0"/>
    <n v="0"/>
    <n v="0"/>
    <n v="0"/>
    <n v="0"/>
    <n v="1"/>
    <n v="0"/>
    <n v="0"/>
    <n v="0"/>
    <n v="0"/>
    <n v="0"/>
    <n v="0"/>
    <n v="0"/>
    <n v="0"/>
    <n v="0"/>
    <n v="0"/>
    <n v="0"/>
    <n v="0"/>
    <n v="0"/>
    <n v="0"/>
    <n v="0"/>
    <n v="0"/>
    <n v="0"/>
    <n v="0"/>
    <n v="0"/>
    <x v="1"/>
    <x v="0"/>
    <x v="2"/>
    <n v="13"/>
    <m/>
    <n v="1"/>
    <m/>
    <m/>
    <m/>
    <m/>
    <m/>
    <m/>
    <m/>
    <m/>
    <m/>
    <m/>
    <m/>
    <m/>
    <m/>
    <m/>
    <m/>
    <m/>
    <m/>
    <m/>
    <n v="1"/>
    <n v="1"/>
  </r>
  <r>
    <n v="6660"/>
    <x v="1"/>
    <s v="2019/0762"/>
    <s v="garages north of 8, 8 Buckmaster Road"/>
    <s v=""/>
    <n v="527260"/>
    <n v="175041"/>
    <x v="8"/>
    <d v="2022-04-01T00:00:00"/>
    <m/>
    <n v="0"/>
    <x v="3"/>
    <x v="5"/>
    <n v="1"/>
    <n v="1"/>
    <x v="1"/>
    <s v="Demolition of existing single-storey vehicle garages and the erection of a two-storey plus basement 2 x bedroom dwellinghouse (Class C3)."/>
    <s v="PF"/>
    <d v="2019-09-13T00:00:00"/>
    <d v="2019-05-24T00:00:00"/>
    <x v="0"/>
    <s v="Nil"/>
    <m/>
    <s v="BF"/>
    <s v="NB"/>
    <x v="2"/>
    <x v="3"/>
    <n v="7.0000000000000001E-3"/>
    <d v="2022-04-01T00:00:00"/>
    <x v="0"/>
    <m/>
    <x v="1"/>
    <s v="M"/>
    <s v=""/>
    <m/>
    <m/>
    <m/>
    <m/>
    <m/>
    <n v="0"/>
    <n v="0"/>
    <n v="1"/>
    <n v="0"/>
    <n v="0"/>
    <n v="0"/>
    <n v="0"/>
    <n v="0"/>
    <n v="0"/>
    <n v="0"/>
    <n v="0"/>
    <n v="0"/>
    <n v="0"/>
    <n v="0"/>
    <n v="0"/>
    <n v="0"/>
    <n v="1"/>
    <n v="0"/>
    <n v="0"/>
    <n v="0"/>
    <n v="0"/>
    <n v="0"/>
    <n v="0"/>
    <n v="0"/>
    <n v="0"/>
    <n v="0"/>
    <n v="0"/>
    <n v="0"/>
    <x v="1"/>
    <x v="0"/>
    <x v="3"/>
    <n v="3"/>
    <m/>
    <n v="1"/>
    <m/>
    <m/>
    <m/>
    <m/>
    <m/>
    <m/>
    <m/>
    <m/>
    <m/>
    <m/>
    <m/>
    <m/>
    <m/>
    <m/>
    <m/>
    <m/>
    <m/>
    <m/>
    <n v="1"/>
    <n v="1"/>
  </r>
  <r>
    <n v="1882"/>
    <x v="1"/>
    <s v="2019/0799"/>
    <s v="175 Wandsworth High Street"/>
    <s v=""/>
    <n v="525371"/>
    <n v="174659"/>
    <x v="14"/>
    <d v="2018-04-01T00:00:00"/>
    <m/>
    <n v="0"/>
    <x v="3"/>
    <x v="5"/>
    <n v="1"/>
    <n v="1"/>
    <x v="1"/>
    <s v="Variation of condition 4 (restricted use) and 2 (in accordance with approved drawings) of planning permission dated 09/12/2016 ref 2016/5757 (Change of use of upper and lower ground floors restaurant &amp; sandwich bar (Class A3) to 3 x commercial units (Class B1a), including external alterations to the front, side and rear elevations.) so as to allow change of use from office at rear ground and lower ground floors (Class B1a) to residential (Class C3)."/>
    <s v="S73"/>
    <d v="2019-03-12T00:00:00"/>
    <d v="2019-05-15T00:00:00"/>
    <x v="0"/>
    <s v="Nil"/>
    <m/>
    <s v="BF"/>
    <s v="COU"/>
    <x v="2"/>
    <x v="8"/>
    <n v="5.0000000000000001E-3"/>
    <d v="2018-04-01T00:00:00"/>
    <x v="0"/>
    <m/>
    <x v="1"/>
    <s v="M"/>
    <s v=""/>
    <m/>
    <m/>
    <m/>
    <m/>
    <m/>
    <n v="0"/>
    <n v="1"/>
    <n v="0"/>
    <n v="0"/>
    <n v="0"/>
    <n v="0"/>
    <n v="0"/>
    <n v="0"/>
    <n v="1"/>
    <n v="0"/>
    <n v="0"/>
    <n v="0"/>
    <n v="0"/>
    <n v="0"/>
    <n v="0"/>
    <n v="0"/>
    <n v="0"/>
    <n v="0"/>
    <n v="0"/>
    <n v="0"/>
    <n v="0"/>
    <n v="0"/>
    <n v="0"/>
    <n v="0"/>
    <n v="0"/>
    <n v="0"/>
    <n v="0"/>
    <n v="0"/>
    <x v="4"/>
    <x v="0"/>
    <x v="7"/>
    <n v="13"/>
    <m/>
    <n v="1"/>
    <m/>
    <m/>
    <m/>
    <m/>
    <m/>
    <m/>
    <m/>
    <m/>
    <m/>
    <m/>
    <m/>
    <m/>
    <m/>
    <m/>
    <m/>
    <m/>
    <m/>
    <m/>
    <n v="1"/>
    <n v="1"/>
  </r>
  <r>
    <n v="6501"/>
    <x v="1"/>
    <s v="2019/0866"/>
    <s v="1023-1025 Garratt Lane"/>
    <s v=""/>
    <n v="527304"/>
    <n v="171639"/>
    <x v="0"/>
    <d v="2022-09-08T00:00:00"/>
    <m/>
    <n v="0"/>
    <x v="35"/>
    <x v="40"/>
    <n v="17"/>
    <n v="17"/>
    <x v="0"/>
    <s v="Variation of conditions 2, 3 and 7 (in accordance with approved drawings) pursuant to planning permission dated 14/11/2017 ref 2016/5209 (Demolition of the existing builder and timber merchant building (Class B1) and redevelopment with a part 2, part 3 storey building plus basement level comprising 17 apartments (Class C3) (2 x 1 beds, 12 x 2 beds and 3 x 3 beds) and associated landscaping, car and cycle parking)  to allow reconfiguration of internal layouts and subsequent alteratons to boundaries and cycle parking."/>
    <s v="S73"/>
    <d v="2019-03-15T00:00:00"/>
    <d v="2019-11-14T00:00:00"/>
    <x v="0"/>
    <s v="Nil"/>
    <m/>
    <s v="BF"/>
    <s v="NB"/>
    <x v="1"/>
    <x v="0"/>
    <n v="0.156"/>
    <d v="2022-09-08T00:00:00"/>
    <x v="0"/>
    <m/>
    <x v="1"/>
    <s v="M"/>
    <s v=""/>
    <m/>
    <m/>
    <n v="15"/>
    <m/>
    <n v="2"/>
    <n v="0"/>
    <n v="4"/>
    <n v="10"/>
    <n v="3"/>
    <n v="0"/>
    <n v="0"/>
    <n v="0"/>
    <n v="0"/>
    <n v="4"/>
    <n v="10"/>
    <n v="3"/>
    <n v="0"/>
    <n v="0"/>
    <n v="0"/>
    <n v="0"/>
    <n v="0"/>
    <n v="0"/>
    <n v="0"/>
    <n v="0"/>
    <n v="0"/>
    <n v="0"/>
    <n v="0"/>
    <n v="0"/>
    <n v="0"/>
    <n v="0"/>
    <n v="0"/>
    <n v="0"/>
    <n v="0"/>
    <x v="1"/>
    <x v="0"/>
    <x v="0"/>
    <n v="3"/>
    <m/>
    <n v="17"/>
    <m/>
    <m/>
    <m/>
    <m/>
    <m/>
    <m/>
    <m/>
    <m/>
    <m/>
    <m/>
    <m/>
    <m/>
    <m/>
    <m/>
    <m/>
    <m/>
    <m/>
    <m/>
    <n v="17"/>
    <n v="17"/>
  </r>
  <r>
    <n v="6238"/>
    <x v="1"/>
    <s v="2019/1231"/>
    <s v="235a - 237a, 235-237 Wimbledon Park road"/>
    <s v=""/>
    <n v="524777"/>
    <n v="173324"/>
    <x v="12"/>
    <d v="2024-03-31T00:00:00"/>
    <m/>
    <n v="0"/>
    <x v="11"/>
    <x v="36"/>
    <n v="3"/>
    <n v="3"/>
    <x v="1"/>
    <s v="Erection of a three storey rear extension in connection with formation of 1 x 1 bedroomed flat and 2 x 2 bedroomed flats with external terraces, and associated cycle and refuse storage."/>
    <s v="PF"/>
    <d v="2019-03-18T00:00:00"/>
    <d v="2020-06-24T00:00:00"/>
    <x v="0"/>
    <s v="Nil"/>
    <m/>
    <s v="BF"/>
    <s v="NB"/>
    <x v="2"/>
    <x v="3"/>
    <n v="8.0000000000000002E-3"/>
    <d v="2024-03-31T00:00:00"/>
    <x v="1"/>
    <m/>
    <x v="1"/>
    <s v="M"/>
    <s v=""/>
    <m/>
    <m/>
    <m/>
    <m/>
    <m/>
    <n v="0"/>
    <n v="1"/>
    <n v="2"/>
    <n v="0"/>
    <n v="0"/>
    <n v="0"/>
    <n v="0"/>
    <n v="0"/>
    <n v="1"/>
    <n v="2"/>
    <n v="0"/>
    <n v="0"/>
    <n v="0"/>
    <n v="0"/>
    <n v="0"/>
    <n v="0"/>
    <n v="0"/>
    <n v="0"/>
    <n v="0"/>
    <n v="0"/>
    <n v="0"/>
    <n v="0"/>
    <n v="0"/>
    <n v="0"/>
    <n v="0"/>
    <n v="0"/>
    <n v="0"/>
    <n v="0"/>
    <x v="1"/>
    <x v="0"/>
    <x v="2"/>
    <n v="4"/>
    <m/>
    <n v="1.5"/>
    <n v="1.5"/>
    <m/>
    <m/>
    <m/>
    <m/>
    <m/>
    <m/>
    <m/>
    <m/>
    <m/>
    <m/>
    <m/>
    <m/>
    <m/>
    <m/>
    <m/>
    <m/>
    <m/>
    <n v="3"/>
    <n v="3"/>
  </r>
  <r>
    <n v="4689"/>
    <x v="1"/>
    <s v="2019/1258"/>
    <s v="13 Northcote Road"/>
    <s v="conversion"/>
    <n v="527473"/>
    <n v="175071"/>
    <x v="8"/>
    <d v="2022-04-01T00:00:00"/>
    <m/>
    <n v="1"/>
    <x v="3"/>
    <x v="6"/>
    <n v="2"/>
    <n v="1"/>
    <x v="1"/>
    <s v="Alterations including erection of mansard roof extension to main roof, rear extension at second floor level and formation of rear roof terraces in connection with conversion of existing flat into 1 x 1-bedroom and 1 x 3-bedroom flats."/>
    <s v="PF"/>
    <d v="2019-03-19T00:00:00"/>
    <d v="2019-05-14T00:00:00"/>
    <x v="0"/>
    <s v="Nil"/>
    <m/>
    <s v="BF"/>
    <s v="MIX"/>
    <x v="2"/>
    <x v="5"/>
    <n v="3.0000000000000001E-3"/>
    <d v="2022-04-01T00:00:00"/>
    <x v="0"/>
    <m/>
    <x v="1"/>
    <s v="M"/>
    <s v=""/>
    <m/>
    <m/>
    <m/>
    <m/>
    <m/>
    <n v="0"/>
    <n v="1"/>
    <n v="0"/>
    <n v="-1"/>
    <n v="0"/>
    <n v="0"/>
    <n v="0"/>
    <n v="0"/>
    <n v="1"/>
    <n v="0"/>
    <n v="-1"/>
    <n v="0"/>
    <n v="0"/>
    <n v="0"/>
    <n v="0"/>
    <n v="0"/>
    <n v="0"/>
    <n v="0"/>
    <n v="0"/>
    <n v="0"/>
    <n v="0"/>
    <n v="0"/>
    <n v="0"/>
    <n v="0"/>
    <n v="0"/>
    <n v="0"/>
    <n v="0"/>
    <n v="0"/>
    <x v="3"/>
    <x v="0"/>
    <x v="3"/>
    <n v="13"/>
    <m/>
    <n v="0"/>
    <m/>
    <m/>
    <m/>
    <m/>
    <m/>
    <m/>
    <m/>
    <m/>
    <m/>
    <m/>
    <m/>
    <m/>
    <m/>
    <m/>
    <m/>
    <m/>
    <m/>
    <m/>
    <n v="0"/>
    <n v="0"/>
  </r>
  <r>
    <n v="4689"/>
    <x v="1"/>
    <s v="2019/1258"/>
    <s v="13 Northcote Road"/>
    <s v="extn to ex"/>
    <n v="527473"/>
    <n v="175071"/>
    <x v="8"/>
    <d v="2022-04-01T00:00:00"/>
    <m/>
    <n v="0"/>
    <x v="3"/>
    <x v="5"/>
    <n v="2"/>
    <n v="1"/>
    <x v="1"/>
    <s v="Alterations including erection of mansard roof extension to main roof, rear extension at second floor level and formation of rear roof terraces in connection with conversion of existing flat into 1 x 1-bedroom and 1 x 3-bedroom flats."/>
    <s v="PF"/>
    <d v="2019-03-19T00:00:00"/>
    <d v="2019-05-14T00:00:00"/>
    <x v="0"/>
    <s v="Nil"/>
    <m/>
    <s v="BF"/>
    <s v="MIX"/>
    <x v="2"/>
    <x v="7"/>
    <n v="4.0000000000000001E-3"/>
    <d v="2022-04-01T00:00:00"/>
    <x v="0"/>
    <m/>
    <x v="1"/>
    <s v="M"/>
    <s v=""/>
    <m/>
    <m/>
    <m/>
    <m/>
    <m/>
    <n v="0"/>
    <n v="0"/>
    <n v="0"/>
    <n v="1"/>
    <n v="0"/>
    <n v="0"/>
    <n v="0"/>
    <n v="0"/>
    <n v="0"/>
    <n v="0"/>
    <n v="1"/>
    <n v="0"/>
    <n v="0"/>
    <n v="0"/>
    <n v="0"/>
    <n v="0"/>
    <n v="0"/>
    <n v="0"/>
    <n v="0"/>
    <n v="0"/>
    <n v="0"/>
    <n v="0"/>
    <n v="0"/>
    <n v="0"/>
    <n v="0"/>
    <n v="0"/>
    <n v="0"/>
    <n v="0"/>
    <x v="3"/>
    <x v="0"/>
    <x v="3"/>
    <n v="13"/>
    <m/>
    <n v="1"/>
    <m/>
    <m/>
    <m/>
    <m/>
    <m/>
    <m/>
    <m/>
    <m/>
    <m/>
    <m/>
    <m/>
    <m/>
    <m/>
    <m/>
    <m/>
    <m/>
    <m/>
    <m/>
    <n v="1"/>
    <n v="1"/>
  </r>
  <r>
    <n v="6302"/>
    <x v="1"/>
    <s v="2019/1427"/>
    <s v="150a-170 &amp; 2-8 Thornsett Road, Penwith Road"/>
    <s v="Level 1"/>
    <n v="525938"/>
    <n v="173047"/>
    <x v="13"/>
    <d v="2021-07-12T00:00:00"/>
    <m/>
    <n v="0"/>
    <x v="12"/>
    <x v="15"/>
    <n v="17"/>
    <n v="17"/>
    <x v="0"/>
    <s v="Demolition of existing buildings and erection of a part three, part four-storey plus basement level building to provide 1,246 sq.m. of retail (Class A1); 316 sq.m. of office (Class B1a); 617 sq.m. of light industrial (Class B1c), 827 sq.m. of storage and distribution (Class B8) floorspace, and 17 residential units of both private and affordable tenure, with associated balconies and terraces, cycle parking provision and a new sub-station."/>
    <s v="RP"/>
    <d v="2019-03-29T00:00:00"/>
    <d v="2019-07-26T00:00:00"/>
    <x v="0"/>
    <s v="APG"/>
    <d v="2020-10-30T00:00:00"/>
    <s v="BF"/>
    <s v="NB"/>
    <x v="1"/>
    <x v="0"/>
    <n v="1.2999999999999999E-2"/>
    <d v="2021-07-12T00:00:00"/>
    <x v="0"/>
    <m/>
    <x v="0"/>
    <s v="ISO"/>
    <s v=""/>
    <m/>
    <m/>
    <n v="1"/>
    <m/>
    <m/>
    <n v="0"/>
    <n v="1"/>
    <n v="1"/>
    <n v="2"/>
    <n v="0"/>
    <n v="0"/>
    <n v="0"/>
    <n v="0"/>
    <n v="1"/>
    <n v="1"/>
    <n v="2"/>
    <n v="0"/>
    <n v="0"/>
    <n v="0"/>
    <n v="0"/>
    <n v="0"/>
    <n v="0"/>
    <n v="0"/>
    <n v="0"/>
    <n v="0"/>
    <n v="0"/>
    <n v="0"/>
    <n v="0"/>
    <n v="0"/>
    <n v="0"/>
    <n v="0"/>
    <n v="0"/>
    <n v="0"/>
    <x v="1"/>
    <x v="0"/>
    <x v="5"/>
    <n v="3"/>
    <m/>
    <n v="4"/>
    <m/>
    <m/>
    <m/>
    <m/>
    <m/>
    <m/>
    <m/>
    <m/>
    <m/>
    <m/>
    <m/>
    <m/>
    <m/>
    <m/>
    <m/>
    <m/>
    <m/>
    <m/>
    <n v="4"/>
    <n v="4"/>
  </r>
  <r>
    <n v="1962"/>
    <x v="1"/>
    <s v="2019/2135"/>
    <s v="65a Bramfield Road (145a Northcote Road)"/>
    <s v=""/>
    <n v="527618"/>
    <n v="174574"/>
    <x v="11"/>
    <d v="2022-08-01T00:00:00"/>
    <m/>
    <n v="0"/>
    <x v="3"/>
    <x v="5"/>
    <n v="1"/>
    <n v="1"/>
    <x v="1"/>
    <s v="Demolition of single storey building and erection of two-storey 1-bedroom house."/>
    <s v="PF"/>
    <d v="2019-05-16T00:00:00"/>
    <d v="2019-09-23T00:00:00"/>
    <x v="0"/>
    <s v="Nil"/>
    <m/>
    <s v="BF"/>
    <s v="NB"/>
    <x v="2"/>
    <x v="6"/>
    <n v="8.0000000000000002E-3"/>
    <d v="2022-08-01T00:00:00"/>
    <x v="0"/>
    <m/>
    <x v="1"/>
    <s v="M"/>
    <s v=""/>
    <m/>
    <m/>
    <m/>
    <m/>
    <m/>
    <n v="0"/>
    <n v="1"/>
    <n v="0"/>
    <n v="0"/>
    <n v="0"/>
    <n v="0"/>
    <n v="0"/>
    <n v="0"/>
    <n v="0"/>
    <n v="0"/>
    <n v="0"/>
    <n v="0"/>
    <n v="0"/>
    <n v="0"/>
    <n v="0"/>
    <n v="1"/>
    <n v="0"/>
    <n v="0"/>
    <n v="0"/>
    <n v="0"/>
    <n v="0"/>
    <n v="0"/>
    <n v="0"/>
    <n v="0"/>
    <n v="0"/>
    <n v="0"/>
    <n v="0"/>
    <n v="0"/>
    <x v="1"/>
    <x v="0"/>
    <x v="2"/>
    <n v="3"/>
    <m/>
    <n v="1"/>
    <m/>
    <m/>
    <m/>
    <m/>
    <m/>
    <m/>
    <m/>
    <m/>
    <m/>
    <m/>
    <m/>
    <m/>
    <m/>
    <m/>
    <m/>
    <m/>
    <m/>
    <m/>
    <n v="1"/>
    <n v="1"/>
  </r>
  <r>
    <n v="3521"/>
    <x v="1"/>
    <s v="2021/5678"/>
    <s v="Peabody Estate, St Johns Hill"/>
    <s v="Phase 3 M"/>
    <n v="527156"/>
    <n v="175243"/>
    <x v="8"/>
    <d v="2022-11-03T00:00:00"/>
    <m/>
    <n v="0"/>
    <x v="47"/>
    <x v="56"/>
    <n v="315"/>
    <n v="307"/>
    <x v="0"/>
    <s v="Variation of Condition 15 (in accordance with approved drawings), Condition 24 (lifetime homes standards), Condition 25 (Code for Sustainable Homes Interim (Design Stage) Certificate), Condition 28 (Energy Performance Certificate), Condition 32 (secure cycle parking spaces), Condition 41 (building heights), Condition 42 (non-residential floorspace) and Condition 43 (residential units) pursuant to planning permission dated 19/01/2019 ref 2017/5837 to allow:_x000a_Changes to internal residential layouts resulting in an amended residential unit mix (including an increase of up to 59 residential units); minor adjustments to the massing, building footprint and height of Plots 3 and 7 (Phase 3) and associated changes to the external building façade of Plots 3, 7and 8 (Phase 3); reconfiguration of commercial floorspace; alterations to play space and landscape design, servicing arrangements, cycle parking and provision of plant."/>
    <s v="S73"/>
    <d v="2021-12-17T00:00:00"/>
    <d v="2022-11-03T00:00:00"/>
    <x v="0"/>
    <s v="Nil"/>
    <m/>
    <s v="BF"/>
    <s v="MIX"/>
    <x v="1"/>
    <x v="0"/>
    <n v="1.0840000000000001"/>
    <d v="2024-03-31T00:00:00"/>
    <x v="1"/>
    <m/>
    <x v="1"/>
    <s v="M"/>
    <s v="4.1.5"/>
    <m/>
    <n v="270"/>
    <m/>
    <m/>
    <m/>
    <n v="11"/>
    <n v="133"/>
    <n v="123"/>
    <n v="3"/>
    <n v="0"/>
    <n v="0"/>
    <n v="0"/>
    <n v="11"/>
    <n v="133"/>
    <n v="123"/>
    <n v="3"/>
    <n v="0"/>
    <n v="0"/>
    <n v="0"/>
    <n v="0"/>
    <n v="0"/>
    <n v="0"/>
    <n v="0"/>
    <n v="0"/>
    <n v="0"/>
    <n v="0"/>
    <n v="0"/>
    <n v="0"/>
    <n v="0"/>
    <n v="0"/>
    <n v="0"/>
    <n v="0"/>
    <n v="0"/>
    <x v="1"/>
    <x v="0"/>
    <x v="3"/>
    <n v="12"/>
    <m/>
    <m/>
    <m/>
    <n v="270"/>
    <m/>
    <m/>
    <m/>
    <m/>
    <m/>
    <m/>
    <m/>
    <m/>
    <m/>
    <m/>
    <m/>
    <m/>
    <m/>
    <m/>
    <m/>
    <m/>
    <n v="270"/>
    <n v="270"/>
  </r>
  <r>
    <n v="3521"/>
    <x v="1"/>
    <s v="2021/5678"/>
    <s v="Peabody Estate, St Johns Hill"/>
    <s v="Phase 3 IR"/>
    <n v="527156"/>
    <n v="175243"/>
    <x v="8"/>
    <d v="2022-11-03T00:00:00"/>
    <m/>
    <n v="0"/>
    <x v="42"/>
    <x v="50"/>
    <n v="315"/>
    <n v="307"/>
    <x v="0"/>
    <s v="Variation of Condition 15 (in accordance with approved drawings), Condition 24 (lifetime homes standards), Condition 25 (Code for Sustainable Homes Interim (Design Stage) Certificate), Condition 28 (Energy Performance Certificate), Condition 32 (secure cycle parking spaces), Condition 41 (building heights), Condition 42 (non-residential floorspace) and Condition 43 (residential units) pursuant to planning permission dated 19/01/2019 ref 2017/5837 to allow:_x000a_Changes to internal residential layouts resulting in an amended residential unit mix (including an increase of up to 59 residential units); minor adjustments to the massing, building footprint and height of Plots 3 and 7 (Phase 3) and associated changes to the external building façade of Plots 3, 7and 8 (Phase 3); reconfiguration of commercial floorspace; alterations to play space and landscape design, servicing arrangements, cycle parking and provision of plant."/>
    <s v="S73"/>
    <d v="2021-12-17T00:00:00"/>
    <d v="2022-11-03T00:00:00"/>
    <x v="0"/>
    <s v="Nil"/>
    <m/>
    <s v="BF"/>
    <s v="MIX"/>
    <x v="1"/>
    <x v="0"/>
    <n v="0.155"/>
    <d v="2024-03-31T00:00:00"/>
    <x v="1"/>
    <m/>
    <x v="0"/>
    <s v="IR"/>
    <s v="4.1.5"/>
    <m/>
    <n v="37"/>
    <m/>
    <m/>
    <m/>
    <n v="0"/>
    <n v="18"/>
    <n v="16"/>
    <n v="3"/>
    <n v="0"/>
    <n v="0"/>
    <n v="0"/>
    <n v="0"/>
    <n v="18"/>
    <n v="16"/>
    <n v="3"/>
    <n v="0"/>
    <n v="0"/>
    <n v="0"/>
    <n v="0"/>
    <n v="0"/>
    <n v="0"/>
    <n v="0"/>
    <n v="0"/>
    <n v="0"/>
    <n v="0"/>
    <n v="0"/>
    <n v="0"/>
    <n v="0"/>
    <n v="0"/>
    <n v="0"/>
    <n v="0"/>
    <n v="0"/>
    <x v="1"/>
    <x v="0"/>
    <x v="3"/>
    <n v="12"/>
    <m/>
    <m/>
    <m/>
    <n v="37"/>
    <m/>
    <m/>
    <m/>
    <m/>
    <m/>
    <m/>
    <m/>
    <m/>
    <m/>
    <m/>
    <m/>
    <m/>
    <m/>
    <m/>
    <m/>
    <m/>
    <n v="37"/>
    <n v="37"/>
  </r>
  <r>
    <n v="3943"/>
    <x v="1"/>
    <s v="2021/2892"/>
    <s v="Royal Mail Group Site, Ponton Road (Nine Elms Park)"/>
    <s v="Plot F"/>
    <n v="529575"/>
    <n v="177401"/>
    <x v="1"/>
    <d v="2022-10-04T00:00:00"/>
    <m/>
    <n v="0"/>
    <x v="48"/>
    <x v="57"/>
    <n v="383"/>
    <n v="383"/>
    <x v="0"/>
    <s v="Details of Private Residential Unit Mix for Plots F and G pursuant to condition 14 of planning permission dated 18/12/2020 ref 2019/2250 (Application under Section 73 of the Town and Country Planning Act 1990 for variations to Conditions 9 (Parameter Plans), 10 (GEA Floorspace Limits), 34 (BREEAM) and 52 (Wind Mitigation) of part outline and part detail planning permission 2017/6762 dated 28th March 2019 for &quot;Minor Material Amendment pursuant to Conditions 1 (time limit), 2 (time limit for reserved matters), 9 (parameter plans), 11 (Maximum Floorspaces), 15 (distribution and internal configuration of residential units for each plot), 32 (construction sequence and delivery plan) and 41 (land and groundwater contamination) of part outline and part detailed planning permission 2016/2424, dated 23rd January 2017 for &quot;Minor Material Amendment pursuant to Conditions 3 (reserved matters), 9 (parameter plans), 10 (GEA floorspace limits), 13 (residential unit limit), 18 (car parking space limit), 32 (B8 use restriction) and 41 (land and groundwater contamination) of part outline and part detailed planning permission 2011/2462, dated 30/03/12 for demolition of all existing buildings and construction of a mixed use redevelopment comprising 7 building plots with buildings up to 23 storeys high to provide residential units; commercial and community floorspace; associated basement parking and part of the 'Nine Elms Linear Park'. All matters reserved apart from the appearance and scale of Blocks B1, D1 &amp; G and two new access points from Nine Elms Lane.&quot; An addendum to the Environmental Statement has been submitted under The Town and Country Planning (Environmental Impact Assessment) Regulations 2017 (as amended).&quot;)."/>
    <s v="DT"/>
    <d v="2021-06-18T00:00:00"/>
    <d v="2021-08-02T00:00:00"/>
    <x v="0"/>
    <s v="Nil"/>
    <m/>
    <s v="BF"/>
    <s v="MIX"/>
    <x v="1"/>
    <x v="0"/>
    <n v="2.57"/>
    <d v="2022-10-04T00:00:00"/>
    <x v="0"/>
    <m/>
    <x v="1"/>
    <s v="M"/>
    <s v="2.1.18"/>
    <m/>
    <m/>
    <n v="177"/>
    <m/>
    <n v="20"/>
    <n v="9"/>
    <n v="43"/>
    <n v="110"/>
    <n v="35"/>
    <n v="0"/>
    <n v="0"/>
    <n v="0"/>
    <n v="9"/>
    <n v="43"/>
    <n v="110"/>
    <n v="35"/>
    <n v="0"/>
    <n v="0"/>
    <n v="0"/>
    <n v="0"/>
    <n v="0"/>
    <n v="0"/>
    <n v="0"/>
    <n v="0"/>
    <n v="0"/>
    <n v="0"/>
    <n v="0"/>
    <n v="0"/>
    <n v="0"/>
    <n v="0"/>
    <n v="0"/>
    <n v="0"/>
    <n v="0"/>
    <x v="1"/>
    <x v="1"/>
    <x v="1"/>
    <n v="12"/>
    <m/>
    <m/>
    <n v="197"/>
    <m/>
    <m/>
    <m/>
    <m/>
    <m/>
    <m/>
    <m/>
    <m/>
    <m/>
    <m/>
    <m/>
    <m/>
    <m/>
    <m/>
    <m/>
    <m/>
    <m/>
    <n v="197"/>
    <n v="197"/>
  </r>
  <r>
    <n v="3943"/>
    <x v="1"/>
    <s v="2022/4664"/>
    <s v="Royal Mail Group Site, Ponton Road (Nine Elms Park)"/>
    <s v="Plot G"/>
    <n v="529575"/>
    <n v="177401"/>
    <x v="1"/>
    <d v="2022-10-04T00:00:00"/>
    <m/>
    <n v="0"/>
    <x v="49"/>
    <x v="58"/>
    <n v="186"/>
    <n v="186"/>
    <x v="0"/>
    <s v="Application under Section 96A of the Town and Country Planning Act for a 'non-material amendment' to Condition 1 (approved drawings/documents) for design changes to Plot G (including changes to the residential mix; creation of additional residential space previously identified for plant; revised front entrance and canopy and revised top-level plant area) and 'Belfour Place' landscaping of reserved matters approval dated 2nd June 2021 reference 2019/2325."/>
    <s v="S96A"/>
    <d v="2022-11-15T00:00:00"/>
    <d v="2023-03-01T00:00:00"/>
    <x v="0"/>
    <s v="Nil"/>
    <m/>
    <s v="BF"/>
    <s v="NB"/>
    <x v="1"/>
    <x v="0"/>
    <n v="1.9470000000000001"/>
    <d v="2022-10-04T00:00:00"/>
    <x v="0"/>
    <m/>
    <x v="1"/>
    <s v="M"/>
    <s v="2.1.18"/>
    <m/>
    <m/>
    <n v="167"/>
    <m/>
    <n v="19"/>
    <n v="12"/>
    <n v="49"/>
    <n v="94"/>
    <n v="31"/>
    <n v="0"/>
    <n v="0"/>
    <n v="0"/>
    <n v="12"/>
    <n v="49"/>
    <n v="94"/>
    <n v="31"/>
    <n v="0"/>
    <n v="0"/>
    <n v="0"/>
    <n v="0"/>
    <n v="0"/>
    <n v="0"/>
    <n v="0"/>
    <n v="0"/>
    <n v="0"/>
    <n v="0"/>
    <n v="0"/>
    <n v="0"/>
    <n v="0"/>
    <n v="0"/>
    <n v="0"/>
    <n v="0"/>
    <n v="0"/>
    <x v="1"/>
    <x v="1"/>
    <x v="1"/>
    <n v="5"/>
    <m/>
    <n v="93"/>
    <n v="93"/>
    <m/>
    <m/>
    <m/>
    <m/>
    <m/>
    <m/>
    <m/>
    <m/>
    <m/>
    <m/>
    <m/>
    <m/>
    <m/>
    <m/>
    <m/>
    <m/>
    <m/>
    <n v="186"/>
    <n v="186"/>
  </r>
  <r>
    <n v="3943"/>
    <x v="1"/>
    <s v="2019/2325"/>
    <s v="Royal Mail Group Site, Ponton Road (Nine Elms Park)"/>
    <s v="Plot F"/>
    <n v="529575"/>
    <n v="177401"/>
    <x v="1"/>
    <d v="2022-10-04T00:00:00"/>
    <m/>
    <n v="0"/>
    <x v="32"/>
    <x v="37"/>
    <n v="459"/>
    <n v="459"/>
    <x v="0"/>
    <s v="Application for approval of reserved matters (Access, Appearance, Landscaping, Layout and Scale) for 'Plots F &amp; G' pursuant to Condition 3 of part outline and part detailed planning permission 2017/6762 dated 28/03/2019 for &quot;Minor Material Amendment pursuant to Conditions 1 (time limit), 2 (time limit for reserved matters), 9 (parameter plans), 11 (Maximum Floorspaces), 15 (distribution and internal configuration of residential units for each plot), 32 (construction sequence and delivery plan) and 41 (land and groundwater contamination) of part outline and part detailed planning permission 2016/2424, dated 23rd January 2017 for &quot;Minor Material Amendment pursuant to Conditions 3 (reserved matters), 9 (parameter plans), 10 (GEA floorspace limits), 13 (residential unit limit), 18 (car parking space limit), 32 (B8 use restriction) and 41 (land and groundwater contamination) of part outline and part detailed planning permission 2011/2462, dated 30/03/12 for demolition of all existing buildings and construction of a mixed use redevelopment comprising 7 building plots with buildings up to 23 storeys high to provide residential units; commercial and community floorspace; associated basement parking and part of the 'Nine Elms Linear Park'. All matters reserved apart from the appearance and scale of Blocks B1, D1 &amp; G and two new access points from Nine Elms Lane.&quot;"/>
    <s v="DT"/>
    <d v="2019-05-28T00:00:00"/>
    <d v="2021-05-22T00:00:00"/>
    <x v="0"/>
    <s v="Nil"/>
    <m/>
    <s v="BF"/>
    <s v="NB"/>
    <x v="1"/>
    <x v="0"/>
    <n v="0.6"/>
    <d v="2022-10-04T00:00:00"/>
    <x v="0"/>
    <m/>
    <x v="2"/>
    <s v="AA"/>
    <s v="2.1.18"/>
    <m/>
    <m/>
    <n v="41"/>
    <m/>
    <n v="5"/>
    <n v="0"/>
    <n v="12"/>
    <n v="18"/>
    <n v="14"/>
    <n v="2"/>
    <n v="0"/>
    <n v="0"/>
    <n v="0"/>
    <n v="12"/>
    <n v="18"/>
    <n v="14"/>
    <n v="2"/>
    <n v="0"/>
    <n v="0"/>
    <n v="0"/>
    <n v="0"/>
    <n v="0"/>
    <n v="0"/>
    <n v="0"/>
    <n v="0"/>
    <n v="0"/>
    <n v="0"/>
    <n v="0"/>
    <n v="0"/>
    <n v="0"/>
    <n v="0"/>
    <n v="0"/>
    <n v="0"/>
    <x v="1"/>
    <x v="1"/>
    <x v="1"/>
    <n v="5"/>
    <m/>
    <m/>
    <n v="46"/>
    <m/>
    <m/>
    <m/>
    <m/>
    <m/>
    <m/>
    <m/>
    <m/>
    <m/>
    <m/>
    <m/>
    <m/>
    <m/>
    <m/>
    <m/>
    <m/>
    <m/>
    <n v="46"/>
    <n v="46"/>
  </r>
  <r>
    <n v="4735"/>
    <x v="1"/>
    <s v="2019/2735"/>
    <s v="2 Penwortham Road"/>
    <s v=""/>
    <n v="529233"/>
    <n v="171130"/>
    <x v="9"/>
    <d v="2020-02-11T00:00:00"/>
    <m/>
    <n v="0"/>
    <x v="3"/>
    <x v="5"/>
    <n v="1"/>
    <n v="1"/>
    <x v="1"/>
    <s v="Alterations including excavation works in connection with change of use from Office/Business (Class A2) to residential (Class C3) to provide 1 x 1 bedroom unit with roof terrace."/>
    <s v="PF"/>
    <d v="2019-07-15T00:00:00"/>
    <d v="2019-08-19T00:00:00"/>
    <x v="0"/>
    <s v="Nil"/>
    <m/>
    <s v="BF"/>
    <s v="COU"/>
    <x v="2"/>
    <x v="6"/>
    <n v="2E-3"/>
    <d v="2020-02-11T00:00:00"/>
    <x v="0"/>
    <m/>
    <x v="1"/>
    <s v="M"/>
    <s v=""/>
    <m/>
    <m/>
    <m/>
    <m/>
    <m/>
    <n v="0"/>
    <n v="1"/>
    <n v="0"/>
    <n v="0"/>
    <n v="0"/>
    <n v="0"/>
    <n v="0"/>
    <n v="0"/>
    <n v="0"/>
    <n v="0"/>
    <n v="0"/>
    <n v="0"/>
    <n v="0"/>
    <n v="0"/>
    <n v="0"/>
    <n v="1"/>
    <n v="0"/>
    <n v="0"/>
    <n v="0"/>
    <n v="0"/>
    <n v="0"/>
    <n v="0"/>
    <n v="0"/>
    <n v="0"/>
    <n v="0"/>
    <n v="0"/>
    <n v="0"/>
    <n v="0"/>
    <x v="1"/>
    <x v="0"/>
    <x v="2"/>
    <n v="13"/>
    <m/>
    <n v="1"/>
    <m/>
    <m/>
    <m/>
    <m/>
    <m/>
    <m/>
    <m/>
    <m/>
    <m/>
    <m/>
    <m/>
    <m/>
    <m/>
    <m/>
    <m/>
    <m/>
    <m/>
    <m/>
    <n v="1"/>
    <n v="1"/>
  </r>
  <r>
    <n v="6662"/>
    <x v="1"/>
    <s v="2019/3065"/>
    <s v="Ground Floor, 231 Merton Road"/>
    <s v=""/>
    <n v="525227"/>
    <n v="173755"/>
    <x v="12"/>
    <d v="2023-03-31T00:00:00"/>
    <m/>
    <n v="0"/>
    <x v="3"/>
    <x v="5"/>
    <n v="1"/>
    <n v="1"/>
    <x v="1"/>
    <s v="Alterations in connection with change of use from office (Class A2) to residential (Class C3) to provide 1 x 2-bedroom flat."/>
    <s v="PF"/>
    <d v="2019-08-01T00:00:00"/>
    <d v="2019-09-09T00:00:00"/>
    <x v="0"/>
    <s v="Nil"/>
    <m/>
    <s v="BF"/>
    <s v="COU"/>
    <x v="2"/>
    <x v="6"/>
    <n v="5.0000000000000001E-3"/>
    <d v="2023-03-31T00:00:00"/>
    <x v="0"/>
    <m/>
    <x v="1"/>
    <s v="M"/>
    <s v=""/>
    <m/>
    <m/>
    <m/>
    <m/>
    <m/>
    <n v="0"/>
    <n v="0"/>
    <n v="1"/>
    <n v="0"/>
    <n v="0"/>
    <n v="0"/>
    <n v="0"/>
    <n v="0"/>
    <n v="0"/>
    <n v="1"/>
    <n v="0"/>
    <n v="0"/>
    <n v="0"/>
    <n v="0"/>
    <n v="0"/>
    <n v="0"/>
    <n v="0"/>
    <n v="0"/>
    <n v="0"/>
    <n v="0"/>
    <n v="0"/>
    <n v="0"/>
    <n v="0"/>
    <n v="0"/>
    <n v="0"/>
    <n v="0"/>
    <n v="0"/>
    <n v="0"/>
    <x v="1"/>
    <x v="0"/>
    <x v="5"/>
    <n v="13"/>
    <m/>
    <n v="1"/>
    <m/>
    <m/>
    <m/>
    <m/>
    <m/>
    <m/>
    <m/>
    <m/>
    <m/>
    <m/>
    <m/>
    <m/>
    <m/>
    <m/>
    <m/>
    <m/>
    <m/>
    <m/>
    <n v="1"/>
    <n v="1"/>
  </r>
  <r>
    <n v="5995"/>
    <x v="1"/>
    <s v="2019/3077"/>
    <s v="3 Roedean Crescent"/>
    <s v=""/>
    <n v="521248"/>
    <n v="174669"/>
    <x v="4"/>
    <d v="2024-03-31T00:00:00"/>
    <m/>
    <n v="1"/>
    <x v="3"/>
    <x v="6"/>
    <n v="1"/>
    <n v="0"/>
    <x v="1"/>
    <s v="Demolition of existing property and erection of two storey (plus roof and basement) 7-bedroom house with associated parking and boundary treatment."/>
    <s v="PF"/>
    <d v="2019-08-09T00:00:00"/>
    <d v="2019-09-26T00:00:00"/>
    <x v="0"/>
    <s v="Nil"/>
    <m/>
    <s v="BF"/>
    <s v="NB"/>
    <x v="2"/>
    <x v="3"/>
    <n v="0.123"/>
    <d v="2024-03-31T00:00:00"/>
    <x v="1"/>
    <m/>
    <x v="1"/>
    <s v="M"/>
    <s v=""/>
    <m/>
    <m/>
    <m/>
    <m/>
    <m/>
    <n v="0"/>
    <n v="0"/>
    <n v="0"/>
    <n v="0"/>
    <n v="0"/>
    <n v="0"/>
    <n v="0"/>
    <n v="0"/>
    <n v="0"/>
    <n v="0"/>
    <n v="0"/>
    <n v="0"/>
    <n v="0"/>
    <n v="0"/>
    <n v="0"/>
    <n v="0"/>
    <n v="0"/>
    <n v="0"/>
    <n v="0"/>
    <n v="0"/>
    <n v="0"/>
    <n v="0"/>
    <n v="0"/>
    <n v="0"/>
    <n v="0"/>
    <n v="0"/>
    <n v="0"/>
    <n v="0"/>
    <x v="1"/>
    <x v="0"/>
    <x v="2"/>
    <n v="4"/>
    <m/>
    <n v="0"/>
    <n v="0"/>
    <m/>
    <m/>
    <m/>
    <m/>
    <m/>
    <m/>
    <m/>
    <m/>
    <m/>
    <m/>
    <m/>
    <m/>
    <m/>
    <m/>
    <m/>
    <m/>
    <m/>
    <n v="0"/>
    <n v="0"/>
  </r>
  <r>
    <n v="7233"/>
    <x v="1"/>
    <s v="2019/3388"/>
    <s v="77 Broomwood Road"/>
    <s v=""/>
    <n v="527787"/>
    <n v="174343"/>
    <x v="11"/>
    <d v="2023-03-31T00:00:00"/>
    <m/>
    <n v="3"/>
    <x v="11"/>
    <x v="6"/>
    <n v="4"/>
    <n v="1"/>
    <x v="1"/>
    <s v="Alterations including erection of dormer roof extensions to side and rear roof (with french doors and safety railings); erection of part single, part three-storey front, side and rear extension; excavation to enlarge basement including formation front lightwell; all in connection with the conversion of 2 x 1 bedroom flats and 1 x 3 bedroom flat into 3 x 2 bedroom flats and 1 x 3 bedroom flat."/>
    <s v="PF"/>
    <d v="2019-08-19T00:00:00"/>
    <d v="2019-09-27T00:00:00"/>
    <x v="0"/>
    <s v="Nil"/>
    <m/>
    <s v="BF"/>
    <s v="MIX"/>
    <x v="2"/>
    <x v="7"/>
    <n v="2.3E-2"/>
    <d v="2023-03-31T00:00:00"/>
    <x v="0"/>
    <m/>
    <x v="1"/>
    <s v="M"/>
    <s v=""/>
    <m/>
    <m/>
    <m/>
    <m/>
    <m/>
    <n v="0"/>
    <n v="-2"/>
    <n v="3"/>
    <n v="-1"/>
    <n v="0"/>
    <n v="0"/>
    <n v="0"/>
    <n v="0"/>
    <n v="-2"/>
    <n v="3"/>
    <n v="-1"/>
    <n v="0"/>
    <n v="0"/>
    <n v="0"/>
    <n v="0"/>
    <n v="0"/>
    <n v="0"/>
    <n v="0"/>
    <n v="0"/>
    <n v="0"/>
    <n v="0"/>
    <n v="0"/>
    <n v="0"/>
    <n v="0"/>
    <n v="0"/>
    <n v="0"/>
    <n v="0"/>
    <n v="0"/>
    <x v="1"/>
    <x v="0"/>
    <x v="2"/>
    <n v="13"/>
    <m/>
    <n v="0"/>
    <m/>
    <m/>
    <m/>
    <m/>
    <m/>
    <m/>
    <m/>
    <m/>
    <m/>
    <m/>
    <m/>
    <m/>
    <m/>
    <m/>
    <m/>
    <m/>
    <m/>
    <m/>
    <n v="0"/>
    <n v="0"/>
  </r>
  <r>
    <n v="7233"/>
    <x v="1"/>
    <s v="2019/3388"/>
    <s v="77 Broomwood Road"/>
    <s v=""/>
    <n v="527787"/>
    <n v="174343"/>
    <x v="11"/>
    <d v="2023-03-31T00:00:00"/>
    <m/>
    <n v="0"/>
    <x v="3"/>
    <x v="5"/>
    <n v="4"/>
    <n v="1"/>
    <x v="1"/>
    <s v="Alterations including erection of dormer roof extensions to side and rear roof (with french doors and safety railings); erection of part single, part three-storey front, side and rear extension; excavation to enlarge basement including formation front lightwell; all in connection with the conversion of 2 x 1 bedroom flats and 1 x 3 bedroom flat into 3 x 2 bedroom flats and 1 x 3 bedroom flat."/>
    <s v="PF"/>
    <d v="2019-08-19T00:00:00"/>
    <d v="2019-09-27T00:00:00"/>
    <x v="0"/>
    <s v="Nil"/>
    <m/>
    <s v="BF"/>
    <s v="MIX"/>
    <x v="2"/>
    <x v="5"/>
    <n v="5.0000000000000001E-3"/>
    <d v="2023-03-31T00:00:00"/>
    <x v="0"/>
    <m/>
    <x v="1"/>
    <s v="M"/>
    <s v=""/>
    <m/>
    <m/>
    <m/>
    <m/>
    <m/>
    <n v="0"/>
    <n v="0"/>
    <n v="1"/>
    <n v="0"/>
    <n v="0"/>
    <n v="0"/>
    <n v="0"/>
    <n v="0"/>
    <n v="0"/>
    <n v="1"/>
    <n v="0"/>
    <n v="0"/>
    <n v="0"/>
    <n v="0"/>
    <n v="0"/>
    <n v="0"/>
    <n v="0"/>
    <n v="0"/>
    <n v="0"/>
    <n v="0"/>
    <n v="0"/>
    <n v="0"/>
    <n v="0"/>
    <n v="0"/>
    <n v="0"/>
    <n v="0"/>
    <n v="0"/>
    <n v="0"/>
    <x v="1"/>
    <x v="0"/>
    <x v="2"/>
    <n v="13"/>
    <m/>
    <n v="1"/>
    <m/>
    <m/>
    <m/>
    <m/>
    <m/>
    <m/>
    <m/>
    <m/>
    <m/>
    <m/>
    <m/>
    <m/>
    <m/>
    <m/>
    <m/>
    <m/>
    <m/>
    <m/>
    <n v="1"/>
    <n v="1"/>
  </r>
  <r>
    <n v="182"/>
    <x v="1"/>
    <s v="2019/3692"/>
    <s v="376-378 Garratt Lane"/>
    <s v=""/>
    <n v="526066"/>
    <n v="172919"/>
    <x v="17"/>
    <d v="2023-03-31T00:00:00"/>
    <m/>
    <n v="1"/>
    <x v="11"/>
    <x v="7"/>
    <n v="4"/>
    <n v="3"/>
    <x v="1"/>
    <s v="Alterations in connection with conversion of existing flat and  office (B1) to 4 x two-bedroom flats with associated bin and cycle storage."/>
    <s v="PF"/>
    <d v="2019-09-11T00:00:00"/>
    <d v="2019-11-18T00:00:00"/>
    <x v="0"/>
    <s v="Nil"/>
    <m/>
    <s v="BF"/>
    <s v="MIX"/>
    <x v="2"/>
    <x v="5"/>
    <n v="2.1999999999999999E-2"/>
    <d v="2023-03-31T00:00:00"/>
    <x v="0"/>
    <m/>
    <x v="1"/>
    <s v="M"/>
    <s v=""/>
    <m/>
    <m/>
    <m/>
    <m/>
    <m/>
    <n v="0"/>
    <n v="0"/>
    <n v="3"/>
    <n v="0"/>
    <n v="-1"/>
    <n v="0"/>
    <n v="0"/>
    <n v="0"/>
    <n v="0"/>
    <n v="3"/>
    <n v="0"/>
    <n v="-1"/>
    <n v="0"/>
    <n v="0"/>
    <n v="0"/>
    <n v="0"/>
    <n v="0"/>
    <n v="0"/>
    <n v="0"/>
    <n v="0"/>
    <n v="0"/>
    <n v="0"/>
    <n v="0"/>
    <n v="0"/>
    <n v="0"/>
    <n v="0"/>
    <n v="0"/>
    <n v="0"/>
    <x v="1"/>
    <x v="0"/>
    <x v="5"/>
    <n v="13"/>
    <m/>
    <n v="2"/>
    <m/>
    <m/>
    <m/>
    <m/>
    <m/>
    <m/>
    <m/>
    <m/>
    <m/>
    <m/>
    <m/>
    <m/>
    <m/>
    <m/>
    <m/>
    <m/>
    <m/>
    <m/>
    <n v="2"/>
    <n v="2"/>
  </r>
  <r>
    <n v="182"/>
    <x v="1"/>
    <s v="2019/3692"/>
    <s v="376-378 Garratt Lane"/>
    <s v=""/>
    <n v="526066"/>
    <n v="172919"/>
    <x v="17"/>
    <d v="2023-03-31T00:00:00"/>
    <m/>
    <n v="0"/>
    <x v="3"/>
    <x v="5"/>
    <n v="4"/>
    <n v="3"/>
    <x v="1"/>
    <s v="Alterations in connection with conversion of existing flat and  office (B1) to 4 x two-bedroom flats with associated bin and cycle storage."/>
    <s v="PF"/>
    <d v="2019-09-11T00:00:00"/>
    <d v="2019-11-18T00:00:00"/>
    <x v="0"/>
    <s v="Nil"/>
    <m/>
    <s v="BF"/>
    <s v="MIX"/>
    <x v="2"/>
    <x v="6"/>
    <n v="7.0000000000000001E-3"/>
    <d v="2023-03-31T00:00:00"/>
    <x v="0"/>
    <m/>
    <x v="1"/>
    <s v="M"/>
    <s v=""/>
    <m/>
    <m/>
    <m/>
    <m/>
    <m/>
    <n v="0"/>
    <n v="0"/>
    <n v="1"/>
    <n v="0"/>
    <n v="0"/>
    <n v="0"/>
    <n v="0"/>
    <n v="0"/>
    <n v="0"/>
    <n v="1"/>
    <n v="0"/>
    <n v="0"/>
    <n v="0"/>
    <n v="0"/>
    <n v="0"/>
    <n v="0"/>
    <n v="0"/>
    <n v="0"/>
    <n v="0"/>
    <n v="0"/>
    <n v="0"/>
    <n v="0"/>
    <n v="0"/>
    <n v="0"/>
    <n v="0"/>
    <n v="0"/>
    <n v="0"/>
    <n v="0"/>
    <x v="1"/>
    <x v="0"/>
    <x v="5"/>
    <n v="13"/>
    <m/>
    <n v="1"/>
    <m/>
    <m/>
    <m/>
    <m/>
    <m/>
    <m/>
    <m/>
    <m/>
    <m/>
    <m/>
    <m/>
    <m/>
    <m/>
    <m/>
    <m/>
    <m/>
    <m/>
    <m/>
    <n v="1"/>
    <n v="1"/>
  </r>
  <r>
    <n v="3943"/>
    <x v="1"/>
    <s v="2019/2325"/>
    <s v="Royal Mail Group Site, Ponton Road (Nine Elms Park)"/>
    <s v="Plot F"/>
    <n v="529575"/>
    <n v="177401"/>
    <x v="1"/>
    <d v="2022-10-04T00:00:00"/>
    <m/>
    <n v="0"/>
    <x v="50"/>
    <x v="59"/>
    <n v="459"/>
    <n v="459"/>
    <x v="0"/>
    <s v="Application for approval of reserved matters (Access, Appearance, Landscaping, Layout and Scale) for 'Plots F &amp; G' pursuant to Condition 3 of part outline and part detailed planning permission 2017/6762 dated 28/03/2019 for &quot;Minor Material Amendment pursuant to Conditions 1 (time limit), 2 (time limit for reserved matters), 9 (parameter plans), 11 (Maximum Floorspaces), 15 (distribution and internal configuration of residential units for each plot), 32 (construction sequence and delivery plan) and 41 (land and groundwater contamination) of part outline and part detailed planning permission 2016/2424, dated 23rd January 2017 for &quot;Minor Material Amendment pursuant to Conditions 3 (reserved matters), 9 (parameter plans), 10 (GEA floorspace limits), 13 (residential unit limit), 18 (car parking space limit), 32 (B8 use restriction) and 41 (land and groundwater contamination) of part outline and part detailed planning permission 2011/2462, dated 30/03/12 for demolition of all existing buildings and construction of a mixed use redevelopment comprising 7 building plots with buildings up to 23 storeys high to provide residential units; commercial and community floorspace; associated basement parking and part of the 'Nine Elms Linear Park'. All matters reserved apart from the appearance and scale of Blocks B1, D1 &amp; G and two new access points from Nine Elms Lane.&quot;"/>
    <s v="DT"/>
    <d v="2019-05-28T00:00:00"/>
    <d v="2021-05-22T00:00:00"/>
    <x v="0"/>
    <s v="Nil"/>
    <m/>
    <s v="BF"/>
    <s v="NB"/>
    <x v="1"/>
    <x v="0"/>
    <n v="0.39129999999999998"/>
    <d v="2022-10-04T00:00:00"/>
    <x v="0"/>
    <m/>
    <x v="0"/>
    <s v="IU"/>
    <s v="2.1.18"/>
    <m/>
    <m/>
    <n v="27"/>
    <m/>
    <n v="3"/>
    <n v="0"/>
    <n v="13"/>
    <n v="17"/>
    <n v="0"/>
    <n v="0"/>
    <n v="0"/>
    <n v="0"/>
    <n v="0"/>
    <n v="13"/>
    <n v="17"/>
    <n v="0"/>
    <n v="0"/>
    <n v="0"/>
    <n v="0"/>
    <n v="0"/>
    <n v="0"/>
    <n v="0"/>
    <n v="0"/>
    <n v="0"/>
    <n v="0"/>
    <n v="0"/>
    <n v="0"/>
    <n v="0"/>
    <n v="0"/>
    <n v="0"/>
    <n v="0"/>
    <n v="0"/>
    <n v="0"/>
    <x v="1"/>
    <x v="1"/>
    <x v="1"/>
    <n v="5"/>
    <m/>
    <m/>
    <n v="30"/>
    <m/>
    <m/>
    <m/>
    <m/>
    <m/>
    <m/>
    <m/>
    <m/>
    <m/>
    <m/>
    <m/>
    <m/>
    <m/>
    <m/>
    <m/>
    <m/>
    <m/>
    <n v="30"/>
    <n v="30"/>
  </r>
  <r>
    <n v="3519"/>
    <x v="1"/>
    <s v="2019/4583"/>
    <s v="B and Q Depot, Smugglers Way"/>
    <s v="BLOCK C1"/>
    <n v="525782"/>
    <n v="175172"/>
    <x v="15"/>
    <d v="2020-01-18T00:00:00"/>
    <m/>
    <n v="0"/>
    <x v="16"/>
    <x v="20"/>
    <n v="554"/>
    <n v="554"/>
    <x v="0"/>
    <s v="Variation of conditions 2 (in accordance with approved drawings), 3 (Environmental Impact Assessment - EIA), 4 (Flood Risk Assessment) and removal of condition 13 (No residential units shall be occupied within the inner or middle zones of the HSE consultation distance around the Wandsworth Gas Holder Station) pursuant to planning permission dated 29/03/2019 ref 2017/0580 [Demolition of existing retail buildings and phased construction of 13 residential blocks (with 3 podiums) ranging from 8 to 15 storeys to provide a mixed use scheme including 517 residential units (Class C3), 5160 sqm GIA of business (Class B1) and 2969 sqm GIA flexible business/retail/restaurant and cafe (Class B1, A1, A2, A3 and A4) with car/cycle parking, associated combined heat and power (CHP), plant and associated works, landscaping, new accesses onto Smugglers Way, and offsite highways works including a new pedestrian crossing of Swandon Way) to allow the following changes: _x000a__x000a_An increase in unit numbers from 517 to 554 (37 units additional units), increase in affordable housing units from 184 to 197, change to housing mix, reduction in car parking from 60 parking spaces to 22 blue badge spaces, 1 commercial blue badge space and 1 car club space. Introduction of D1 and D2 uses into the flexible floorspace and reduction in ground floor flexible commercial floorspace from 2969m² to 1960m² (GIA), reduction in Class B1(a) commercial floorspace at the mezzanine level from 5160m² to 1054m² (GIA) with the provision of 2,548m² (GIA) residential facilities associated with the 'Build to Rent' model. Associated changes to the level of cycle storage, amenity with outdoor swimming pool, private amenity, public open space and playspace across the site, increase in size of energy centre and other associated changes as a result of the revised development.  A revised EIA and associated mitigation, change to finished floor levels and removal of condition 13 (see planning statement on Council website). A revised Environmental Statement has been submitted under the Town and Country Planning (Environmental Impact Assessment) Regulations 2017 as amended."/>
    <s v="S73"/>
    <d v="2019-11-04T00:00:00"/>
    <d v="2021-04-29T00:00:00"/>
    <x v="0"/>
    <s v="Nil"/>
    <m/>
    <s v="BF"/>
    <s v="NB"/>
    <x v="1"/>
    <x v="0"/>
    <n v="6.7000000000000004E-2"/>
    <d v="2023-03-31T00:00:00"/>
    <x v="0"/>
    <m/>
    <x v="1"/>
    <s v="M"/>
    <s v="3.7"/>
    <m/>
    <m/>
    <m/>
    <m/>
    <m/>
    <n v="0"/>
    <n v="0"/>
    <n v="40"/>
    <n v="2"/>
    <n v="0"/>
    <n v="0"/>
    <n v="0"/>
    <n v="0"/>
    <n v="0"/>
    <n v="40"/>
    <n v="2"/>
    <n v="0"/>
    <n v="0"/>
    <n v="0"/>
    <n v="0"/>
    <n v="0"/>
    <n v="0"/>
    <n v="0"/>
    <n v="0"/>
    <n v="0"/>
    <n v="0"/>
    <n v="0"/>
    <n v="0"/>
    <n v="0"/>
    <n v="0"/>
    <n v="0"/>
    <n v="0"/>
    <n v="0"/>
    <x v="1"/>
    <x v="0"/>
    <x v="7"/>
    <n v="5"/>
    <m/>
    <n v="42"/>
    <m/>
    <m/>
    <m/>
    <m/>
    <m/>
    <m/>
    <m/>
    <m/>
    <m/>
    <m/>
    <m/>
    <m/>
    <m/>
    <m/>
    <m/>
    <m/>
    <m/>
    <m/>
    <n v="42"/>
    <n v="42"/>
  </r>
  <r>
    <n v="3519"/>
    <x v="1"/>
    <s v="2019/4583"/>
    <s v="B and Q Depot, Smugglers Way"/>
    <s v="BLOCK C2"/>
    <n v="525782"/>
    <n v="175172"/>
    <x v="15"/>
    <d v="2020-01-18T00:00:00"/>
    <m/>
    <n v="0"/>
    <x v="51"/>
    <x v="60"/>
    <n v="554"/>
    <n v="554"/>
    <x v="0"/>
    <s v="Variation of conditions 2 (in accordance with approved drawings), 3 (Environmental Impact Assessment - EIA), 4 (Flood Risk Assessment) and removal of condition 13 (No residential units shall be occupied within the inner or middle zones of the HSE consultation distance around the Wandsworth Gas Holder Station) pursuant to planning permission dated 29/03/2019 ref 2017/0580 [Demolition of existing retail buildings and phased construction of 13 residential blocks (with 3 podiums) ranging from 8 to 15 storeys to provide a mixed use scheme including 517 residential units (Class C3), 5160 sqm GIA of business (Class B1) and 2969 sqm GIA flexible business/retail/restaurant and cafe (Class B1, A1, A2, A3 and A4) with car/cycle parking, associated combined heat and power (CHP), plant and associated works, landscaping, new accesses onto Smugglers Way, and offsite highways works including a new pedestrian crossing of Swandon Way) to allow the following changes: _x000a__x000a_An increase in unit numbers from 517 to 554 (37 units additional units), increase in affordable housing units from 184 to 197, change to housing mix, reduction in car parking from 60 parking spaces to 22 blue badge spaces, 1 commercial blue badge space and 1 car club space. Introduction of D1 and D2 uses into the flexible floorspace and reduction in ground floor flexible commercial floorspace from 2969m² to 1960m² (GIA), reduction in Class B1(a) commercial floorspace at the mezzanine level from 5160m² to 1054m² (GIA) with the provision of 2,548m² (GIA) residential facilities associated with the 'Build to Rent' model. Associated changes to the level of cycle storage, amenity with outdoor swimming pool, private amenity, public open space and playspace across the site, increase in size of energy centre and other associated changes as a result of the revised development.  A revised EIA and associated mitigation, change to finished floor levels and removal of condition 13 (see planning statement on Council website). A revised Environmental Statement has been submitted under the Town and Country Planning (Environmental Impact Assessment) Regulations 2017 as amended."/>
    <s v="S73"/>
    <d v="2019-11-04T00:00:00"/>
    <d v="2021-04-29T00:00:00"/>
    <x v="0"/>
    <s v="Nil"/>
    <m/>
    <s v="BF"/>
    <s v="NB"/>
    <x v="1"/>
    <x v="0"/>
    <n v="0.08"/>
    <d v="2023-03-31T00:00:00"/>
    <x v="0"/>
    <m/>
    <x v="1"/>
    <s v="M"/>
    <s v="3.7"/>
    <m/>
    <m/>
    <m/>
    <m/>
    <m/>
    <n v="0"/>
    <n v="24"/>
    <n v="24"/>
    <n v="2"/>
    <n v="0"/>
    <n v="0"/>
    <n v="0"/>
    <n v="0"/>
    <n v="24"/>
    <n v="24"/>
    <n v="2"/>
    <n v="0"/>
    <n v="0"/>
    <n v="0"/>
    <n v="0"/>
    <n v="0"/>
    <n v="0"/>
    <n v="0"/>
    <n v="0"/>
    <n v="0"/>
    <n v="0"/>
    <n v="0"/>
    <n v="0"/>
    <n v="0"/>
    <n v="0"/>
    <n v="0"/>
    <n v="0"/>
    <n v="0"/>
    <x v="1"/>
    <x v="0"/>
    <x v="7"/>
    <n v="5"/>
    <m/>
    <n v="50"/>
    <m/>
    <m/>
    <m/>
    <m/>
    <m/>
    <m/>
    <m/>
    <m/>
    <m/>
    <m/>
    <m/>
    <m/>
    <m/>
    <m/>
    <m/>
    <m/>
    <m/>
    <m/>
    <n v="50"/>
    <n v="50"/>
  </r>
  <r>
    <n v="3519"/>
    <x v="1"/>
    <s v="2019/4583"/>
    <s v="B and Q Depot, Smugglers Way"/>
    <s v="BLOCK C3"/>
    <n v="525782"/>
    <n v="175172"/>
    <x v="15"/>
    <d v="2020-01-18T00:00:00"/>
    <m/>
    <n v="0"/>
    <x v="52"/>
    <x v="61"/>
    <n v="554"/>
    <n v="554"/>
    <x v="0"/>
    <s v="Variation of conditions 2 (in accordance with approved drawings), 3 (Environmental Impact Assessment - EIA), 4 (Flood Risk Assessment) and removal of condition 13 (No residential units shall be occupied within the inner or middle zones of the HSE consultation distance around the Wandsworth Gas Holder Station) pursuant to planning permission dated 29/03/2019 ref 2017/0580 [Demolition of existing retail buildings and phased construction of 13 residential blocks (with 3 podiums) ranging from 8 to 15 storeys to provide a mixed use scheme including 517 residential units (Class C3), 5160 sqm GIA of business (Class B1) and 2969 sqm GIA flexible business/retail/restaurant and cafe (Class B1, A1, A2, A3 and A4) with car/cycle parking, associated combined heat and power (CHP), plant and associated works, landscaping, new accesses onto Smugglers Way, and offsite highways works including a new pedestrian crossing of Swandon Way) to allow the following changes: _x000a__x000a_An increase in unit numbers from 517 to 554 (37 units additional units), increase in affordable housing units from 184 to 197, change to housing mix, reduction in car parking from 60 parking spaces to 22 blue badge spaces, 1 commercial blue badge space and 1 car club space. Introduction of D1 and D2 uses into the flexible floorspace and reduction in ground floor flexible commercial floorspace from 2969m² to 1960m² (GIA), reduction in Class B1(a) commercial floorspace at the mezzanine level from 5160m² to 1054m² (GIA) with the provision of 2,548m² (GIA) residential facilities associated with the 'Build to Rent' model. Associated changes to the level of cycle storage, amenity with outdoor swimming pool, private amenity, public open space and playspace across the site, increase in size of energy centre and other associated changes as a result of the revised development.  A revised EIA and associated mitigation, change to finished floor levels and removal of condition 13 (see planning statement on Council website). A revised Environmental Statement has been submitted under the Town and Country Planning (Environmental Impact Assessment) Regulations 2017 as amended."/>
    <s v="S73"/>
    <d v="2019-11-04T00:00:00"/>
    <d v="2021-04-29T00:00:00"/>
    <x v="0"/>
    <s v="Nil"/>
    <m/>
    <s v="BF"/>
    <s v="NB"/>
    <x v="1"/>
    <x v="0"/>
    <n v="9.2999999999999999E-2"/>
    <d v="2023-03-31T00:00:00"/>
    <x v="0"/>
    <m/>
    <x v="1"/>
    <s v="M"/>
    <s v="3.7"/>
    <m/>
    <m/>
    <m/>
    <m/>
    <m/>
    <n v="0"/>
    <n v="28"/>
    <n v="28"/>
    <n v="2"/>
    <n v="0"/>
    <n v="0"/>
    <n v="0"/>
    <n v="0"/>
    <n v="28"/>
    <n v="28"/>
    <n v="2"/>
    <n v="0"/>
    <n v="0"/>
    <n v="0"/>
    <n v="0"/>
    <n v="0"/>
    <n v="0"/>
    <n v="0"/>
    <n v="0"/>
    <n v="0"/>
    <n v="0"/>
    <n v="0"/>
    <n v="0"/>
    <n v="0"/>
    <n v="0"/>
    <n v="0"/>
    <n v="0"/>
    <n v="0"/>
    <x v="1"/>
    <x v="0"/>
    <x v="7"/>
    <n v="5"/>
    <m/>
    <n v="58"/>
    <m/>
    <m/>
    <m/>
    <m/>
    <m/>
    <m/>
    <m/>
    <m/>
    <m/>
    <m/>
    <m/>
    <m/>
    <m/>
    <m/>
    <m/>
    <m/>
    <m/>
    <m/>
    <n v="58"/>
    <n v="58"/>
  </r>
  <r>
    <n v="3943"/>
    <x v="1"/>
    <s v="2019/2324"/>
    <s v="Royal Mail Group Site, Ponton Road (Nine Elms Park)"/>
    <s v="Plot E - Block E1"/>
    <n v="529575"/>
    <n v="177401"/>
    <x v="1"/>
    <d v="2022-10-04T00:00:00"/>
    <m/>
    <n v="0"/>
    <x v="53"/>
    <x v="62"/>
    <n v="297"/>
    <n v="297"/>
    <x v="0"/>
    <s v="Application for approval of reserved matters (Access, Appearance, Landscaping, Layout and Scale) for 'Plot E' pursuant to Condition 3 of part outline and part detailed planning permission 2017/6762 dated 28/03/2019 for &quot;Minor Material Amendment pursuant to Conditions 1 (time limit), 2 (time limit for reserved matters), 9 (parameter plans), 11 (Maximum Floorspaces), 15 (distribution and internal configuration of residential units for each plot), 32 (construction sequence and delivery plan) and 41 (land and groundwater contamination) of part outline and part detailed planning permission 2016/2424, dated 23rd January 2017 for &quot;Minor Material Amendment pursuant to Conditions 3 (reserved matters), 9 (parameter plans), 10 (GEA floorspace limits), 13 (residential unit limit), 18 (car parking space limit), 32 (B8 use restriction) and 41 (land and groundwater contamination) of part outline and part detailed planning permission 2011/2462, dated 30/03/12 for demolition of all existing buildings and construction of a mixed use redevelopment comprising 7 building plots with buildings up to 23 storeys high to provide residential units; commercial and community floorspace; associated basement parking and part of the 'Nine Elms Linear Park'. All matters reserved apart from the appearance and scale of Blocks B1, D1 &amp; G and two new access points from Nine Elms Lane.&quot;"/>
    <s v="DT"/>
    <d v="2019-05-28T00:00:00"/>
    <d v="2021-06-28T00:00:00"/>
    <x v="0"/>
    <s v="Nil"/>
    <m/>
    <s v="BF"/>
    <s v="NB"/>
    <x v="1"/>
    <x v="0"/>
    <n v="0.9777576"/>
    <d v="2022-10-04T00:00:00"/>
    <x v="0"/>
    <m/>
    <x v="1"/>
    <s v="M"/>
    <s v="2.1.18"/>
    <m/>
    <m/>
    <n v="81"/>
    <m/>
    <n v="9"/>
    <n v="8"/>
    <n v="30"/>
    <n v="33"/>
    <n v="19"/>
    <n v="0"/>
    <n v="0"/>
    <n v="0"/>
    <n v="8"/>
    <n v="30"/>
    <n v="33"/>
    <n v="19"/>
    <n v="0"/>
    <n v="0"/>
    <n v="0"/>
    <n v="0"/>
    <n v="0"/>
    <n v="0"/>
    <n v="0"/>
    <n v="0"/>
    <n v="0"/>
    <n v="0"/>
    <n v="0"/>
    <n v="0"/>
    <n v="0"/>
    <n v="0"/>
    <n v="0"/>
    <n v="0"/>
    <n v="0"/>
    <x v="1"/>
    <x v="1"/>
    <x v="1"/>
    <n v="5"/>
    <m/>
    <n v="90"/>
    <m/>
    <m/>
    <m/>
    <m/>
    <m/>
    <m/>
    <m/>
    <m/>
    <m/>
    <m/>
    <m/>
    <m/>
    <m/>
    <m/>
    <m/>
    <m/>
    <m/>
    <m/>
    <n v="90"/>
    <n v="90"/>
  </r>
  <r>
    <n v="3943"/>
    <x v="1"/>
    <s v="2019/2324"/>
    <s v="Royal Mail Group Site, Ponton Road (Nine Elms Park)"/>
    <s v="Plot E - Block E3"/>
    <n v="529575"/>
    <n v="177401"/>
    <x v="1"/>
    <d v="2022-10-04T00:00:00"/>
    <m/>
    <n v="0"/>
    <x v="54"/>
    <x v="63"/>
    <n v="297"/>
    <n v="297"/>
    <x v="0"/>
    <s v="Application for approval of reserved matters (Access, Appearance, Landscaping, Layout and Scale) for 'Plot E' pursuant to Condition 3 of part outline and part detailed planning permission 2017/6762 dated 28/03/2019 for &quot;Minor Material Amendment pursuant to Conditions 1 (time limit), 2 (time limit for reserved matters), 9 (parameter plans), 11 (Maximum Floorspaces), 15 (distribution and internal configuration of residential units for each plot), 32 (construction sequence and delivery plan) and 41 (land and groundwater contamination) of part outline and part detailed planning permission 2016/2424, dated 23rd January 2017 for &quot;Minor Material Amendment pursuant to Conditions 3 (reserved matters), 9 (parameter plans), 10 (GEA floorspace limits), 13 (residential unit limit), 18 (car parking space limit), 32 (B8 use restriction) and 41 (land and groundwater contamination) of part outline and part detailed planning permission 2011/2462, dated 30/03/12 for demolition of all existing buildings and construction of a mixed use redevelopment comprising 7 building plots with buildings up to 23 storeys high to provide residential units; commercial and community floorspace; associated basement parking and part of the 'Nine Elms Linear Park'. All matters reserved apart from the appearance and scale of Blocks B1, D1 &amp; G and two new access points from Nine Elms Lane.&quot;"/>
    <s v="DT"/>
    <d v="2019-05-28T00:00:00"/>
    <d v="2021-06-28T00:00:00"/>
    <x v="0"/>
    <s v="Nil"/>
    <m/>
    <s v="BF"/>
    <s v="NB"/>
    <x v="1"/>
    <x v="0"/>
    <n v="0.83652590000000004"/>
    <d v="2022-10-04T00:00:00"/>
    <x v="0"/>
    <m/>
    <x v="1"/>
    <s v="M"/>
    <s v="2.1.18"/>
    <m/>
    <m/>
    <n v="69"/>
    <m/>
    <n v="8"/>
    <n v="1"/>
    <n v="32"/>
    <n v="39"/>
    <n v="5"/>
    <n v="0"/>
    <n v="0"/>
    <n v="0"/>
    <n v="1"/>
    <n v="32"/>
    <n v="39"/>
    <n v="5"/>
    <n v="0"/>
    <n v="0"/>
    <n v="0"/>
    <n v="0"/>
    <n v="0"/>
    <n v="0"/>
    <n v="0"/>
    <n v="0"/>
    <n v="0"/>
    <n v="0"/>
    <n v="0"/>
    <n v="0"/>
    <n v="0"/>
    <n v="0"/>
    <n v="0"/>
    <n v="0"/>
    <n v="0"/>
    <x v="1"/>
    <x v="1"/>
    <x v="1"/>
    <n v="5"/>
    <m/>
    <n v="77"/>
    <m/>
    <m/>
    <m/>
    <m/>
    <m/>
    <m/>
    <m/>
    <m/>
    <m/>
    <m/>
    <m/>
    <m/>
    <m/>
    <m/>
    <m/>
    <m/>
    <m/>
    <m/>
    <n v="77"/>
    <n v="77"/>
  </r>
  <r>
    <n v="54"/>
    <x v="1"/>
    <s v="2019/4915"/>
    <s v="Ransomes Dock, 35-37 Parkgate Road (Ransomes Dock Business Centre)"/>
    <s v=""/>
    <n v="527320"/>
    <n v="177144"/>
    <x v="2"/>
    <d v="2024-02-06T00:00:00"/>
    <m/>
    <n v="0"/>
    <x v="24"/>
    <x v="28"/>
    <n v="5"/>
    <n v="5"/>
    <x v="1"/>
    <s v="Demolition of the existing second floor extension to Buildings 1 &amp; 2. Alterations including erection of two-storey extension above Buildings 1 &amp; 2 at second and third floor levels; installation of replacement electricity substation; installation of new link bridge between Building 2 and Building 3; installation of new and replacement external access staircases, in connection with the provision of five new residential units (4 x 3-bedroom units and 1 x 4-bedroom unit) and use of basement for flexible B1/D1 uses, with associated new cycle parking at ground floor level."/>
    <s v="PFLA"/>
    <d v="2020-10-08T00:00:00"/>
    <d v="2021-03-01T00:00:00"/>
    <x v="0"/>
    <s v="Nil"/>
    <m/>
    <s v="BF"/>
    <s v="EXT"/>
    <x v="2"/>
    <x v="7"/>
    <n v="0.02"/>
    <d v="2024-02-06T00:00:00"/>
    <x v="1"/>
    <m/>
    <x v="1"/>
    <s v="M"/>
    <s v=""/>
    <m/>
    <m/>
    <m/>
    <m/>
    <m/>
    <n v="0"/>
    <n v="0"/>
    <n v="0"/>
    <n v="4"/>
    <n v="1"/>
    <n v="0"/>
    <n v="0"/>
    <n v="0"/>
    <n v="0"/>
    <n v="0"/>
    <n v="4"/>
    <n v="1"/>
    <n v="0"/>
    <n v="0"/>
    <n v="0"/>
    <n v="0"/>
    <n v="0"/>
    <n v="0"/>
    <n v="0"/>
    <n v="0"/>
    <n v="0"/>
    <n v="0"/>
    <n v="0"/>
    <n v="0"/>
    <n v="0"/>
    <n v="0"/>
    <n v="0"/>
    <n v="0"/>
    <x v="1"/>
    <x v="0"/>
    <x v="4"/>
    <n v="14"/>
    <m/>
    <n v="2.5"/>
    <n v="2.5"/>
    <m/>
    <m/>
    <m/>
    <m/>
    <m/>
    <m/>
    <m/>
    <m/>
    <m/>
    <m/>
    <m/>
    <m/>
    <m/>
    <m/>
    <m/>
    <m/>
    <m/>
    <n v="5"/>
    <n v="5"/>
  </r>
  <r>
    <n v="7317"/>
    <x v="1"/>
    <s v="2019/5000"/>
    <s v="252-254 Upper Tooting Road"/>
    <s v=""/>
    <n v="527570"/>
    <n v="171707"/>
    <x v="19"/>
    <d v="2022-11-11T00:00:00"/>
    <m/>
    <n v="1"/>
    <x v="6"/>
    <x v="3"/>
    <n v="0"/>
    <n v="-1"/>
    <x v="1"/>
    <s v="Erection a four-storey rear extension (approximately 12m in height). Change of use from a 1 x House of Multiple Occupation (HMO - 6 rooms) in to 1x HMO (18 rooms), while existing flats (1x studio, 1 x 1-bedroom flat and 2 x 2-bedroom flats) are to be retained."/>
    <s v="PF"/>
    <d v="2019-12-05T00:00:00"/>
    <d v="2020-02-18T00:00:00"/>
    <x v="0"/>
    <s v="Nil"/>
    <m/>
    <s v="BF"/>
    <s v="MIX"/>
    <x v="2"/>
    <x v="9"/>
    <n v="0.10100000000000001"/>
    <d v="2022-11-11T00:00:00"/>
    <x v="0"/>
    <m/>
    <x v="1"/>
    <s v="M"/>
    <s v=""/>
    <m/>
    <m/>
    <m/>
    <m/>
    <m/>
    <n v="0"/>
    <n v="0"/>
    <n v="0"/>
    <n v="0"/>
    <n v="0"/>
    <n v="-1"/>
    <n v="0"/>
    <n v="0"/>
    <n v="0"/>
    <n v="0"/>
    <n v="0"/>
    <n v="0"/>
    <n v="-1"/>
    <n v="0"/>
    <n v="0"/>
    <n v="0"/>
    <n v="0"/>
    <n v="0"/>
    <n v="0"/>
    <n v="0"/>
    <n v="0"/>
    <n v="0"/>
    <n v="0"/>
    <n v="0"/>
    <n v="0"/>
    <n v="0"/>
    <n v="0"/>
    <n v="0"/>
    <x v="0"/>
    <x v="0"/>
    <x v="0"/>
    <n v="13"/>
    <m/>
    <n v="-1"/>
    <m/>
    <m/>
    <m/>
    <m/>
    <m/>
    <m/>
    <m/>
    <m/>
    <m/>
    <m/>
    <m/>
    <m/>
    <m/>
    <m/>
    <m/>
    <m/>
    <m/>
    <m/>
    <n v="-1"/>
    <n v="-1"/>
  </r>
  <r>
    <n v="7211"/>
    <x v="1"/>
    <s v="2019/5582"/>
    <s v="916 Garratt Lane"/>
    <s v=""/>
    <n v="527235"/>
    <n v="171597"/>
    <x v="0"/>
    <d v="2023-02-07T00:00:00"/>
    <m/>
    <n v="0"/>
    <x v="3"/>
    <x v="5"/>
    <n v="1"/>
    <n v="1"/>
    <x v="1"/>
    <s v="Demolition of existing buildings and erection of single-storey building plus basement to form 1x2-bedroom flat"/>
    <s v="PF"/>
    <d v="2020-01-21T00:00:00"/>
    <d v="2020-02-21T00:00:00"/>
    <x v="0"/>
    <s v="Nil"/>
    <m/>
    <s v="BF"/>
    <s v="NB"/>
    <x v="2"/>
    <x v="3"/>
    <n v="8.9999999999999993E-3"/>
    <d v="2023-02-07T00:00:00"/>
    <x v="0"/>
    <m/>
    <x v="1"/>
    <s v="M"/>
    <s v=""/>
    <m/>
    <m/>
    <m/>
    <m/>
    <m/>
    <n v="0"/>
    <n v="0"/>
    <n v="1"/>
    <n v="0"/>
    <n v="0"/>
    <n v="0"/>
    <n v="0"/>
    <n v="0"/>
    <n v="0"/>
    <n v="1"/>
    <n v="0"/>
    <n v="0"/>
    <n v="0"/>
    <n v="0"/>
    <n v="0"/>
    <n v="0"/>
    <n v="0"/>
    <n v="0"/>
    <n v="0"/>
    <n v="0"/>
    <n v="0"/>
    <n v="0"/>
    <n v="0"/>
    <n v="0"/>
    <n v="0"/>
    <n v="0"/>
    <n v="0"/>
    <n v="0"/>
    <x v="1"/>
    <x v="0"/>
    <x v="0"/>
    <n v="3"/>
    <m/>
    <n v="1"/>
    <m/>
    <m/>
    <m/>
    <m/>
    <m/>
    <m/>
    <m/>
    <m/>
    <m/>
    <m/>
    <m/>
    <m/>
    <m/>
    <m/>
    <m/>
    <m/>
    <m/>
    <m/>
    <n v="1"/>
    <n v="1"/>
  </r>
  <r>
    <n v="3522"/>
    <x v="1"/>
    <s v="2020/0011"/>
    <s v="Homebase, Swandon Way"/>
    <s v="Block A (Market)"/>
    <n v="525912"/>
    <n v="175143"/>
    <x v="15"/>
    <d v="2020-04-01T00:00:00"/>
    <m/>
    <n v="0"/>
    <x v="55"/>
    <x v="64"/>
    <n v="480"/>
    <n v="480"/>
    <x v="0"/>
    <s v="Variation of conditions 2 (in accordance with approved drawings), removal of condition 3 (HSE consultation distance), removal of condition 4 (restriction on use of residents facilities); condition 12 (finished floor levels); condition 21 (compliance with energy strategy); condition 22 (accessible homes); removal of condition 23 (air quality - boilers and CHP); removal of condition 25 (restriction on site clearance); condition 26 (biodiversity enhancement plan); condition 36 (wind mitigation); condition 42 (Retention of scheme architects) condition 44 (residential unit numbers); condition 45 (non-residential floorspace); condition 46 (car parking); removal of condition 47 (basement) pursuant to planning permission dated 31 July 2018 ref: 2016/7356 (Demolition of existing retail warehouse building and erection of three buildings ranging from 8 to 17 storeys with basement to provide a mixed use scheme including 385 residential units (Class C3), 563 sq.m. GIA of retail units (Class A1 and/or A2 and/or A3 uses) 165 sq.m. of leisure use (Class D1) and 1,620 sq.m. GIA of studio/offices (Class B1), with associated cycle parking spaces and 89 car parking spaces, playspace, landscaping and public realm improvements (including contribution towards the new entrance to Wandsworth Town Station) to allow the following changes: _x000a_ _x000a_Increase in unit numbers from 385 to 480, increase in affordable units from 131 to 159, change to housing mix, amended basement area and reduction from 89 car parking spaces to 15 spaces (plus 6 blue badge spaces), inclusion of A4 and D2 uses within flexible commercial floorspace, reduction in flexible floorspace from 2348sqm to 1618sqm, provision of residential facilities in connection with 'Build to Rent', design/elevational changes to all buildings including Station Building, changes to layout and associated amendments to S106. Revised associated amenity space and cycle storage. A revised Environmental Statement has been submitted under the Town and Country Planning (Environmental Impact Assessment) Regulations 2017 as amended. (RECONSULTATION - AMENDED DESCRIPTION, SEE WEBSITE FOR FULL DETAILS)"/>
    <s v="S73"/>
    <d v="2020-01-06T00:00:00"/>
    <d v="2021-10-05T00:00:00"/>
    <x v="0"/>
    <s v="Nil"/>
    <m/>
    <s v="BF"/>
    <s v="NB"/>
    <x v="1"/>
    <x v="0"/>
    <n v="0.127"/>
    <d v="2022-04-01T00:00:00"/>
    <x v="0"/>
    <m/>
    <x v="1"/>
    <s v="M"/>
    <s v="3.6"/>
    <m/>
    <m/>
    <m/>
    <m/>
    <m/>
    <n v="0"/>
    <n v="64"/>
    <n v="64"/>
    <n v="0"/>
    <n v="0"/>
    <n v="0"/>
    <n v="0"/>
    <n v="0"/>
    <n v="64"/>
    <n v="64"/>
    <n v="0"/>
    <n v="0"/>
    <n v="0"/>
    <n v="0"/>
    <n v="0"/>
    <n v="0"/>
    <n v="0"/>
    <n v="0"/>
    <n v="0"/>
    <n v="0"/>
    <n v="0"/>
    <n v="0"/>
    <n v="0"/>
    <n v="0"/>
    <n v="0"/>
    <n v="0"/>
    <n v="0"/>
    <n v="0"/>
    <x v="1"/>
    <x v="0"/>
    <x v="7"/>
    <n v="5"/>
    <m/>
    <n v="128"/>
    <m/>
    <m/>
    <m/>
    <m/>
    <m/>
    <m/>
    <m/>
    <m/>
    <m/>
    <m/>
    <m/>
    <m/>
    <m/>
    <m/>
    <m/>
    <m/>
    <m/>
    <m/>
    <n v="128"/>
    <n v="128"/>
  </r>
  <r>
    <n v="3522"/>
    <x v="1"/>
    <s v="2020/0011"/>
    <s v="Homebase, Swandon Way"/>
    <s v="Block B (Market)"/>
    <n v="525912"/>
    <n v="175143"/>
    <x v="15"/>
    <d v="2020-04-01T00:00:00"/>
    <m/>
    <n v="0"/>
    <x v="56"/>
    <x v="65"/>
    <n v="480"/>
    <n v="480"/>
    <x v="0"/>
    <s v="Variation of conditions 2 (in accordance with approved drawings), removal of condition 3 (HSE consultation distance), removal of condition 4 (restriction on use of residents facilities); condition 12 (finished floor levels); condition 21 (compliance with energy strategy); condition 22 (accessible homes); removal of condition 23 (air quality - boilers and CHP); removal of condition 25 (restriction on site clearance); condition 26 (biodiversity enhancement plan); condition 36 (wind mitigation); condition 42 (Retention of scheme architects) condition 44 (residential unit numbers); condition 45 (non-residential floorspace); condition 46 (car parking); removal of condition 47 (basement) pursuant to planning permission dated 31 July 2018 ref: 2016/7356 (Demolition of existing retail warehouse building and erection of three buildings ranging from 8 to 17 storeys with basement to provide a mixed use scheme including 385 residential units (Class C3), 563 sq.m. GIA of retail units (Class A1 and/or A2 and/or A3 uses) 165 sq.m. of leisure use (Class D1) and 1,620 sq.m. GIA of studio/offices (Class B1), with associated cycle parking spaces and 89 car parking spaces, playspace, landscaping and public realm improvements (including contribution towards the new entrance to Wandsworth Town Station) to allow the following changes: _x000a_ _x000a_Increase in unit numbers from 385 to 480, increase in affordable units from 131 to 159, change to housing mix, amended basement area and reduction from 89 car parking spaces to 15 spaces (plus 6 blue badge spaces), inclusion of A4 and D2 uses within flexible commercial floorspace, reduction in flexible floorspace from 2348sqm to 1618sqm, provision of residential facilities in connection with 'Build to Rent', design/elevational changes to all buildings including Station Building, changes to layout and associated amendments to S106. Revised associated amenity space and cycle storage. A revised Environmental Statement has been submitted under the Town and Country Planning (Environmental Impact Assessment) Regulations 2017 as amended. (RECONSULTATION - AMENDED DESCRIPTION, SEE WEBSITE FOR FULL DETAILS)"/>
    <s v="S73"/>
    <d v="2020-01-06T00:00:00"/>
    <d v="2021-10-05T00:00:00"/>
    <x v="0"/>
    <s v="Nil"/>
    <m/>
    <s v="BF"/>
    <s v="NB"/>
    <x v="1"/>
    <x v="0"/>
    <n v="9.2999999999999999E-2"/>
    <d v="2022-04-01T00:00:00"/>
    <x v="0"/>
    <m/>
    <x v="1"/>
    <s v="M"/>
    <s v="3.6"/>
    <m/>
    <m/>
    <m/>
    <m/>
    <n v="10"/>
    <n v="0"/>
    <n v="67"/>
    <n v="17"/>
    <n v="10"/>
    <n v="0"/>
    <n v="0"/>
    <n v="0"/>
    <n v="0"/>
    <n v="67"/>
    <n v="17"/>
    <n v="10"/>
    <n v="0"/>
    <n v="0"/>
    <n v="0"/>
    <n v="0"/>
    <n v="0"/>
    <n v="0"/>
    <n v="0"/>
    <n v="0"/>
    <n v="0"/>
    <n v="0"/>
    <n v="0"/>
    <n v="0"/>
    <n v="0"/>
    <n v="0"/>
    <n v="0"/>
    <n v="0"/>
    <n v="0"/>
    <x v="1"/>
    <x v="0"/>
    <x v="7"/>
    <n v="5"/>
    <m/>
    <n v="94"/>
    <m/>
    <m/>
    <m/>
    <m/>
    <m/>
    <m/>
    <m/>
    <m/>
    <m/>
    <m/>
    <m/>
    <m/>
    <m/>
    <m/>
    <m/>
    <m/>
    <m/>
    <m/>
    <n v="94"/>
    <n v="94"/>
  </r>
  <r>
    <n v="3522"/>
    <x v="1"/>
    <s v="2020/0011"/>
    <s v="Homebase, Swandon Way"/>
    <s v="Block C (Market)"/>
    <n v="525912"/>
    <n v="175143"/>
    <x v="15"/>
    <d v="2020-04-01T00:00:00"/>
    <m/>
    <n v="0"/>
    <x v="57"/>
    <x v="66"/>
    <n v="480"/>
    <n v="480"/>
    <x v="0"/>
    <s v="Variation of conditions 2 (in accordance with approved drawings), removal of condition 3 (HSE consultation distance), removal of condition 4 (restriction on use of residents facilities); condition 12 (finished floor levels); condition 21 (compliance with energy strategy); condition 22 (accessible homes); removal of condition 23 (air quality - boilers and CHP); removal of condition 25 (restriction on site clearance); condition 26 (biodiversity enhancement plan); condition 36 (wind mitigation); condition 42 (Retention of scheme architects) condition 44 (residential unit numbers); condition 45 (non-residential floorspace); condition 46 (car parking); removal of condition 47 (basement) pursuant to planning permission dated 31 July 2018 ref: 2016/7356 (Demolition of existing retail warehouse building and erection of three buildings ranging from 8 to 17 storeys with basement to provide a mixed use scheme including 385 residential units (Class C3), 563 sq.m. GIA of retail units (Class A1 and/or A2 and/or A3 uses) 165 sq.m. of leisure use (Class D1) and 1,620 sq.m. GIA of studio/offices (Class B1), with associated cycle parking spaces and 89 car parking spaces, playspace, landscaping and public realm improvements (including contribution towards the new entrance to Wandsworth Town Station) to allow the following changes: _x000a_ _x000a_Increase in unit numbers from 385 to 480, increase in affordable units from 131 to 159, change to housing mix, amended basement area and reduction from 89 car parking spaces to 15 spaces (plus 6 blue badge spaces), inclusion of A4 and D2 uses within flexible commercial floorspace, reduction in flexible floorspace from 2348sqm to 1618sqm, provision of residential facilities in connection with 'Build to Rent', design/elevational changes to all buildings including Station Building, changes to layout and associated amendments to S106. Revised associated amenity space and cycle storage. A revised Environmental Statement has been submitted under the Town and Country Planning (Environmental Impact Assessment) Regulations 2017 as amended. (RECONSULTATION - AMENDED DESCRIPTION, SEE WEBSITE FOR FULL DETAILS)"/>
    <s v="S73"/>
    <d v="2020-01-06T00:00:00"/>
    <d v="2021-10-05T00:00:00"/>
    <x v="0"/>
    <s v="Nil"/>
    <m/>
    <s v="BF"/>
    <s v="NB"/>
    <x v="1"/>
    <x v="0"/>
    <n v="9.8000000000000004E-2"/>
    <d v="2022-04-01T00:00:00"/>
    <x v="0"/>
    <m/>
    <x v="1"/>
    <s v="M"/>
    <s v="3.6"/>
    <m/>
    <m/>
    <m/>
    <m/>
    <n v="10"/>
    <n v="0"/>
    <n v="62"/>
    <n v="27"/>
    <n v="10"/>
    <n v="0"/>
    <n v="0"/>
    <n v="0"/>
    <n v="0"/>
    <n v="62"/>
    <n v="27"/>
    <n v="10"/>
    <n v="0"/>
    <n v="0"/>
    <n v="0"/>
    <n v="0"/>
    <n v="0"/>
    <n v="0"/>
    <n v="0"/>
    <n v="0"/>
    <n v="0"/>
    <n v="0"/>
    <n v="0"/>
    <n v="0"/>
    <n v="0"/>
    <n v="0"/>
    <n v="0"/>
    <n v="0"/>
    <n v="0"/>
    <x v="1"/>
    <x v="0"/>
    <x v="7"/>
    <n v="5"/>
    <m/>
    <n v="99"/>
    <m/>
    <m/>
    <m/>
    <m/>
    <m/>
    <m/>
    <m/>
    <m/>
    <m/>
    <m/>
    <m/>
    <m/>
    <m/>
    <m/>
    <m/>
    <m/>
    <m/>
    <m/>
    <n v="99"/>
    <n v="99"/>
  </r>
  <r>
    <n v="3522"/>
    <x v="1"/>
    <s v="2020/0011"/>
    <s v="Homebase, Swandon Way"/>
    <s v="Block D (Intermediate)"/>
    <n v="525912"/>
    <n v="175143"/>
    <x v="15"/>
    <d v="2020-04-01T00:00:00"/>
    <m/>
    <n v="0"/>
    <x v="58"/>
    <x v="67"/>
    <n v="480"/>
    <n v="480"/>
    <x v="0"/>
    <s v="Variation of conditions 2 (in accordance with approved drawings), removal of condition 3 (HSE consultation distance), removal of condition 4 (restriction on use of residents facilities); condition 12 (finished floor levels); condition 21 (compliance with energy strategy); condition 22 (accessible homes); removal of condition 23 (air quality - boilers and CHP); removal of condition 25 (restriction on site clearance); condition 26 (biodiversity enhancement plan); condition 36 (wind mitigation); condition 42 (Retention of scheme architects) condition 44 (residential unit numbers); condition 45 (non-residential floorspace); condition 46 (car parking); removal of condition 47 (basement) pursuant to planning permission dated 31 July 2018 ref: 2016/7356 (Demolition of existing retail warehouse building and erection of three buildings ranging from 8 to 17 storeys with basement to provide a mixed use scheme including 385 residential units (Class C3), 563 sq.m. GIA of retail units (Class A1 and/or A2 and/or A3 uses) 165 sq.m. of leisure use (Class D1) and 1,620 sq.m. GIA of studio/offices (Class B1), with associated cycle parking spaces and 89 car parking spaces, playspace, landscaping and public realm improvements (including contribution towards the new entrance to Wandsworth Town Station) to allow the following changes: _x000a_ _x000a_Increase in unit numbers from 385 to 480, increase in affordable units from 131 to 159, change to housing mix, amended basement area and reduction from 89 car parking spaces to 15 spaces (plus 6 blue badge spaces), inclusion of A4 and D2 uses within flexible commercial floorspace, reduction in flexible floorspace from 2348sqm to 1618sqm, provision of residential facilities in connection with 'Build to Rent', design/elevational changes to all buildings including Station Building, changes to layout and associated amendments to S106. Revised associated amenity space and cycle storage. A revised Environmental Statement has been submitted under the Town and Country Planning (Environmental Impact Assessment) Regulations 2017 as amended. (RECONSULTATION - AMENDED DESCRIPTION, SEE WEBSITE FOR FULL DETAILS)"/>
    <s v="S73"/>
    <d v="2020-01-06T00:00:00"/>
    <d v="2021-10-05T00:00:00"/>
    <x v="0"/>
    <s v="Nil"/>
    <m/>
    <s v="BF"/>
    <s v="NB"/>
    <x v="1"/>
    <x v="0"/>
    <n v="1.83E-2"/>
    <d v="2022-04-01T00:00:00"/>
    <x v="0"/>
    <m/>
    <x v="0"/>
    <s v="ISO"/>
    <s v="3.6"/>
    <m/>
    <m/>
    <m/>
    <m/>
    <m/>
    <n v="0"/>
    <n v="9"/>
    <n v="9"/>
    <n v="1"/>
    <n v="0"/>
    <n v="0"/>
    <n v="0"/>
    <n v="0"/>
    <n v="9"/>
    <n v="9"/>
    <n v="1"/>
    <n v="0"/>
    <n v="0"/>
    <n v="0"/>
    <n v="0"/>
    <n v="0"/>
    <n v="0"/>
    <n v="0"/>
    <n v="0"/>
    <n v="0"/>
    <n v="0"/>
    <n v="0"/>
    <n v="0"/>
    <n v="0"/>
    <n v="0"/>
    <n v="0"/>
    <n v="0"/>
    <n v="0"/>
    <x v="1"/>
    <x v="0"/>
    <x v="7"/>
    <n v="5"/>
    <m/>
    <n v="19"/>
    <m/>
    <m/>
    <m/>
    <m/>
    <m/>
    <m/>
    <m/>
    <m/>
    <m/>
    <m/>
    <m/>
    <m/>
    <m/>
    <m/>
    <m/>
    <m/>
    <m/>
    <m/>
    <n v="19"/>
    <n v="19"/>
  </r>
  <r>
    <n v="3943"/>
    <x v="1"/>
    <s v="2019/2324"/>
    <s v="Royal Mail Group Site, Ponton Road (Nine Elms Park)"/>
    <s v="Plot E - Block E2"/>
    <n v="529575"/>
    <n v="177401"/>
    <x v="1"/>
    <d v="2022-10-04T00:00:00"/>
    <m/>
    <n v="0"/>
    <x v="59"/>
    <x v="68"/>
    <n v="297"/>
    <n v="297"/>
    <x v="0"/>
    <s v="Application for approval of reserved matters (Access, Appearance, Landscaping, Layout and Scale) for 'Plot E' pursuant to Condition 3 of part outline and part detailed planning permission 2017/6762 dated 28/03/2019 for &quot;Minor Material Amendment pursuant to Conditions 1 (time limit), 2 (time limit for reserved matters), 9 (parameter plans), 11 (Maximum Floorspaces), 15 (distribution and internal configuration of residential units for each plot), 32 (construction sequence and delivery plan) and 41 (land and groundwater contamination) of part outline and part detailed planning permission 2016/2424, dated 23rd January 2017 for &quot;Minor Material Amendment pursuant to Conditions 3 (reserved matters), 9 (parameter plans), 10 (GEA floorspace limits), 13 (residential unit limit), 18 (car parking space limit), 32 (B8 use restriction) and 41 (land and groundwater contamination) of part outline and part detailed planning permission 2011/2462, dated 30/03/12 for demolition of all existing buildings and construction of a mixed use redevelopment comprising 7 building plots with buildings up to 23 storeys high to provide residential units; commercial and community floorspace; associated basement parking and part of the 'Nine Elms Linear Park'. All matters reserved apart from the appearance and scale of Blocks B1, D1 &amp; G and two new access points from Nine Elms Lane.&quot;"/>
    <s v="DT"/>
    <d v="2019-05-28T00:00:00"/>
    <d v="2021-06-28T00:00:00"/>
    <x v="0"/>
    <s v="Nil"/>
    <m/>
    <s v="BF"/>
    <s v="NB"/>
    <x v="1"/>
    <x v="0"/>
    <n v="0.79307000000000005"/>
    <d v="2022-10-04T00:00:00"/>
    <x v="0"/>
    <m/>
    <x v="1"/>
    <s v="M"/>
    <s v="2.1.18"/>
    <m/>
    <m/>
    <n v="66"/>
    <m/>
    <n v="7"/>
    <n v="3"/>
    <n v="17"/>
    <n v="44"/>
    <n v="9"/>
    <n v="0"/>
    <n v="0"/>
    <n v="0"/>
    <n v="3"/>
    <n v="17"/>
    <n v="44"/>
    <n v="9"/>
    <n v="0"/>
    <n v="0"/>
    <n v="0"/>
    <n v="0"/>
    <n v="0"/>
    <n v="0"/>
    <n v="0"/>
    <n v="0"/>
    <n v="0"/>
    <n v="0"/>
    <n v="0"/>
    <n v="0"/>
    <n v="0"/>
    <n v="0"/>
    <n v="0"/>
    <n v="0"/>
    <n v="0"/>
    <x v="1"/>
    <x v="1"/>
    <x v="1"/>
    <n v="5"/>
    <m/>
    <n v="73"/>
    <m/>
    <m/>
    <m/>
    <m/>
    <m/>
    <m/>
    <m/>
    <m/>
    <m/>
    <m/>
    <m/>
    <m/>
    <m/>
    <m/>
    <m/>
    <m/>
    <m/>
    <m/>
    <n v="73"/>
    <n v="73"/>
  </r>
  <r>
    <n v="3943"/>
    <x v="1"/>
    <s v="2019/2324"/>
    <s v="Royal Mail Group Site, Ponton Road (Nine Elms Park)"/>
    <s v="Plot E - Block E4"/>
    <n v="529575"/>
    <n v="177401"/>
    <x v="1"/>
    <d v="2022-10-04T00:00:00"/>
    <m/>
    <n v="0"/>
    <x v="2"/>
    <x v="2"/>
    <n v="297"/>
    <n v="297"/>
    <x v="0"/>
    <s v="Application for approval of reserved matters (Access, Appearance, Landscaping, Layout and Scale) for 'Plot E' pursuant to Condition 3 of part outline and part detailed planning permission 2017/6762 dated 28/03/2019 for &quot;Minor Material Amendment pursuant to Conditions 1 (time limit), 2 (time limit for reserved matters), 9 (parameter plans), 11 (Maximum Floorspaces), 15 (distribution and internal configuration of residential units for each plot), 32 (construction sequence and delivery plan) and 41 (land and groundwater contamination) of part outline and part detailed planning permission 2016/2424, dated 23rd January 2017 for &quot;Minor Material Amendment pursuant to Conditions 3 (reserved matters), 9 (parameter plans), 10 (GEA floorspace limits), 13 (residential unit limit), 18 (car parking space limit), 32 (B8 use restriction) and 41 (land and groundwater contamination) of part outline and part detailed planning permission 2011/2462, dated 30/03/12 for demolition of all existing buildings and construction of a mixed use redevelopment comprising 7 building plots with buildings up to 23 storeys high to provide residential units; commercial and community floorspace; associated basement parking and part of the 'Nine Elms Linear Park'. All matters reserved apart from the appearance and scale of Blocks B1, D1 &amp; G and two new access points from Nine Elms Lane.&quot;"/>
    <s v="DT"/>
    <d v="2019-05-28T00:00:00"/>
    <d v="2021-06-28T00:00:00"/>
    <x v="0"/>
    <s v="Nil"/>
    <m/>
    <s v="BF"/>
    <s v="NB"/>
    <x v="1"/>
    <x v="0"/>
    <n v="0.61924650000000003"/>
    <d v="2022-10-04T00:00:00"/>
    <x v="0"/>
    <m/>
    <x v="2"/>
    <s v="AA"/>
    <s v="2.1.18"/>
    <m/>
    <m/>
    <n v="51"/>
    <m/>
    <n v="6"/>
    <n v="0"/>
    <n v="8"/>
    <n v="31"/>
    <n v="15"/>
    <n v="3"/>
    <n v="0"/>
    <n v="0"/>
    <n v="0"/>
    <n v="8"/>
    <n v="31"/>
    <n v="15"/>
    <n v="3"/>
    <n v="0"/>
    <n v="0"/>
    <n v="0"/>
    <n v="0"/>
    <n v="0"/>
    <n v="0"/>
    <n v="0"/>
    <n v="0"/>
    <n v="0"/>
    <n v="0"/>
    <n v="0"/>
    <n v="0"/>
    <n v="0"/>
    <n v="0"/>
    <n v="0"/>
    <n v="0"/>
    <x v="1"/>
    <x v="1"/>
    <x v="1"/>
    <n v="5"/>
    <m/>
    <n v="57"/>
    <m/>
    <m/>
    <m/>
    <m/>
    <m/>
    <m/>
    <m/>
    <m/>
    <m/>
    <m/>
    <m/>
    <m/>
    <m/>
    <m/>
    <m/>
    <m/>
    <m/>
    <m/>
    <n v="57"/>
    <n v="57"/>
  </r>
  <r>
    <n v="7362"/>
    <x v="1"/>
    <s v="2020/0797"/>
    <s v="The Studio, 1c Moring Road"/>
    <s v=""/>
    <n v="528273"/>
    <n v="171722"/>
    <x v="19"/>
    <d v="2022-04-01T00:00:00"/>
    <m/>
    <n v="0"/>
    <x v="3"/>
    <x v="5"/>
    <n v="1"/>
    <n v="1"/>
    <x v="1"/>
    <s v="Alterations in connection with change of use from office (Class B1) to residential (Class C3) to provide studio flat with associated refuse storage."/>
    <s v="PF"/>
    <d v="2020-03-02T00:00:00"/>
    <d v="2020-04-27T00:00:00"/>
    <x v="0"/>
    <s v="Nil"/>
    <m/>
    <s v="BF"/>
    <s v="COU"/>
    <x v="2"/>
    <x v="6"/>
    <n v="5.0000000000000001E-3"/>
    <d v="2022-04-01T00:00:00"/>
    <x v="0"/>
    <m/>
    <x v="1"/>
    <s v="M"/>
    <s v=""/>
    <m/>
    <m/>
    <m/>
    <m/>
    <m/>
    <n v="1"/>
    <n v="0"/>
    <n v="0"/>
    <n v="0"/>
    <n v="0"/>
    <n v="0"/>
    <n v="0"/>
    <n v="1"/>
    <n v="0"/>
    <n v="0"/>
    <n v="0"/>
    <n v="0"/>
    <n v="0"/>
    <n v="0"/>
    <n v="0"/>
    <n v="0"/>
    <n v="0"/>
    <n v="0"/>
    <n v="0"/>
    <n v="0"/>
    <n v="0"/>
    <n v="0"/>
    <n v="0"/>
    <n v="0"/>
    <n v="0"/>
    <n v="0"/>
    <n v="0"/>
    <n v="0"/>
    <x v="1"/>
    <x v="0"/>
    <x v="2"/>
    <n v="13"/>
    <m/>
    <n v="1"/>
    <m/>
    <m/>
    <m/>
    <m/>
    <m/>
    <m/>
    <m/>
    <m/>
    <m/>
    <m/>
    <m/>
    <m/>
    <m/>
    <m/>
    <m/>
    <m/>
    <m/>
    <m/>
    <n v="1"/>
    <n v="1"/>
  </r>
  <r>
    <n v="7128"/>
    <x v="1"/>
    <s v="2020/1233"/>
    <s v="336-338 Balham High Road"/>
    <s v=""/>
    <n v="528017"/>
    <n v="172376"/>
    <x v="10"/>
    <d v="2023-04-01T00:00:00"/>
    <m/>
    <n v="1"/>
    <x v="12"/>
    <x v="36"/>
    <n v="4"/>
    <n v="3"/>
    <x v="1"/>
    <s v="Demolition of existing buildings and erection of 4-storey building to provide commercial unit for flexible use (Classes A1, A2, A3 and D1) on ground floor four 2-bedroom flats (Class C3) above and associated waste and cycle storage."/>
    <s v="PF"/>
    <d v="2020-04-02T00:00:00"/>
    <d v="2020-07-22T00:00:00"/>
    <x v="0"/>
    <s v="Nil"/>
    <m/>
    <s v="BF"/>
    <s v="NB"/>
    <x v="2"/>
    <x v="3"/>
    <n v="1.4999999999999999E-2"/>
    <d v="2023-04-01T00:00:00"/>
    <x v="1"/>
    <m/>
    <x v="1"/>
    <s v="M"/>
    <s v=""/>
    <m/>
    <m/>
    <m/>
    <m/>
    <m/>
    <n v="0"/>
    <n v="0"/>
    <n v="4"/>
    <n v="-1"/>
    <n v="0"/>
    <n v="0"/>
    <n v="0"/>
    <n v="0"/>
    <n v="0"/>
    <n v="4"/>
    <n v="-1"/>
    <n v="0"/>
    <n v="0"/>
    <n v="0"/>
    <n v="0"/>
    <n v="0"/>
    <n v="0"/>
    <n v="0"/>
    <n v="0"/>
    <n v="0"/>
    <n v="0"/>
    <n v="0"/>
    <n v="0"/>
    <n v="0"/>
    <n v="0"/>
    <n v="0"/>
    <n v="0"/>
    <n v="0"/>
    <x v="1"/>
    <x v="0"/>
    <x v="2"/>
    <n v="3"/>
    <m/>
    <n v="3"/>
    <m/>
    <m/>
    <m/>
    <m/>
    <m/>
    <m/>
    <m/>
    <m/>
    <m/>
    <m/>
    <m/>
    <m/>
    <m/>
    <m/>
    <m/>
    <m/>
    <m/>
    <m/>
    <n v="3"/>
    <n v="3"/>
  </r>
  <r>
    <n v="4258"/>
    <x v="1"/>
    <s v="2020/1276"/>
    <s v="Badric Court Estate, Yelverton Road"/>
    <s v=""/>
    <n v="526831"/>
    <n v="176179"/>
    <x v="15"/>
    <d v="2023-04-01T00:00:00"/>
    <m/>
    <n v="0"/>
    <x v="0"/>
    <x v="0"/>
    <n v="6"/>
    <n v="6"/>
    <x v="1"/>
    <s v="Infill of undercroft space beneath the blocks to provide 6 self-contained flats (4 x 2-bedroom and 2 x 4-bedroom) with associated amenity space and the provision of cycle storages."/>
    <s v="PF"/>
    <d v="2020-04-01T00:00:00"/>
    <d v="2021-10-19T00:00:00"/>
    <x v="0"/>
    <s v="Nil"/>
    <m/>
    <s v="BF"/>
    <s v="NB"/>
    <x v="2"/>
    <x v="3"/>
    <n v="5.8999999999999997E-2"/>
    <d v="2023-04-01T00:00:00"/>
    <x v="1"/>
    <m/>
    <x v="2"/>
    <s v="AS"/>
    <s v=""/>
    <n v="17320336"/>
    <m/>
    <m/>
    <m/>
    <m/>
    <n v="0"/>
    <n v="0"/>
    <n v="4"/>
    <n v="0"/>
    <n v="2"/>
    <n v="0"/>
    <n v="0"/>
    <n v="0"/>
    <n v="0"/>
    <n v="4"/>
    <n v="0"/>
    <n v="2"/>
    <n v="0"/>
    <n v="0"/>
    <n v="0"/>
    <n v="0"/>
    <n v="0"/>
    <n v="0"/>
    <n v="0"/>
    <n v="0"/>
    <n v="0"/>
    <n v="0"/>
    <n v="0"/>
    <n v="0"/>
    <n v="0"/>
    <n v="0"/>
    <n v="0"/>
    <n v="0"/>
    <x v="1"/>
    <x v="0"/>
    <x v="4"/>
    <n v="2"/>
    <m/>
    <n v="6"/>
    <m/>
    <m/>
    <m/>
    <m/>
    <m/>
    <m/>
    <m/>
    <m/>
    <m/>
    <m/>
    <m/>
    <m/>
    <m/>
    <m/>
    <m/>
    <m/>
    <m/>
    <m/>
    <n v="6"/>
    <n v="6"/>
  </r>
  <r>
    <n v="7276"/>
    <x v="1"/>
    <s v="2020/1405"/>
    <s v="46 Longley Road"/>
    <s v=""/>
    <n v="527309"/>
    <n v="170807"/>
    <x v="0"/>
    <d v="2023-02-22T00:00:00"/>
    <m/>
    <n v="1"/>
    <x v="24"/>
    <x v="15"/>
    <n v="5"/>
    <n v="4"/>
    <x v="1"/>
    <s v="Alterations including erection of dormer roof extension to rear roof of existing single storey rear extension; Excavation to enlarge existing basement and formation of associated front and rear lightwells with 1.1m high railings; Installation and replacement of windows and installation of side gate in connection with conversion into  1x1 bedroom, 2 x 2-bedroom and 2 x 3-bedroom units. Provision of waste and cycle storage."/>
    <s v="PF"/>
    <d v="2020-04-20T00:00:00"/>
    <d v="2020-08-14T00:00:00"/>
    <x v="0"/>
    <s v="Nil"/>
    <m/>
    <s v="BF"/>
    <s v="NB"/>
    <x v="2"/>
    <x v="10"/>
    <n v="7.9000000000000001E-2"/>
    <d v="2023-02-22T00:00:00"/>
    <x v="0"/>
    <m/>
    <x v="1"/>
    <s v="M"/>
    <s v=""/>
    <m/>
    <m/>
    <m/>
    <m/>
    <m/>
    <n v="0"/>
    <n v="1"/>
    <n v="2"/>
    <n v="2"/>
    <n v="-1"/>
    <n v="0"/>
    <n v="0"/>
    <n v="0"/>
    <n v="1"/>
    <n v="2"/>
    <n v="2"/>
    <n v="0"/>
    <n v="0"/>
    <n v="0"/>
    <n v="0"/>
    <n v="0"/>
    <n v="0"/>
    <n v="0"/>
    <n v="-1"/>
    <n v="0"/>
    <n v="0"/>
    <n v="0"/>
    <n v="0"/>
    <n v="0"/>
    <n v="0"/>
    <n v="0"/>
    <n v="0"/>
    <n v="0"/>
    <x v="1"/>
    <x v="0"/>
    <x v="2"/>
    <n v="3"/>
    <m/>
    <n v="4"/>
    <m/>
    <m/>
    <m/>
    <m/>
    <m/>
    <m/>
    <m/>
    <m/>
    <m/>
    <m/>
    <m/>
    <m/>
    <m/>
    <m/>
    <m/>
    <m/>
    <m/>
    <m/>
    <n v="4"/>
    <n v="4"/>
  </r>
  <r>
    <n v="4964"/>
    <x v="1"/>
    <s v="2020/1724"/>
    <s v="86 Clapham Common West Side"/>
    <s v=""/>
    <n v="528166"/>
    <n v="174896"/>
    <x v="11"/>
    <d v="2023-03-31T00:00:00"/>
    <m/>
    <n v="0"/>
    <x v="3"/>
    <x v="5"/>
    <n v="1"/>
    <n v="1"/>
    <x v="1"/>
    <s v="Variation of condition 3  (in accordance with approved drawings) pursuant to planning permission dated 27/02/2012 ref 2011/5574 (Excavation of floorspace at basement level, including formation of front lightwell and insertion of new windows/doors, in connection with provision of a onebedroom flat within basement area; erection of a three storey (ground, first and second floor level) rear extension to the side of the back addition to provide additional floorspace for the existing flats.) to allow a change in the design and size of the approved three storey side extension."/>
    <s v="RP"/>
    <d v="2020-05-18T00:00:00"/>
    <d v="2020-06-23T00:00:00"/>
    <x v="0"/>
    <s v="APG"/>
    <d v="2021-09-24T00:00:00"/>
    <s v="BF"/>
    <s v="EXT"/>
    <x v="2"/>
    <x v="5"/>
    <n v="8.0000000000000002E-3"/>
    <d v="2023-03-31T00:00:00"/>
    <x v="0"/>
    <m/>
    <x v="1"/>
    <s v="M"/>
    <s v=""/>
    <m/>
    <m/>
    <m/>
    <m/>
    <m/>
    <n v="0"/>
    <n v="1"/>
    <n v="0"/>
    <n v="0"/>
    <n v="0"/>
    <n v="0"/>
    <n v="0"/>
    <n v="0"/>
    <n v="1"/>
    <n v="0"/>
    <n v="0"/>
    <n v="0"/>
    <n v="0"/>
    <n v="0"/>
    <n v="0"/>
    <n v="0"/>
    <n v="0"/>
    <n v="0"/>
    <n v="0"/>
    <n v="0"/>
    <n v="0"/>
    <n v="0"/>
    <n v="0"/>
    <n v="0"/>
    <n v="0"/>
    <n v="0"/>
    <n v="0"/>
    <n v="0"/>
    <x v="1"/>
    <x v="0"/>
    <x v="2"/>
    <n v="13"/>
    <m/>
    <n v="1"/>
    <m/>
    <m/>
    <m/>
    <m/>
    <m/>
    <m/>
    <m/>
    <m/>
    <m/>
    <m/>
    <m/>
    <m/>
    <m/>
    <m/>
    <m/>
    <m/>
    <m/>
    <m/>
    <n v="1"/>
    <n v="1"/>
  </r>
  <r>
    <n v="7522"/>
    <x v="1"/>
    <s v="2020/2002"/>
    <s v="Land Adjacent, 77 Festing Road (Embankment - embankment Studios)"/>
    <s v=""/>
    <n v="523648"/>
    <n v="176066"/>
    <x v="3"/>
    <d v="2023-06-22T00:00:00"/>
    <m/>
    <n v="0"/>
    <x v="3"/>
    <x v="5"/>
    <n v="1"/>
    <n v="1"/>
    <x v="1"/>
    <s v="Demolition of existing office building and erection of a 2/3-bedroom house (Class C3)."/>
    <s v="PF"/>
    <d v="2020-06-09T00:00:00"/>
    <d v="2021-03-08T00:00:00"/>
    <x v="0"/>
    <s v="Nil"/>
    <m/>
    <s v="BF"/>
    <s v="NB"/>
    <x v="2"/>
    <x v="3"/>
    <n v="1.9E-2"/>
    <d v="2023-06-22T00:00:00"/>
    <x v="1"/>
    <m/>
    <x v="1"/>
    <s v="M"/>
    <s v=""/>
    <m/>
    <m/>
    <m/>
    <m/>
    <m/>
    <n v="0"/>
    <n v="0"/>
    <n v="1"/>
    <n v="0"/>
    <n v="0"/>
    <n v="0"/>
    <n v="0"/>
    <n v="0"/>
    <n v="0"/>
    <n v="0"/>
    <n v="0"/>
    <n v="0"/>
    <n v="0"/>
    <n v="0"/>
    <n v="0"/>
    <n v="0"/>
    <n v="1"/>
    <n v="0"/>
    <n v="0"/>
    <n v="0"/>
    <n v="0"/>
    <n v="0"/>
    <n v="0"/>
    <n v="0"/>
    <n v="0"/>
    <n v="0"/>
    <n v="0"/>
    <n v="0"/>
    <x v="1"/>
    <x v="0"/>
    <x v="4"/>
    <n v="3"/>
    <m/>
    <n v="1"/>
    <m/>
    <m/>
    <m/>
    <m/>
    <m/>
    <m/>
    <m/>
    <m/>
    <m/>
    <m/>
    <m/>
    <m/>
    <m/>
    <m/>
    <m/>
    <m/>
    <m/>
    <m/>
    <n v="1"/>
    <n v="1"/>
  </r>
  <r>
    <n v="7962"/>
    <x v="1"/>
    <s v="2020/2247"/>
    <s v="1 Duchess Court Live Work Unit, 2 Dinsmore Road"/>
    <s v=""/>
    <n v="528809"/>
    <n v="173792"/>
    <x v="6"/>
    <d v="2023-04-01T00:00:00"/>
    <m/>
    <n v="1"/>
    <x v="3"/>
    <x v="6"/>
    <n v="1"/>
    <n v="0"/>
    <x v="1"/>
    <s v="Alterations including erection of first floor extension and creation of roof terrace with 1.8m screen surround and pitched roof section to front in association with the change of use from live-work unit (C3/B1) to solely residential (C3)."/>
    <s v="PF"/>
    <d v="2020-07-09T00:00:00"/>
    <d v="2020-10-12T00:00:00"/>
    <x v="0"/>
    <s v="Nil"/>
    <m/>
    <s v="BF"/>
    <s v="COU"/>
    <x v="2"/>
    <x v="6"/>
    <n v="4.0000000000000001E-3"/>
    <d v="2023-04-01T00:00:00"/>
    <x v="1"/>
    <m/>
    <x v="1"/>
    <s v="M"/>
    <s v=""/>
    <m/>
    <m/>
    <m/>
    <m/>
    <m/>
    <n v="0"/>
    <n v="-1"/>
    <n v="1"/>
    <n v="0"/>
    <n v="0"/>
    <n v="0"/>
    <n v="0"/>
    <n v="0"/>
    <n v="0"/>
    <n v="0"/>
    <n v="0"/>
    <n v="0"/>
    <n v="0"/>
    <n v="0"/>
    <n v="0"/>
    <n v="0"/>
    <n v="1"/>
    <n v="0"/>
    <n v="0"/>
    <n v="0"/>
    <n v="0"/>
    <n v="0"/>
    <n v="-1"/>
    <n v="0"/>
    <n v="0"/>
    <n v="0"/>
    <n v="0"/>
    <n v="0"/>
    <x v="1"/>
    <x v="0"/>
    <x v="2"/>
    <n v="13"/>
    <m/>
    <n v="0"/>
    <m/>
    <m/>
    <m/>
    <m/>
    <m/>
    <m/>
    <m/>
    <m/>
    <m/>
    <m/>
    <m/>
    <m/>
    <m/>
    <m/>
    <m/>
    <m/>
    <m/>
    <m/>
    <n v="0"/>
    <n v="0"/>
  </r>
  <r>
    <n v="7441"/>
    <x v="1"/>
    <s v="2020/2483"/>
    <s v="61-63 St Johns Road"/>
    <s v=""/>
    <n v="527417"/>
    <n v="175225"/>
    <x v="8"/>
    <d v="2023-08-30T00:00:00"/>
    <m/>
    <n v="0"/>
    <x v="10"/>
    <x v="14"/>
    <n v="7"/>
    <n v="7"/>
    <x v="1"/>
    <s v="Alterations including formation of balconies at rear first and second floor levels and replacement windows in connection with the change of use of the first, second and third floors from retail (use class A1) to 1 x2 bedroom and 6x1 bedroom flats (use class C3). Bike and refuse stores at ground floor."/>
    <s v="PF"/>
    <d v="2020-07-10T00:00:00"/>
    <d v="2020-11-02T00:00:00"/>
    <x v="0"/>
    <s v="Nil"/>
    <m/>
    <s v="BF"/>
    <s v="COU"/>
    <x v="2"/>
    <x v="4"/>
    <n v="1.4E-2"/>
    <d v="2023-08-30T00:00:00"/>
    <x v="1"/>
    <m/>
    <x v="1"/>
    <s v="M"/>
    <s v=""/>
    <m/>
    <m/>
    <m/>
    <m/>
    <m/>
    <n v="0"/>
    <n v="6"/>
    <n v="1"/>
    <n v="0"/>
    <n v="0"/>
    <n v="0"/>
    <n v="0"/>
    <n v="0"/>
    <n v="6"/>
    <n v="1"/>
    <n v="0"/>
    <n v="0"/>
    <n v="0"/>
    <n v="0"/>
    <n v="0"/>
    <n v="0"/>
    <n v="0"/>
    <n v="0"/>
    <n v="0"/>
    <n v="0"/>
    <n v="0"/>
    <n v="0"/>
    <n v="0"/>
    <n v="0"/>
    <n v="0"/>
    <n v="0"/>
    <n v="0"/>
    <n v="0"/>
    <x v="3"/>
    <x v="0"/>
    <x v="3"/>
    <n v="13"/>
    <m/>
    <n v="7"/>
    <m/>
    <m/>
    <m/>
    <m/>
    <m/>
    <m/>
    <m/>
    <m/>
    <m/>
    <m/>
    <m/>
    <m/>
    <m/>
    <m/>
    <m/>
    <m/>
    <m/>
    <m/>
    <n v="7"/>
    <n v="7"/>
  </r>
  <r>
    <n v="7442"/>
    <x v="1"/>
    <s v="2020/2606"/>
    <s v="88 Grayshott Road"/>
    <s v=""/>
    <n v="528026"/>
    <n v="175977"/>
    <x v="20"/>
    <d v="2022-09-01T00:00:00"/>
    <m/>
    <n v="0"/>
    <x v="3"/>
    <x v="5"/>
    <n v="1"/>
    <n v="1"/>
    <x v="1"/>
    <s v="Determination as to whether prior approval is required for change of use of office at ground floor and lower ground floor (Class B1a) to residential (Class C3) to provide 1 x 1-bedroom flat."/>
    <s v="PAG"/>
    <d v="2020-07-20T00:00:00"/>
    <d v="2020-09-10T00:00:00"/>
    <x v="0"/>
    <s v="Nil"/>
    <m/>
    <s v="BF"/>
    <s v="COU"/>
    <x v="2"/>
    <x v="6"/>
    <n v="5.0000000000000001E-3"/>
    <d v="2022-09-01T00:00:00"/>
    <x v="0"/>
    <m/>
    <x v="1"/>
    <s v="M"/>
    <s v=""/>
    <m/>
    <m/>
    <m/>
    <m/>
    <m/>
    <n v="0"/>
    <n v="1"/>
    <n v="0"/>
    <n v="0"/>
    <n v="0"/>
    <n v="0"/>
    <n v="0"/>
    <n v="0"/>
    <n v="1"/>
    <n v="0"/>
    <n v="0"/>
    <n v="0"/>
    <n v="0"/>
    <n v="0"/>
    <n v="0"/>
    <n v="0"/>
    <n v="0"/>
    <n v="0"/>
    <n v="0"/>
    <n v="0"/>
    <n v="0"/>
    <n v="0"/>
    <n v="0"/>
    <n v="0"/>
    <n v="0"/>
    <n v="0"/>
    <n v="0"/>
    <n v="0"/>
    <x v="1"/>
    <x v="0"/>
    <x v="2"/>
    <n v="13"/>
    <m/>
    <n v="1"/>
    <m/>
    <m/>
    <m/>
    <m/>
    <m/>
    <m/>
    <m/>
    <m/>
    <m/>
    <m/>
    <m/>
    <m/>
    <m/>
    <m/>
    <m/>
    <m/>
    <m/>
    <m/>
    <n v="1"/>
    <n v="1"/>
  </r>
  <r>
    <n v="7433"/>
    <x v="1"/>
    <s v="2020/2797"/>
    <s v="59 Sudbrooke Road"/>
    <s v="HOUSE A"/>
    <n v="528136"/>
    <n v="174080"/>
    <x v="6"/>
    <d v="2021-03-03T00:00:00"/>
    <m/>
    <n v="1"/>
    <x v="3"/>
    <x v="6"/>
    <n v="2"/>
    <n v="1"/>
    <x v="1"/>
    <s v="Demolition of existing house and erection of two six-bedroom two-storey semi-detached single dwellinghouses (with basement and attic accommodation)."/>
    <s v="PF"/>
    <d v="2020-07-31T00:00:00"/>
    <d v="2020-11-30T00:00:00"/>
    <x v="0"/>
    <s v="Nil"/>
    <m/>
    <s v="BF"/>
    <s v="NB"/>
    <x v="2"/>
    <x v="3"/>
    <n v="3.2000000000000001E-2"/>
    <d v="2021-03-03T00:00:00"/>
    <x v="0"/>
    <m/>
    <x v="1"/>
    <s v="M"/>
    <s v=""/>
    <m/>
    <m/>
    <m/>
    <m/>
    <m/>
    <n v="0"/>
    <n v="0"/>
    <n v="0"/>
    <n v="0"/>
    <n v="-1"/>
    <n v="1"/>
    <n v="0"/>
    <n v="0"/>
    <n v="0"/>
    <n v="0"/>
    <n v="0"/>
    <n v="0"/>
    <n v="0"/>
    <n v="0"/>
    <n v="0"/>
    <n v="0"/>
    <n v="0"/>
    <n v="0"/>
    <n v="-1"/>
    <n v="1"/>
    <n v="0"/>
    <n v="0"/>
    <n v="0"/>
    <n v="0"/>
    <n v="0"/>
    <n v="0"/>
    <n v="0"/>
    <n v="0"/>
    <x v="1"/>
    <x v="0"/>
    <x v="2"/>
    <n v="3"/>
    <m/>
    <n v="0"/>
    <m/>
    <m/>
    <m/>
    <m/>
    <m/>
    <m/>
    <m/>
    <m/>
    <m/>
    <m/>
    <m/>
    <m/>
    <m/>
    <m/>
    <m/>
    <m/>
    <m/>
    <m/>
    <n v="0"/>
    <n v="0"/>
  </r>
  <r>
    <n v="7433"/>
    <x v="1"/>
    <s v="2020/2797"/>
    <s v="59 Sudbrooke Road"/>
    <s v="HOUSE B"/>
    <n v="528136"/>
    <n v="174080"/>
    <x v="6"/>
    <d v="2021-03-03T00:00:00"/>
    <m/>
    <n v="0"/>
    <x v="3"/>
    <x v="5"/>
    <n v="2"/>
    <n v="1"/>
    <x v="1"/>
    <s v="Demolition of existing house and erection of two six-bedroom two-storey semi-detached single dwellinghouses (with basement and attic accommodation)."/>
    <s v="PF"/>
    <d v="2020-07-31T00:00:00"/>
    <d v="2020-11-30T00:00:00"/>
    <x v="0"/>
    <s v="Nil"/>
    <m/>
    <s v="BF"/>
    <s v="NB"/>
    <x v="2"/>
    <x v="3"/>
    <n v="3.1E-2"/>
    <d v="2021-03-03T00:00:00"/>
    <x v="0"/>
    <m/>
    <x v="1"/>
    <s v="M"/>
    <s v=""/>
    <m/>
    <m/>
    <m/>
    <m/>
    <m/>
    <n v="0"/>
    <n v="0"/>
    <n v="0"/>
    <n v="0"/>
    <n v="0"/>
    <n v="1"/>
    <n v="0"/>
    <n v="0"/>
    <n v="0"/>
    <n v="0"/>
    <n v="0"/>
    <n v="0"/>
    <n v="0"/>
    <n v="0"/>
    <n v="0"/>
    <n v="0"/>
    <n v="0"/>
    <n v="0"/>
    <n v="0"/>
    <n v="1"/>
    <n v="0"/>
    <n v="0"/>
    <n v="0"/>
    <n v="0"/>
    <n v="0"/>
    <n v="0"/>
    <n v="0"/>
    <n v="0"/>
    <x v="1"/>
    <x v="0"/>
    <x v="2"/>
    <n v="3"/>
    <m/>
    <n v="1"/>
    <m/>
    <m/>
    <m/>
    <m/>
    <m/>
    <m/>
    <m/>
    <m/>
    <m/>
    <m/>
    <m/>
    <m/>
    <m/>
    <m/>
    <m/>
    <m/>
    <m/>
    <m/>
    <n v="1"/>
    <n v="1"/>
  </r>
  <r>
    <n v="7432"/>
    <x v="1"/>
    <s v="2020/2849"/>
    <s v="24 Granard Avenue"/>
    <s v=""/>
    <n v="522788"/>
    <n v="174649"/>
    <x v="16"/>
    <d v="2021-03-31T00:00:00"/>
    <m/>
    <n v="1"/>
    <x v="3"/>
    <x v="6"/>
    <n v="1"/>
    <n v="0"/>
    <x v="1"/>
    <s v="Demolition of existing building and erection of a two-storey (plus roof levels) 5-bedroom house."/>
    <s v="PF"/>
    <d v="2020-08-04T00:00:00"/>
    <d v="2020-10-19T00:00:00"/>
    <x v="0"/>
    <s v="Nil"/>
    <m/>
    <s v="BF"/>
    <s v="NB"/>
    <x v="2"/>
    <x v="3"/>
    <n v="5.0999999999999997E-2"/>
    <d v="2021-03-31T00:00:00"/>
    <x v="0"/>
    <m/>
    <x v="1"/>
    <s v="M"/>
    <s v=""/>
    <m/>
    <m/>
    <m/>
    <m/>
    <m/>
    <n v="0"/>
    <n v="0"/>
    <n v="0"/>
    <n v="0"/>
    <n v="-1"/>
    <n v="1"/>
    <n v="0"/>
    <n v="0"/>
    <n v="0"/>
    <n v="0"/>
    <n v="0"/>
    <n v="0"/>
    <n v="0"/>
    <n v="0"/>
    <n v="0"/>
    <n v="0"/>
    <n v="0"/>
    <n v="0"/>
    <n v="-1"/>
    <n v="1"/>
    <n v="0"/>
    <n v="0"/>
    <n v="0"/>
    <n v="0"/>
    <n v="0"/>
    <n v="0"/>
    <n v="0"/>
    <n v="0"/>
    <x v="1"/>
    <x v="0"/>
    <x v="2"/>
    <n v="3"/>
    <m/>
    <n v="0"/>
    <m/>
    <m/>
    <m/>
    <m/>
    <m/>
    <m/>
    <m/>
    <m/>
    <m/>
    <m/>
    <m/>
    <m/>
    <m/>
    <m/>
    <m/>
    <m/>
    <m/>
    <m/>
    <n v="0"/>
    <n v="0"/>
  </r>
  <r>
    <n v="7435"/>
    <x v="1"/>
    <s v="2020/2870"/>
    <s v="119 Boundaries Road"/>
    <s v=""/>
    <n v="527953"/>
    <n v="172977"/>
    <x v="10"/>
    <d v="2023-04-01T00:00:00"/>
    <m/>
    <n v="1"/>
    <x v="11"/>
    <x v="7"/>
    <n v="3"/>
    <n v="2"/>
    <x v="1"/>
    <s v="Alterations including demolition of existing garage; Erection of a dormer roof extension to main rear roof; Alterations to dormer roof extension to back addition; Erection of a part single, part-two storey rear and side extension; In connection with conversion to 2 x 2-bed and 1 x 3-bed flats, with associated cycle and refuse storage."/>
    <s v="PF"/>
    <d v="2020-08-04T00:00:00"/>
    <d v="2020-10-08T00:00:00"/>
    <x v="0"/>
    <s v="Nil"/>
    <m/>
    <s v="BF"/>
    <s v="MIX"/>
    <x v="2"/>
    <x v="10"/>
    <n v="2.7E-2"/>
    <d v="2023-04-01T00:00:00"/>
    <x v="1"/>
    <m/>
    <x v="1"/>
    <s v="M"/>
    <s v=""/>
    <m/>
    <m/>
    <m/>
    <m/>
    <m/>
    <n v="0"/>
    <n v="0"/>
    <n v="2"/>
    <n v="1"/>
    <n v="0"/>
    <n v="-1"/>
    <n v="0"/>
    <n v="0"/>
    <n v="0"/>
    <n v="2"/>
    <n v="1"/>
    <n v="0"/>
    <n v="0"/>
    <n v="0"/>
    <n v="0"/>
    <n v="0"/>
    <n v="0"/>
    <n v="0"/>
    <n v="0"/>
    <n v="-1"/>
    <n v="0"/>
    <n v="0"/>
    <n v="0"/>
    <n v="0"/>
    <n v="0"/>
    <n v="0"/>
    <n v="0"/>
    <n v="0"/>
    <x v="1"/>
    <x v="0"/>
    <x v="2"/>
    <n v="13"/>
    <m/>
    <n v="2"/>
    <m/>
    <m/>
    <m/>
    <m/>
    <m/>
    <m/>
    <m/>
    <m/>
    <m/>
    <m/>
    <m/>
    <m/>
    <m/>
    <m/>
    <m/>
    <m/>
    <m/>
    <m/>
    <n v="2"/>
    <n v="2"/>
  </r>
  <r>
    <n v="7456"/>
    <x v="1"/>
    <s v="2020/2995"/>
    <s v="402-404 Merton Road"/>
    <s v="402"/>
    <n v="525327"/>
    <n v="173104"/>
    <x v="12"/>
    <d v="2021-02-01T00:00:00"/>
    <m/>
    <n v="1"/>
    <x v="3"/>
    <x v="6"/>
    <n v="2"/>
    <n v="0"/>
    <x v="1"/>
    <s v="Demolition of existing buildings and erection of 2 x three-storey 5/6 x bedroom dwellings, with associated off street parking to the front and new boundary walls and gates."/>
    <s v="PF"/>
    <d v="2020-08-12T00:00:00"/>
    <d v="2020-10-13T00:00:00"/>
    <x v="0"/>
    <s v="Nil"/>
    <m/>
    <s v="BF"/>
    <s v="NB"/>
    <x v="2"/>
    <x v="3"/>
    <n v="4.5999999999999999E-2"/>
    <d v="2021-02-01T00:00:00"/>
    <x v="0"/>
    <m/>
    <x v="1"/>
    <s v="M"/>
    <s v=""/>
    <m/>
    <m/>
    <m/>
    <m/>
    <m/>
    <n v="0"/>
    <n v="0"/>
    <n v="0"/>
    <n v="0"/>
    <n v="-1"/>
    <n v="1"/>
    <n v="0"/>
    <n v="0"/>
    <n v="0"/>
    <n v="0"/>
    <n v="0"/>
    <n v="0"/>
    <n v="0"/>
    <n v="0"/>
    <n v="0"/>
    <n v="0"/>
    <n v="0"/>
    <n v="0"/>
    <n v="-1"/>
    <n v="1"/>
    <n v="0"/>
    <n v="0"/>
    <n v="0"/>
    <n v="0"/>
    <n v="0"/>
    <n v="0"/>
    <n v="0"/>
    <n v="0"/>
    <x v="1"/>
    <x v="0"/>
    <x v="5"/>
    <n v="3"/>
    <m/>
    <n v="0"/>
    <m/>
    <m/>
    <m/>
    <m/>
    <m/>
    <m/>
    <m/>
    <m/>
    <m/>
    <m/>
    <m/>
    <m/>
    <m/>
    <m/>
    <m/>
    <m/>
    <m/>
    <m/>
    <n v="0"/>
    <n v="0"/>
  </r>
  <r>
    <n v="7456"/>
    <x v="1"/>
    <s v="2020/2995"/>
    <s v="402-404 Merton Road"/>
    <s v="404"/>
    <n v="525327"/>
    <n v="173104"/>
    <x v="12"/>
    <d v="2021-02-01T00:00:00"/>
    <m/>
    <n v="1"/>
    <x v="3"/>
    <x v="6"/>
    <n v="2"/>
    <n v="0"/>
    <x v="1"/>
    <s v="Demolition of existing buildings and erection of 2 x three-storey 5/6 x bedroom dwellings, with associated off street parking to the front and new boundary walls and gates."/>
    <s v="PF"/>
    <d v="2020-08-12T00:00:00"/>
    <d v="2020-10-13T00:00:00"/>
    <x v="0"/>
    <s v="Nil"/>
    <m/>
    <s v="BF"/>
    <s v="NB"/>
    <x v="2"/>
    <x v="3"/>
    <n v="4.5999999999999999E-2"/>
    <d v="2021-02-01T00:00:00"/>
    <x v="0"/>
    <m/>
    <x v="1"/>
    <s v="M"/>
    <s v=""/>
    <m/>
    <m/>
    <m/>
    <m/>
    <m/>
    <n v="0"/>
    <n v="0"/>
    <n v="0"/>
    <n v="0"/>
    <n v="-1"/>
    <n v="1"/>
    <n v="0"/>
    <n v="0"/>
    <n v="0"/>
    <n v="0"/>
    <n v="0"/>
    <n v="0"/>
    <n v="0"/>
    <n v="0"/>
    <n v="0"/>
    <n v="0"/>
    <n v="0"/>
    <n v="0"/>
    <n v="-1"/>
    <n v="1"/>
    <n v="0"/>
    <n v="0"/>
    <n v="0"/>
    <n v="0"/>
    <n v="0"/>
    <n v="0"/>
    <n v="0"/>
    <n v="0"/>
    <x v="1"/>
    <x v="0"/>
    <x v="5"/>
    <n v="3"/>
    <m/>
    <n v="0"/>
    <m/>
    <m/>
    <m/>
    <m/>
    <m/>
    <m/>
    <m/>
    <m/>
    <m/>
    <m/>
    <m/>
    <m/>
    <m/>
    <m/>
    <m/>
    <m/>
    <m/>
    <m/>
    <n v="0"/>
    <n v="0"/>
  </r>
  <r>
    <n v="7211"/>
    <x v="1"/>
    <s v="2020/3018"/>
    <s v="916 Garratt Lane"/>
    <s v=""/>
    <n v="527235"/>
    <n v="171597"/>
    <x v="0"/>
    <d v="2023-02-07T00:00:00"/>
    <m/>
    <n v="1"/>
    <x v="12"/>
    <x v="36"/>
    <n v="4"/>
    <n v="3"/>
    <x v="1"/>
    <s v="Demolition of building and erection of a two-storey building with basement to form 1 x 3 bedroom ground floor flat, 1 x 2 bedroom first floor flat, 2 x 1 bedroom second and third floor flats."/>
    <s v="PF"/>
    <d v="2020-10-22T00:00:00"/>
    <d v="2020-10-30T00:00:00"/>
    <x v="0"/>
    <s v="Nil"/>
    <m/>
    <s v="BF"/>
    <s v="NB"/>
    <x v="2"/>
    <x v="3"/>
    <n v="0.02"/>
    <d v="2023-02-07T00:00:00"/>
    <x v="0"/>
    <m/>
    <x v="1"/>
    <s v="M"/>
    <s v=""/>
    <m/>
    <m/>
    <m/>
    <m/>
    <m/>
    <n v="2"/>
    <n v="0"/>
    <n v="1"/>
    <n v="0"/>
    <n v="0"/>
    <n v="0"/>
    <n v="0"/>
    <n v="2"/>
    <n v="0"/>
    <n v="1"/>
    <n v="1"/>
    <n v="0"/>
    <n v="0"/>
    <n v="0"/>
    <n v="0"/>
    <n v="0"/>
    <n v="0"/>
    <n v="-1"/>
    <n v="0"/>
    <n v="0"/>
    <n v="0"/>
    <n v="0"/>
    <n v="0"/>
    <n v="0"/>
    <n v="0"/>
    <n v="0"/>
    <n v="0"/>
    <n v="0"/>
    <x v="1"/>
    <x v="0"/>
    <x v="0"/>
    <n v="3"/>
    <m/>
    <n v="3"/>
    <m/>
    <m/>
    <m/>
    <m/>
    <m/>
    <m/>
    <m/>
    <m/>
    <m/>
    <m/>
    <m/>
    <m/>
    <m/>
    <m/>
    <m/>
    <m/>
    <m/>
    <m/>
    <n v="3"/>
    <n v="3"/>
  </r>
  <r>
    <n v="7466"/>
    <x v="1"/>
    <s v="2020/3110"/>
    <s v="A &amp; B, 38 Comyn Road"/>
    <s v=""/>
    <n v="527275"/>
    <n v="175225"/>
    <x v="8"/>
    <d v="2023-06-01T00:00:00"/>
    <m/>
    <n v="1"/>
    <x v="3"/>
    <x v="6"/>
    <n v="2"/>
    <n v="1"/>
    <x v="1"/>
    <s v="Alterations including erection of mansard roof extension to main rear roof (with French doors and safety railings) and extension above part of three-storey back addition; formation of roof terrace at third floor level with 1.7m high screen to side. Erection of single-storey side/rear extension. Conversion of upper level flat into 1 x 1bedoom and 1 x 3 bedroom flats."/>
    <s v="PF"/>
    <d v="2020-08-21T00:00:00"/>
    <d v="2020-11-27T00:00:00"/>
    <x v="0"/>
    <s v="Nil"/>
    <m/>
    <s v="BF"/>
    <s v="MIX"/>
    <x v="2"/>
    <x v="7"/>
    <n v="6.0000000000000001E-3"/>
    <d v="2023-06-01T00:00:00"/>
    <x v="1"/>
    <m/>
    <x v="1"/>
    <s v="M"/>
    <s v=""/>
    <m/>
    <m/>
    <m/>
    <m/>
    <m/>
    <n v="0"/>
    <n v="1"/>
    <n v="0"/>
    <n v="0"/>
    <n v="-1"/>
    <n v="0"/>
    <n v="0"/>
    <n v="0"/>
    <n v="1"/>
    <n v="0"/>
    <n v="0"/>
    <n v="-1"/>
    <n v="0"/>
    <n v="0"/>
    <n v="0"/>
    <n v="0"/>
    <n v="0"/>
    <n v="0"/>
    <n v="0"/>
    <n v="0"/>
    <n v="0"/>
    <n v="0"/>
    <n v="0"/>
    <n v="0"/>
    <n v="0"/>
    <n v="0"/>
    <n v="0"/>
    <n v="0"/>
    <x v="1"/>
    <x v="0"/>
    <x v="3"/>
    <n v="13"/>
    <m/>
    <n v="0"/>
    <m/>
    <m/>
    <m/>
    <m/>
    <m/>
    <m/>
    <m/>
    <m/>
    <m/>
    <m/>
    <m/>
    <m/>
    <m/>
    <m/>
    <m/>
    <m/>
    <m/>
    <m/>
    <n v="0"/>
    <n v="0"/>
  </r>
  <r>
    <n v="7466"/>
    <x v="1"/>
    <s v="2020/3110"/>
    <s v="A &amp; B, 38 Comyn Road"/>
    <s v=""/>
    <n v="527275"/>
    <n v="175225"/>
    <x v="8"/>
    <d v="2023-06-01T00:00:00"/>
    <m/>
    <n v="0"/>
    <x v="3"/>
    <x v="5"/>
    <n v="2"/>
    <n v="1"/>
    <x v="1"/>
    <s v="Alterations including erection of mansard roof extension to main rear roof (with French doors and safety railings) and extension above part of three-storey back addition; formation of roof terrace at third floor level with 1.7m high screen to side. Erection of single-storey side/rear extension. Conversion of upper level flat into 1 x 1bedoom and 1 x 3 bedroom flats."/>
    <s v="PF"/>
    <d v="2020-08-21T00:00:00"/>
    <d v="2020-11-27T00:00:00"/>
    <x v="0"/>
    <s v="Nil"/>
    <m/>
    <s v="BF"/>
    <s v="MIX"/>
    <x v="2"/>
    <x v="5"/>
    <n v="8.9999999999999993E-3"/>
    <d v="2023-06-01T00:00:00"/>
    <x v="1"/>
    <m/>
    <x v="1"/>
    <s v="M"/>
    <s v=""/>
    <m/>
    <m/>
    <m/>
    <m/>
    <m/>
    <n v="0"/>
    <n v="0"/>
    <n v="0"/>
    <n v="1"/>
    <n v="0"/>
    <n v="0"/>
    <n v="0"/>
    <n v="0"/>
    <n v="0"/>
    <n v="0"/>
    <n v="1"/>
    <n v="0"/>
    <n v="0"/>
    <n v="0"/>
    <n v="0"/>
    <n v="0"/>
    <n v="0"/>
    <n v="0"/>
    <n v="0"/>
    <n v="0"/>
    <n v="0"/>
    <n v="0"/>
    <n v="0"/>
    <n v="0"/>
    <n v="0"/>
    <n v="0"/>
    <n v="0"/>
    <n v="0"/>
    <x v="1"/>
    <x v="0"/>
    <x v="3"/>
    <n v="13"/>
    <m/>
    <n v="1"/>
    <m/>
    <m/>
    <m/>
    <m/>
    <m/>
    <m/>
    <m/>
    <m/>
    <m/>
    <m/>
    <m/>
    <m/>
    <m/>
    <m/>
    <m/>
    <m/>
    <m/>
    <m/>
    <n v="1"/>
    <n v="1"/>
  </r>
  <r>
    <n v="2060"/>
    <x v="1"/>
    <s v="2020/3209"/>
    <s v="181-185 Wandsworth High Street"/>
    <s v=""/>
    <n v="525346"/>
    <n v="174649"/>
    <x v="14"/>
    <d v="2023-11-30T00:00:00"/>
    <m/>
    <n v="0"/>
    <x v="11"/>
    <x v="36"/>
    <n v="6"/>
    <n v="3"/>
    <x v="1"/>
    <s v="Erection of roof extensions to provide an additional storey to front and rear sections of the building with a pitched roof to the front; reconfiguration of 3 existing flats; works in association with the provision of 3 x 1 bedroomed flats."/>
    <s v="PF"/>
    <d v="2020-08-28T00:00:00"/>
    <d v="2020-10-23T00:00:00"/>
    <x v="0"/>
    <s v="Nil"/>
    <m/>
    <s v="BF"/>
    <s v="MIX"/>
    <x v="2"/>
    <x v="7"/>
    <n v="6.0000000000000001E-3"/>
    <d v="2023-11-30T00:00:00"/>
    <x v="1"/>
    <m/>
    <x v="1"/>
    <s v="M"/>
    <s v=""/>
    <m/>
    <m/>
    <m/>
    <m/>
    <m/>
    <n v="0"/>
    <n v="3"/>
    <n v="0"/>
    <n v="0"/>
    <n v="0"/>
    <n v="0"/>
    <n v="0"/>
    <n v="0"/>
    <n v="3"/>
    <n v="0"/>
    <n v="0"/>
    <n v="0"/>
    <n v="0"/>
    <n v="0"/>
    <n v="0"/>
    <n v="0"/>
    <n v="0"/>
    <n v="0"/>
    <n v="0"/>
    <n v="0"/>
    <n v="0"/>
    <n v="0"/>
    <n v="0"/>
    <n v="0"/>
    <n v="0"/>
    <n v="0"/>
    <n v="0"/>
    <n v="0"/>
    <x v="4"/>
    <x v="0"/>
    <x v="7"/>
    <n v="14"/>
    <m/>
    <n v="1.5"/>
    <n v="1.5"/>
    <m/>
    <m/>
    <m/>
    <m/>
    <m/>
    <m/>
    <m/>
    <m/>
    <m/>
    <m/>
    <m/>
    <m/>
    <m/>
    <m/>
    <m/>
    <m/>
    <m/>
    <n v="3"/>
    <n v="3"/>
  </r>
  <r>
    <n v="2060"/>
    <x v="1"/>
    <s v="2020/3209"/>
    <s v="181-185 Wandsworth High Street"/>
    <s v=""/>
    <n v="525346"/>
    <n v="174649"/>
    <x v="14"/>
    <d v="2023-11-30T00:00:00"/>
    <m/>
    <n v="3"/>
    <x v="11"/>
    <x v="6"/>
    <n v="6"/>
    <n v="3"/>
    <x v="1"/>
    <s v="Erection of roof extensions to provide an additional storey to front and rear sections of the building with a pitched roof to the front; reconfiguration of 3 existing flats; works in association with the provision of 3 x 1 bedroomed flats."/>
    <s v="PF"/>
    <d v="2020-08-28T00:00:00"/>
    <d v="2020-10-23T00:00:00"/>
    <x v="0"/>
    <s v="Nil"/>
    <m/>
    <s v="BF"/>
    <s v="MIX"/>
    <x v="2"/>
    <x v="5"/>
    <n v="6.0000000000000001E-3"/>
    <d v="2023-11-30T00:00:00"/>
    <x v="1"/>
    <m/>
    <x v="1"/>
    <s v="M"/>
    <s v=""/>
    <m/>
    <m/>
    <m/>
    <m/>
    <m/>
    <n v="1"/>
    <n v="2"/>
    <n v="-1"/>
    <n v="-2"/>
    <n v="0"/>
    <n v="0"/>
    <n v="0"/>
    <n v="1"/>
    <n v="2"/>
    <n v="-1"/>
    <n v="-2"/>
    <n v="0"/>
    <n v="0"/>
    <n v="0"/>
    <n v="0"/>
    <n v="0"/>
    <n v="0"/>
    <n v="0"/>
    <n v="0"/>
    <n v="0"/>
    <n v="0"/>
    <n v="0"/>
    <n v="0"/>
    <n v="0"/>
    <n v="0"/>
    <n v="0"/>
    <n v="0"/>
    <n v="0"/>
    <x v="4"/>
    <x v="0"/>
    <x v="7"/>
    <n v="14"/>
    <m/>
    <n v="0"/>
    <n v="0"/>
    <m/>
    <m/>
    <m/>
    <m/>
    <m/>
    <m/>
    <m/>
    <m/>
    <m/>
    <m/>
    <m/>
    <m/>
    <m/>
    <m/>
    <m/>
    <m/>
    <m/>
    <n v="0"/>
    <n v="0"/>
  </r>
  <r>
    <n v="2767"/>
    <x v="1"/>
    <s v="2020/3575"/>
    <s v="Springfield, 332 Upper Richmond Road"/>
    <s v=""/>
    <n v="523548"/>
    <n v="175265"/>
    <x v="16"/>
    <d v="2024-01-19T00:00:00"/>
    <m/>
    <n v="0"/>
    <x v="3"/>
    <x v="5"/>
    <n v="1"/>
    <n v="1"/>
    <x v="1"/>
    <s v="Erection of a single-storey (plus basement) 3-bedroom detached dwellinghouse on land to the side of the existing dwelling at 332 Upper Richmond Road."/>
    <s v="PF"/>
    <d v="2020-09-25T00:00:00"/>
    <d v="2021-02-01T00:00:00"/>
    <x v="0"/>
    <s v="Nil"/>
    <m/>
    <s v="BF"/>
    <s v="NB"/>
    <x v="2"/>
    <x v="3"/>
    <n v="1.2E-2"/>
    <d v="2024-01-19T00:00:00"/>
    <x v="1"/>
    <m/>
    <x v="1"/>
    <s v="M"/>
    <s v=""/>
    <m/>
    <m/>
    <m/>
    <m/>
    <m/>
    <n v="0"/>
    <n v="0"/>
    <n v="0"/>
    <n v="1"/>
    <n v="0"/>
    <n v="0"/>
    <n v="0"/>
    <n v="0"/>
    <n v="0"/>
    <n v="0"/>
    <n v="0"/>
    <n v="0"/>
    <n v="0"/>
    <n v="0"/>
    <n v="0"/>
    <n v="0"/>
    <n v="0"/>
    <n v="1"/>
    <n v="0"/>
    <n v="0"/>
    <n v="0"/>
    <n v="0"/>
    <n v="0"/>
    <n v="0"/>
    <n v="0"/>
    <n v="0"/>
    <n v="0"/>
    <n v="0"/>
    <x v="1"/>
    <x v="0"/>
    <x v="2"/>
    <n v="4"/>
    <m/>
    <n v="0.5"/>
    <n v="0.5"/>
    <m/>
    <m/>
    <m/>
    <m/>
    <m/>
    <m/>
    <m/>
    <m/>
    <m/>
    <m/>
    <m/>
    <m/>
    <m/>
    <m/>
    <m/>
    <m/>
    <m/>
    <n v="1"/>
    <n v="1"/>
  </r>
  <r>
    <n v="3902"/>
    <x v="1"/>
    <s v="2020/3777"/>
    <s v="St Peter with St Paul Church, Vicarage and, 23-31 Plough Road (Parkside St. Peters)"/>
    <s v=""/>
    <n v="526710"/>
    <n v="175659"/>
    <x v="21"/>
    <d v="2014-03-31T00:00:00"/>
    <m/>
    <n v="0"/>
    <x v="9"/>
    <x v="12"/>
    <n v="8"/>
    <n v="8"/>
    <x v="1"/>
    <s v="Prior Approval for the addition of a two-storey extension to the existing eight-storey residential building to provide 8 residential units, as well as the relocation and addition of plant and ancillary roof terrace"/>
    <s v="PAG"/>
    <d v="2020-10-20T00:00:00"/>
    <d v="2021-01-12T00:00:00"/>
    <x v="0"/>
    <s v="Nil"/>
    <m/>
    <s v="BF"/>
    <s v="EXT"/>
    <x v="2"/>
    <x v="3"/>
    <n v="2.7E-2"/>
    <d v="2014-03-31T00:00:00"/>
    <x v="0"/>
    <m/>
    <x v="1"/>
    <s v="M"/>
    <s v="4.1.6"/>
    <m/>
    <m/>
    <m/>
    <m/>
    <m/>
    <n v="0"/>
    <n v="0"/>
    <n v="8"/>
    <n v="0"/>
    <n v="0"/>
    <n v="0"/>
    <n v="0"/>
    <n v="0"/>
    <n v="0"/>
    <n v="8"/>
    <n v="0"/>
    <n v="0"/>
    <n v="0"/>
    <n v="0"/>
    <n v="0"/>
    <n v="0"/>
    <n v="0"/>
    <n v="0"/>
    <n v="0"/>
    <n v="0"/>
    <n v="0"/>
    <n v="0"/>
    <n v="0"/>
    <n v="0"/>
    <n v="0"/>
    <n v="0"/>
    <n v="0"/>
    <n v="0"/>
    <x v="1"/>
    <x v="0"/>
    <x v="3"/>
    <n v="13"/>
    <m/>
    <n v="8"/>
    <m/>
    <m/>
    <m/>
    <m/>
    <m/>
    <m/>
    <m/>
    <m/>
    <m/>
    <m/>
    <m/>
    <m/>
    <m/>
    <m/>
    <m/>
    <m/>
    <m/>
    <m/>
    <n v="8"/>
    <n v="8"/>
  </r>
  <r>
    <n v="7482"/>
    <x v="1"/>
    <s v="2020/4014"/>
    <s v="87a Thurleigh Road"/>
    <s v=""/>
    <n v="528070"/>
    <n v="174219"/>
    <x v="11"/>
    <d v="2024-03-31T00:00:00"/>
    <m/>
    <n v="0"/>
    <x v="3"/>
    <x v="5"/>
    <n v="1"/>
    <n v="1"/>
    <x v="1"/>
    <s v="Alterations to existing outbuilding in connection with its conversion to a 1 x bedroom self contained residential unit; new roof with rooflights lights, new timber fencing and gate to Wroughton Road with associated refuse and cycle storage."/>
    <s v="PF"/>
    <d v="2020-10-23T00:00:00"/>
    <d v="2020-12-18T00:00:00"/>
    <x v="0"/>
    <s v="Nil"/>
    <m/>
    <s v="BF"/>
    <s v="CON"/>
    <x v="2"/>
    <x v="8"/>
    <n v="4.0000000000000001E-3"/>
    <d v="2024-03-31T00:00:00"/>
    <x v="1"/>
    <m/>
    <x v="1"/>
    <s v="M"/>
    <s v=""/>
    <m/>
    <m/>
    <m/>
    <m/>
    <m/>
    <n v="0"/>
    <n v="1"/>
    <n v="0"/>
    <n v="0"/>
    <n v="0"/>
    <n v="0"/>
    <n v="0"/>
    <n v="0"/>
    <n v="0"/>
    <n v="0"/>
    <n v="0"/>
    <n v="0"/>
    <n v="0"/>
    <n v="0"/>
    <n v="0"/>
    <n v="1"/>
    <n v="0"/>
    <n v="0"/>
    <n v="0"/>
    <n v="0"/>
    <n v="0"/>
    <n v="0"/>
    <n v="0"/>
    <n v="0"/>
    <n v="0"/>
    <n v="0"/>
    <n v="0"/>
    <n v="0"/>
    <x v="1"/>
    <x v="0"/>
    <x v="2"/>
    <n v="14"/>
    <m/>
    <n v="0.5"/>
    <n v="0.5"/>
    <m/>
    <m/>
    <m/>
    <m/>
    <m/>
    <m/>
    <m/>
    <m/>
    <m/>
    <m/>
    <m/>
    <m/>
    <m/>
    <m/>
    <m/>
    <m/>
    <m/>
    <n v="1"/>
    <n v="1"/>
  </r>
  <r>
    <n v="5958"/>
    <x v="1"/>
    <s v="2020/4021"/>
    <s v="250 Upper Tooting Road"/>
    <s v=""/>
    <n v="527576"/>
    <n v="171713"/>
    <x v="19"/>
    <d v="2024-03-31T00:00:00"/>
    <m/>
    <n v="2"/>
    <x v="3"/>
    <x v="3"/>
    <n v="4"/>
    <n v="2"/>
    <x v="1"/>
    <s v="Reconfiguration of first and second floors to form 4 units (1 x 2-bedroom and 3 x 1-bedroom) with the erection of ground, first and second floor rear and side extensions and installation of AC units."/>
    <s v="PF"/>
    <d v="2020-10-23T00:00:00"/>
    <d v="2020-12-18T00:00:00"/>
    <x v="0"/>
    <s v="Nil"/>
    <m/>
    <s v="BF"/>
    <s v="MIX"/>
    <x v="2"/>
    <x v="1"/>
    <n v="2E-3"/>
    <d v="2024-03-31T00:00:00"/>
    <x v="1"/>
    <m/>
    <x v="1"/>
    <s v="M"/>
    <s v=""/>
    <m/>
    <m/>
    <m/>
    <m/>
    <m/>
    <n v="0"/>
    <n v="0"/>
    <n v="-1"/>
    <n v="0"/>
    <n v="0"/>
    <n v="0"/>
    <n v="0"/>
    <n v="0"/>
    <n v="0"/>
    <n v="-1"/>
    <n v="0"/>
    <n v="0"/>
    <n v="0"/>
    <n v="0"/>
    <n v="0"/>
    <n v="0"/>
    <n v="0"/>
    <n v="0"/>
    <n v="0"/>
    <n v="0"/>
    <n v="0"/>
    <n v="0"/>
    <n v="0"/>
    <n v="0"/>
    <n v="0"/>
    <n v="0"/>
    <n v="0"/>
    <n v="0"/>
    <x v="0"/>
    <x v="0"/>
    <x v="0"/>
    <n v="14"/>
    <m/>
    <n v="-0.5"/>
    <n v="-0.5"/>
    <m/>
    <m/>
    <m/>
    <m/>
    <m/>
    <m/>
    <m/>
    <m/>
    <m/>
    <m/>
    <m/>
    <m/>
    <m/>
    <m/>
    <m/>
    <m/>
    <m/>
    <n v="-1"/>
    <n v="-1"/>
  </r>
  <r>
    <n v="5958"/>
    <x v="1"/>
    <s v="2020/4021"/>
    <s v="250 Upper Tooting Road"/>
    <s v=""/>
    <n v="527576"/>
    <n v="171713"/>
    <x v="19"/>
    <d v="2024-03-31T00:00:00"/>
    <m/>
    <n v="0"/>
    <x v="11"/>
    <x v="36"/>
    <n v="4"/>
    <n v="2"/>
    <x v="1"/>
    <s v="Reconfiguration of first and second floors to form 4 units (1 x 2-bedroom and 3 x 1-bedroom) with the erection of ground, first and second floor rear and side extensions and installation of AC units."/>
    <s v="PF"/>
    <d v="2020-10-23T00:00:00"/>
    <d v="2020-12-18T00:00:00"/>
    <x v="0"/>
    <s v="Nil"/>
    <m/>
    <s v="BF"/>
    <s v="MIX"/>
    <x v="2"/>
    <x v="7"/>
    <n v="5.0000000000000001E-3"/>
    <d v="2024-03-31T00:00:00"/>
    <x v="1"/>
    <m/>
    <x v="1"/>
    <s v="M"/>
    <s v=""/>
    <m/>
    <m/>
    <m/>
    <m/>
    <m/>
    <n v="0"/>
    <n v="3"/>
    <n v="0"/>
    <n v="0"/>
    <n v="0"/>
    <n v="0"/>
    <n v="0"/>
    <n v="0"/>
    <n v="3"/>
    <n v="0"/>
    <n v="0"/>
    <n v="0"/>
    <n v="0"/>
    <n v="0"/>
    <n v="0"/>
    <n v="0"/>
    <n v="0"/>
    <n v="0"/>
    <n v="0"/>
    <n v="0"/>
    <n v="0"/>
    <n v="0"/>
    <n v="0"/>
    <n v="0"/>
    <n v="0"/>
    <n v="0"/>
    <n v="0"/>
    <n v="0"/>
    <x v="0"/>
    <x v="0"/>
    <x v="0"/>
    <n v="14"/>
    <m/>
    <n v="1.5"/>
    <n v="1.5"/>
    <m/>
    <m/>
    <m/>
    <m/>
    <m/>
    <m/>
    <m/>
    <m/>
    <m/>
    <m/>
    <m/>
    <m/>
    <m/>
    <m/>
    <m/>
    <m/>
    <m/>
    <n v="3"/>
    <n v="3"/>
  </r>
  <r>
    <n v="2304"/>
    <x v="1"/>
    <s v="2020/4088"/>
    <s v="Chelsea Bridge Wharf (southern site), Queenstown Road (Phase 5, Residential Blocks F &amp; G (Lanson House &amp; Burnelli House))"/>
    <s v=""/>
    <n v="528666"/>
    <n v="177450"/>
    <x v="2"/>
    <d v="2024-03-31T00:00:00"/>
    <m/>
    <n v="0"/>
    <x v="0"/>
    <x v="0"/>
    <n v="6"/>
    <n v="6"/>
    <x v="1"/>
    <s v="Change of use of the ground floor of the Lanson building from commercial floorspace to form 6 residential units (Class C3), comprising 2 x 1 beds, 3 x 2 bed and 1 x 3 bed units, along with associated internal and external alterations."/>
    <s v="PF"/>
    <d v="2020-10-28T00:00:00"/>
    <d v="2021-04-30T00:00:00"/>
    <x v="0"/>
    <s v="Nil"/>
    <m/>
    <s v="BF"/>
    <s v="CON"/>
    <x v="2"/>
    <x v="6"/>
    <n v="8.0000000000000002E-3"/>
    <d v="2024-03-31T00:00:00"/>
    <x v="1"/>
    <m/>
    <x v="1"/>
    <s v="M"/>
    <s v=""/>
    <m/>
    <m/>
    <m/>
    <m/>
    <m/>
    <n v="0"/>
    <n v="2"/>
    <n v="3"/>
    <n v="1"/>
    <n v="0"/>
    <n v="0"/>
    <n v="0"/>
    <n v="0"/>
    <n v="2"/>
    <n v="3"/>
    <n v="1"/>
    <n v="0"/>
    <n v="0"/>
    <n v="0"/>
    <n v="0"/>
    <n v="0"/>
    <n v="0"/>
    <n v="0"/>
    <n v="0"/>
    <n v="0"/>
    <n v="0"/>
    <n v="0"/>
    <n v="0"/>
    <n v="0"/>
    <n v="0"/>
    <n v="0"/>
    <n v="0"/>
    <n v="0"/>
    <x v="1"/>
    <x v="1"/>
    <x v="1"/>
    <n v="14"/>
    <m/>
    <n v="3"/>
    <n v="3"/>
    <m/>
    <m/>
    <m/>
    <m/>
    <m/>
    <m/>
    <m/>
    <m/>
    <m/>
    <m/>
    <m/>
    <m/>
    <m/>
    <m/>
    <m/>
    <m/>
    <m/>
    <n v="6"/>
    <n v="6"/>
  </r>
  <r>
    <n v="5245"/>
    <x v="1"/>
    <s v="2021/3661"/>
    <s v="28 Thessaly Road"/>
    <s v=""/>
    <n v="529554"/>
    <n v="176699"/>
    <x v="20"/>
    <d v="2023-12-31T00:00:00"/>
    <m/>
    <n v="0"/>
    <x v="35"/>
    <x v="40"/>
    <n v="17"/>
    <n v="17"/>
    <x v="0"/>
    <s v="The development of the site comprising the erection of a five storey building comprising 17 flats (3 x studios, 11 x 2-bedroom and 3 x 3-bedroom) with ancillary cycle and plant areas accommodated in a basement, and associated refuse storage and landscaping."/>
    <s v="PFLA"/>
    <d v="2021-09-03T00:00:00"/>
    <d v="2023-01-04T00:00:00"/>
    <x v="0"/>
    <s v="Nil"/>
    <m/>
    <s v="BF"/>
    <s v="NB"/>
    <x v="1"/>
    <x v="0"/>
    <n v="3.1E-2"/>
    <d v="2023-12-31T00:00:00"/>
    <x v="1"/>
    <m/>
    <x v="1"/>
    <s v="M"/>
    <s v=""/>
    <m/>
    <m/>
    <n v="15"/>
    <m/>
    <n v="2"/>
    <n v="3"/>
    <n v="0"/>
    <n v="11"/>
    <n v="3"/>
    <n v="0"/>
    <n v="0"/>
    <n v="0"/>
    <n v="3"/>
    <n v="0"/>
    <n v="11"/>
    <n v="3"/>
    <n v="0"/>
    <n v="0"/>
    <n v="0"/>
    <n v="0"/>
    <n v="0"/>
    <n v="0"/>
    <n v="0"/>
    <n v="0"/>
    <n v="0"/>
    <n v="0"/>
    <n v="0"/>
    <n v="0"/>
    <n v="0"/>
    <n v="0"/>
    <n v="0"/>
    <n v="0"/>
    <n v="0"/>
    <x v="1"/>
    <x v="1"/>
    <x v="1"/>
    <n v="2"/>
    <m/>
    <m/>
    <n v="17"/>
    <m/>
    <m/>
    <m/>
    <m/>
    <m/>
    <m/>
    <m/>
    <m/>
    <m/>
    <m/>
    <m/>
    <m/>
    <m/>
    <m/>
    <m/>
    <m/>
    <m/>
    <n v="17"/>
    <n v="17"/>
  </r>
  <r>
    <n v="7212"/>
    <x v="1"/>
    <s v="2020/5042"/>
    <s v="19 Roedean Crescent"/>
    <s v=""/>
    <n v="521190"/>
    <n v="174507"/>
    <x v="4"/>
    <d v="2022-06-06T00:00:00"/>
    <m/>
    <n v="1"/>
    <x v="3"/>
    <x v="6"/>
    <n v="1"/>
    <n v="0"/>
    <x v="1"/>
    <s v="Demolition of existing building and single storey outbuilding in rear garden and erection of a two-storey (plus basement and roof levels) 6-bedroom detached house with rear first floor terrace."/>
    <s v="PF"/>
    <d v="2020-12-24T00:00:00"/>
    <d v="2021-02-18T00:00:00"/>
    <x v="0"/>
    <s v="Nil"/>
    <m/>
    <s v="BF"/>
    <s v="NB"/>
    <x v="2"/>
    <x v="3"/>
    <n v="0.126"/>
    <d v="2022-06-06T00:00:00"/>
    <x v="0"/>
    <m/>
    <x v="1"/>
    <s v="M"/>
    <s v=""/>
    <m/>
    <m/>
    <m/>
    <m/>
    <m/>
    <n v="0"/>
    <n v="0"/>
    <n v="0"/>
    <n v="0"/>
    <n v="0"/>
    <n v="0"/>
    <n v="0"/>
    <n v="0"/>
    <n v="0"/>
    <n v="0"/>
    <n v="0"/>
    <n v="0"/>
    <n v="0"/>
    <n v="0"/>
    <n v="0"/>
    <n v="0"/>
    <n v="0"/>
    <n v="0"/>
    <n v="0"/>
    <n v="0"/>
    <n v="0"/>
    <n v="0"/>
    <n v="0"/>
    <n v="0"/>
    <n v="0"/>
    <n v="0"/>
    <n v="0"/>
    <n v="0"/>
    <x v="1"/>
    <x v="0"/>
    <x v="2"/>
    <n v="3"/>
    <m/>
    <n v="0"/>
    <m/>
    <m/>
    <m/>
    <m/>
    <m/>
    <m/>
    <m/>
    <m/>
    <m/>
    <m/>
    <m/>
    <m/>
    <m/>
    <m/>
    <m/>
    <m/>
    <m/>
    <m/>
    <n v="0"/>
    <n v="0"/>
  </r>
  <r>
    <n v="2039"/>
    <x v="1"/>
    <s v="2020/5062"/>
    <s v="The Boat &amp; Dragon PH, 180 Lower Richmond Road (1-6 Sadlers Gate Mews, Commondale SW15 1HD 1-3 Sadlers House)"/>
    <s v=""/>
    <n v="523242"/>
    <n v="175897"/>
    <x v="3"/>
    <d v="2023-12-01T00:00:00"/>
    <m/>
    <n v="0"/>
    <x v="5"/>
    <x v="7"/>
    <n v="2"/>
    <n v="2"/>
    <x v="1"/>
    <s v="Alterations including formation of a front lightwell and additional fenestration to front and side elevations in connection with change of use of ground and lower ground floors from Class E (commercial business and service) to 2 x 2 -bedroom flats (Class C3). [Note: This is a reconsultation as some originally sent letters may not have been received]."/>
    <s v="PF"/>
    <d v="2020-12-24T00:00:00"/>
    <d v="2021-03-15T00:00:00"/>
    <x v="0"/>
    <s v="Nil"/>
    <m/>
    <s v="BF"/>
    <s v="COU"/>
    <x v="2"/>
    <x v="4"/>
    <n v="2.1700000000000001E-2"/>
    <d v="2023-12-01T00:00:00"/>
    <x v="1"/>
    <m/>
    <x v="1"/>
    <s v="M"/>
    <s v=""/>
    <m/>
    <m/>
    <m/>
    <m/>
    <m/>
    <n v="0"/>
    <n v="0"/>
    <n v="2"/>
    <n v="0"/>
    <n v="0"/>
    <n v="0"/>
    <n v="0"/>
    <n v="0"/>
    <n v="0"/>
    <n v="2"/>
    <n v="0"/>
    <n v="0"/>
    <n v="0"/>
    <n v="0"/>
    <n v="0"/>
    <n v="0"/>
    <n v="0"/>
    <n v="0"/>
    <n v="0"/>
    <n v="0"/>
    <n v="0"/>
    <n v="0"/>
    <n v="0"/>
    <n v="0"/>
    <n v="0"/>
    <n v="0"/>
    <n v="0"/>
    <n v="0"/>
    <x v="1"/>
    <x v="0"/>
    <x v="2"/>
    <n v="14"/>
    <m/>
    <n v="1"/>
    <n v="1"/>
    <m/>
    <m/>
    <m/>
    <m/>
    <m/>
    <m/>
    <m/>
    <m/>
    <m/>
    <m/>
    <m/>
    <m/>
    <m/>
    <m/>
    <m/>
    <m/>
    <m/>
    <n v="2"/>
    <n v="2"/>
  </r>
  <r>
    <n v="2411"/>
    <x v="1"/>
    <s v="2021/0138"/>
    <s v="South Lambeth Goods Depot, Cringle St./Battersea Park Rd., Kirtling Street (Battersea Power Station)"/>
    <s v="Phase 3 (rest of RS-4 + O1)"/>
    <n v="528934"/>
    <n v="177496"/>
    <x v="1"/>
    <d v="2016-05-16T00:00:00"/>
    <m/>
    <n v="0"/>
    <x v="60"/>
    <x v="69"/>
    <n v="2027"/>
    <n v="2027"/>
    <x v="0"/>
    <s v="Application under Section 96a of the Town and Country Planning Act 1990 (as amended) for non-material amendments to planning permission 2014/2837 dated 05/12/2015 (&quot;Application for Amendments to the planning permission dated the 29/04/14 (ref: 2013/6639) for the restoration, extension, alterations and conversion of the Power Station building to provide retail, residential flats, business, cultural, hotel and conference facilities, event space and incidental accommodation; the demolition of other buildings and development of the land surrounding the Power Station and adjacent/nearby sites to provide retail, restaurants bars and cafes, offices, hotel, residential, community and cultural space, assembly and leisure space, student housing, serviced apartments, an energy centre and basement plant; parking for cars, coaches, motorcycles and bicycles; new access and internal road system and servicing; 'off-site' highway works; works to the jetty and riverwall to facilitate river transport and fuel delivery; provision of open space and landscaping.&quot;) The submitted details relate to the residential layouts of building O1 within phase 3A of the Battersea Power Station development."/>
    <s v="S96A"/>
    <d v="2021-01-14T00:00:00"/>
    <d v="2021-03-09T00:00:00"/>
    <x v="0"/>
    <s v="Nil"/>
    <m/>
    <s v="BF"/>
    <s v="NB"/>
    <x v="1"/>
    <x v="0"/>
    <n v="1.4490000000000001"/>
    <d v="2016-05-16T00:00:00"/>
    <x v="0"/>
    <m/>
    <x v="1"/>
    <s v="M"/>
    <s v="2.1.1"/>
    <m/>
    <n v="836"/>
    <m/>
    <n v="84"/>
    <m/>
    <n v="148"/>
    <n v="149"/>
    <n v="406"/>
    <n v="87"/>
    <n v="11"/>
    <n v="35"/>
    <n v="0"/>
    <n v="148"/>
    <n v="149"/>
    <n v="406"/>
    <n v="87"/>
    <n v="11"/>
    <n v="35"/>
    <n v="0"/>
    <n v="0"/>
    <n v="0"/>
    <n v="0"/>
    <n v="0"/>
    <n v="0"/>
    <n v="0"/>
    <n v="0"/>
    <n v="0"/>
    <n v="0"/>
    <n v="0"/>
    <n v="0"/>
    <n v="0"/>
    <n v="0"/>
    <n v="0"/>
    <x v="1"/>
    <x v="1"/>
    <x v="1"/>
    <n v="6"/>
    <m/>
    <m/>
    <n v="209"/>
    <n v="209"/>
    <n v="209"/>
    <n v="209"/>
    <m/>
    <m/>
    <m/>
    <m/>
    <m/>
    <m/>
    <m/>
    <m/>
    <m/>
    <m/>
    <m/>
    <m/>
    <m/>
    <m/>
    <n v="836"/>
    <n v="836"/>
  </r>
  <r>
    <n v="7100"/>
    <x v="1"/>
    <s v="2021/0208"/>
    <s v="190-194 St Anns Hill"/>
    <s v=""/>
    <n v="525939"/>
    <n v="174515"/>
    <x v="14"/>
    <d v="2020-12-10T00:00:00"/>
    <m/>
    <n v="0"/>
    <x v="30"/>
    <x v="34"/>
    <n v="22"/>
    <n v="22"/>
    <x v="0"/>
    <s v="Erection of a four storey building at 190 - 192 (including the retention of the existing front facade and the rebuilding of the rear facade / boundary wall); the erection of a three-storey rear extension rear plus mansard to No 194; the erection of dormer roof to the front of No. 192; the provision of font and rear terraces at first and second floor levels. Works in association with the provision of 13 x 1-bedroom, 7 x 2-bedroom, 2 x 3-bedroom flats, with associated refuse and bicycle store"/>
    <s v="PFLA"/>
    <d v="2021-01-18T00:00:00"/>
    <d v="2021-10-26T00:00:00"/>
    <x v="0"/>
    <s v="Nil"/>
    <m/>
    <s v="BF"/>
    <s v="MIX"/>
    <x v="1"/>
    <x v="0"/>
    <n v="5.8999999999999997E-2"/>
    <d v="2020-12-10T00:00:00"/>
    <x v="0"/>
    <m/>
    <x v="1"/>
    <s v="M"/>
    <s v=""/>
    <m/>
    <m/>
    <m/>
    <m/>
    <m/>
    <n v="0"/>
    <n v="12"/>
    <n v="6"/>
    <n v="2"/>
    <n v="0"/>
    <n v="0"/>
    <n v="0"/>
    <n v="0"/>
    <n v="12"/>
    <n v="6"/>
    <n v="2"/>
    <n v="0"/>
    <n v="0"/>
    <n v="0"/>
    <n v="0"/>
    <n v="0"/>
    <n v="0"/>
    <n v="0"/>
    <n v="0"/>
    <n v="0"/>
    <n v="0"/>
    <n v="0"/>
    <n v="0"/>
    <n v="0"/>
    <n v="0"/>
    <n v="0"/>
    <n v="0"/>
    <n v="0"/>
    <x v="1"/>
    <x v="0"/>
    <x v="7"/>
    <n v="13"/>
    <m/>
    <n v="20"/>
    <m/>
    <m/>
    <m/>
    <m/>
    <m/>
    <m/>
    <m/>
    <m/>
    <m/>
    <m/>
    <m/>
    <m/>
    <m/>
    <m/>
    <m/>
    <m/>
    <m/>
    <m/>
    <n v="20"/>
    <n v="20"/>
  </r>
  <r>
    <n v="7100"/>
    <x v="1"/>
    <s v="2021/0208"/>
    <s v="190-194 St Anns Hill"/>
    <s v=""/>
    <n v="525939"/>
    <n v="174515"/>
    <x v="14"/>
    <d v="2020-12-10T00:00:00"/>
    <m/>
    <n v="0"/>
    <x v="5"/>
    <x v="7"/>
    <n v="22"/>
    <n v="22"/>
    <x v="0"/>
    <s v="Erection of a four storey building at 190 - 192 (including the retention of the existing front facade and the rebuilding of the rear facade / boundary wall); the erection of a three-storey rear extension rear plus mansard to No 194; the erection of dormer roof to the front of No. 192; the provision of font and rear terraces at first and second floor levels. Works in association with the provision of 13 x 1-bedroom, 7 x 2-bedroom, 2 x 3-bedroom flats, with associated refuse and bicycle store"/>
    <s v="PFLA"/>
    <d v="2021-01-18T00:00:00"/>
    <d v="2021-10-26T00:00:00"/>
    <x v="0"/>
    <s v="Nil"/>
    <m/>
    <s v="BF"/>
    <s v="MIX"/>
    <x v="1"/>
    <x v="0"/>
    <n v="5.8999999999999999E-3"/>
    <d v="2020-12-10T00:00:00"/>
    <x v="0"/>
    <m/>
    <x v="0"/>
    <s v="ISL"/>
    <s v=""/>
    <m/>
    <m/>
    <m/>
    <m/>
    <m/>
    <n v="0"/>
    <n v="1"/>
    <n v="1"/>
    <n v="0"/>
    <n v="0"/>
    <n v="0"/>
    <n v="0"/>
    <n v="0"/>
    <n v="1"/>
    <n v="1"/>
    <n v="0"/>
    <n v="0"/>
    <n v="0"/>
    <n v="0"/>
    <n v="0"/>
    <n v="0"/>
    <n v="0"/>
    <n v="0"/>
    <n v="0"/>
    <n v="0"/>
    <n v="0"/>
    <n v="0"/>
    <n v="0"/>
    <n v="0"/>
    <n v="0"/>
    <n v="0"/>
    <n v="0"/>
    <n v="0"/>
    <x v="1"/>
    <x v="0"/>
    <x v="7"/>
    <n v="13"/>
    <m/>
    <n v="2"/>
    <m/>
    <m/>
    <m/>
    <m/>
    <m/>
    <m/>
    <m/>
    <m/>
    <m/>
    <m/>
    <m/>
    <m/>
    <m/>
    <m/>
    <m/>
    <m/>
    <m/>
    <m/>
    <n v="2"/>
    <n v="2"/>
  </r>
  <r>
    <n v="2502"/>
    <x v="1"/>
    <s v="2021/0447"/>
    <s v="Springfield Hospital site, 61 Glenburnie Road"/>
    <s v="Phase 6B [Boiler House]"/>
    <n v="527221"/>
    <n v="172443"/>
    <x v="17"/>
    <d v="2022-04-01T00:00:00"/>
    <m/>
    <n v="0"/>
    <x v="12"/>
    <x v="15"/>
    <n v="109"/>
    <n v="109"/>
    <x v="0"/>
    <s v="Reserved matters relating to landscaping, scale and appearance in respect of the part demolition, conversion, restoration and repair of part of the Main Building (Grade II listed) to provide 109 residential units with landscaping and associated works (forming Phase 6B of the Springfield Masterplan development), pursuant to condition 1 of outline planning permission ref. 2010/3703 dated 20/06/2012 (for the erection of 25,000 sq.m. of replacement mental health facilities (Class C2/C2a); 839 residential dwellings; 9,200 sq.m. elderly persons' care home; 240 sq.m. of retail floorspace (Class A1); a school (Class D1); 3,500 sq.m. of mixed non-residential floorspace (Class A1, A2, A3, A4, B1, D1 or D2); landscaped public park; a combined cooling, heat and power energy centre, associated landscaping, parking, roads, access, infrastructure and other associated works), as varied under application ref. 2014/6585, dated 04/06/15, application ref. 2016/4760 dated 24/04/2018 and application ref. 2019/2495 dated 28/02/2020, and including statement of design code compliance, landscaping and foul water drainage pursuant to conditions 7, 10 and 30."/>
    <s v="DT"/>
    <d v="2021-02-01T00:00:00"/>
    <d v="2021-05-25T00:00:00"/>
    <x v="0"/>
    <s v="Nil"/>
    <m/>
    <s v="BF"/>
    <s v="CON"/>
    <x v="0"/>
    <x v="0"/>
    <n v="3.696E-2"/>
    <d v="2022-04-01T00:00:00"/>
    <x v="0"/>
    <m/>
    <x v="1"/>
    <s v="M"/>
    <s v="9.1"/>
    <m/>
    <m/>
    <m/>
    <m/>
    <m/>
    <n v="0"/>
    <n v="0"/>
    <n v="4"/>
    <n v="0"/>
    <n v="0"/>
    <n v="0"/>
    <n v="0"/>
    <n v="0"/>
    <n v="0"/>
    <n v="4"/>
    <n v="0"/>
    <n v="0"/>
    <n v="0"/>
    <n v="0"/>
    <n v="0"/>
    <n v="0"/>
    <n v="0"/>
    <n v="0"/>
    <n v="0"/>
    <n v="0"/>
    <n v="0"/>
    <n v="0"/>
    <n v="0"/>
    <n v="0"/>
    <n v="0"/>
    <n v="0"/>
    <n v="0"/>
    <n v="0"/>
    <x v="1"/>
    <x v="0"/>
    <x v="2"/>
    <n v="5"/>
    <m/>
    <n v="4"/>
    <m/>
    <m/>
    <m/>
    <m/>
    <m/>
    <m/>
    <m/>
    <m/>
    <m/>
    <m/>
    <m/>
    <m/>
    <m/>
    <m/>
    <m/>
    <m/>
    <m/>
    <m/>
    <n v="4"/>
    <n v="4"/>
  </r>
  <r>
    <n v="2502"/>
    <x v="1"/>
    <s v="2021/0447"/>
    <s v="Springfield Hospital site, 61 Glenburnie Road"/>
    <s v="Phase 6B [Dormitory Wing]"/>
    <n v="527221"/>
    <n v="172443"/>
    <x v="17"/>
    <d v="2022-04-01T00:00:00"/>
    <m/>
    <n v="0"/>
    <x v="31"/>
    <x v="35"/>
    <n v="109"/>
    <n v="109"/>
    <x v="0"/>
    <s v="Reserved matters relating to landscaping, scale and appearance in respect of the part demolition, conversion, restoration and repair of part of the Main Building (Grade II listed) to provide 109 residential units with landscaping and associated works (forming Phase 6B of the Springfield Masterplan development), pursuant to condition 1 of outline planning permission ref. 2010/3703 dated 20/06/2012 (for the erection of 25,000 sq.m. of replacement mental health facilities (Class C2/C2a); 839 residential dwellings; 9,200 sq.m. elderly persons' care home; 240 sq.m. of retail floorspace (Class A1); a school (Class D1); 3,500 sq.m. of mixed non-residential floorspace (Class A1, A2, A3, A4, B1, D1 or D2); landscaped public park; a combined cooling, heat and power energy centre, associated landscaping, parking, roads, access, infrastructure and other associated works), as varied under application ref. 2014/6585, dated 04/06/15, application ref. 2016/4760 dated 24/04/2018 and application ref. 2019/2495 dated 28/02/2020, and including statement of design code compliance, landscaping and foul water drainage pursuant to conditions 7, 10 and 30."/>
    <s v="DT"/>
    <d v="2021-02-01T00:00:00"/>
    <d v="2021-05-25T00:00:00"/>
    <x v="0"/>
    <s v="Nil"/>
    <m/>
    <s v="BF"/>
    <s v="CON"/>
    <x v="0"/>
    <x v="0"/>
    <n v="0.10163999999999999"/>
    <d v="2022-04-01T00:00:00"/>
    <x v="0"/>
    <m/>
    <x v="1"/>
    <s v="M"/>
    <s v="9.1"/>
    <m/>
    <m/>
    <m/>
    <m/>
    <m/>
    <n v="1"/>
    <n v="1"/>
    <n v="6"/>
    <n v="3"/>
    <n v="0"/>
    <n v="0"/>
    <n v="0"/>
    <n v="1"/>
    <n v="1"/>
    <n v="6"/>
    <n v="3"/>
    <n v="0"/>
    <n v="0"/>
    <n v="0"/>
    <n v="0"/>
    <n v="0"/>
    <n v="0"/>
    <n v="0"/>
    <n v="0"/>
    <n v="0"/>
    <n v="0"/>
    <n v="0"/>
    <n v="0"/>
    <n v="0"/>
    <n v="0"/>
    <n v="0"/>
    <n v="0"/>
    <n v="0"/>
    <x v="1"/>
    <x v="0"/>
    <x v="2"/>
    <n v="5"/>
    <m/>
    <n v="11"/>
    <m/>
    <m/>
    <m/>
    <m/>
    <m/>
    <m/>
    <m/>
    <m/>
    <m/>
    <m/>
    <m/>
    <m/>
    <m/>
    <m/>
    <m/>
    <m/>
    <m/>
    <m/>
    <n v="11"/>
    <n v="11"/>
  </r>
  <r>
    <n v="2502"/>
    <x v="1"/>
    <s v="2021/0447"/>
    <s v="Springfield Hospital site, 61 Glenburnie Road"/>
    <s v="Phase 6B [Engineering Block]"/>
    <n v="527221"/>
    <n v="172443"/>
    <x v="17"/>
    <d v="2022-04-01T00:00:00"/>
    <m/>
    <n v="0"/>
    <x v="31"/>
    <x v="35"/>
    <n v="109"/>
    <n v="109"/>
    <x v="0"/>
    <s v="Reserved matters relating to landscaping, scale and appearance in respect of the part demolition, conversion, restoration and repair of part of the Main Building (Grade II listed) to provide 109 residential units with landscaping and associated works (forming Phase 6B of the Springfield Masterplan development), pursuant to condition 1 of outline planning permission ref. 2010/3703 dated 20/06/2012 (for the erection of 25,000 sq.m. of replacement mental health facilities (Class C2/C2a); 839 residential dwellings; 9,200 sq.m. elderly persons' care home; 240 sq.m. of retail floorspace (Class A1); a school (Class D1); 3,500 sq.m. of mixed non-residential floorspace (Class A1, A2, A3, A4, B1, D1 or D2); landscaped public park; a combined cooling, heat and power energy centre, associated landscaping, parking, roads, access, infrastructure and other associated works), as varied under application ref. 2014/6585, dated 04/06/15, application ref. 2016/4760 dated 24/04/2018 and application ref. 2019/2495 dated 28/02/2020, and including statement of design code compliance, landscaping and foul water drainage pursuant to conditions 7, 10 and 30."/>
    <s v="DT"/>
    <d v="2021-02-01T00:00:00"/>
    <d v="2021-05-25T00:00:00"/>
    <x v="0"/>
    <s v="Nil"/>
    <m/>
    <s v="BF"/>
    <s v="CON"/>
    <x v="0"/>
    <x v="0"/>
    <n v="0.10163999999999999"/>
    <d v="2022-04-01T00:00:00"/>
    <x v="0"/>
    <m/>
    <x v="1"/>
    <s v="M"/>
    <s v="9.1"/>
    <m/>
    <m/>
    <m/>
    <m/>
    <m/>
    <n v="0"/>
    <n v="8"/>
    <n v="3"/>
    <n v="0"/>
    <n v="0"/>
    <n v="0"/>
    <n v="0"/>
    <n v="0"/>
    <n v="8"/>
    <n v="3"/>
    <n v="0"/>
    <n v="0"/>
    <n v="0"/>
    <n v="0"/>
    <n v="0"/>
    <n v="0"/>
    <n v="0"/>
    <n v="0"/>
    <n v="0"/>
    <n v="0"/>
    <n v="0"/>
    <n v="0"/>
    <n v="0"/>
    <n v="0"/>
    <n v="0"/>
    <n v="0"/>
    <n v="0"/>
    <n v="0"/>
    <x v="1"/>
    <x v="0"/>
    <x v="2"/>
    <n v="5"/>
    <m/>
    <n v="11"/>
    <m/>
    <m/>
    <m/>
    <m/>
    <m/>
    <m/>
    <m/>
    <m/>
    <m/>
    <m/>
    <m/>
    <m/>
    <m/>
    <m/>
    <m/>
    <m/>
    <m/>
    <m/>
    <n v="11"/>
    <n v="11"/>
  </r>
  <r>
    <n v="2502"/>
    <x v="1"/>
    <s v="2021/0447"/>
    <s v="Springfield Hospital site, 61 Glenburnie Road"/>
    <s v="Phase 6B [Kitchen Block]"/>
    <n v="527221"/>
    <n v="172443"/>
    <x v="17"/>
    <d v="2022-04-01T00:00:00"/>
    <m/>
    <n v="0"/>
    <x v="30"/>
    <x v="34"/>
    <n v="109"/>
    <n v="109"/>
    <x v="0"/>
    <s v="Reserved matters relating to landscaping, scale and appearance in respect of the part demolition, conversion, restoration and repair of part of the Main Building (Grade II listed) to provide 109 residential units with landscaping and associated works (forming Phase 6B of the Springfield Masterplan development), pursuant to condition 1 of outline planning permission ref. 2010/3703 dated 20/06/2012 (for the erection of 25,000 sq.m. of replacement mental health facilities (Class C2/C2a); 839 residential dwellings; 9,200 sq.m. elderly persons' care home; 240 sq.m. of retail floorspace (Class A1); a school (Class D1); 3,500 sq.m. of mixed non-residential floorspace (Class A1, A2, A3, A4, B1, D1 or D2); landscaped public park; a combined cooling, heat and power energy centre, associated landscaping, parking, roads, access, infrastructure and other associated works), as varied under application ref. 2014/6585, dated 04/06/15, application ref. 2016/4760 dated 24/04/2018 and application ref. 2019/2495 dated 28/02/2020, and including statement of design code compliance, landscaping and foul water drainage pursuant to conditions 7, 10 and 30."/>
    <s v="DT"/>
    <d v="2021-02-01T00:00:00"/>
    <d v="2021-05-25T00:00:00"/>
    <x v="0"/>
    <s v="Nil"/>
    <m/>
    <s v="BF"/>
    <s v="CON"/>
    <x v="0"/>
    <x v="0"/>
    <n v="0.18479999999999999"/>
    <d v="2022-04-01T00:00:00"/>
    <x v="0"/>
    <m/>
    <x v="1"/>
    <s v="M"/>
    <s v="9.1"/>
    <m/>
    <m/>
    <m/>
    <m/>
    <m/>
    <n v="0"/>
    <n v="10"/>
    <n v="10"/>
    <n v="0"/>
    <n v="0"/>
    <n v="0"/>
    <n v="0"/>
    <n v="0"/>
    <n v="10"/>
    <n v="10"/>
    <n v="0"/>
    <n v="0"/>
    <n v="0"/>
    <n v="0"/>
    <n v="0"/>
    <n v="0"/>
    <n v="0"/>
    <n v="0"/>
    <n v="0"/>
    <n v="0"/>
    <n v="0"/>
    <n v="0"/>
    <n v="0"/>
    <n v="0"/>
    <n v="0"/>
    <n v="0"/>
    <n v="0"/>
    <n v="0"/>
    <x v="1"/>
    <x v="0"/>
    <x v="2"/>
    <n v="5"/>
    <m/>
    <n v="20"/>
    <m/>
    <m/>
    <m/>
    <m/>
    <m/>
    <m/>
    <m/>
    <m/>
    <m/>
    <m/>
    <m/>
    <m/>
    <m/>
    <m/>
    <m/>
    <m/>
    <m/>
    <m/>
    <n v="20"/>
    <n v="20"/>
  </r>
  <r>
    <n v="2502"/>
    <x v="1"/>
    <s v="2021/0447"/>
    <s v="Springfield Hospital site, 61 Glenburnie Road"/>
    <s v="Phase 6B [Matrons House]"/>
    <n v="527221"/>
    <n v="172443"/>
    <x v="17"/>
    <d v="2022-04-01T00:00:00"/>
    <m/>
    <n v="0"/>
    <x v="5"/>
    <x v="7"/>
    <n v="109"/>
    <n v="109"/>
    <x v="0"/>
    <s v="Reserved matters relating to landscaping, scale and appearance in respect of the part demolition, conversion, restoration and repair of part of the Main Building (Grade II listed) to provide 109 residential units with landscaping and associated works (forming Phase 6B of the Springfield Masterplan development), pursuant to condition 1 of outline planning permission ref. 2010/3703 dated 20/06/2012 (for the erection of 25,000 sq.m. of replacement mental health facilities (Class C2/C2a); 839 residential dwellings; 9,200 sq.m. elderly persons' care home; 240 sq.m. of retail floorspace (Class A1); a school (Class D1); 3,500 sq.m. of mixed non-residential floorspace (Class A1, A2, A3, A4, B1, D1 or D2); landscaped public park; a combined cooling, heat and power energy centre, associated landscaping, parking, roads, access, infrastructure and other associated works), as varied under application ref. 2014/6585, dated 04/06/15, application ref. 2016/4760 dated 24/04/2018 and application ref. 2019/2495 dated 28/02/2020, and including statement of design code compliance, landscaping and foul water drainage pursuant to conditions 7, 10 and 30."/>
    <s v="DT"/>
    <d v="2021-02-01T00:00:00"/>
    <d v="2021-05-25T00:00:00"/>
    <x v="0"/>
    <s v="Nil"/>
    <m/>
    <s v="BF"/>
    <s v="CON"/>
    <x v="0"/>
    <x v="0"/>
    <n v="1.848E-2"/>
    <d v="2022-04-01T00:00:00"/>
    <x v="0"/>
    <m/>
    <x v="1"/>
    <s v="M"/>
    <s v="9.1"/>
    <m/>
    <m/>
    <m/>
    <m/>
    <m/>
    <n v="0"/>
    <n v="1"/>
    <n v="0"/>
    <n v="1"/>
    <n v="0"/>
    <n v="0"/>
    <n v="0"/>
    <n v="0"/>
    <n v="1"/>
    <n v="0"/>
    <n v="1"/>
    <n v="0"/>
    <n v="0"/>
    <n v="0"/>
    <n v="0"/>
    <n v="0"/>
    <n v="0"/>
    <n v="0"/>
    <n v="0"/>
    <n v="0"/>
    <n v="0"/>
    <n v="0"/>
    <n v="0"/>
    <n v="0"/>
    <n v="0"/>
    <n v="0"/>
    <n v="0"/>
    <n v="0"/>
    <x v="1"/>
    <x v="0"/>
    <x v="2"/>
    <n v="5"/>
    <m/>
    <n v="2"/>
    <m/>
    <m/>
    <m/>
    <m/>
    <m/>
    <m/>
    <m/>
    <m/>
    <m/>
    <m/>
    <m/>
    <m/>
    <m/>
    <m/>
    <m/>
    <m/>
    <m/>
    <m/>
    <n v="2"/>
    <n v="2"/>
  </r>
  <r>
    <n v="2502"/>
    <x v="1"/>
    <s v="2021/0447"/>
    <s v="Springfield Hospital site, 61 Glenburnie Road"/>
    <s v="Phase 6B [Nurses Club Room]"/>
    <n v="527221"/>
    <n v="172443"/>
    <x v="17"/>
    <d v="2022-04-01T00:00:00"/>
    <m/>
    <n v="0"/>
    <x v="3"/>
    <x v="5"/>
    <n v="109"/>
    <n v="109"/>
    <x v="0"/>
    <s v="Reserved matters relating to landscaping, scale and appearance in respect of the part demolition, conversion, restoration and repair of part of the Main Building (Grade II listed) to provide 109 residential units with landscaping and associated works (forming Phase 6B of the Springfield Masterplan development), pursuant to condition 1 of outline planning permission ref. 2010/3703 dated 20/06/2012 (for the erection of 25,000 sq.m. of replacement mental health facilities (Class C2/C2a); 839 residential dwellings; 9,200 sq.m. elderly persons' care home; 240 sq.m. of retail floorspace (Class A1); a school (Class D1); 3,500 sq.m. of mixed non-residential floorspace (Class A1, A2, A3, A4, B1, D1 or D2); landscaped public park; a combined cooling, heat and power energy centre, associated landscaping, parking, roads, access, infrastructure and other associated works), as varied under application ref. 2014/6585, dated 04/06/15, application ref. 2016/4760 dated 24/04/2018 and application ref. 2019/2495 dated 28/02/2020, and including statement of design code compliance, landscaping and foul water drainage pursuant to conditions 7, 10 and 30."/>
    <s v="DT"/>
    <d v="2021-02-01T00:00:00"/>
    <d v="2021-05-25T00:00:00"/>
    <x v="0"/>
    <s v="Nil"/>
    <m/>
    <s v="BF"/>
    <s v="CON"/>
    <x v="0"/>
    <x v="0"/>
    <n v="9.2399999999999999E-3"/>
    <d v="2022-04-01T00:00:00"/>
    <x v="0"/>
    <m/>
    <x v="1"/>
    <s v="M"/>
    <s v="9.1"/>
    <m/>
    <m/>
    <m/>
    <m/>
    <m/>
    <n v="0"/>
    <n v="0"/>
    <n v="1"/>
    <n v="0"/>
    <n v="0"/>
    <n v="0"/>
    <n v="0"/>
    <n v="0"/>
    <n v="0"/>
    <n v="1"/>
    <n v="0"/>
    <n v="0"/>
    <n v="0"/>
    <n v="0"/>
    <n v="0"/>
    <n v="0"/>
    <n v="0"/>
    <n v="0"/>
    <n v="0"/>
    <n v="0"/>
    <n v="0"/>
    <n v="0"/>
    <n v="0"/>
    <n v="0"/>
    <n v="0"/>
    <n v="0"/>
    <n v="0"/>
    <n v="0"/>
    <x v="1"/>
    <x v="0"/>
    <x v="2"/>
    <n v="5"/>
    <m/>
    <n v="1"/>
    <m/>
    <m/>
    <m/>
    <m/>
    <m/>
    <m/>
    <m/>
    <m/>
    <m/>
    <m/>
    <m/>
    <m/>
    <m/>
    <m/>
    <m/>
    <m/>
    <m/>
    <m/>
    <n v="1"/>
    <n v="1"/>
  </r>
  <r>
    <n v="2502"/>
    <x v="1"/>
    <s v="2021/0447"/>
    <s v="Springfield Hospital site, 61 Glenburnie Road"/>
    <s v="Phase 6B [Orchid Wing]"/>
    <n v="527221"/>
    <n v="172443"/>
    <x v="17"/>
    <d v="2022-04-01T00:00:00"/>
    <m/>
    <n v="0"/>
    <x v="61"/>
    <x v="70"/>
    <n v="109"/>
    <n v="109"/>
    <x v="0"/>
    <s v="Reserved matters relating to landscaping, scale and appearance in respect of the part demolition, conversion, restoration and repair of part of the Main Building (Grade II listed) to provide 109 residential units with landscaping and associated works (forming Phase 6B of the Springfield Masterplan development), pursuant to condition 1 of outline planning permission ref. 2010/3703 dated 20/06/2012 (for the erection of 25,000 sq.m. of replacement mental health facilities (Class C2/C2a); 839 residential dwellings; 9,200 sq.m. elderly persons' care home; 240 sq.m. of retail floorspace (Class A1); a school (Class D1); 3,500 sq.m. of mixed non-residential floorspace (Class A1, A2, A3, A4, B1, D1 or D2); landscaped public park; a combined cooling, heat and power energy centre, associated landscaping, parking, roads, access, infrastructure and other associated works), as varied under application ref. 2014/6585, dated 04/06/15, application ref. 2016/4760 dated 24/04/2018 and application ref. 2019/2495 dated 28/02/2020, and including statement of design code compliance, landscaping and foul water drainage pursuant to conditions 7, 10 and 30."/>
    <s v="DT"/>
    <d v="2021-02-01T00:00:00"/>
    <d v="2021-05-25T00:00:00"/>
    <x v="0"/>
    <s v="Nil"/>
    <m/>
    <s v="BF"/>
    <s v="CON"/>
    <x v="0"/>
    <x v="0"/>
    <n v="0.5544"/>
    <d v="2022-04-01T00:00:00"/>
    <x v="0"/>
    <m/>
    <x v="1"/>
    <s v="M"/>
    <s v="9.1"/>
    <m/>
    <m/>
    <m/>
    <m/>
    <m/>
    <n v="0"/>
    <n v="29"/>
    <n v="27"/>
    <n v="4"/>
    <n v="0"/>
    <n v="0"/>
    <n v="0"/>
    <n v="0"/>
    <n v="29"/>
    <n v="27"/>
    <n v="4"/>
    <n v="0"/>
    <n v="0"/>
    <n v="0"/>
    <n v="0"/>
    <n v="0"/>
    <n v="0"/>
    <n v="0"/>
    <n v="0"/>
    <n v="0"/>
    <n v="0"/>
    <n v="0"/>
    <n v="0"/>
    <n v="0"/>
    <n v="0"/>
    <n v="0"/>
    <n v="0"/>
    <n v="0"/>
    <x v="1"/>
    <x v="0"/>
    <x v="2"/>
    <n v="5"/>
    <m/>
    <m/>
    <n v="60"/>
    <m/>
    <m/>
    <m/>
    <m/>
    <m/>
    <m/>
    <m/>
    <m/>
    <m/>
    <m/>
    <m/>
    <m/>
    <m/>
    <m/>
    <m/>
    <m/>
    <m/>
    <n v="60"/>
    <n v="60"/>
  </r>
  <r>
    <n v="6628"/>
    <x v="1"/>
    <s v="2023/0835"/>
    <s v="66 Alton Road"/>
    <s v="Flats (Conv)"/>
    <n v="522237"/>
    <n v="173213"/>
    <x v="4"/>
    <d v="2024-03-31T00:00:00"/>
    <m/>
    <n v="3"/>
    <x v="0"/>
    <x v="36"/>
    <n v="8"/>
    <n v="5"/>
    <x v="1"/>
    <s v="Variation of condition 2 (in accordance with approved drawings) pursuant to planning permission dated 23/11/2022 ref 2022/2881 (Refurbishment and reconfiguration of existing building with extensions to the sides and rear (with associated lightwells) to provide 6 no. flats (2 x 1 bed, 1 x 2 bed, 3 x 3 bed) and the provision of a 2 no. two storey cottages (2 x 2 bed) to the rear of the site with associated landscaping) to allow omission of approved rear extensions, staircase and reduction of floor area of 6 proposed apartments."/>
    <s v="S73"/>
    <d v="2023-03-02T00:00:00"/>
    <d v="2023-05-24T00:00:00"/>
    <x v="1"/>
    <s v="Nil"/>
    <m/>
    <s v="BF"/>
    <s v="MIX"/>
    <x v="2"/>
    <x v="5"/>
    <n v="1.4999999999999999E-2"/>
    <d v="2024-03-31T00:00:00"/>
    <x v="1"/>
    <m/>
    <x v="1"/>
    <s v="M"/>
    <s v=""/>
    <m/>
    <m/>
    <m/>
    <m/>
    <m/>
    <n v="0"/>
    <n v="2"/>
    <n v="2"/>
    <n v="-1"/>
    <n v="0"/>
    <n v="0"/>
    <n v="0"/>
    <n v="0"/>
    <n v="2"/>
    <n v="2"/>
    <n v="-1"/>
    <n v="0"/>
    <n v="0"/>
    <n v="0"/>
    <n v="0"/>
    <n v="0"/>
    <n v="0"/>
    <n v="0"/>
    <n v="0"/>
    <n v="0"/>
    <n v="0"/>
    <n v="0"/>
    <n v="0"/>
    <n v="0"/>
    <n v="0"/>
    <n v="0"/>
    <n v="0"/>
    <n v="0"/>
    <x v="1"/>
    <x v="0"/>
    <x v="2"/>
    <n v="12"/>
    <m/>
    <m/>
    <m/>
    <n v="3"/>
    <m/>
    <m/>
    <m/>
    <m/>
    <m/>
    <m/>
    <m/>
    <m/>
    <m/>
    <m/>
    <m/>
    <m/>
    <m/>
    <m/>
    <m/>
    <m/>
    <n v="3"/>
    <n v="3"/>
  </r>
  <r>
    <n v="6628"/>
    <x v="1"/>
    <s v="2023/0835"/>
    <s v="66 Alton Road"/>
    <s v="Cottages (NB)"/>
    <n v="522237"/>
    <n v="173213"/>
    <x v="4"/>
    <d v="2024-03-31T00:00:00"/>
    <m/>
    <n v="0"/>
    <x v="5"/>
    <x v="7"/>
    <n v="8"/>
    <n v="5"/>
    <x v="1"/>
    <s v="Variation of condition 2 (in accordance with approved drawings) pursuant to planning permission dated 23/11/2022 ref 2022/2881 (Refurbishment and reconfiguration of existing building with extensions to the sides and rear (with associated lightwells) to provide 6 no. flats (2 x 1 bed, 1 x 2 bed, 3 x 3 bed) and the provision of a 2 no. two storey cottages (2 x 2 bed) to the rear of the site with associated landscaping) to allow omission of approved rear extensions, staircase and reduction of floor area of 6 proposed apartments."/>
    <s v="S73"/>
    <d v="2023-03-02T00:00:00"/>
    <d v="2023-05-24T00:00:00"/>
    <x v="1"/>
    <s v="Nil"/>
    <m/>
    <s v="BF"/>
    <s v="MIX"/>
    <x v="2"/>
    <x v="3"/>
    <n v="0.01"/>
    <d v="2024-03-31T00:00:00"/>
    <x v="1"/>
    <m/>
    <x v="1"/>
    <s v="M"/>
    <s v=""/>
    <m/>
    <m/>
    <m/>
    <m/>
    <m/>
    <n v="0"/>
    <n v="0"/>
    <n v="2"/>
    <n v="0"/>
    <n v="0"/>
    <n v="0"/>
    <n v="0"/>
    <n v="0"/>
    <n v="0"/>
    <n v="0"/>
    <n v="0"/>
    <n v="0"/>
    <n v="0"/>
    <n v="0"/>
    <n v="0"/>
    <n v="0"/>
    <n v="2"/>
    <n v="0"/>
    <n v="0"/>
    <n v="0"/>
    <n v="0"/>
    <n v="0"/>
    <n v="0"/>
    <n v="0"/>
    <n v="0"/>
    <n v="0"/>
    <n v="0"/>
    <n v="0"/>
    <x v="1"/>
    <x v="0"/>
    <x v="2"/>
    <n v="12"/>
    <m/>
    <m/>
    <m/>
    <n v="2"/>
    <m/>
    <m/>
    <m/>
    <m/>
    <m/>
    <m/>
    <m/>
    <m/>
    <m/>
    <m/>
    <m/>
    <m/>
    <m/>
    <m/>
    <m/>
    <m/>
    <n v="2"/>
    <n v="2"/>
  </r>
  <r>
    <n v="2502"/>
    <x v="1"/>
    <s v="2022/4812"/>
    <s v="Springfield Hospital site, 61 Glenburnie Road"/>
    <s v="Plot Q - Market"/>
    <n v="527221"/>
    <n v="172443"/>
    <x v="17"/>
    <d v="2024-03-31T00:00:00"/>
    <m/>
    <n v="0"/>
    <x v="62"/>
    <x v="71"/>
    <n v="253"/>
    <n v="253"/>
    <x v="0"/>
    <s v="Reserved matters application relating to landscaping, scale and appearance of Springfield Hospital Plots P, Q, G and F pursuant to Condition 1 of Outline Permission (reference: 2010/3703 as amended by 2014/6585, 2016/4760 and 2019/2495) in respect of the demolition, clearance and redevelopment of the plots to provide 253 residential units, landscaping and associated works."/>
    <s v="DT"/>
    <d v="2022-11-22T00:00:00"/>
    <d v="2023-04-26T00:00:00"/>
    <x v="1"/>
    <s v="Nil"/>
    <m/>
    <s v="BF"/>
    <s v="NB"/>
    <x v="1"/>
    <x v="0"/>
    <n v="0.57699999999999996"/>
    <d v="2024-03-31T00:00:00"/>
    <x v="1"/>
    <m/>
    <x v="1"/>
    <s v="M"/>
    <s v="9.1"/>
    <m/>
    <m/>
    <m/>
    <m/>
    <m/>
    <n v="0"/>
    <n v="3"/>
    <n v="19"/>
    <n v="10"/>
    <n v="2"/>
    <n v="0"/>
    <n v="0"/>
    <n v="0"/>
    <n v="3"/>
    <n v="19"/>
    <n v="0"/>
    <n v="0"/>
    <n v="0"/>
    <n v="0"/>
    <n v="0"/>
    <n v="0"/>
    <n v="0"/>
    <n v="10"/>
    <n v="2"/>
    <n v="0"/>
    <n v="0"/>
    <n v="0"/>
    <n v="0"/>
    <n v="0"/>
    <n v="0"/>
    <n v="0"/>
    <n v="0"/>
    <n v="0"/>
    <x v="1"/>
    <x v="0"/>
    <x v="2"/>
    <n v="5"/>
    <m/>
    <m/>
    <m/>
    <n v="34"/>
    <m/>
    <m/>
    <m/>
    <m/>
    <m/>
    <m/>
    <m/>
    <m/>
    <m/>
    <m/>
    <m/>
    <m/>
    <m/>
    <m/>
    <m/>
    <m/>
    <n v="34"/>
    <n v="34"/>
  </r>
  <r>
    <n v="3511"/>
    <x v="1"/>
    <s v="2023/3874"/>
    <s v="New Covent Garden Market, Nine Elms Lane (Combined Main Market, Entrance site and Thessaly College site)"/>
    <s v="N5"/>
    <n v="529369"/>
    <n v="177317"/>
    <x v="1"/>
    <d v="2019-12-01T00:00:00"/>
    <m/>
    <n v="0"/>
    <x v="63"/>
    <x v="72"/>
    <n v="607"/>
    <n v="607"/>
    <x v="0"/>
    <s v="Application under S96A of the Town &amp; Country Planning Act for 'non-material' amendments (revisions to the approved drawings listed in Condition 1 following detailed design development, including alterations to the unit mix and alteration to core layouts and design and other consequential amendments) to planning permission dated 26/07/2023 ref. 2022/4809."/>
    <s v="S96A"/>
    <d v="2023-10-13T00:00:00"/>
    <d v="2023-11-20T00:00:00"/>
    <x v="1"/>
    <s v="Nil"/>
    <m/>
    <s v="BF"/>
    <s v="NB"/>
    <x v="1"/>
    <x v="0"/>
    <n v="0"/>
    <d v="2019-12-01T00:00:00"/>
    <x v="0"/>
    <m/>
    <x v="1"/>
    <s v="M"/>
    <s v="2.1.27"/>
    <m/>
    <m/>
    <m/>
    <m/>
    <n v="16"/>
    <n v="10"/>
    <n v="12"/>
    <n v="54"/>
    <n v="25"/>
    <n v="1"/>
    <n v="0"/>
    <n v="0"/>
    <n v="10"/>
    <n v="12"/>
    <n v="54"/>
    <n v="25"/>
    <n v="1"/>
    <n v="0"/>
    <n v="0"/>
    <n v="0"/>
    <n v="0"/>
    <n v="0"/>
    <n v="0"/>
    <n v="0"/>
    <n v="0"/>
    <n v="0"/>
    <n v="0"/>
    <n v="0"/>
    <n v="0"/>
    <n v="0"/>
    <n v="0"/>
    <n v="0"/>
    <n v="0"/>
    <x v="1"/>
    <x v="1"/>
    <x v="1"/>
    <n v="5"/>
    <m/>
    <m/>
    <m/>
    <m/>
    <m/>
    <n v="102"/>
    <m/>
    <m/>
    <m/>
    <m/>
    <m/>
    <m/>
    <m/>
    <m/>
    <m/>
    <m/>
    <m/>
    <m/>
    <m/>
    <m/>
    <n v="102"/>
    <n v="102"/>
  </r>
  <r>
    <n v="3511"/>
    <x v="1"/>
    <s v="2023/3874"/>
    <s v="New Covent Garden Market, Nine Elms Lane (Combined Main Market, Entrance site and Thessaly College site)"/>
    <s v="N4"/>
    <n v="529369"/>
    <n v="177317"/>
    <x v="1"/>
    <d v="2019-12-01T00:00:00"/>
    <m/>
    <n v="0"/>
    <x v="64"/>
    <x v="73"/>
    <n v="607"/>
    <n v="607"/>
    <x v="0"/>
    <s v="Application under S96A of the Town &amp; Country Planning Act for 'non-material' amendments (revisions to the approved drawings listed in Condition 1 following detailed design development, including alterations to the unit mix and alteration to core layouts and design and other consequential amendments) to planning permission dated 26/07/2023 ref. 2022/4809."/>
    <s v="S96A"/>
    <d v="2023-10-13T00:00:00"/>
    <d v="2023-11-20T00:00:00"/>
    <x v="1"/>
    <s v="Nil"/>
    <m/>
    <s v="BF"/>
    <s v="NB"/>
    <x v="1"/>
    <x v="0"/>
    <n v="0"/>
    <d v="2019-12-01T00:00:00"/>
    <x v="0"/>
    <m/>
    <x v="1"/>
    <s v="M"/>
    <s v="2.1.27"/>
    <m/>
    <m/>
    <m/>
    <m/>
    <n v="8"/>
    <n v="0"/>
    <n v="59"/>
    <n v="23"/>
    <n v="16"/>
    <n v="2"/>
    <n v="0"/>
    <n v="0"/>
    <n v="0"/>
    <n v="59"/>
    <n v="23"/>
    <n v="16"/>
    <n v="2"/>
    <n v="0"/>
    <n v="0"/>
    <n v="0"/>
    <n v="0"/>
    <n v="0"/>
    <n v="0"/>
    <n v="0"/>
    <n v="0"/>
    <n v="0"/>
    <n v="0"/>
    <n v="0"/>
    <n v="0"/>
    <n v="0"/>
    <n v="0"/>
    <n v="0"/>
    <n v="0"/>
    <x v="1"/>
    <x v="1"/>
    <x v="1"/>
    <n v="5"/>
    <m/>
    <m/>
    <m/>
    <m/>
    <m/>
    <n v="100"/>
    <m/>
    <m/>
    <m/>
    <m/>
    <m/>
    <m/>
    <m/>
    <m/>
    <m/>
    <m/>
    <m/>
    <m/>
    <m/>
    <m/>
    <n v="100"/>
    <n v="100"/>
  </r>
  <r>
    <n v="3511"/>
    <x v="1"/>
    <s v="2023/3874"/>
    <s v="New Covent Garden Market, Nine Elms Lane (Combined Main Market, Entrance site and Thessaly College site)"/>
    <s v="N1 (Market)"/>
    <n v="529369"/>
    <n v="177317"/>
    <x v="1"/>
    <d v="2019-12-01T00:00:00"/>
    <m/>
    <n v="0"/>
    <x v="65"/>
    <x v="74"/>
    <n v="607"/>
    <n v="607"/>
    <x v="0"/>
    <s v="Application under S96A of the Town &amp; Country Planning Act for 'non-material' amendments (revisions to the approved drawings listed in Condition 1 following detailed design development, including alterations to the unit mix and alteration to core layouts and design and other consequential amendments) to planning permission dated 26/07/2023 ref. 2022/4809."/>
    <s v="S96A"/>
    <d v="2023-10-13T00:00:00"/>
    <d v="2023-11-20T00:00:00"/>
    <x v="1"/>
    <s v="Nil"/>
    <m/>
    <s v="BF"/>
    <s v="NB"/>
    <x v="1"/>
    <x v="0"/>
    <n v="0"/>
    <d v="2019-12-01T00:00:00"/>
    <x v="0"/>
    <m/>
    <x v="1"/>
    <s v="M"/>
    <s v="2.1.27"/>
    <m/>
    <m/>
    <m/>
    <m/>
    <m/>
    <n v="22"/>
    <n v="44"/>
    <n v="77"/>
    <n v="2"/>
    <n v="0"/>
    <n v="0"/>
    <n v="0"/>
    <n v="22"/>
    <n v="44"/>
    <n v="77"/>
    <n v="2"/>
    <n v="0"/>
    <n v="0"/>
    <n v="0"/>
    <n v="0"/>
    <n v="0"/>
    <n v="0"/>
    <n v="0"/>
    <n v="0"/>
    <n v="0"/>
    <n v="0"/>
    <n v="0"/>
    <n v="0"/>
    <n v="0"/>
    <n v="0"/>
    <n v="0"/>
    <n v="0"/>
    <n v="0"/>
    <x v="1"/>
    <x v="1"/>
    <x v="1"/>
    <n v="5"/>
    <m/>
    <m/>
    <m/>
    <m/>
    <n v="145"/>
    <m/>
    <m/>
    <m/>
    <m/>
    <m/>
    <m/>
    <m/>
    <m/>
    <m/>
    <m/>
    <m/>
    <m/>
    <m/>
    <m/>
    <m/>
    <n v="145"/>
    <n v="145"/>
  </r>
  <r>
    <n v="3511"/>
    <x v="1"/>
    <s v="2023/3874"/>
    <s v="New Covent Garden Market, Nine Elms Lane (Combined Main Market, Entrance site and Thessaly College site)"/>
    <s v="N3"/>
    <n v="529369"/>
    <n v="177317"/>
    <x v="1"/>
    <d v="2019-12-01T00:00:00"/>
    <m/>
    <n v="0"/>
    <x v="66"/>
    <x v="75"/>
    <n v="607"/>
    <n v="607"/>
    <x v="0"/>
    <s v="Application under S96A of the Town &amp; Country Planning Act for 'non-material' amendments (revisions to the approved drawings listed in Condition 1 following detailed design development, including alterations to the unit mix and alteration to core layouts and design and other consequential amendments) to planning permission dated 26/07/2023 ref. 2022/4809."/>
    <s v="S96A"/>
    <d v="2023-10-13T00:00:00"/>
    <d v="2023-11-20T00:00:00"/>
    <x v="1"/>
    <s v="Nil"/>
    <m/>
    <s v="BF"/>
    <s v="NB"/>
    <x v="1"/>
    <x v="0"/>
    <n v="0"/>
    <d v="2019-12-01T00:00:00"/>
    <x v="0"/>
    <m/>
    <x v="1"/>
    <s v="M"/>
    <s v="2.1.27"/>
    <m/>
    <m/>
    <m/>
    <m/>
    <m/>
    <n v="0"/>
    <n v="43"/>
    <n v="29"/>
    <n v="10"/>
    <n v="3"/>
    <n v="0"/>
    <n v="0"/>
    <n v="0"/>
    <n v="43"/>
    <n v="29"/>
    <n v="10"/>
    <n v="3"/>
    <n v="0"/>
    <n v="0"/>
    <n v="0"/>
    <n v="0"/>
    <n v="0"/>
    <n v="0"/>
    <n v="0"/>
    <n v="0"/>
    <n v="0"/>
    <n v="0"/>
    <n v="0"/>
    <n v="0"/>
    <n v="0"/>
    <n v="0"/>
    <n v="0"/>
    <n v="0"/>
    <x v="1"/>
    <x v="1"/>
    <x v="1"/>
    <n v="5"/>
    <m/>
    <m/>
    <m/>
    <m/>
    <n v="85"/>
    <m/>
    <m/>
    <m/>
    <m/>
    <m/>
    <m/>
    <m/>
    <m/>
    <m/>
    <m/>
    <m/>
    <m/>
    <m/>
    <m/>
    <m/>
    <n v="85"/>
    <n v="85"/>
  </r>
  <r>
    <n v="6657"/>
    <x v="1"/>
    <s v="2021/1291"/>
    <s v="Brocklebank Health Centre, 249 Garratt Lane (and others), 229-247 Garratt Lane (Garratt Lane and Atheldene Regeneration Site)"/>
    <s v="Phase 1 (Houses)"/>
    <n v="525999"/>
    <n v="173647"/>
    <x v="13"/>
    <d v="2022-01-20T00:00:00"/>
    <m/>
    <n v="0"/>
    <x v="46"/>
    <x v="55"/>
    <n v="193"/>
    <n v="182"/>
    <x v="0"/>
    <s v="Submission of details of amendments pursuant to Section 106 agreement attached to planning permission dated 31/07/2020 ref 2017/4141 (Demolition of existing buildings and erection of a mixed use development providing a total of 193 residential units (of both private and affordable tenure) including houses and apartments, with associated amenity space including gardens, balconies and terraces; a new health centre (Class D1 use) (1,873sq.m), a pharmacy (Class A1 use) (94sq.m), two commercial units (flexible Class A1/A2/A3 or B1 use) (189sq.m), within buildings ranging between two and five-storeys high, together with the provision of hard and soft landscaping, enhanced pedestrian routes, and associated car parking and cycle parking, with the development proposed to be constructed in two phases.) to allow an increase in affordable housing provision."/>
    <s v="S106"/>
    <d v="2021-03-05T00:00:00"/>
    <d v="2021-07-19T00:00:00"/>
    <x v="0"/>
    <s v="Nil"/>
    <m/>
    <s v="BF"/>
    <s v="NB"/>
    <x v="1"/>
    <x v="0"/>
    <n v="1.4E-2"/>
    <d v="2022-01-20T00:00:00"/>
    <x v="0"/>
    <m/>
    <x v="1"/>
    <s v="M"/>
    <s v=""/>
    <m/>
    <m/>
    <n v="16"/>
    <m/>
    <m/>
    <n v="0"/>
    <n v="0"/>
    <n v="0"/>
    <n v="0"/>
    <n v="14"/>
    <n v="0"/>
    <n v="0"/>
    <n v="0"/>
    <n v="0"/>
    <n v="0"/>
    <n v="0"/>
    <n v="0"/>
    <n v="0"/>
    <n v="0"/>
    <n v="0"/>
    <n v="0"/>
    <n v="0"/>
    <n v="0"/>
    <n v="14"/>
    <n v="0"/>
    <n v="0"/>
    <n v="0"/>
    <n v="0"/>
    <n v="0"/>
    <n v="0"/>
    <n v="0"/>
    <n v="0"/>
    <n v="0"/>
    <x v="1"/>
    <x v="0"/>
    <x v="2"/>
    <n v="5"/>
    <m/>
    <n v="7"/>
    <n v="7"/>
    <m/>
    <m/>
    <m/>
    <m/>
    <m/>
    <m/>
    <m/>
    <m/>
    <m/>
    <m/>
    <m/>
    <m/>
    <m/>
    <m/>
    <m/>
    <m/>
    <m/>
    <n v="14"/>
    <n v="14"/>
  </r>
  <r>
    <n v="6657"/>
    <x v="1"/>
    <s v="2021/1291"/>
    <s v="Brocklebank Health Centre, 249 Garratt Lane (and others), 229-247 Garratt Lane (Garratt Lane and Atheldene Regeneration Site)"/>
    <s v="Phase 1 (Houses)"/>
    <n v="525999"/>
    <n v="173647"/>
    <x v="13"/>
    <d v="2022-01-20T00:00:00"/>
    <m/>
    <n v="0"/>
    <x v="29"/>
    <x v="33"/>
    <n v="193"/>
    <n v="182"/>
    <x v="0"/>
    <s v="Submission of details of amendments pursuant to Section 106 agreement attached to planning permission dated 31/07/2020 ref 2017/4141 (Demolition of existing buildings and erection of a mixed use development providing a total of 193 residential units (of both private and affordable tenure) including houses and apartments, with associated amenity space including gardens, balconies and terraces; a new health centre (Class D1 use) (1,873sq.m), a pharmacy (Class A1 use) (94sq.m), two commercial units (flexible Class A1/A2/A3 or B1 use) (189sq.m), within buildings ranging between two and five-storeys high, together with the provision of hard and soft landscaping, enhanced pedestrian routes, and associated car parking and cycle parking, with the development proposed to be constructed in two phases.) to allow an increase in affordable housing provision."/>
    <s v="S106"/>
    <d v="2021-03-05T00:00:00"/>
    <d v="2021-07-19T00:00:00"/>
    <x v="0"/>
    <s v="Nil"/>
    <m/>
    <s v="BF"/>
    <s v="NB"/>
    <x v="1"/>
    <x v="0"/>
    <n v="6.0000000000000001E-3"/>
    <d v="2022-01-20T00:00:00"/>
    <x v="0"/>
    <m/>
    <x v="2"/>
    <s v="AL"/>
    <s v=""/>
    <m/>
    <m/>
    <n v="7"/>
    <m/>
    <m/>
    <n v="0"/>
    <n v="0"/>
    <n v="0"/>
    <n v="1"/>
    <n v="8"/>
    <n v="0"/>
    <n v="0"/>
    <n v="0"/>
    <n v="0"/>
    <n v="0"/>
    <n v="0"/>
    <n v="0"/>
    <n v="0"/>
    <n v="0"/>
    <n v="0"/>
    <n v="0"/>
    <n v="0"/>
    <n v="1"/>
    <n v="8"/>
    <n v="0"/>
    <n v="0"/>
    <n v="0"/>
    <n v="0"/>
    <n v="0"/>
    <n v="0"/>
    <n v="0"/>
    <n v="0"/>
    <n v="0"/>
    <x v="1"/>
    <x v="0"/>
    <x v="2"/>
    <n v="5"/>
    <m/>
    <n v="4.5"/>
    <n v="4.5"/>
    <m/>
    <m/>
    <m/>
    <m/>
    <m/>
    <m/>
    <m/>
    <m/>
    <m/>
    <m/>
    <m/>
    <m/>
    <m/>
    <m/>
    <m/>
    <m/>
    <m/>
    <n v="9"/>
    <n v="9"/>
  </r>
  <r>
    <n v="6657"/>
    <x v="1"/>
    <s v="2021/1291"/>
    <s v="Brocklebank Health Centre, 249 Garratt Lane (and others), 229-247 Garratt Lane (Garratt Lane and Atheldene Regeneration Site)"/>
    <s v="Phase 1 (Block C)"/>
    <n v="525999"/>
    <n v="173647"/>
    <x v="13"/>
    <d v="2022-01-20T00:00:00"/>
    <m/>
    <n v="0"/>
    <x v="20"/>
    <x v="24"/>
    <n v="193"/>
    <n v="182"/>
    <x v="0"/>
    <s v="Submission of details of amendments pursuant to Section 106 agreement attached to planning permission dated 31/07/2020 ref 2017/4141 (Demolition of existing buildings and erection of a mixed use development providing a total of 193 residential units (of both private and affordable tenure) including houses and apartments, with associated amenity space including gardens, balconies and terraces; a new health centre (Class D1 use) (1,873sq.m), a pharmacy (Class A1 use) (94sq.m), two commercial units (flexible Class A1/A2/A3 or B1 use) (189sq.m), within buildings ranging between two and five-storeys high, together with the provision of hard and soft landscaping, enhanced pedestrian routes, and associated car parking and cycle parking, with the development proposed to be constructed in two phases.) to allow an increase in affordable housing provision."/>
    <s v="S106"/>
    <d v="2021-03-05T00:00:00"/>
    <d v="2021-07-19T00:00:00"/>
    <x v="0"/>
    <s v="Nil"/>
    <m/>
    <s v="BF"/>
    <s v="NB"/>
    <x v="1"/>
    <x v="0"/>
    <n v="2.1999999999999999E-2"/>
    <d v="2022-01-20T00:00:00"/>
    <x v="0"/>
    <m/>
    <x v="0"/>
    <s v="ISL"/>
    <s v=""/>
    <m/>
    <m/>
    <n v="21"/>
    <m/>
    <n v="4"/>
    <n v="0"/>
    <n v="11"/>
    <n v="10"/>
    <n v="4"/>
    <n v="0"/>
    <n v="0"/>
    <n v="0"/>
    <n v="0"/>
    <n v="11"/>
    <n v="10"/>
    <n v="4"/>
    <n v="0"/>
    <n v="0"/>
    <n v="0"/>
    <n v="0"/>
    <n v="0"/>
    <n v="0"/>
    <n v="0"/>
    <n v="0"/>
    <n v="0"/>
    <n v="0"/>
    <n v="0"/>
    <n v="0"/>
    <n v="0"/>
    <n v="0"/>
    <n v="0"/>
    <n v="0"/>
    <n v="0"/>
    <x v="1"/>
    <x v="0"/>
    <x v="2"/>
    <n v="5"/>
    <m/>
    <n v="25"/>
    <m/>
    <m/>
    <m/>
    <m/>
    <m/>
    <m/>
    <m/>
    <m/>
    <m/>
    <m/>
    <m/>
    <m/>
    <m/>
    <m/>
    <m/>
    <m/>
    <m/>
    <m/>
    <n v="25"/>
    <n v="25"/>
  </r>
  <r>
    <n v="6657"/>
    <x v="1"/>
    <s v="2021/1291"/>
    <s v="Brocklebank Health Centre, 249 Garratt Lane (and others), 229-247 Garratt Lane (Garratt Lane and Atheldene Regeneration Site)"/>
    <s v="Phase 1 (Block B)"/>
    <n v="525999"/>
    <n v="173647"/>
    <x v="13"/>
    <d v="2022-01-20T00:00:00"/>
    <m/>
    <n v="0"/>
    <x v="21"/>
    <x v="25"/>
    <n v="193"/>
    <n v="182"/>
    <x v="0"/>
    <s v="Submission of details of amendments pursuant to Section 106 agreement attached to planning permission dated 31/07/2020 ref 2017/4141 (Demolition of existing buildings and erection of a mixed use development providing a total of 193 residential units (of both private and affordable tenure) including houses and apartments, with associated amenity space including gardens, balconies and terraces; a new health centre (Class D1 use) (1,873sq.m), a pharmacy (Class A1 use) (94sq.m), two commercial units (flexible Class A1/A2/A3 or B1 use) (189sq.m), within buildings ranging between two and five-storeys high, together with the provision of hard and soft landscaping, enhanced pedestrian routes, and associated car parking and cycle parking, with the development proposed to be constructed in two phases.) to allow an increase in affordable housing provision."/>
    <s v="S106"/>
    <d v="2021-03-05T00:00:00"/>
    <d v="2021-07-19T00:00:00"/>
    <x v="0"/>
    <s v="Nil"/>
    <m/>
    <s v="BF"/>
    <s v="NB"/>
    <x v="1"/>
    <x v="0"/>
    <n v="0.02"/>
    <d v="2022-01-20T00:00:00"/>
    <x v="0"/>
    <m/>
    <x v="1"/>
    <s v="M"/>
    <s v=""/>
    <m/>
    <m/>
    <n v="20"/>
    <m/>
    <n v="2"/>
    <n v="0"/>
    <n v="2"/>
    <n v="19"/>
    <n v="1"/>
    <n v="0"/>
    <n v="0"/>
    <n v="0"/>
    <n v="0"/>
    <n v="2"/>
    <n v="19"/>
    <n v="1"/>
    <n v="0"/>
    <n v="0"/>
    <n v="0"/>
    <n v="0"/>
    <n v="0"/>
    <n v="0"/>
    <n v="0"/>
    <n v="0"/>
    <n v="0"/>
    <n v="0"/>
    <n v="0"/>
    <n v="0"/>
    <n v="0"/>
    <n v="0"/>
    <n v="0"/>
    <n v="0"/>
    <n v="0"/>
    <x v="1"/>
    <x v="0"/>
    <x v="2"/>
    <n v="5"/>
    <m/>
    <n v="22"/>
    <m/>
    <m/>
    <m/>
    <m/>
    <m/>
    <m/>
    <m/>
    <m/>
    <m/>
    <m/>
    <m/>
    <m/>
    <m/>
    <m/>
    <m/>
    <m/>
    <m/>
    <m/>
    <n v="22"/>
    <n v="22"/>
  </r>
  <r>
    <n v="6657"/>
    <x v="1"/>
    <s v="2021/1291"/>
    <s v="Brocklebank Health Centre, 249 Garratt Lane (and others), 229-247 Garratt Lane (Garratt Lane and Atheldene Regeneration Site)"/>
    <s v="Phase 1 (Block A)"/>
    <n v="525999"/>
    <n v="173647"/>
    <x v="13"/>
    <d v="2022-01-20T00:00:00"/>
    <m/>
    <n v="0"/>
    <x v="22"/>
    <x v="26"/>
    <n v="193"/>
    <n v="182"/>
    <x v="0"/>
    <s v="Submission of details of amendments pursuant to Section 106 agreement attached to planning permission dated 31/07/2020 ref 2017/4141 (Demolition of existing buildings and erection of a mixed use development providing a total of 193 residential units (of both private and affordable tenure) including houses and apartments, with associated amenity space including gardens, balconies and terraces; a new health centre (Class D1 use) (1,873sq.m), a pharmacy (Class A1 use) (94sq.m), two commercial units (flexible Class A1/A2/A3 or B1 use) (189sq.m), within buildings ranging between two and five-storeys high, together with the provision of hard and soft landscaping, enhanced pedestrian routes, and associated car parking and cycle parking, with the development proposed to be constructed in two phases.) to allow an increase in affordable housing provision."/>
    <s v="S106"/>
    <d v="2021-03-05T00:00:00"/>
    <d v="2021-07-19T00:00:00"/>
    <x v="0"/>
    <s v="Nil"/>
    <m/>
    <s v="BF"/>
    <s v="NB"/>
    <x v="1"/>
    <x v="0"/>
    <n v="1.9E-2"/>
    <d v="2022-01-20T00:00:00"/>
    <x v="0"/>
    <m/>
    <x v="0"/>
    <s v="ISL"/>
    <s v=""/>
    <m/>
    <m/>
    <n v="18"/>
    <m/>
    <n v="3"/>
    <n v="0"/>
    <n v="5"/>
    <n v="16"/>
    <n v="0"/>
    <n v="0"/>
    <n v="0"/>
    <n v="0"/>
    <n v="0"/>
    <n v="5"/>
    <n v="16"/>
    <n v="0"/>
    <n v="0"/>
    <n v="0"/>
    <n v="0"/>
    <n v="0"/>
    <n v="0"/>
    <n v="0"/>
    <n v="0"/>
    <n v="0"/>
    <n v="0"/>
    <n v="0"/>
    <n v="0"/>
    <n v="0"/>
    <n v="0"/>
    <n v="0"/>
    <n v="0"/>
    <n v="0"/>
    <n v="0"/>
    <x v="1"/>
    <x v="0"/>
    <x v="2"/>
    <n v="5"/>
    <m/>
    <n v="21"/>
    <m/>
    <m/>
    <m/>
    <m/>
    <m/>
    <m/>
    <m/>
    <m/>
    <m/>
    <m/>
    <m/>
    <m/>
    <m/>
    <m/>
    <m/>
    <m/>
    <m/>
    <m/>
    <n v="21"/>
    <n v="21"/>
  </r>
  <r>
    <n v="6016"/>
    <x v="1"/>
    <s v="2021/1667"/>
    <s v="203 Replingham Road"/>
    <s v=""/>
    <n v="525206"/>
    <n v="173428"/>
    <x v="12"/>
    <d v="2024-03-31T00:00:00"/>
    <m/>
    <n v="0"/>
    <x v="5"/>
    <x v="7"/>
    <n v="2"/>
    <n v="2"/>
    <x v="1"/>
    <s v="Determination as to whether prior approval is required for change of use from retail (Class A1) to 2 x 1-bedroom flats (Class C3) on the ground floor with associated external alterations to front and rear elevations."/>
    <s v="PAG"/>
    <d v="2021-03-31T00:00:00"/>
    <d v="2021-05-24T00:00:00"/>
    <x v="0"/>
    <s v="Nil"/>
    <m/>
    <s v="BF"/>
    <s v="COU"/>
    <x v="2"/>
    <x v="4"/>
    <n v="5.0000000000000001E-3"/>
    <d v="2024-03-31T00:00:00"/>
    <x v="1"/>
    <m/>
    <x v="1"/>
    <s v="M"/>
    <s v=""/>
    <m/>
    <m/>
    <m/>
    <m/>
    <m/>
    <n v="0"/>
    <n v="2"/>
    <n v="0"/>
    <n v="0"/>
    <n v="0"/>
    <n v="0"/>
    <n v="0"/>
    <n v="0"/>
    <n v="2"/>
    <n v="0"/>
    <n v="0"/>
    <n v="0"/>
    <n v="0"/>
    <n v="0"/>
    <n v="0"/>
    <n v="0"/>
    <n v="0"/>
    <n v="0"/>
    <n v="0"/>
    <n v="0"/>
    <n v="0"/>
    <n v="0"/>
    <n v="0"/>
    <n v="0"/>
    <n v="0"/>
    <n v="0"/>
    <n v="0"/>
    <n v="0"/>
    <x v="1"/>
    <x v="0"/>
    <x v="2"/>
    <n v="14"/>
    <m/>
    <n v="1"/>
    <n v="1"/>
    <m/>
    <m/>
    <m/>
    <m/>
    <m/>
    <m/>
    <m/>
    <m/>
    <m/>
    <m/>
    <m/>
    <m/>
    <m/>
    <m/>
    <m/>
    <m/>
    <m/>
    <n v="2"/>
    <n v="2"/>
  </r>
  <r>
    <n v="7629"/>
    <x v="1"/>
    <s v="2021/1677"/>
    <s v="120 Battersea Bridge Road"/>
    <s v="Intermediate"/>
    <n v="527264"/>
    <n v="176919"/>
    <x v="2"/>
    <d v="2022-07-01T00:00:00"/>
    <m/>
    <n v="0"/>
    <x v="29"/>
    <x v="33"/>
    <n v="24"/>
    <n v="24"/>
    <x v="0"/>
    <s v="Demolition of existing building and removal of structures/raised levels and erection of a part 4, 7 and 8 storey building, providing Class F1 Community Hall /Class F2 Church Hall on the ground and mezzanine floors, Class E Offices at mezzanine level and 24 residential units at mezzanine and upper levels, together with communal terrace on 7th floor, cycle parking at ground and first floors and visitor cycle spaces on Hyde Lane, roof plant, new bin store for Randall Close development and associated works."/>
    <s v="PFLA"/>
    <d v="2021-04-13T00:00:00"/>
    <d v="2022-05-20T00:00:00"/>
    <x v="0"/>
    <s v="Nil"/>
    <m/>
    <s v="BF"/>
    <s v="NB"/>
    <x v="1"/>
    <x v="0"/>
    <n v="8.3000000000000004E-2"/>
    <d v="2022-07-01T00:00:00"/>
    <x v="0"/>
    <m/>
    <x v="0"/>
    <s v="ISL"/>
    <s v=""/>
    <m/>
    <m/>
    <m/>
    <m/>
    <n v="2"/>
    <n v="0"/>
    <n v="4"/>
    <n v="5"/>
    <n v="0"/>
    <n v="0"/>
    <n v="0"/>
    <n v="0"/>
    <n v="0"/>
    <n v="4"/>
    <n v="5"/>
    <n v="0"/>
    <n v="0"/>
    <n v="0"/>
    <n v="0"/>
    <n v="0"/>
    <n v="0"/>
    <n v="0"/>
    <n v="0"/>
    <n v="0"/>
    <n v="0"/>
    <n v="0"/>
    <n v="0"/>
    <n v="0"/>
    <n v="0"/>
    <n v="0"/>
    <n v="0"/>
    <n v="0"/>
    <n v="0"/>
    <x v="1"/>
    <x v="0"/>
    <x v="2"/>
    <n v="6"/>
    <m/>
    <m/>
    <n v="2.25"/>
    <n v="2.25"/>
    <n v="2.25"/>
    <n v="2.25"/>
    <m/>
    <m/>
    <m/>
    <m/>
    <m/>
    <m/>
    <m/>
    <m/>
    <m/>
    <m/>
    <m/>
    <m/>
    <m/>
    <m/>
    <n v="9"/>
    <n v="9"/>
  </r>
  <r>
    <n v="7629"/>
    <x v="1"/>
    <s v="2021/1677"/>
    <s v="120 Battersea Bridge Road"/>
    <s v="Market"/>
    <n v="527264"/>
    <n v="176919"/>
    <x v="2"/>
    <d v="2022-07-01T00:00:00"/>
    <m/>
    <n v="0"/>
    <x v="28"/>
    <x v="32"/>
    <n v="24"/>
    <n v="24"/>
    <x v="0"/>
    <s v="Demolition of existing building and removal of structures/raised levels and erection of a part 4, 7 and 8 storey building, providing Class F1 Community Hall /Class F2 Church Hall on the ground and mezzanine floors, Class E Offices at mezzanine level and 24 residential units at mezzanine and upper levels, together with communal terrace on 7th floor, cycle parking at ground and first floors and visitor cycle spaces on Hyde Lane, roof plant, new bin store for Randall Close development and associated works."/>
    <s v="PFLA"/>
    <d v="2021-04-13T00:00:00"/>
    <d v="2022-05-20T00:00:00"/>
    <x v="0"/>
    <s v="Nil"/>
    <m/>
    <s v="BF"/>
    <s v="NB"/>
    <x v="1"/>
    <x v="0"/>
    <n v="0.13800000000000001"/>
    <d v="2022-07-01T00:00:00"/>
    <x v="0"/>
    <m/>
    <x v="1"/>
    <s v="M"/>
    <s v=""/>
    <m/>
    <m/>
    <m/>
    <m/>
    <m/>
    <n v="2"/>
    <n v="2"/>
    <n v="9"/>
    <n v="2"/>
    <n v="0"/>
    <n v="0"/>
    <n v="0"/>
    <n v="2"/>
    <n v="2"/>
    <n v="9"/>
    <n v="2"/>
    <n v="0"/>
    <n v="0"/>
    <n v="0"/>
    <n v="0"/>
    <n v="0"/>
    <n v="0"/>
    <n v="0"/>
    <n v="0"/>
    <n v="0"/>
    <n v="0"/>
    <n v="0"/>
    <n v="0"/>
    <n v="0"/>
    <n v="0"/>
    <n v="0"/>
    <n v="0"/>
    <n v="0"/>
    <x v="1"/>
    <x v="0"/>
    <x v="2"/>
    <n v="6"/>
    <m/>
    <m/>
    <n v="3.75"/>
    <n v="3.75"/>
    <n v="3.75"/>
    <n v="3.75"/>
    <m/>
    <m/>
    <m/>
    <m/>
    <m/>
    <m/>
    <m/>
    <m/>
    <m/>
    <m/>
    <m/>
    <m/>
    <m/>
    <m/>
    <n v="15"/>
    <n v="15"/>
  </r>
  <r>
    <n v="6657"/>
    <x v="1"/>
    <s v="2021/1291"/>
    <s v="Brocklebank Health Centre, 249 Garratt Lane (and others), 229-247 Garratt Lane (Garratt Lane and Atheldene Regeneration Site)"/>
    <s v="Phase 1 (Block D)"/>
    <n v="525999"/>
    <n v="173647"/>
    <x v="13"/>
    <d v="2022-01-20T00:00:00"/>
    <m/>
    <n v="0"/>
    <x v="0"/>
    <x v="0"/>
    <n v="193"/>
    <n v="182"/>
    <x v="0"/>
    <s v="Submission of details of amendments pursuant to Section 106 agreement attached to planning permission dated 31/07/2020 ref 2017/4141 (Demolition of existing buildings and erection of a mixed use development providing a total of 193 residential units (of both private and affordable tenure) including houses and apartments, with associated amenity space including gardens, balconies and terraces; a new health centre (Class D1 use) (1,873sq.m), a pharmacy (Class A1 use) (94sq.m), two commercial units (flexible Class A1/A2/A3 or B1 use) (189sq.m), within buildings ranging between two and five-storeys high, together with the provision of hard and soft landscaping, enhanced pedestrian routes, and associated car parking and cycle parking, with the development proposed to be constructed in two phases.) to allow an increase in affordable housing provision."/>
    <s v="S106"/>
    <d v="2021-03-05T00:00:00"/>
    <d v="2021-07-19T00:00:00"/>
    <x v="0"/>
    <s v="Nil"/>
    <m/>
    <s v="BF"/>
    <s v="NB"/>
    <x v="1"/>
    <x v="0"/>
    <n v="5.0000000000000001E-3"/>
    <d v="2023-04-01T00:00:00"/>
    <x v="1"/>
    <m/>
    <x v="0"/>
    <s v="ISL"/>
    <s v=""/>
    <m/>
    <m/>
    <m/>
    <m/>
    <n v="2"/>
    <n v="0"/>
    <n v="0"/>
    <n v="6"/>
    <n v="0"/>
    <n v="0"/>
    <n v="0"/>
    <n v="0"/>
    <n v="0"/>
    <n v="0"/>
    <n v="6"/>
    <n v="0"/>
    <n v="0"/>
    <n v="0"/>
    <n v="0"/>
    <n v="0"/>
    <n v="0"/>
    <n v="0"/>
    <n v="0"/>
    <n v="0"/>
    <n v="0"/>
    <n v="0"/>
    <n v="0"/>
    <n v="0"/>
    <n v="0"/>
    <n v="0"/>
    <n v="0"/>
    <n v="0"/>
    <n v="0"/>
    <x v="1"/>
    <x v="0"/>
    <x v="2"/>
    <n v="5"/>
    <m/>
    <n v="6"/>
    <m/>
    <m/>
    <m/>
    <m/>
    <m/>
    <m/>
    <m/>
    <m/>
    <m/>
    <m/>
    <m/>
    <m/>
    <m/>
    <m/>
    <m/>
    <m/>
    <m/>
    <m/>
    <n v="6"/>
    <n v="6"/>
  </r>
  <r>
    <n v="7709"/>
    <x v="1"/>
    <s v="2021/2155"/>
    <s v="10 Grandison Road"/>
    <s v=""/>
    <n v="527842"/>
    <n v="174955"/>
    <x v="11"/>
    <d v="2023-04-01T00:00:00"/>
    <m/>
    <n v="1"/>
    <x v="3"/>
    <x v="6"/>
    <n v="1"/>
    <n v="0"/>
    <x v="1"/>
    <s v="Demolition of existing dwellinghouse except for front facade and erection of three-storey (plus basement) dwellinghouse and replacement front wall and railings."/>
    <s v="PF"/>
    <d v="2021-05-28T00:00:00"/>
    <d v="2021-08-09T00:00:00"/>
    <x v="0"/>
    <s v="Nil"/>
    <m/>
    <s v="BF"/>
    <s v="MIX"/>
    <x v="2"/>
    <x v="3"/>
    <n v="6.3749999999999996E-3"/>
    <d v="2023-04-01T00:00:00"/>
    <x v="1"/>
    <m/>
    <x v="1"/>
    <s v="M"/>
    <s v=""/>
    <m/>
    <m/>
    <m/>
    <m/>
    <m/>
    <n v="0"/>
    <n v="0"/>
    <n v="0"/>
    <n v="0"/>
    <n v="-1"/>
    <n v="1"/>
    <n v="0"/>
    <n v="0"/>
    <n v="0"/>
    <n v="0"/>
    <n v="0"/>
    <n v="0"/>
    <n v="0"/>
    <n v="0"/>
    <n v="0"/>
    <n v="0"/>
    <n v="0"/>
    <n v="0"/>
    <n v="-1"/>
    <n v="1"/>
    <n v="0"/>
    <n v="0"/>
    <n v="0"/>
    <n v="0"/>
    <n v="0"/>
    <n v="0"/>
    <n v="0"/>
    <n v="0"/>
    <x v="1"/>
    <x v="0"/>
    <x v="2"/>
    <n v="13"/>
    <m/>
    <n v="0"/>
    <m/>
    <m/>
    <m/>
    <m/>
    <m/>
    <m/>
    <m/>
    <m/>
    <m/>
    <m/>
    <m/>
    <m/>
    <m/>
    <m/>
    <m/>
    <m/>
    <m/>
    <m/>
    <n v="0"/>
    <n v="0"/>
  </r>
  <r>
    <n v="5410"/>
    <x v="1"/>
    <s v="2021/2262"/>
    <s v="129-139 Beaumont Road"/>
    <s v=""/>
    <n v="524095"/>
    <n v="173645"/>
    <x v="5"/>
    <d v="2023-09-06T00:00:00"/>
    <m/>
    <n v="0"/>
    <x v="11"/>
    <x v="36"/>
    <n v="3"/>
    <n v="3"/>
    <x v="1"/>
    <s v="Erection of an additional floor to the roof of the existing building, to accommodate 3no. flats (1x1Bed, 1x2Bed &amp; 1x3Bed)."/>
    <s v="PFLA"/>
    <d v="2021-06-29T00:00:00"/>
    <d v="2022-04-21T00:00:00"/>
    <x v="0"/>
    <s v="Nil"/>
    <m/>
    <s v="BF"/>
    <s v="EXT"/>
    <x v="2"/>
    <x v="7"/>
    <n v="2.8400000000000002E-2"/>
    <d v="2023-09-06T00:00:00"/>
    <x v="1"/>
    <m/>
    <x v="1"/>
    <s v="M"/>
    <s v=""/>
    <m/>
    <m/>
    <m/>
    <m/>
    <m/>
    <n v="0"/>
    <n v="1"/>
    <n v="1"/>
    <n v="1"/>
    <n v="0"/>
    <n v="0"/>
    <n v="0"/>
    <n v="0"/>
    <n v="1"/>
    <n v="1"/>
    <n v="1"/>
    <n v="0"/>
    <n v="0"/>
    <n v="0"/>
    <n v="0"/>
    <n v="0"/>
    <n v="0"/>
    <n v="0"/>
    <n v="0"/>
    <n v="0"/>
    <n v="0"/>
    <n v="0"/>
    <n v="0"/>
    <n v="0"/>
    <n v="0"/>
    <n v="0"/>
    <n v="0"/>
    <n v="0"/>
    <x v="1"/>
    <x v="0"/>
    <x v="2"/>
    <n v="13"/>
    <m/>
    <n v="3"/>
    <m/>
    <m/>
    <m/>
    <m/>
    <m/>
    <m/>
    <m/>
    <m/>
    <m/>
    <m/>
    <m/>
    <m/>
    <m/>
    <m/>
    <m/>
    <m/>
    <m/>
    <m/>
    <n v="3"/>
    <n v="3"/>
  </r>
  <r>
    <n v="7674"/>
    <x v="1"/>
    <s v="2021/2811"/>
    <s v="Land and Garages North of 1-21, Gay Street"/>
    <s v=""/>
    <n v="523951"/>
    <n v="175632"/>
    <x v="3"/>
    <d v="2024-02-28T00:00:00"/>
    <m/>
    <n v="0"/>
    <x v="12"/>
    <x v="15"/>
    <n v="4"/>
    <n v="4"/>
    <x v="1"/>
    <s v="Demolition of garages and erection of a two storey building accommodating 2 x 1-bed and 2 x 2-bed flats, with associated refuse and cycle storage."/>
    <s v="PF"/>
    <d v="2021-06-24T00:00:00"/>
    <d v="2021-12-20T00:00:00"/>
    <x v="0"/>
    <s v="Nil"/>
    <m/>
    <s v="BF"/>
    <s v="NB"/>
    <x v="2"/>
    <x v="3"/>
    <n v="1.2E-2"/>
    <d v="2024-02-28T00:00:00"/>
    <x v="1"/>
    <m/>
    <x v="1"/>
    <s v="M"/>
    <s v=""/>
    <m/>
    <m/>
    <m/>
    <m/>
    <m/>
    <n v="0"/>
    <n v="2"/>
    <n v="2"/>
    <n v="0"/>
    <n v="0"/>
    <n v="0"/>
    <n v="0"/>
    <n v="0"/>
    <n v="2"/>
    <n v="2"/>
    <n v="0"/>
    <n v="0"/>
    <n v="0"/>
    <n v="0"/>
    <n v="0"/>
    <n v="0"/>
    <n v="0"/>
    <n v="0"/>
    <n v="0"/>
    <n v="0"/>
    <n v="0"/>
    <n v="0"/>
    <n v="0"/>
    <n v="0"/>
    <n v="0"/>
    <n v="0"/>
    <n v="0"/>
    <n v="0"/>
    <x v="1"/>
    <x v="0"/>
    <x v="2"/>
    <n v="4"/>
    <m/>
    <n v="2"/>
    <n v="2"/>
    <m/>
    <m/>
    <m/>
    <m/>
    <m/>
    <m/>
    <m/>
    <m/>
    <m/>
    <m/>
    <m/>
    <m/>
    <m/>
    <m/>
    <m/>
    <m/>
    <m/>
    <n v="4"/>
    <n v="4"/>
  </r>
  <r>
    <n v="7622"/>
    <x v="1"/>
    <s v="2021/2885"/>
    <s v="Apartments 78 &amp; 79, 1 Riverlight Quay (Riverlight)"/>
    <s v=""/>
    <n v="529505"/>
    <n v="177593"/>
    <x v="1"/>
    <d v="2024-03-31T00:00:00"/>
    <m/>
    <n v="2"/>
    <x v="3"/>
    <x v="3"/>
    <n v="1"/>
    <n v="-1"/>
    <x v="1"/>
    <s v="The amalgamation of two adjacent two-bed units to create one four-bed unit and extension of the unit to incorporate 4 sqm of the communal hallway."/>
    <s v="PF"/>
    <d v="2021-06-18T00:00:00"/>
    <d v="2021-08-31T00:00:00"/>
    <x v="0"/>
    <s v="Nil"/>
    <m/>
    <s v="BF"/>
    <s v="CON"/>
    <x v="2"/>
    <x v="1"/>
    <n v="1.9099999999999999E-2"/>
    <d v="2024-03-31T00:00:00"/>
    <x v="1"/>
    <m/>
    <x v="1"/>
    <s v="M"/>
    <s v="2.1.9"/>
    <m/>
    <m/>
    <m/>
    <m/>
    <m/>
    <n v="0"/>
    <n v="0"/>
    <n v="-2"/>
    <n v="0"/>
    <n v="1"/>
    <n v="0"/>
    <n v="0"/>
    <n v="0"/>
    <n v="0"/>
    <n v="-2"/>
    <n v="0"/>
    <n v="1"/>
    <n v="0"/>
    <n v="0"/>
    <n v="0"/>
    <n v="0"/>
    <n v="0"/>
    <n v="0"/>
    <n v="0"/>
    <n v="0"/>
    <n v="0"/>
    <n v="0"/>
    <n v="0"/>
    <n v="0"/>
    <n v="0"/>
    <n v="0"/>
    <n v="0"/>
    <n v="0"/>
    <x v="1"/>
    <x v="1"/>
    <x v="1"/>
    <n v="14"/>
    <m/>
    <n v="-0.5"/>
    <n v="-0.5"/>
    <m/>
    <m/>
    <m/>
    <m/>
    <m/>
    <m/>
    <m/>
    <m/>
    <m/>
    <m/>
    <m/>
    <m/>
    <m/>
    <m/>
    <m/>
    <m/>
    <m/>
    <n v="-1"/>
    <n v="-1"/>
  </r>
  <r>
    <n v="6657"/>
    <x v="1"/>
    <s v="2021/1291"/>
    <s v="Brocklebank Health Centre, 249 Garratt Lane (and others), 229-247 Garratt Lane (Garratt Lane and Atheldene Regeneration Site)"/>
    <s v="Phase 1 (Block B)"/>
    <n v="525999"/>
    <n v="173647"/>
    <x v="13"/>
    <d v="2022-01-20T00:00:00"/>
    <m/>
    <n v="0"/>
    <x v="24"/>
    <x v="28"/>
    <n v="193"/>
    <n v="182"/>
    <x v="0"/>
    <s v="Submission of details of amendments pursuant to Section 106 agreement attached to planning permission dated 31/07/2020 ref 2017/4141 (Demolition of existing buildings and erection of a mixed use development providing a total of 193 residential units (of both private and affordable tenure) including houses and apartments, with associated amenity space including gardens, balconies and terraces; a new health centre (Class D1 use) (1,873sq.m), a pharmacy (Class A1 use) (94sq.m), two commercial units (flexible Class A1/A2/A3 or B1 use) (189sq.m), within buildings ranging between two and five-storeys high, together with the provision of hard and soft landscaping, enhanced pedestrian routes, and associated car parking and cycle parking, with the development proposed to be constructed in two phases.) to allow an increase in affordable housing provision."/>
    <s v="S106"/>
    <d v="2021-03-05T00:00:00"/>
    <d v="2021-07-19T00:00:00"/>
    <x v="0"/>
    <s v="Nil"/>
    <m/>
    <s v="BF"/>
    <s v="NB"/>
    <x v="1"/>
    <x v="0"/>
    <n v="4.0000000000000001E-3"/>
    <d v="2022-01-20T00:00:00"/>
    <x v="0"/>
    <m/>
    <x v="0"/>
    <s v="ISL"/>
    <s v=""/>
    <m/>
    <m/>
    <n v="5"/>
    <m/>
    <m/>
    <n v="0"/>
    <n v="2"/>
    <n v="3"/>
    <n v="0"/>
    <n v="0"/>
    <n v="0"/>
    <n v="0"/>
    <n v="0"/>
    <n v="2"/>
    <n v="3"/>
    <n v="0"/>
    <n v="0"/>
    <n v="0"/>
    <n v="0"/>
    <n v="0"/>
    <n v="0"/>
    <n v="0"/>
    <n v="0"/>
    <n v="0"/>
    <n v="0"/>
    <n v="0"/>
    <n v="0"/>
    <n v="0"/>
    <n v="0"/>
    <n v="0"/>
    <n v="0"/>
    <n v="0"/>
    <n v="0"/>
    <x v="1"/>
    <x v="0"/>
    <x v="2"/>
    <n v="5"/>
    <m/>
    <n v="5"/>
    <m/>
    <m/>
    <m/>
    <m/>
    <m/>
    <m/>
    <m/>
    <m/>
    <m/>
    <m/>
    <m/>
    <m/>
    <m/>
    <m/>
    <m/>
    <m/>
    <m/>
    <m/>
    <n v="5"/>
    <n v="5"/>
  </r>
  <r>
    <n v="6767"/>
    <x v="1"/>
    <s v="2021/2952"/>
    <s v="24 Bellevue Road"/>
    <s v=""/>
    <n v="527493"/>
    <n v="173327"/>
    <x v="10"/>
    <d v="2021-04-01T00:00:00"/>
    <m/>
    <n v="1"/>
    <x v="12"/>
    <x v="36"/>
    <n v="4"/>
    <n v="3"/>
    <x v="1"/>
    <s v="Excavation to create a basement including formation of front and rear lightwells, erection of dormer roof extensions to front and rear roof. Erection of part single/ part two-storey rear extension and single storey outbuilding  in connection with conversion of property to 2 x 3-bedroom, 1 x 2-bedroom and 1 x 1-bedroom flats with associated cycle and refuse storage."/>
    <s v="PF"/>
    <d v="2021-06-21T00:00:00"/>
    <d v="2022-07-01T00:00:00"/>
    <x v="0"/>
    <s v="Nil"/>
    <m/>
    <s v="BF"/>
    <s v="MIX"/>
    <x v="2"/>
    <x v="7"/>
    <n v="7.0000000000000001E-3"/>
    <d v="2021-04-01T00:00:00"/>
    <x v="0"/>
    <m/>
    <x v="1"/>
    <s v="M"/>
    <s v=""/>
    <m/>
    <m/>
    <m/>
    <m/>
    <m/>
    <n v="0"/>
    <n v="1"/>
    <n v="1"/>
    <n v="2"/>
    <n v="-1"/>
    <n v="0"/>
    <n v="0"/>
    <n v="0"/>
    <n v="1"/>
    <n v="1"/>
    <n v="2"/>
    <n v="0"/>
    <n v="0"/>
    <n v="0"/>
    <n v="0"/>
    <n v="0"/>
    <n v="0"/>
    <n v="0"/>
    <n v="-1"/>
    <n v="0"/>
    <n v="0"/>
    <n v="0"/>
    <n v="0"/>
    <n v="0"/>
    <n v="0"/>
    <n v="0"/>
    <n v="0"/>
    <n v="0"/>
    <x v="1"/>
    <x v="0"/>
    <x v="2"/>
    <n v="13"/>
    <m/>
    <n v="3"/>
    <m/>
    <m/>
    <m/>
    <m/>
    <m/>
    <m/>
    <m/>
    <m/>
    <m/>
    <m/>
    <m/>
    <m/>
    <m/>
    <m/>
    <m/>
    <m/>
    <m/>
    <m/>
    <n v="3"/>
    <n v="3"/>
  </r>
  <r>
    <n v="7679"/>
    <x v="1"/>
    <s v="2021/3012"/>
    <s v="82-84 Mitcham Lane"/>
    <s v=""/>
    <n v="529371"/>
    <n v="171218"/>
    <x v="9"/>
    <d v="2022-11-04T00:00:00"/>
    <m/>
    <n v="0"/>
    <x v="29"/>
    <x v="33"/>
    <n v="9"/>
    <n v="9"/>
    <x v="1"/>
    <s v="Determination as to whether prior approval is required for demolition of existing workshop and erection of part 2/part 4-storey building to provide 8 x 1-bedroom and 1 x 2-bedroom flats."/>
    <s v="PAG"/>
    <d v="2021-06-29T00:00:00"/>
    <d v="2021-09-08T00:00:00"/>
    <x v="0"/>
    <s v="Nil"/>
    <m/>
    <s v="BF"/>
    <s v="NB"/>
    <x v="2"/>
    <x v="3"/>
    <n v="1.6E-2"/>
    <d v="2022-11-04T00:00:00"/>
    <x v="0"/>
    <m/>
    <x v="1"/>
    <s v="M"/>
    <s v=""/>
    <m/>
    <m/>
    <m/>
    <m/>
    <m/>
    <n v="0"/>
    <n v="8"/>
    <n v="1"/>
    <n v="0"/>
    <n v="0"/>
    <n v="0"/>
    <n v="0"/>
    <n v="0"/>
    <n v="8"/>
    <n v="1"/>
    <n v="0"/>
    <n v="0"/>
    <n v="0"/>
    <n v="0"/>
    <n v="0"/>
    <n v="0"/>
    <n v="0"/>
    <n v="0"/>
    <n v="0"/>
    <n v="0"/>
    <n v="0"/>
    <n v="0"/>
    <n v="0"/>
    <n v="0"/>
    <n v="0"/>
    <n v="0"/>
    <n v="0"/>
    <n v="0"/>
    <x v="1"/>
    <x v="0"/>
    <x v="2"/>
    <n v="3"/>
    <m/>
    <n v="9"/>
    <m/>
    <m/>
    <m/>
    <m/>
    <m/>
    <m/>
    <m/>
    <m/>
    <m/>
    <m/>
    <m/>
    <m/>
    <m/>
    <m/>
    <m/>
    <m/>
    <m/>
    <m/>
    <n v="9"/>
    <n v="9"/>
  </r>
  <r>
    <n v="7740"/>
    <x v="1"/>
    <s v="2021/3121"/>
    <s v="7 Fairlight Road"/>
    <s v=""/>
    <n v="526967"/>
    <n v="171687"/>
    <x v="0"/>
    <d v="2022-03-31T00:00:00"/>
    <m/>
    <n v="1"/>
    <x v="5"/>
    <x v="5"/>
    <n v="2"/>
    <n v="1"/>
    <x v="1"/>
    <s v="Alterations including erection of mansard roof extension to main rear roof including raising ridge by 300mm, erection of roof extension and formation of roof terrace with 1.7m glazed safety surround above two storey rear addition in connection with creation of 1 x 1-bedroom flat."/>
    <s v="PF"/>
    <d v="2021-07-08T00:00:00"/>
    <d v="2021-09-02T00:00:00"/>
    <x v="0"/>
    <s v="Nil"/>
    <m/>
    <s v="BF"/>
    <s v="EXT"/>
    <x v="2"/>
    <x v="7"/>
    <n v="5.0000000000000001E-3"/>
    <d v="2022-03-31T00:00:00"/>
    <x v="0"/>
    <m/>
    <x v="1"/>
    <s v="M"/>
    <s v=""/>
    <m/>
    <m/>
    <m/>
    <m/>
    <m/>
    <n v="0"/>
    <n v="1"/>
    <n v="0"/>
    <n v="0"/>
    <n v="0"/>
    <n v="0"/>
    <n v="0"/>
    <n v="0"/>
    <n v="1"/>
    <n v="0"/>
    <n v="0"/>
    <n v="0"/>
    <n v="0"/>
    <n v="0"/>
    <n v="0"/>
    <n v="0"/>
    <n v="0"/>
    <n v="0"/>
    <n v="0"/>
    <n v="0"/>
    <n v="0"/>
    <n v="0"/>
    <n v="0"/>
    <n v="0"/>
    <n v="0"/>
    <n v="0"/>
    <n v="0"/>
    <n v="0"/>
    <x v="1"/>
    <x v="0"/>
    <x v="2"/>
    <n v="13"/>
    <m/>
    <n v="1"/>
    <m/>
    <m/>
    <m/>
    <m/>
    <m/>
    <m/>
    <m/>
    <m/>
    <m/>
    <m/>
    <m/>
    <m/>
    <m/>
    <m/>
    <m/>
    <m/>
    <m/>
    <m/>
    <n v="1"/>
    <n v="1"/>
  </r>
  <r>
    <n v="7662"/>
    <x v="1"/>
    <s v="2021/3198"/>
    <s v="34-36 Thurleigh Road"/>
    <s v=""/>
    <n v="527933"/>
    <n v="174081"/>
    <x v="6"/>
    <d v="2023-04-01T00:00:00"/>
    <m/>
    <n v="2"/>
    <x v="5"/>
    <x v="6"/>
    <n v="2"/>
    <n v="0"/>
    <x v="1"/>
    <s v="Demolition of one semi-detached and one detached dwellings and erection of three -storey (plus basement) 4-bedroom semi-detached dwellings."/>
    <s v="PF"/>
    <d v="2021-07-06T00:00:00"/>
    <d v="2021-12-22T00:00:00"/>
    <x v="0"/>
    <s v="Nil"/>
    <m/>
    <s v="BF"/>
    <s v="NB"/>
    <x v="2"/>
    <x v="3"/>
    <n v="1.7874999999999999E-2"/>
    <d v="2023-11-30T00:00:00"/>
    <x v="1"/>
    <m/>
    <x v="1"/>
    <s v="M"/>
    <s v=""/>
    <m/>
    <m/>
    <m/>
    <m/>
    <m/>
    <n v="0"/>
    <n v="0"/>
    <n v="0"/>
    <n v="-2"/>
    <n v="2"/>
    <n v="0"/>
    <n v="0"/>
    <n v="0"/>
    <n v="0"/>
    <n v="0"/>
    <n v="0"/>
    <n v="0"/>
    <n v="0"/>
    <n v="0"/>
    <n v="0"/>
    <n v="0"/>
    <n v="0"/>
    <n v="-2"/>
    <n v="2"/>
    <n v="0"/>
    <n v="0"/>
    <n v="0"/>
    <n v="0"/>
    <n v="0"/>
    <n v="0"/>
    <n v="0"/>
    <n v="0"/>
    <n v="0"/>
    <x v="1"/>
    <x v="0"/>
    <x v="2"/>
    <n v="4"/>
    <m/>
    <n v="0"/>
    <n v="0"/>
    <m/>
    <m/>
    <m/>
    <m/>
    <m/>
    <m/>
    <m/>
    <m/>
    <m/>
    <m/>
    <m/>
    <m/>
    <m/>
    <m/>
    <m/>
    <m/>
    <m/>
    <n v="0"/>
    <n v="0"/>
  </r>
  <r>
    <n v="5353"/>
    <x v="1"/>
    <s v="2021/3214"/>
    <s v="218 Tooting High Street"/>
    <s v=""/>
    <n v="527084"/>
    <n v="170956"/>
    <x v="0"/>
    <d v="2024-01-02T00:00:00"/>
    <m/>
    <n v="1"/>
    <x v="3"/>
    <x v="6"/>
    <n v="1"/>
    <n v="0"/>
    <x v="1"/>
    <s v="Erection of two storey rear building with link to main front building and first floor terraces, provision of cycle and bin storage. Change of use of rear ground floor of front building from residential (C3) to commercial (A1) in connection with provision of 1 x 3 bedroom unit."/>
    <s v="PF"/>
    <d v="2021-08-04T00:00:00"/>
    <d v="2021-11-03T00:00:00"/>
    <x v="0"/>
    <s v="Nil"/>
    <m/>
    <s v="BF"/>
    <s v="MIX"/>
    <x v="2"/>
    <x v="4"/>
    <n v="1.17E-2"/>
    <d v="2024-01-02T00:00:00"/>
    <x v="1"/>
    <m/>
    <x v="1"/>
    <s v="M"/>
    <s v=""/>
    <m/>
    <m/>
    <m/>
    <m/>
    <m/>
    <n v="0"/>
    <n v="0"/>
    <n v="-1"/>
    <n v="1"/>
    <n v="0"/>
    <n v="0"/>
    <n v="0"/>
    <n v="0"/>
    <n v="0"/>
    <n v="-1"/>
    <n v="0"/>
    <n v="0"/>
    <n v="0"/>
    <n v="0"/>
    <n v="0"/>
    <n v="0"/>
    <n v="0"/>
    <n v="1"/>
    <n v="0"/>
    <n v="0"/>
    <n v="0"/>
    <n v="0"/>
    <n v="0"/>
    <n v="0"/>
    <n v="0"/>
    <n v="0"/>
    <n v="0"/>
    <n v="0"/>
    <x v="1"/>
    <x v="0"/>
    <x v="2"/>
    <n v="14"/>
    <m/>
    <n v="0"/>
    <n v="0"/>
    <m/>
    <m/>
    <m/>
    <m/>
    <m/>
    <m/>
    <m/>
    <m/>
    <m/>
    <m/>
    <m/>
    <m/>
    <m/>
    <m/>
    <m/>
    <m/>
    <m/>
    <n v="0"/>
    <n v="0"/>
  </r>
  <r>
    <n v="6657"/>
    <x v="1"/>
    <s v="2021/1291"/>
    <s v="Brocklebank Health Centre, 249 Garratt Lane (and others), 229-247 Garratt Lane (Garratt Lane and Atheldene Regeneration Site)"/>
    <s v="Phase 1 (Block D)"/>
    <n v="525999"/>
    <n v="173647"/>
    <x v="13"/>
    <d v="2022-01-20T00:00:00"/>
    <m/>
    <n v="0"/>
    <x v="5"/>
    <x v="7"/>
    <n v="193"/>
    <n v="182"/>
    <x v="0"/>
    <s v="Submission of details of amendments pursuant to Section 106 agreement attached to planning permission dated 31/07/2020 ref 2017/4141 (Demolition of existing buildings and erection of a mixed use development providing a total of 193 residential units (of both private and affordable tenure) including houses and apartments, with associated amenity space including gardens, balconies and terraces; a new health centre (Class D1 use) (1,873sq.m), a pharmacy (Class A1 use) (94sq.m), two commercial units (flexible Class A1/A2/A3 or B1 use) (189sq.m), within buildings ranging between two and five-storeys high, together with the provision of hard and soft landscaping, enhanced pedestrian routes, and associated car parking and cycle parking, with the development proposed to be constructed in two phases.) to allow an increase in affordable housing provision."/>
    <s v="S106"/>
    <d v="2021-03-05T00:00:00"/>
    <d v="2021-07-19T00:00:00"/>
    <x v="0"/>
    <s v="Nil"/>
    <m/>
    <s v="BF"/>
    <s v="NB"/>
    <x v="1"/>
    <x v="0"/>
    <n v="2E-3"/>
    <d v="2023-04-01T00:00:00"/>
    <x v="1"/>
    <m/>
    <x v="2"/>
    <s v="AL"/>
    <s v=""/>
    <m/>
    <m/>
    <m/>
    <m/>
    <n v="2"/>
    <n v="0"/>
    <n v="0"/>
    <n v="2"/>
    <n v="0"/>
    <n v="0"/>
    <n v="0"/>
    <n v="0"/>
    <n v="0"/>
    <n v="0"/>
    <n v="2"/>
    <n v="0"/>
    <n v="0"/>
    <n v="0"/>
    <n v="0"/>
    <n v="0"/>
    <n v="0"/>
    <n v="0"/>
    <n v="0"/>
    <n v="0"/>
    <n v="0"/>
    <n v="0"/>
    <n v="0"/>
    <n v="0"/>
    <n v="0"/>
    <n v="0"/>
    <n v="0"/>
    <n v="0"/>
    <n v="0"/>
    <x v="1"/>
    <x v="0"/>
    <x v="2"/>
    <n v="5"/>
    <m/>
    <n v="2"/>
    <m/>
    <m/>
    <m/>
    <m/>
    <m/>
    <m/>
    <m/>
    <m/>
    <m/>
    <m/>
    <m/>
    <m/>
    <m/>
    <m/>
    <m/>
    <m/>
    <m/>
    <m/>
    <n v="2"/>
    <n v="2"/>
  </r>
  <r>
    <n v="2708"/>
    <x v="1"/>
    <s v="2021/3346"/>
    <s v="Garages rear of 194, Bedford Hill"/>
    <s v=""/>
    <n v="528946"/>
    <n v="172480"/>
    <x v="18"/>
    <d v="2020-09-01T00:00:00"/>
    <m/>
    <n v="0"/>
    <x v="3"/>
    <x v="5"/>
    <n v="1"/>
    <n v="1"/>
    <x v="1"/>
    <s v="Demolition of existing garages and erection of single storey (plus twostorey basement) 2-bedroom house including alterations to boundary_x000a_walls"/>
    <s v="PF"/>
    <d v="2021-07-21T00:00:00"/>
    <d v="2021-11-12T00:00:00"/>
    <x v="0"/>
    <s v="Nil"/>
    <m/>
    <s v="BF"/>
    <s v="NB"/>
    <x v="2"/>
    <x v="3"/>
    <n v="4.73333E-3"/>
    <d v="2020-09-01T00:00:00"/>
    <x v="0"/>
    <m/>
    <x v="1"/>
    <s v="M"/>
    <s v=""/>
    <m/>
    <m/>
    <m/>
    <m/>
    <m/>
    <n v="0"/>
    <n v="0"/>
    <n v="1"/>
    <n v="0"/>
    <n v="0"/>
    <n v="0"/>
    <n v="0"/>
    <n v="0"/>
    <n v="0"/>
    <n v="0"/>
    <n v="0"/>
    <n v="0"/>
    <n v="0"/>
    <n v="0"/>
    <n v="0"/>
    <n v="0"/>
    <n v="1"/>
    <n v="0"/>
    <n v="0"/>
    <n v="0"/>
    <n v="0"/>
    <n v="0"/>
    <n v="0"/>
    <n v="0"/>
    <n v="0"/>
    <n v="0"/>
    <n v="0"/>
    <n v="0"/>
    <x v="1"/>
    <x v="0"/>
    <x v="2"/>
    <n v="3"/>
    <m/>
    <n v="1"/>
    <m/>
    <m/>
    <m/>
    <m/>
    <m/>
    <m/>
    <m/>
    <m/>
    <m/>
    <m/>
    <m/>
    <m/>
    <m/>
    <m/>
    <m/>
    <m/>
    <m/>
    <m/>
    <n v="1"/>
    <n v="1"/>
  </r>
  <r>
    <n v="7737"/>
    <x v="1"/>
    <s v="2021/3419"/>
    <s v="23 Henning Street"/>
    <s v=""/>
    <n v="527150"/>
    <n v="176534"/>
    <x v="15"/>
    <d v="2023-03-31T00:00:00"/>
    <m/>
    <n v="1"/>
    <x v="3"/>
    <x v="6"/>
    <n v="1"/>
    <n v="0"/>
    <x v="1"/>
    <s v="Alterations including demolition of existing house, retention of existing front facade and erection of two storey (plus roof and basement)  3-bedroom house."/>
    <s v="PF"/>
    <d v="2021-07-27T00:00:00"/>
    <d v="2022-03-01T00:00:00"/>
    <x v="0"/>
    <s v="Nil"/>
    <m/>
    <s v="BF"/>
    <s v="NB"/>
    <x v="2"/>
    <x v="3"/>
    <n v="8.9999999999999993E-3"/>
    <d v="2023-03-31T00:00:00"/>
    <x v="0"/>
    <m/>
    <x v="1"/>
    <s v="M"/>
    <s v=""/>
    <m/>
    <m/>
    <m/>
    <m/>
    <m/>
    <n v="0"/>
    <n v="0"/>
    <n v="0"/>
    <n v="0"/>
    <n v="0"/>
    <n v="0"/>
    <n v="0"/>
    <n v="0"/>
    <n v="0"/>
    <n v="0"/>
    <n v="0"/>
    <n v="0"/>
    <n v="0"/>
    <n v="0"/>
    <n v="0"/>
    <n v="0"/>
    <n v="0"/>
    <n v="0"/>
    <n v="0"/>
    <n v="0"/>
    <n v="0"/>
    <n v="0"/>
    <n v="0"/>
    <n v="0"/>
    <n v="0"/>
    <n v="0"/>
    <n v="0"/>
    <n v="0"/>
    <x v="1"/>
    <x v="0"/>
    <x v="2"/>
    <n v="3"/>
    <m/>
    <n v="0"/>
    <m/>
    <m/>
    <m/>
    <m/>
    <m/>
    <m/>
    <m/>
    <m/>
    <m/>
    <m/>
    <m/>
    <m/>
    <m/>
    <m/>
    <m/>
    <m/>
    <m/>
    <m/>
    <n v="0"/>
    <n v="0"/>
  </r>
  <r>
    <n v="7715"/>
    <x v="1"/>
    <s v="2021/3550"/>
    <s v="Silverdale House, 98-100 Wandsworth High Street"/>
    <s v=""/>
    <n v="525439"/>
    <n v="174719"/>
    <x v="14"/>
    <d v="2022-09-05T00:00:00"/>
    <m/>
    <n v="0"/>
    <x v="29"/>
    <x v="33"/>
    <n v="9"/>
    <n v="9"/>
    <x v="1"/>
    <s v="Erection of six storey building in connection with creation of 2 x 3-bedroom, 1 x 2-bedroom and 6 x 1-bedroom flats with associated refuse and cycle storage."/>
    <s v="PF"/>
    <d v="2021-07-28T00:00:00"/>
    <d v="2022-04-27T00:00:00"/>
    <x v="0"/>
    <s v="Nil"/>
    <m/>
    <s v="BF"/>
    <s v="NB"/>
    <x v="2"/>
    <x v="3"/>
    <n v="1.2999999999999999E-2"/>
    <d v="2022-09-05T00:00:00"/>
    <x v="0"/>
    <m/>
    <x v="1"/>
    <s v="M"/>
    <s v=""/>
    <m/>
    <m/>
    <m/>
    <m/>
    <m/>
    <n v="0"/>
    <n v="6"/>
    <n v="1"/>
    <n v="2"/>
    <n v="0"/>
    <n v="0"/>
    <n v="0"/>
    <n v="0"/>
    <n v="6"/>
    <n v="1"/>
    <n v="2"/>
    <n v="0"/>
    <n v="0"/>
    <n v="0"/>
    <n v="0"/>
    <n v="0"/>
    <n v="0"/>
    <n v="0"/>
    <n v="0"/>
    <n v="0"/>
    <n v="0"/>
    <n v="0"/>
    <n v="0"/>
    <n v="0"/>
    <n v="0"/>
    <n v="0"/>
    <n v="0"/>
    <n v="0"/>
    <x v="4"/>
    <x v="0"/>
    <x v="7"/>
    <n v="3"/>
    <m/>
    <n v="9"/>
    <m/>
    <m/>
    <m/>
    <m/>
    <m/>
    <m/>
    <m/>
    <m/>
    <m/>
    <m/>
    <m/>
    <m/>
    <m/>
    <m/>
    <m/>
    <m/>
    <m/>
    <m/>
    <n v="9"/>
    <n v="9"/>
  </r>
  <r>
    <n v="6657"/>
    <x v="1"/>
    <s v="2021/1291"/>
    <s v="Brocklebank Health Centre, 249 Garratt Lane (and others), 229-247 Garratt Lane (Garratt Lane and Atheldene Regeneration Site)"/>
    <s v="Phase 1 (Houses)"/>
    <n v="525999"/>
    <n v="173647"/>
    <x v="13"/>
    <d v="2022-01-20T00:00:00"/>
    <m/>
    <n v="0"/>
    <x v="5"/>
    <x v="7"/>
    <n v="193"/>
    <n v="182"/>
    <x v="0"/>
    <s v="Submission of details of amendments pursuant to Section 106 agreement attached to planning permission dated 31/07/2020 ref 2017/4141 (Demolition of existing buildings and erection of a mixed use development providing a total of 193 residential units (of both private and affordable tenure) including houses and apartments, with associated amenity space including gardens, balconies and terraces; a new health centre (Class D1 use) (1,873sq.m), a pharmacy (Class A1 use) (94sq.m), two commercial units (flexible Class A1/A2/A3 or B1 use) (189sq.m), within buildings ranging between two and five-storeys high, together with the provision of hard and soft landscaping, enhanced pedestrian routes, and associated car parking and cycle parking, with the development proposed to be constructed in two phases.) to allow an increase in affordable housing provision."/>
    <s v="S106"/>
    <d v="2021-03-05T00:00:00"/>
    <d v="2021-07-19T00:00:00"/>
    <x v="0"/>
    <s v="Nil"/>
    <m/>
    <s v="BF"/>
    <s v="NB"/>
    <x v="1"/>
    <x v="0"/>
    <n v="2E-3"/>
    <d v="2022-01-20T00:00:00"/>
    <x v="0"/>
    <m/>
    <x v="0"/>
    <s v="ISL"/>
    <s v=""/>
    <m/>
    <m/>
    <n v="2"/>
    <m/>
    <m/>
    <n v="0"/>
    <n v="0"/>
    <n v="0"/>
    <n v="2"/>
    <n v="0"/>
    <n v="0"/>
    <n v="0"/>
    <n v="0"/>
    <n v="0"/>
    <n v="0"/>
    <n v="0"/>
    <n v="0"/>
    <n v="0"/>
    <n v="0"/>
    <n v="0"/>
    <n v="0"/>
    <n v="0"/>
    <n v="2"/>
    <n v="0"/>
    <n v="0"/>
    <n v="0"/>
    <n v="0"/>
    <n v="0"/>
    <n v="0"/>
    <n v="0"/>
    <n v="0"/>
    <n v="0"/>
    <n v="0"/>
    <x v="1"/>
    <x v="0"/>
    <x v="2"/>
    <n v="5"/>
    <m/>
    <n v="2"/>
    <m/>
    <m/>
    <m/>
    <m/>
    <m/>
    <m/>
    <m/>
    <m/>
    <m/>
    <m/>
    <m/>
    <m/>
    <m/>
    <m/>
    <m/>
    <m/>
    <m/>
    <m/>
    <n v="2"/>
    <n v="2"/>
  </r>
  <r>
    <n v="6657"/>
    <x v="1"/>
    <s v="2021/1291"/>
    <s v="Brocklebank Health Centre, 249 Garratt Lane (and others), 229-247 Garratt Lane (Garratt Lane and Atheldene Regeneration Site)"/>
    <s v="Phase 1 (Block C)"/>
    <n v="525999"/>
    <n v="173647"/>
    <x v="13"/>
    <d v="2022-01-20T00:00:00"/>
    <m/>
    <n v="11"/>
    <x v="5"/>
    <x v="48"/>
    <n v="193"/>
    <n v="182"/>
    <x v="0"/>
    <s v="Submission of details of amendments pursuant to Section 106 agreement attached to planning permission dated 31/07/2020 ref 2017/4141 (Demolition of existing buildings and erection of a mixed use development providing a total of 193 residential units (of both private and affordable tenure) including houses and apartments, with associated amenity space including gardens, balconies and terraces; a new health centre (Class D1 use) (1,873sq.m), a pharmacy (Class A1 use) (94sq.m), two commercial units (flexible Class A1/A2/A3 or B1 use) (189sq.m), within buildings ranging between two and five-storeys high, together with the provision of hard and soft landscaping, enhanced pedestrian routes, and associated car parking and cycle parking, with the development proposed to be constructed in two phases.) to allow an increase in affordable housing provision."/>
    <s v="S106"/>
    <d v="2021-03-05T00:00:00"/>
    <d v="2021-07-19T00:00:00"/>
    <x v="0"/>
    <s v="Nil"/>
    <m/>
    <s v="BF"/>
    <s v="NB"/>
    <x v="1"/>
    <x v="0"/>
    <n v="2E-3"/>
    <d v="2022-01-20T00:00:00"/>
    <x v="0"/>
    <m/>
    <x v="0"/>
    <s v="IR"/>
    <s v=""/>
    <m/>
    <m/>
    <n v="1"/>
    <m/>
    <n v="1"/>
    <n v="0"/>
    <n v="0"/>
    <n v="-5"/>
    <n v="-4"/>
    <n v="0"/>
    <n v="0"/>
    <n v="0"/>
    <n v="0"/>
    <n v="0"/>
    <n v="-5"/>
    <n v="2"/>
    <n v="0"/>
    <n v="0"/>
    <n v="0"/>
    <n v="0"/>
    <n v="0"/>
    <n v="0"/>
    <n v="-6"/>
    <n v="0"/>
    <n v="0"/>
    <n v="0"/>
    <n v="0"/>
    <n v="0"/>
    <n v="0"/>
    <n v="0"/>
    <n v="0"/>
    <n v="0"/>
    <n v="0"/>
    <x v="1"/>
    <x v="0"/>
    <x v="2"/>
    <n v="5"/>
    <m/>
    <n v="-9"/>
    <m/>
    <m/>
    <m/>
    <m/>
    <m/>
    <m/>
    <m/>
    <m/>
    <m/>
    <m/>
    <m/>
    <m/>
    <m/>
    <m/>
    <m/>
    <m/>
    <m/>
    <m/>
    <n v="-9"/>
    <n v="-9"/>
  </r>
  <r>
    <n v="7335"/>
    <x v="1"/>
    <s v="2021/3897"/>
    <s v="463 Garratt Lane"/>
    <s v=""/>
    <n v="525930"/>
    <n v="173172"/>
    <x v="13"/>
    <d v="2023-03-31T00:00:00"/>
    <m/>
    <n v="1"/>
    <x v="11"/>
    <x v="7"/>
    <n v="3"/>
    <n v="2"/>
    <x v="1"/>
    <s v="Alterations including replacement ground floor front elevation and erection of single-storey rear/side extension in connection with change of use of ground floor from retail (Class E) to residential (Class C3) and provision of 3 x1 bedroom flats with refuse and cycle storage at rear."/>
    <s v="PF"/>
    <d v="2021-08-18T00:00:00"/>
    <d v="2021-10-18T00:00:00"/>
    <x v="0"/>
    <s v="Nil"/>
    <m/>
    <s v="BF"/>
    <s v="EXT"/>
    <x v="2"/>
    <x v="7"/>
    <n v="4.0000000000000001E-3"/>
    <d v="2023-03-31T00:00:00"/>
    <x v="0"/>
    <m/>
    <x v="1"/>
    <s v="M"/>
    <s v=""/>
    <m/>
    <m/>
    <m/>
    <m/>
    <m/>
    <n v="0"/>
    <n v="3"/>
    <n v="0"/>
    <n v="0"/>
    <n v="0"/>
    <n v="-1"/>
    <n v="0"/>
    <n v="0"/>
    <n v="3"/>
    <n v="0"/>
    <n v="0"/>
    <n v="0"/>
    <n v="-1"/>
    <n v="0"/>
    <n v="0"/>
    <n v="0"/>
    <n v="0"/>
    <n v="0"/>
    <n v="0"/>
    <n v="0"/>
    <n v="0"/>
    <n v="0"/>
    <n v="0"/>
    <n v="0"/>
    <n v="0"/>
    <n v="0"/>
    <n v="0"/>
    <n v="0"/>
    <x v="1"/>
    <x v="0"/>
    <x v="5"/>
    <n v="13"/>
    <m/>
    <n v="2"/>
    <m/>
    <m/>
    <m/>
    <m/>
    <m/>
    <m/>
    <m/>
    <m/>
    <m/>
    <m/>
    <m/>
    <m/>
    <m/>
    <m/>
    <m/>
    <m/>
    <m/>
    <m/>
    <n v="2"/>
    <n v="2"/>
  </r>
  <r>
    <n v="2846"/>
    <x v="1"/>
    <s v="2021/4253"/>
    <s v="41 Felsham Road"/>
    <s v=""/>
    <n v="523883"/>
    <n v="175563"/>
    <x v="3"/>
    <d v="2023-12-27T00:00:00"/>
    <m/>
    <n v="1"/>
    <x v="3"/>
    <x v="6"/>
    <n v="1"/>
    <n v="0"/>
    <x v="1"/>
    <s v="Alterations including erection of mansard roof extension to main rear roof (with French doors and safety railings); erection of a three storey (plus basement) rear extension and excavation to enlarge existing basement including formation of a rear lightwell with glazed surround; installation of replacement ground floor front elevation; installation of 2 x air source heat pumps and solar panels to rear roof; in connection with change of use to 1 x 6-bed dwellinghouse (Class C3)"/>
    <s v="PF"/>
    <d v="2021-09-22T00:00:00"/>
    <d v="2022-01-25T00:00:00"/>
    <x v="0"/>
    <s v="Nil"/>
    <m/>
    <s v="BF"/>
    <s v="CON"/>
    <x v="2"/>
    <x v="11"/>
    <n v="3.3600000000000001E-3"/>
    <d v="2023-12-27T00:00:00"/>
    <x v="1"/>
    <m/>
    <x v="1"/>
    <s v="MR"/>
    <s v=""/>
    <m/>
    <m/>
    <m/>
    <m/>
    <m/>
    <n v="0"/>
    <n v="0"/>
    <n v="-1"/>
    <n v="0"/>
    <n v="0"/>
    <n v="1"/>
    <n v="0"/>
    <n v="0"/>
    <n v="0"/>
    <n v="-1"/>
    <n v="0"/>
    <n v="0"/>
    <n v="0"/>
    <n v="0"/>
    <n v="0"/>
    <n v="0"/>
    <n v="0"/>
    <n v="0"/>
    <n v="0"/>
    <n v="1"/>
    <n v="0"/>
    <n v="0"/>
    <n v="0"/>
    <n v="0"/>
    <n v="0"/>
    <n v="0"/>
    <n v="0"/>
    <n v="0"/>
    <x v="1"/>
    <x v="0"/>
    <x v="2"/>
    <n v="14"/>
    <m/>
    <n v="0"/>
    <n v="0"/>
    <m/>
    <m/>
    <m/>
    <m/>
    <m/>
    <m/>
    <m/>
    <m/>
    <m/>
    <m/>
    <m/>
    <m/>
    <m/>
    <m/>
    <m/>
    <m/>
    <m/>
    <n v="0"/>
    <n v="0"/>
  </r>
  <r>
    <n v="7669"/>
    <x v="1"/>
    <s v="2021/4552"/>
    <s v="269 Putney Bridge Road"/>
    <s v=""/>
    <n v="524351"/>
    <n v="175325"/>
    <x v="3"/>
    <d v="2023-06-21T00:00:00"/>
    <m/>
    <n v="2"/>
    <x v="11"/>
    <x v="5"/>
    <n v="3"/>
    <n v="1"/>
    <x v="1"/>
    <s v="Alterations including erection of front and rear mansard roof extension to provide an additional floor of accommodation, second floor level rear extension, and formation of rear balconies at first and second floor levels with 1.7m high privacy screens, together with the creation of 1 x 1-bedroom flat."/>
    <s v="PF"/>
    <d v="2021-10-13T00:00:00"/>
    <d v="2022-01-12T00:00:00"/>
    <x v="0"/>
    <s v="Nil"/>
    <m/>
    <s v="BF"/>
    <s v="EXT"/>
    <x v="2"/>
    <x v="7"/>
    <n v="3.9332999999999998E-3"/>
    <d v="2023-06-21T00:00:00"/>
    <x v="1"/>
    <m/>
    <x v="1"/>
    <s v="M"/>
    <s v=""/>
    <m/>
    <m/>
    <m/>
    <m/>
    <m/>
    <n v="0"/>
    <n v="1"/>
    <n v="0"/>
    <n v="0"/>
    <n v="0"/>
    <n v="0"/>
    <n v="0"/>
    <n v="0"/>
    <n v="1"/>
    <n v="0"/>
    <n v="0"/>
    <n v="0"/>
    <n v="0"/>
    <n v="0"/>
    <n v="0"/>
    <n v="0"/>
    <n v="0"/>
    <n v="0"/>
    <n v="0"/>
    <n v="0"/>
    <n v="0"/>
    <n v="0"/>
    <n v="0"/>
    <n v="0"/>
    <n v="0"/>
    <n v="0"/>
    <n v="0"/>
    <n v="0"/>
    <x v="1"/>
    <x v="0"/>
    <x v="2"/>
    <n v="13"/>
    <m/>
    <n v="1"/>
    <m/>
    <m/>
    <m/>
    <m/>
    <m/>
    <m/>
    <m/>
    <m/>
    <m/>
    <m/>
    <m/>
    <m/>
    <m/>
    <m/>
    <m/>
    <m/>
    <m/>
    <m/>
    <n v="1"/>
    <n v="1"/>
  </r>
  <r>
    <n v="7593"/>
    <x v="1"/>
    <s v="2021/4567"/>
    <s v="285-287 Putney Bridge Road"/>
    <s v=""/>
    <n v="524313"/>
    <n v="175351"/>
    <x v="3"/>
    <d v="2022-03-31T00:00:00"/>
    <m/>
    <n v="0"/>
    <x v="3"/>
    <x v="5"/>
    <n v="3"/>
    <n v="3"/>
    <x v="1"/>
    <s v="Change of use of the ground floor and basement levels from retail/restaurant (Class E)  into residential (Class C3) to provide 2 x 2-bedroom and 1 x 3-bedroom flats and formation of lightwells to rear and side. (Amendments to previous permission ref 2021/0535 dated 31/03/21 to amend the layouts of the flats)."/>
    <s v="PF"/>
    <d v="2021-10-05T00:00:00"/>
    <d v="2021-12-23T00:00:00"/>
    <x v="0"/>
    <s v="Nil"/>
    <m/>
    <s v="BF"/>
    <s v="MIX"/>
    <x v="2"/>
    <x v="4"/>
    <n v="0.01"/>
    <d v="2022-03-31T00:00:00"/>
    <x v="0"/>
    <m/>
    <x v="1"/>
    <s v="M"/>
    <s v=""/>
    <m/>
    <m/>
    <m/>
    <m/>
    <m/>
    <n v="0"/>
    <n v="0"/>
    <n v="0"/>
    <n v="1"/>
    <n v="0"/>
    <n v="0"/>
    <n v="0"/>
    <n v="0"/>
    <n v="0"/>
    <n v="0"/>
    <n v="1"/>
    <n v="0"/>
    <n v="0"/>
    <n v="0"/>
    <n v="0"/>
    <n v="0"/>
    <n v="0"/>
    <n v="0"/>
    <n v="0"/>
    <n v="0"/>
    <n v="0"/>
    <n v="0"/>
    <n v="0"/>
    <n v="0"/>
    <n v="0"/>
    <n v="0"/>
    <n v="0"/>
    <n v="0"/>
    <x v="1"/>
    <x v="0"/>
    <x v="2"/>
    <n v="13"/>
    <m/>
    <n v="1"/>
    <m/>
    <m/>
    <m/>
    <m/>
    <m/>
    <m/>
    <m/>
    <m/>
    <m/>
    <m/>
    <m/>
    <m/>
    <m/>
    <m/>
    <m/>
    <m/>
    <m/>
    <m/>
    <n v="1"/>
    <n v="1"/>
  </r>
  <r>
    <n v="7347"/>
    <x v="1"/>
    <s v="2021/4626"/>
    <s v="157 Fallsbrook Road"/>
    <s v="affordable"/>
    <n v="529142"/>
    <n v="170477"/>
    <x v="9"/>
    <d v="2022-03-31T00:00:00"/>
    <m/>
    <n v="0"/>
    <x v="0"/>
    <x v="0"/>
    <n v="29"/>
    <n v="29"/>
    <x v="0"/>
    <s v="Non-material amendment to planning permission dated 28/01/2020 ref 2020/0473 (Demolition of existing building and construction of a part-three part-four storey building comprising 29 residential units with associated amenity, refuse and cycle provision and landscaping) to allow alterations including changes to the internal general arrangement including changes to stair and lift core, cycle store and unit sizes, and addition of plant room. External changes to fenestration, PV array, lift and stair core overrun and communal terrace."/>
    <s v="S96A"/>
    <d v="2021-10-07T00:00:00"/>
    <d v="2021-11-09T00:00:00"/>
    <x v="0"/>
    <s v="Nil"/>
    <m/>
    <s v="BF"/>
    <s v="NB"/>
    <x v="1"/>
    <x v="0"/>
    <n v="4.4172000000000003E-2"/>
    <d v="2022-04-01T00:00:00"/>
    <x v="0"/>
    <m/>
    <x v="0"/>
    <s v="ISO"/>
    <s v=""/>
    <m/>
    <m/>
    <m/>
    <m/>
    <m/>
    <n v="1"/>
    <n v="1"/>
    <n v="3"/>
    <n v="1"/>
    <n v="0"/>
    <n v="0"/>
    <n v="0"/>
    <n v="1"/>
    <n v="1"/>
    <n v="3"/>
    <n v="1"/>
    <n v="0"/>
    <n v="0"/>
    <n v="0"/>
    <n v="0"/>
    <n v="0"/>
    <n v="0"/>
    <n v="0"/>
    <n v="0"/>
    <n v="0"/>
    <n v="0"/>
    <n v="0"/>
    <n v="0"/>
    <n v="0"/>
    <n v="0"/>
    <n v="0"/>
    <n v="0"/>
    <n v="0"/>
    <x v="1"/>
    <x v="0"/>
    <x v="2"/>
    <n v="6"/>
    <m/>
    <m/>
    <n v="1.5"/>
    <n v="1.5"/>
    <n v="1.5"/>
    <n v="1.5"/>
    <m/>
    <m/>
    <m/>
    <m/>
    <m/>
    <m/>
    <m/>
    <m/>
    <m/>
    <m/>
    <m/>
    <m/>
    <m/>
    <m/>
    <n v="6"/>
    <n v="6"/>
  </r>
  <r>
    <n v="7347"/>
    <x v="1"/>
    <s v="2021/4626"/>
    <s v="157 Fallsbrook Road"/>
    <s v="private"/>
    <n v="529142"/>
    <n v="170477"/>
    <x v="9"/>
    <d v="2022-03-31T00:00:00"/>
    <m/>
    <n v="0"/>
    <x v="67"/>
    <x v="76"/>
    <n v="29"/>
    <n v="29"/>
    <x v="0"/>
    <s v="Non-material amendment to planning permission dated 28/01/2020 ref 2020/0473 (Demolition of existing building and construction of a part-three part-four storey building comprising 29 residential units with associated amenity, refuse and cycle provision and landscaping) to allow alterations including changes to the internal general arrangement including changes to stair and lift core, cycle store and unit sizes, and addition of plant room. External changes to fenestration, PV array, lift and stair core overrun and communal terrace."/>
    <s v="S96A"/>
    <d v="2021-10-07T00:00:00"/>
    <d v="2021-11-09T00:00:00"/>
    <x v="0"/>
    <s v="Nil"/>
    <m/>
    <s v="BF"/>
    <s v="NB"/>
    <x v="1"/>
    <x v="0"/>
    <n v="0.169326"/>
    <d v="2022-04-01T00:00:00"/>
    <x v="0"/>
    <m/>
    <x v="1"/>
    <s v="M"/>
    <s v=""/>
    <m/>
    <m/>
    <m/>
    <m/>
    <m/>
    <n v="0"/>
    <n v="5"/>
    <n v="17"/>
    <n v="1"/>
    <n v="0"/>
    <n v="0"/>
    <n v="0"/>
    <n v="0"/>
    <n v="5"/>
    <n v="17"/>
    <n v="1"/>
    <n v="0"/>
    <n v="0"/>
    <n v="0"/>
    <n v="0"/>
    <n v="0"/>
    <n v="0"/>
    <n v="0"/>
    <n v="0"/>
    <n v="0"/>
    <n v="0"/>
    <n v="0"/>
    <n v="0"/>
    <n v="0"/>
    <n v="0"/>
    <n v="0"/>
    <n v="0"/>
    <n v="0"/>
    <x v="1"/>
    <x v="0"/>
    <x v="2"/>
    <n v="6"/>
    <m/>
    <m/>
    <n v="5.75"/>
    <n v="5.75"/>
    <n v="5.75"/>
    <n v="5.75"/>
    <m/>
    <m/>
    <m/>
    <m/>
    <m/>
    <m/>
    <m/>
    <m/>
    <m/>
    <m/>
    <m/>
    <m/>
    <m/>
    <m/>
    <n v="23"/>
    <n v="23"/>
  </r>
  <r>
    <n v="7686"/>
    <x v="1"/>
    <s v="2021/4704"/>
    <s v="Car Park Space East of 59, Arnal Crescent"/>
    <s v=""/>
    <n v="524336"/>
    <n v="173815"/>
    <x v="5"/>
    <d v="2024-01-16T00:00:00"/>
    <m/>
    <n v="0"/>
    <x v="12"/>
    <x v="15"/>
    <n v="4"/>
    <n v="4"/>
    <x v="1"/>
    <s v="Redevelopment and erection of 2 x two-storey buildings to provide 2 x 2-bedroom and 2 x 1-bedroom flats with associated refuse and cycle storage."/>
    <s v="PF"/>
    <d v="2021-10-28T00:00:00"/>
    <d v="2022-01-25T00:00:00"/>
    <x v="0"/>
    <s v="Nil"/>
    <m/>
    <s v="BF"/>
    <s v="NB"/>
    <x v="2"/>
    <x v="3"/>
    <n v="1.2E-2"/>
    <d v="2024-01-16T00:00:00"/>
    <x v="1"/>
    <m/>
    <x v="1"/>
    <s v="M"/>
    <s v=""/>
    <m/>
    <m/>
    <n v="2"/>
    <m/>
    <m/>
    <n v="0"/>
    <n v="2"/>
    <n v="2"/>
    <n v="0"/>
    <n v="0"/>
    <n v="0"/>
    <n v="0"/>
    <n v="0"/>
    <n v="2"/>
    <n v="2"/>
    <n v="0"/>
    <n v="0"/>
    <n v="0"/>
    <n v="0"/>
    <n v="0"/>
    <n v="0"/>
    <n v="0"/>
    <n v="0"/>
    <n v="0"/>
    <n v="0"/>
    <n v="0"/>
    <n v="0"/>
    <n v="0"/>
    <n v="0"/>
    <n v="0"/>
    <n v="0"/>
    <n v="0"/>
    <n v="0"/>
    <x v="1"/>
    <x v="0"/>
    <x v="2"/>
    <n v="4"/>
    <m/>
    <n v="2"/>
    <n v="2"/>
    <m/>
    <m/>
    <m/>
    <m/>
    <m/>
    <m/>
    <m/>
    <m/>
    <m/>
    <m/>
    <m/>
    <m/>
    <m/>
    <m/>
    <m/>
    <m/>
    <m/>
    <n v="4"/>
    <n v="4"/>
  </r>
  <r>
    <n v="7626"/>
    <x v="1"/>
    <s v="2021/4938"/>
    <s v="11 Spencer Park"/>
    <s v=""/>
    <n v="526794"/>
    <n v="174584"/>
    <x v="14"/>
    <d v="2022-05-26T00:00:00"/>
    <m/>
    <n v="2"/>
    <x v="3"/>
    <x v="3"/>
    <n v="1"/>
    <n v="-1"/>
    <x v="1"/>
    <s v="Change of use of property from a basement flat and maisonette to a single dwelling house (Use Class C3)."/>
    <s v="PF"/>
    <d v="2021-11-12T00:00:00"/>
    <d v="2022-01-07T00:00:00"/>
    <x v="0"/>
    <s v="Nil"/>
    <m/>
    <s v="BF"/>
    <s v="CON"/>
    <x v="2"/>
    <x v="11"/>
    <n v="2E-3"/>
    <d v="2022-05-26T00:00:00"/>
    <x v="0"/>
    <m/>
    <x v="1"/>
    <s v="M"/>
    <s v=""/>
    <m/>
    <m/>
    <m/>
    <m/>
    <m/>
    <n v="0"/>
    <n v="-1"/>
    <n v="0"/>
    <n v="0"/>
    <n v="0"/>
    <n v="0"/>
    <n v="0"/>
    <n v="0"/>
    <n v="-1"/>
    <n v="0"/>
    <n v="0"/>
    <n v="0"/>
    <n v="-1"/>
    <n v="0"/>
    <n v="0"/>
    <n v="0"/>
    <n v="0"/>
    <n v="0"/>
    <n v="0"/>
    <n v="1"/>
    <n v="0"/>
    <n v="0"/>
    <n v="0"/>
    <n v="0"/>
    <n v="0"/>
    <n v="0"/>
    <n v="0"/>
    <n v="0"/>
    <x v="1"/>
    <x v="0"/>
    <x v="2"/>
    <n v="13"/>
    <m/>
    <n v="-1"/>
    <m/>
    <m/>
    <m/>
    <m/>
    <m/>
    <m/>
    <m/>
    <m/>
    <m/>
    <m/>
    <m/>
    <m/>
    <m/>
    <m/>
    <m/>
    <m/>
    <m/>
    <m/>
    <n v="-1"/>
    <n v="-1"/>
  </r>
  <r>
    <n v="7691"/>
    <x v="1"/>
    <s v="2021/4974"/>
    <s v="15 Fairlight Road"/>
    <s v=""/>
    <n v="526952"/>
    <n v="171670"/>
    <x v="0"/>
    <d v="2023-08-14T00:00:00"/>
    <m/>
    <n v="0"/>
    <x v="3"/>
    <x v="5"/>
    <n v="1"/>
    <n v="1"/>
    <x v="1"/>
    <s v="Alterations including erection of mansard roof extension to main rear roof including raising ridge by 300mm, erection of roof extension and formation of roof terrace with 1.7m glazed safety surround above two-storey rear addition in connection with creation of 1 x 1-bedroom flat. Alterations to rear elevation of first floor flat with new juliet balcony."/>
    <s v="PF"/>
    <d v="2021-10-29T00:00:00"/>
    <d v="2021-12-22T00:00:00"/>
    <x v="0"/>
    <s v="Nil"/>
    <m/>
    <s v="BF"/>
    <s v="EXT"/>
    <x v="2"/>
    <x v="7"/>
    <n v="3.7000000000000002E-3"/>
    <d v="2023-08-14T00:00:00"/>
    <x v="1"/>
    <m/>
    <x v="1"/>
    <s v="M"/>
    <s v=""/>
    <m/>
    <m/>
    <m/>
    <m/>
    <m/>
    <n v="0"/>
    <n v="1"/>
    <n v="0"/>
    <n v="0"/>
    <n v="0"/>
    <n v="0"/>
    <n v="0"/>
    <n v="0"/>
    <n v="1"/>
    <n v="0"/>
    <n v="0"/>
    <n v="0"/>
    <n v="0"/>
    <n v="0"/>
    <n v="0"/>
    <n v="0"/>
    <n v="0"/>
    <n v="0"/>
    <n v="0"/>
    <n v="0"/>
    <n v="0"/>
    <n v="0"/>
    <n v="0"/>
    <n v="0"/>
    <n v="0"/>
    <n v="0"/>
    <n v="0"/>
    <n v="0"/>
    <x v="1"/>
    <x v="0"/>
    <x v="2"/>
    <n v="13"/>
    <m/>
    <n v="1"/>
    <m/>
    <m/>
    <m/>
    <m/>
    <m/>
    <m/>
    <m/>
    <m/>
    <m/>
    <m/>
    <m/>
    <m/>
    <m/>
    <m/>
    <m/>
    <m/>
    <m/>
    <m/>
    <n v="1"/>
    <n v="1"/>
  </r>
  <r>
    <n v="7733"/>
    <x v="1"/>
    <s v="2021/5139"/>
    <s v="43-45 Northcote Road"/>
    <s v=""/>
    <n v="527503"/>
    <n v="174993"/>
    <x v="8"/>
    <d v="2022-04-01T00:00:00"/>
    <m/>
    <n v="2"/>
    <x v="24"/>
    <x v="36"/>
    <n v="5"/>
    <n v="3"/>
    <x v="1"/>
    <s v="Demolition of existing three storey building and erection of five storey building  to provide 5 residential units (1 x 1-bed, 3 x 2-bed and 1 x 3-bed units) and use of ground floor as Class E floorspace with associated access, cycle and refuse storage, private amenity space and plant enclosure to rear."/>
    <s v="PF"/>
    <d v="2021-11-09T00:00:00"/>
    <d v="2022-03-28T00:00:00"/>
    <x v="0"/>
    <s v="Nil"/>
    <m/>
    <s v="BF"/>
    <s v="NB"/>
    <x v="2"/>
    <x v="3"/>
    <n v="1.1730000000000001E-2"/>
    <d v="2022-04-01T00:00:00"/>
    <x v="0"/>
    <m/>
    <x v="1"/>
    <s v="M"/>
    <s v=""/>
    <m/>
    <m/>
    <m/>
    <m/>
    <m/>
    <n v="0"/>
    <n v="1"/>
    <n v="3"/>
    <n v="-1"/>
    <n v="0"/>
    <n v="0"/>
    <n v="0"/>
    <n v="0"/>
    <n v="1"/>
    <n v="3"/>
    <n v="-1"/>
    <n v="0"/>
    <n v="0"/>
    <n v="0"/>
    <n v="0"/>
    <n v="0"/>
    <n v="0"/>
    <n v="0"/>
    <n v="0"/>
    <n v="0"/>
    <n v="0"/>
    <n v="0"/>
    <n v="0"/>
    <n v="0"/>
    <n v="0"/>
    <n v="0"/>
    <n v="0"/>
    <n v="0"/>
    <x v="3"/>
    <x v="0"/>
    <x v="3"/>
    <n v="3"/>
    <m/>
    <n v="3"/>
    <m/>
    <m/>
    <m/>
    <m/>
    <m/>
    <m/>
    <m/>
    <m/>
    <m/>
    <m/>
    <m/>
    <m/>
    <m/>
    <m/>
    <m/>
    <m/>
    <m/>
    <m/>
    <n v="3"/>
    <n v="3"/>
  </r>
  <r>
    <n v="3571"/>
    <x v="1"/>
    <s v="2021/5565"/>
    <s v="12 Coverton Road"/>
    <s v=""/>
    <n v="527317"/>
    <n v="171389"/>
    <x v="0"/>
    <d v="2022-12-21T00:00:00"/>
    <m/>
    <n v="2"/>
    <x v="12"/>
    <x v="7"/>
    <n v="4"/>
    <n v="2"/>
    <x v="1"/>
    <s v="Alterations including erection of a mansard roof extension to main rear roof (with French doors and safety railings) including raising ridge by 200mm and extension above the two storey back addition; Erection of single storey rear/side extension; Formation of second floor rear roof terrace with 1.7m glazed surround; In connection with creation of 1 x 3-bedroom, 1 x 2-bedroom and 1 x 1-bedroom and 1 x studio flats, with associated refuse storage to front garden and associate cycle storage."/>
    <s v="PF"/>
    <d v="2021-12-09T00:00:00"/>
    <d v="2022-02-08T00:00:00"/>
    <x v="0"/>
    <s v="Nil"/>
    <m/>
    <s v="BF"/>
    <s v="EXT"/>
    <x v="2"/>
    <x v="7"/>
    <n v="0.01"/>
    <d v="2022-12-21T00:00:00"/>
    <x v="0"/>
    <m/>
    <x v="1"/>
    <s v="M"/>
    <s v=""/>
    <m/>
    <m/>
    <m/>
    <m/>
    <m/>
    <n v="1"/>
    <n v="1"/>
    <n v="0"/>
    <n v="0"/>
    <n v="0"/>
    <n v="0"/>
    <n v="0"/>
    <n v="1"/>
    <n v="1"/>
    <n v="0"/>
    <n v="0"/>
    <n v="0"/>
    <n v="0"/>
    <n v="0"/>
    <n v="0"/>
    <n v="0"/>
    <n v="0"/>
    <n v="0"/>
    <n v="0"/>
    <n v="0"/>
    <n v="0"/>
    <n v="0"/>
    <n v="0"/>
    <n v="0"/>
    <n v="0"/>
    <n v="0"/>
    <n v="0"/>
    <n v="0"/>
    <x v="1"/>
    <x v="0"/>
    <x v="0"/>
    <n v="13"/>
    <m/>
    <n v="2"/>
    <m/>
    <m/>
    <m/>
    <m/>
    <m/>
    <m/>
    <m/>
    <m/>
    <m/>
    <m/>
    <m/>
    <m/>
    <m/>
    <m/>
    <m/>
    <m/>
    <m/>
    <m/>
    <n v="2"/>
    <n v="2"/>
  </r>
  <r>
    <n v="6819"/>
    <x v="1"/>
    <s v="2018/0272"/>
    <s v="Pocklington Court, 74 Alton Road"/>
    <s v="Building B"/>
    <n v="522285"/>
    <n v="173138"/>
    <x v="4"/>
    <d v="2020-01-18T00:00:00"/>
    <m/>
    <n v="0"/>
    <x v="68"/>
    <x v="77"/>
    <n v="95"/>
    <n v="31"/>
    <x v="0"/>
    <s v="Demolition of existing buildings and erection of part 2, 5 and 6 storey buildings comprising 41 No. Class C3 Extra Care units and 54 No. Class C3 intermediate affordable units; landscaping and new public realm; energy centre; new basement/lower ground car park accessed off Alton Road (from existing access point); and a new vehicular access off Alton Road into site."/>
    <s v="PFLA"/>
    <d v="2018-02-19T00:00:00"/>
    <d v="2019-03-15T00:00:00"/>
    <x v="0"/>
    <s v="Nil"/>
    <m/>
    <s v="BF"/>
    <s v="NB"/>
    <x v="1"/>
    <x v="0"/>
    <n v="0.17499999999999999"/>
    <d v="2020-01-18T00:00:00"/>
    <x v="0"/>
    <m/>
    <x v="0"/>
    <s v="IU"/>
    <s v=""/>
    <m/>
    <m/>
    <n v="28"/>
    <m/>
    <m/>
    <n v="0"/>
    <n v="15"/>
    <n v="10"/>
    <n v="3"/>
    <n v="0"/>
    <n v="0"/>
    <n v="0"/>
    <n v="0"/>
    <n v="15"/>
    <n v="10"/>
    <n v="3"/>
    <n v="0"/>
    <n v="0"/>
    <n v="0"/>
    <n v="0"/>
    <n v="0"/>
    <n v="0"/>
    <n v="0"/>
    <n v="0"/>
    <n v="0"/>
    <n v="0"/>
    <n v="0"/>
    <n v="0"/>
    <n v="0"/>
    <n v="0"/>
    <n v="0"/>
    <n v="0"/>
    <n v="0"/>
    <x v="1"/>
    <x v="0"/>
    <x v="2"/>
    <n v="5"/>
    <m/>
    <n v="28"/>
    <m/>
    <m/>
    <m/>
    <m/>
    <m/>
    <m/>
    <m/>
    <m/>
    <m/>
    <m/>
    <m/>
    <m/>
    <m/>
    <m/>
    <m/>
    <m/>
    <m/>
    <m/>
    <n v="28"/>
    <n v="28"/>
  </r>
  <r>
    <n v="6819"/>
    <x v="1"/>
    <s v="2018/0272"/>
    <s v="Pocklington Court, 74 Alton Road"/>
    <s v="Building C"/>
    <n v="522285"/>
    <n v="173138"/>
    <x v="4"/>
    <d v="2020-01-18T00:00:00"/>
    <m/>
    <n v="0"/>
    <x v="69"/>
    <x v="78"/>
    <n v="95"/>
    <n v="31"/>
    <x v="0"/>
    <s v="Demolition of existing buildings and erection of part 2, 5 and 6 storey buildings comprising 41 No. Class C3 Extra Care units and 54 No. Class C3 intermediate affordable units; landscaping and new public realm; energy centre; new basement/lower ground car park accessed off Alton Road (from existing access point); and a new vehicular access off Alton Road into site."/>
    <s v="PFLA"/>
    <d v="2018-02-19T00:00:00"/>
    <d v="2019-03-15T00:00:00"/>
    <x v="0"/>
    <s v="Nil"/>
    <m/>
    <s v="BF"/>
    <s v="NB"/>
    <x v="1"/>
    <x v="0"/>
    <n v="0.16800000000000001"/>
    <d v="2020-01-18T00:00:00"/>
    <x v="0"/>
    <m/>
    <x v="0"/>
    <s v="IU"/>
    <s v=""/>
    <m/>
    <m/>
    <n v="24"/>
    <m/>
    <n v="2"/>
    <n v="0"/>
    <n v="9"/>
    <n v="14"/>
    <n v="3"/>
    <n v="0"/>
    <n v="0"/>
    <n v="0"/>
    <n v="0"/>
    <n v="9"/>
    <n v="14"/>
    <n v="3"/>
    <n v="0"/>
    <n v="0"/>
    <n v="0"/>
    <n v="0"/>
    <n v="0"/>
    <n v="0"/>
    <n v="0"/>
    <n v="0"/>
    <n v="0"/>
    <n v="0"/>
    <n v="0"/>
    <n v="0"/>
    <n v="0"/>
    <n v="0"/>
    <n v="0"/>
    <n v="0"/>
    <n v="0"/>
    <x v="1"/>
    <x v="0"/>
    <x v="2"/>
    <n v="5"/>
    <m/>
    <n v="26"/>
    <m/>
    <m/>
    <m/>
    <m/>
    <m/>
    <m/>
    <m/>
    <m/>
    <m/>
    <m/>
    <m/>
    <m/>
    <m/>
    <m/>
    <m/>
    <m/>
    <m/>
    <m/>
    <n v="26"/>
    <n v="26"/>
  </r>
  <r>
    <n v="7757"/>
    <x v="1"/>
    <s v="2021/5787"/>
    <s v="46 Roedean Crescent"/>
    <s v=""/>
    <n v="521171"/>
    <n v="174284"/>
    <x v="4"/>
    <d v="2023-06-06T00:00:00"/>
    <m/>
    <n v="1"/>
    <x v="3"/>
    <x v="6"/>
    <n v="1"/>
    <n v="0"/>
    <x v="1"/>
    <s v="Demolition of existing house, erection of a two-storey (plus basement) 6-bedroom detached house with a car lift to the front driveway adjacent to the house."/>
    <s v="PF"/>
    <d v="2021-12-22T00:00:00"/>
    <d v="2022-03-07T00:00:00"/>
    <x v="0"/>
    <s v="Nil"/>
    <m/>
    <s v="BF"/>
    <s v="NB"/>
    <x v="2"/>
    <x v="3"/>
    <n v="3.6999999999999998E-2"/>
    <d v="2023-06-06T00:00:00"/>
    <x v="1"/>
    <m/>
    <x v="1"/>
    <s v="M"/>
    <s v=""/>
    <m/>
    <m/>
    <m/>
    <m/>
    <m/>
    <n v="0"/>
    <n v="0"/>
    <n v="0"/>
    <n v="0"/>
    <n v="0"/>
    <n v="0"/>
    <n v="0"/>
    <n v="0"/>
    <n v="0"/>
    <n v="0"/>
    <n v="0"/>
    <n v="0"/>
    <n v="0"/>
    <n v="0"/>
    <n v="0"/>
    <n v="0"/>
    <n v="0"/>
    <n v="0"/>
    <n v="0"/>
    <n v="0"/>
    <n v="0"/>
    <n v="0"/>
    <n v="0"/>
    <n v="0"/>
    <n v="0"/>
    <n v="0"/>
    <n v="0"/>
    <n v="0"/>
    <x v="1"/>
    <x v="0"/>
    <x v="2"/>
    <n v="3"/>
    <m/>
    <n v="0"/>
    <m/>
    <m/>
    <m/>
    <m/>
    <m/>
    <m/>
    <m/>
    <m/>
    <m/>
    <m/>
    <m/>
    <m/>
    <m/>
    <m/>
    <m/>
    <m/>
    <m/>
    <m/>
    <n v="0"/>
    <n v="0"/>
  </r>
  <r>
    <n v="7807"/>
    <x v="1"/>
    <s v="2022/0157"/>
    <s v="Cyril Mansions, 8 &amp; 8a Prince of Wales Drive"/>
    <s v=""/>
    <n v="527872"/>
    <n v="176682"/>
    <x v="2"/>
    <d v="2022-10-13T00:00:00"/>
    <m/>
    <n v="2"/>
    <x v="3"/>
    <x v="3"/>
    <n v="1"/>
    <n v="-1"/>
    <x v="1"/>
    <s v="Alterations to convert 1-bedrom flat and studio flat into a 2-bedroom flat."/>
    <s v="PF"/>
    <d v="2022-06-16T00:00:00"/>
    <d v="2022-08-11T00:00:00"/>
    <x v="0"/>
    <s v="Nil"/>
    <m/>
    <s v="BF"/>
    <s v="CON"/>
    <x v="2"/>
    <x v="1"/>
    <n v="0.01"/>
    <d v="2022-10-13T00:00:00"/>
    <x v="0"/>
    <m/>
    <x v="1"/>
    <s v="M"/>
    <s v=""/>
    <m/>
    <m/>
    <m/>
    <m/>
    <m/>
    <n v="-1"/>
    <n v="-1"/>
    <n v="1"/>
    <n v="0"/>
    <n v="0"/>
    <n v="0"/>
    <n v="0"/>
    <n v="-1"/>
    <n v="-1"/>
    <n v="1"/>
    <n v="0"/>
    <n v="0"/>
    <n v="0"/>
    <n v="0"/>
    <n v="0"/>
    <n v="0"/>
    <n v="0"/>
    <n v="0"/>
    <n v="0"/>
    <n v="0"/>
    <n v="0"/>
    <n v="0"/>
    <n v="0"/>
    <n v="0"/>
    <n v="0"/>
    <n v="0"/>
    <n v="0"/>
    <n v="0"/>
    <x v="1"/>
    <x v="0"/>
    <x v="4"/>
    <n v="13"/>
    <m/>
    <n v="-1"/>
    <m/>
    <m/>
    <m/>
    <m/>
    <m/>
    <m/>
    <m/>
    <m/>
    <m/>
    <m/>
    <m/>
    <m/>
    <m/>
    <m/>
    <m/>
    <m/>
    <m/>
    <m/>
    <n v="-1"/>
    <n v="-1"/>
  </r>
  <r>
    <n v="6819"/>
    <x v="1"/>
    <s v="2018/0272"/>
    <s v="Pocklington Court, 74 Alton Road"/>
    <s v="Building A"/>
    <n v="522285"/>
    <n v="173138"/>
    <x v="4"/>
    <d v="2020-01-18T00:00:00"/>
    <m/>
    <n v="64"/>
    <x v="36"/>
    <x v="79"/>
    <n v="95"/>
    <n v="31"/>
    <x v="0"/>
    <s v="Demolition of existing buildings and erection of part 2, 5 and 6 storey buildings comprising 41 No. Class C3 Extra Care units and 54 No. Class C3 intermediate affordable units; landscaping and new public realm; energy centre; new basement/lower ground car park accessed off Alton Road (from existing access point); and a new vehicular access off Alton Road into site."/>
    <s v="PFLA"/>
    <d v="2018-02-19T00:00:00"/>
    <d v="2019-03-15T00:00:00"/>
    <x v="0"/>
    <s v="Nil"/>
    <m/>
    <s v="BF"/>
    <s v="NB"/>
    <x v="1"/>
    <x v="0"/>
    <n v="0.17799999999999999"/>
    <d v="2020-01-18T00:00:00"/>
    <x v="0"/>
    <m/>
    <x v="2"/>
    <s v="AS"/>
    <s v=""/>
    <m/>
    <m/>
    <n v="33"/>
    <m/>
    <n v="8"/>
    <n v="-53"/>
    <n v="30"/>
    <n v="0"/>
    <n v="0"/>
    <n v="0"/>
    <n v="0"/>
    <n v="0"/>
    <n v="-53"/>
    <n v="30"/>
    <n v="0"/>
    <n v="0"/>
    <n v="0"/>
    <n v="0"/>
    <n v="0"/>
    <n v="0"/>
    <n v="0"/>
    <n v="0"/>
    <n v="0"/>
    <n v="0"/>
    <n v="0"/>
    <n v="0"/>
    <n v="0"/>
    <n v="0"/>
    <n v="0"/>
    <n v="0"/>
    <n v="0"/>
    <n v="0"/>
    <n v="0"/>
    <x v="1"/>
    <x v="0"/>
    <x v="2"/>
    <n v="5"/>
    <m/>
    <n v="-23"/>
    <m/>
    <m/>
    <m/>
    <m/>
    <m/>
    <m/>
    <m/>
    <m/>
    <m/>
    <m/>
    <m/>
    <m/>
    <m/>
    <m/>
    <m/>
    <m/>
    <m/>
    <m/>
    <n v="-23"/>
    <n v="-23"/>
  </r>
  <r>
    <n v="6841"/>
    <x v="1"/>
    <s v="2020/5124"/>
    <s v="Garages south of 156-232, 156-232 Whitlock Drive"/>
    <s v=""/>
    <n v="524290"/>
    <n v="173418"/>
    <x v="5"/>
    <d v="2022-08-30T00:00:00"/>
    <m/>
    <n v="0"/>
    <x v="29"/>
    <x v="33"/>
    <n v="9"/>
    <n v="9"/>
    <x v="1"/>
    <s v="Demolition of existing garages and erection of three-storey (plus basement) residential building comprising 1 x 1-bed, 6 x 2-bed and 2 x 3-bed flats with associated landscaping, underground parking, refuse and cycle storage."/>
    <s v="PF"/>
    <d v="2020-12-24T00:00:00"/>
    <d v="2021-04-22T00:00:00"/>
    <x v="0"/>
    <s v="Nil"/>
    <m/>
    <s v="BF"/>
    <s v="NB"/>
    <x v="2"/>
    <x v="3"/>
    <n v="0.125"/>
    <d v="2022-08-30T00:00:00"/>
    <x v="0"/>
    <m/>
    <x v="2"/>
    <s v="AS"/>
    <s v=""/>
    <m/>
    <m/>
    <m/>
    <m/>
    <m/>
    <n v="0"/>
    <n v="1"/>
    <n v="6"/>
    <n v="2"/>
    <n v="0"/>
    <n v="0"/>
    <n v="0"/>
    <n v="0"/>
    <n v="1"/>
    <n v="6"/>
    <n v="2"/>
    <n v="0"/>
    <n v="0"/>
    <n v="0"/>
    <n v="0"/>
    <n v="0"/>
    <n v="0"/>
    <n v="0"/>
    <n v="0"/>
    <n v="0"/>
    <n v="0"/>
    <n v="0"/>
    <n v="0"/>
    <n v="0"/>
    <n v="0"/>
    <n v="0"/>
    <n v="0"/>
    <n v="0"/>
    <x v="1"/>
    <x v="0"/>
    <x v="2"/>
    <n v="2"/>
    <m/>
    <n v="9"/>
    <m/>
    <m/>
    <m/>
    <m/>
    <m/>
    <m/>
    <m/>
    <m/>
    <m/>
    <m/>
    <m/>
    <m/>
    <m/>
    <m/>
    <m/>
    <m/>
    <m/>
    <m/>
    <n v="9"/>
    <n v="9"/>
  </r>
  <r>
    <n v="3511"/>
    <x v="1"/>
    <s v="2023/3874"/>
    <s v="New Covent Garden Market, Nine Elms Lane (Combined Main Market, Entrance site and Thessaly College site)"/>
    <s v="N2 (Market)"/>
    <n v="529369"/>
    <n v="177317"/>
    <x v="1"/>
    <d v="2019-12-01T00:00:00"/>
    <m/>
    <n v="0"/>
    <x v="70"/>
    <x v="80"/>
    <n v="607"/>
    <n v="607"/>
    <x v="0"/>
    <s v="Application under S96A of the Town &amp; Country Planning Act for 'non-material' amendments (revisions to the approved drawings listed in Condition 1 following detailed design development, including alterations to the unit mix and alteration to core layouts and design and other consequential amendments) to planning permission dated 26/07/2023 ref. 2022/4809."/>
    <s v="S96A"/>
    <d v="2023-10-13T00:00:00"/>
    <d v="2023-11-20T00:00:00"/>
    <x v="1"/>
    <s v="Nil"/>
    <m/>
    <s v="BF"/>
    <s v="NB"/>
    <x v="1"/>
    <x v="0"/>
    <n v="0"/>
    <d v="2019-12-01T00:00:00"/>
    <x v="0"/>
    <m/>
    <x v="1"/>
    <s v="M"/>
    <s v="2.1.27"/>
    <m/>
    <m/>
    <m/>
    <m/>
    <n v="14"/>
    <n v="0"/>
    <n v="26"/>
    <n v="37"/>
    <n v="16"/>
    <n v="2"/>
    <n v="0"/>
    <n v="0"/>
    <n v="0"/>
    <n v="26"/>
    <n v="37"/>
    <n v="16"/>
    <n v="2"/>
    <n v="0"/>
    <n v="0"/>
    <n v="0"/>
    <n v="0"/>
    <n v="0"/>
    <n v="0"/>
    <n v="0"/>
    <n v="0"/>
    <n v="0"/>
    <n v="0"/>
    <n v="0"/>
    <n v="0"/>
    <n v="0"/>
    <n v="0"/>
    <n v="0"/>
    <n v="0"/>
    <x v="1"/>
    <x v="1"/>
    <x v="1"/>
    <n v="5"/>
    <m/>
    <m/>
    <m/>
    <m/>
    <n v="81"/>
    <m/>
    <m/>
    <m/>
    <m/>
    <m/>
    <m/>
    <m/>
    <m/>
    <m/>
    <m/>
    <m/>
    <m/>
    <m/>
    <m/>
    <m/>
    <n v="81"/>
    <n v="81"/>
  </r>
  <r>
    <n v="3511"/>
    <x v="1"/>
    <s v="2023/3874"/>
    <s v="New Covent Garden Market, Nine Elms Lane (Combined Main Market, Entrance site and Thessaly College site)"/>
    <s v="N2 (Affordable)"/>
    <n v="529369"/>
    <n v="177317"/>
    <x v="1"/>
    <d v="2019-12-01T00:00:00"/>
    <m/>
    <n v="0"/>
    <x v="52"/>
    <x v="61"/>
    <n v="607"/>
    <n v="607"/>
    <x v="0"/>
    <s v="Application under S96A of the Town &amp; Country Planning Act for 'non-material' amendments (revisions to the approved drawings listed in Condition 1 following detailed design development, including alterations to the unit mix and alteration to core layouts and design and other consequential amendments) to planning permission dated 26/07/2023 ref. 2022/4809."/>
    <s v="S96A"/>
    <d v="2023-10-13T00:00:00"/>
    <d v="2023-11-20T00:00:00"/>
    <x v="1"/>
    <s v="Nil"/>
    <m/>
    <s v="BF"/>
    <s v="NB"/>
    <x v="1"/>
    <x v="0"/>
    <n v="0"/>
    <d v="2019-12-01T00:00:00"/>
    <x v="0"/>
    <m/>
    <x v="2"/>
    <s v="AU"/>
    <s v="2.1.27"/>
    <m/>
    <m/>
    <m/>
    <m/>
    <n v="9"/>
    <n v="9"/>
    <n v="33"/>
    <n v="8"/>
    <n v="8"/>
    <n v="0"/>
    <n v="0"/>
    <n v="0"/>
    <n v="9"/>
    <n v="33"/>
    <n v="8"/>
    <n v="8"/>
    <n v="0"/>
    <n v="0"/>
    <n v="0"/>
    <n v="0"/>
    <n v="0"/>
    <n v="0"/>
    <n v="0"/>
    <n v="0"/>
    <n v="0"/>
    <n v="0"/>
    <n v="0"/>
    <n v="0"/>
    <n v="0"/>
    <n v="0"/>
    <n v="0"/>
    <n v="0"/>
    <n v="0"/>
    <x v="1"/>
    <x v="1"/>
    <x v="1"/>
    <n v="5"/>
    <m/>
    <m/>
    <m/>
    <m/>
    <n v="58"/>
    <m/>
    <m/>
    <m/>
    <m/>
    <m/>
    <m/>
    <m/>
    <m/>
    <m/>
    <m/>
    <m/>
    <m/>
    <m/>
    <m/>
    <m/>
    <n v="58"/>
    <n v="58"/>
  </r>
  <r>
    <n v="3511"/>
    <x v="1"/>
    <s v="2023/3874"/>
    <s v="New Covent Garden Market, Nine Elms Lane (Combined Main Market, Entrance site and Thessaly College site)"/>
    <s v="N1 (Affordable)"/>
    <n v="529369"/>
    <n v="177317"/>
    <x v="1"/>
    <d v="2019-12-01T00:00:00"/>
    <m/>
    <n v="0"/>
    <x v="71"/>
    <x v="81"/>
    <n v="607"/>
    <n v="607"/>
    <x v="0"/>
    <s v="Application under S96A of the Town &amp; Country Planning Act for 'non-material' amendments (revisions to the approved drawings listed in Condition 1 following detailed design development, including alterations to the unit mix and alteration to core layouts and design and other consequential amendments) to planning permission dated 26/07/2023 ref. 2022/4809."/>
    <s v="S96A"/>
    <d v="2023-10-13T00:00:00"/>
    <d v="2023-11-20T00:00:00"/>
    <x v="1"/>
    <s v="Nil"/>
    <m/>
    <s v="BF"/>
    <s v="NB"/>
    <x v="1"/>
    <x v="0"/>
    <n v="0"/>
    <d v="2019-12-01T00:00:00"/>
    <x v="0"/>
    <m/>
    <x v="2"/>
    <s v="AU"/>
    <s v="2.1.27"/>
    <m/>
    <m/>
    <m/>
    <m/>
    <m/>
    <n v="0"/>
    <n v="1"/>
    <n v="34"/>
    <n v="1"/>
    <n v="0"/>
    <n v="0"/>
    <n v="0"/>
    <n v="0"/>
    <n v="1"/>
    <n v="34"/>
    <n v="1"/>
    <n v="0"/>
    <n v="0"/>
    <n v="0"/>
    <n v="0"/>
    <n v="0"/>
    <n v="0"/>
    <n v="0"/>
    <n v="0"/>
    <n v="0"/>
    <n v="0"/>
    <n v="0"/>
    <n v="0"/>
    <n v="0"/>
    <n v="0"/>
    <n v="0"/>
    <n v="0"/>
    <n v="0"/>
    <x v="1"/>
    <x v="1"/>
    <x v="1"/>
    <n v="5"/>
    <m/>
    <m/>
    <m/>
    <m/>
    <n v="36"/>
    <m/>
    <m/>
    <m/>
    <m/>
    <m/>
    <m/>
    <m/>
    <m/>
    <m/>
    <m/>
    <m/>
    <m/>
    <m/>
    <m/>
    <m/>
    <n v="36"/>
    <n v="36"/>
  </r>
  <r>
    <n v="4718"/>
    <x v="2"/>
    <s v="2021/2031"/>
    <s v="Main Site, Ballymore, cent[?] (Embassy Gardens)"/>
    <s v="Block A"/>
    <n v="529643"/>
    <n v="177593"/>
    <x v="1"/>
    <m/>
    <m/>
    <n v="0"/>
    <x v="72"/>
    <x v="82"/>
    <n v="247"/>
    <n v="247"/>
    <x v="0"/>
    <s v="Details of Reserved Matters (scale, layout, access, external appearance and landscaping) in respect of Plot A01 (Residential Use) Phase 3,  pursuant to condition 3 of planning permission 2011/1815 dated 30th March 2012 (as amended) for demolition of all existing buildings and construction of a mixed use redevelopment to provide residential units, including affordable housing, retail, financial and professional services, café/restaurant, bar and hot food take-away uses, car showrooms, office floorspace and flexible workspace, a hotel, community uses and assembly and leisure uses, associated basement and ground level parking and servicing; energy centres; new vehicle and pedestrian access and circulation; and new public amenity space and landscaping including part of the 'Linear Park'."/>
    <s v="DT"/>
    <d v="2021-06-29T00:00:00"/>
    <d v="2024-03-15T00:00:00"/>
    <x v="1"/>
    <s v="Nil"/>
    <m/>
    <s v="BF"/>
    <s v="NB"/>
    <x v="1"/>
    <x v="0"/>
    <n v="0.78900000000000003"/>
    <m/>
    <x v="0"/>
    <m/>
    <x v="1"/>
    <s v="M"/>
    <s v="2.1.16"/>
    <m/>
    <m/>
    <m/>
    <m/>
    <m/>
    <n v="0"/>
    <n v="10"/>
    <n v="42"/>
    <n v="20"/>
    <n v="0"/>
    <n v="0"/>
    <n v="0"/>
    <n v="0"/>
    <n v="10"/>
    <n v="42"/>
    <n v="20"/>
    <n v="0"/>
    <n v="0"/>
    <n v="0"/>
    <n v="0"/>
    <n v="0"/>
    <n v="0"/>
    <n v="0"/>
    <n v="0"/>
    <n v="0"/>
    <n v="0"/>
    <n v="0"/>
    <n v="0"/>
    <n v="0"/>
    <n v="0"/>
    <n v="0"/>
    <n v="0"/>
    <n v="0"/>
    <x v="1"/>
    <x v="1"/>
    <x v="1"/>
    <n v="10"/>
    <m/>
    <m/>
    <m/>
    <m/>
    <n v="24"/>
    <n v="24"/>
    <n v="24"/>
    <m/>
    <m/>
    <m/>
    <m/>
    <m/>
    <m/>
    <m/>
    <m/>
    <m/>
    <m/>
    <m/>
    <m/>
    <m/>
    <n v="48"/>
    <n v="72"/>
  </r>
  <r>
    <n v="7679"/>
    <x v="1"/>
    <s v="2022/0538"/>
    <s v="82-84 Mitcham Lane"/>
    <s v=""/>
    <n v="529371"/>
    <n v="171218"/>
    <x v="9"/>
    <d v="2022-11-04T00:00:00"/>
    <m/>
    <n v="0"/>
    <x v="9"/>
    <x v="12"/>
    <n v="8"/>
    <n v="8"/>
    <x v="1"/>
    <s v="Erection of four-storey side and rear extensions, conversion of rear part of ground floor to residential with retention of front part as commercial (Class E) use in connection with conversion of building into 8 residential units 1 x 3 bedroom, 6 x 2 bedroom and 1 x 1-bedroom units with associated bin and bike storage and landscaping."/>
    <s v="PF"/>
    <d v="2022-03-07T00:00:00"/>
    <d v="2022-06-30T00:00:00"/>
    <x v="0"/>
    <s v="Nil"/>
    <m/>
    <s v="BF"/>
    <s v="MIX"/>
    <x v="2"/>
    <x v="4"/>
    <n v="1.7649999999999999E-2"/>
    <d v="2022-11-04T00:00:00"/>
    <x v="0"/>
    <m/>
    <x v="1"/>
    <s v="M"/>
    <s v=""/>
    <m/>
    <m/>
    <m/>
    <m/>
    <m/>
    <n v="0"/>
    <n v="1"/>
    <n v="6"/>
    <n v="1"/>
    <n v="0"/>
    <n v="0"/>
    <n v="0"/>
    <n v="0"/>
    <n v="1"/>
    <n v="6"/>
    <n v="1"/>
    <n v="0"/>
    <n v="0"/>
    <n v="0"/>
    <n v="0"/>
    <n v="0"/>
    <n v="0"/>
    <n v="0"/>
    <n v="0"/>
    <n v="0"/>
    <n v="0"/>
    <n v="0"/>
    <n v="0"/>
    <n v="0"/>
    <n v="0"/>
    <n v="0"/>
    <n v="0"/>
    <n v="0"/>
    <x v="1"/>
    <x v="0"/>
    <x v="2"/>
    <n v="13"/>
    <m/>
    <n v="8"/>
    <m/>
    <m/>
    <m/>
    <m/>
    <m/>
    <m/>
    <m/>
    <m/>
    <m/>
    <m/>
    <m/>
    <m/>
    <m/>
    <m/>
    <m/>
    <m/>
    <m/>
    <m/>
    <n v="8"/>
    <n v="8"/>
  </r>
  <r>
    <n v="7808"/>
    <x v="1"/>
    <s v="2022/0721"/>
    <s v="132 Earlsfield Road"/>
    <s v=""/>
    <n v="526318"/>
    <n v="173718"/>
    <x v="13"/>
    <d v="2022-10-13T00:00:00"/>
    <m/>
    <n v="2"/>
    <x v="3"/>
    <x v="3"/>
    <n v="1"/>
    <n v="-1"/>
    <x v="1"/>
    <s v="Alterations including erection of single-storey side/rear extension in connection with deconversion of two flats into a single dwelling house."/>
    <s v="PF"/>
    <d v="2022-02-15T00:00:00"/>
    <d v="2022-04-22T00:00:00"/>
    <x v="0"/>
    <s v="Nil"/>
    <m/>
    <s v="BF"/>
    <s v="CON"/>
    <x v="2"/>
    <x v="11"/>
    <n v="8.0000000000000002E-3"/>
    <d v="2022-10-13T00:00:00"/>
    <x v="0"/>
    <m/>
    <x v="1"/>
    <s v="M"/>
    <s v=""/>
    <m/>
    <m/>
    <m/>
    <m/>
    <m/>
    <n v="0"/>
    <n v="-1"/>
    <n v="0"/>
    <n v="-1"/>
    <n v="0"/>
    <n v="1"/>
    <n v="0"/>
    <n v="0"/>
    <n v="-1"/>
    <n v="0"/>
    <n v="-1"/>
    <n v="0"/>
    <n v="0"/>
    <n v="0"/>
    <n v="0"/>
    <n v="0"/>
    <n v="0"/>
    <n v="0"/>
    <n v="0"/>
    <n v="1"/>
    <n v="0"/>
    <n v="0"/>
    <n v="0"/>
    <n v="0"/>
    <n v="0"/>
    <n v="0"/>
    <n v="0"/>
    <n v="0"/>
    <x v="1"/>
    <x v="0"/>
    <x v="2"/>
    <n v="13"/>
    <m/>
    <n v="-1"/>
    <m/>
    <m/>
    <m/>
    <m/>
    <m/>
    <m/>
    <m/>
    <m/>
    <m/>
    <m/>
    <m/>
    <m/>
    <m/>
    <m/>
    <m/>
    <m/>
    <m/>
    <m/>
    <n v="-1"/>
    <n v="-1"/>
  </r>
  <r>
    <n v="4718"/>
    <x v="2"/>
    <s v="2021/2031"/>
    <s v="Main Site, Ballymore, cent[?] (Embassy Gardens)"/>
    <s v="Block B"/>
    <n v="529643"/>
    <n v="177593"/>
    <x v="1"/>
    <m/>
    <m/>
    <n v="0"/>
    <x v="73"/>
    <x v="83"/>
    <n v="247"/>
    <n v="247"/>
    <x v="0"/>
    <s v="Details of Reserved Matters (scale, layout, access, external appearance and landscaping) in respect of Plot A01 (Residential Use) Phase 3,  pursuant to condition 3 of planning permission 2011/1815 dated 30th March 2012 (as amended) for demolition of all existing buildings and construction of a mixed use redevelopment to provide residential units, including affordable housing, retail, financial and professional services, café/restaurant, bar and hot food take-away uses, car showrooms, office floorspace and flexible workspace, a hotel, community uses and assembly and leisure uses, associated basement and ground level parking and servicing; energy centres; new vehicle and pedestrian access and circulation; and new public amenity space and landscaping including part of the 'Linear Park'."/>
    <s v="DT"/>
    <d v="2021-06-29T00:00:00"/>
    <d v="2024-03-15T00:00:00"/>
    <x v="1"/>
    <s v="Nil"/>
    <m/>
    <s v="BF"/>
    <s v="NB"/>
    <x v="1"/>
    <x v="0"/>
    <n v="1.917419"/>
    <m/>
    <x v="0"/>
    <m/>
    <x v="1"/>
    <s v="M"/>
    <s v="2.1.16"/>
    <m/>
    <m/>
    <m/>
    <m/>
    <m/>
    <n v="18"/>
    <n v="57"/>
    <n v="63"/>
    <n v="37"/>
    <n v="0"/>
    <n v="0"/>
    <n v="0"/>
    <n v="18"/>
    <n v="57"/>
    <n v="63"/>
    <n v="37"/>
    <n v="0"/>
    <n v="0"/>
    <n v="0"/>
    <n v="0"/>
    <n v="0"/>
    <n v="0"/>
    <n v="0"/>
    <n v="0"/>
    <n v="0"/>
    <n v="0"/>
    <n v="0"/>
    <n v="0"/>
    <n v="0"/>
    <n v="0"/>
    <n v="0"/>
    <n v="0"/>
    <n v="0"/>
    <x v="1"/>
    <x v="1"/>
    <x v="1"/>
    <n v="10"/>
    <m/>
    <m/>
    <m/>
    <m/>
    <n v="58.333333333333336"/>
    <n v="58.333333333333336"/>
    <n v="58.333333333333336"/>
    <m/>
    <m/>
    <m/>
    <m/>
    <m/>
    <m/>
    <m/>
    <m/>
    <m/>
    <m/>
    <m/>
    <m/>
    <m/>
    <n v="116.66666666666667"/>
    <n v="175"/>
  </r>
  <r>
    <n v="2654"/>
    <x v="1"/>
    <s v="2022/0788"/>
    <s v="15 Balham High Road"/>
    <s v=""/>
    <n v="528760"/>
    <n v="173705"/>
    <x v="6"/>
    <d v="2023-04-01T00:00:00"/>
    <m/>
    <n v="1"/>
    <x v="11"/>
    <x v="7"/>
    <n v="3"/>
    <n v="2"/>
    <x v="1"/>
    <s v="Alterations including erection of two-storey side extension at first floor, second floor rear extension, rear roof extension, rear terraces at first and second floor and associated bin and bike storage in connection with conversion from C3 Dwelling into 2 x 2-bedroom flats and 1 x studio flat."/>
    <s v="PF"/>
    <d v="2022-04-28T00:00:00"/>
    <d v="2022-07-28T00:00:00"/>
    <x v="0"/>
    <s v="Nil"/>
    <m/>
    <s v="BF"/>
    <s v="CON"/>
    <x v="2"/>
    <x v="10"/>
    <n v="7.0000000000000001E-3"/>
    <d v="2023-04-01T00:00:00"/>
    <x v="1"/>
    <m/>
    <x v="1"/>
    <s v="MR"/>
    <s v=""/>
    <m/>
    <m/>
    <m/>
    <m/>
    <m/>
    <n v="1"/>
    <n v="0"/>
    <n v="2"/>
    <n v="0"/>
    <n v="-1"/>
    <n v="0"/>
    <n v="0"/>
    <n v="1"/>
    <n v="0"/>
    <n v="2"/>
    <n v="0"/>
    <n v="0"/>
    <n v="0"/>
    <n v="0"/>
    <n v="0"/>
    <n v="0"/>
    <n v="0"/>
    <n v="0"/>
    <n v="-1"/>
    <n v="0"/>
    <n v="0"/>
    <n v="0"/>
    <n v="0"/>
    <n v="0"/>
    <n v="0"/>
    <n v="0"/>
    <n v="0"/>
    <n v="0"/>
    <x v="1"/>
    <x v="0"/>
    <x v="9"/>
    <n v="13"/>
    <m/>
    <n v="2"/>
    <m/>
    <m/>
    <m/>
    <m/>
    <m/>
    <m/>
    <m/>
    <m/>
    <m/>
    <m/>
    <m/>
    <m/>
    <m/>
    <m/>
    <m/>
    <m/>
    <m/>
    <m/>
    <n v="2"/>
    <n v="2"/>
  </r>
  <r>
    <n v="3695"/>
    <x v="1"/>
    <s v="2022/0863"/>
    <s v="157-159 Wandsworth High Street"/>
    <s v=""/>
    <n v="525409"/>
    <n v="174671"/>
    <x v="14"/>
    <d v="2022-09-15T00:00:00"/>
    <m/>
    <n v="0"/>
    <x v="3"/>
    <x v="5"/>
    <n v="1"/>
    <n v="1"/>
    <x v="1"/>
    <s v="Determination as to whether prior approval is required for change of use of office (Class E) at part of first floor level to a studio flat (Class C3)."/>
    <s v="PANR"/>
    <d v="2022-03-01T00:00:00"/>
    <d v="2022-04-25T00:00:00"/>
    <x v="0"/>
    <s v="Nil"/>
    <m/>
    <s v="BF"/>
    <s v="COU"/>
    <x v="2"/>
    <x v="6"/>
    <n v="2E-3"/>
    <d v="2022-09-15T00:00:00"/>
    <x v="0"/>
    <m/>
    <x v="1"/>
    <s v="M"/>
    <s v=""/>
    <m/>
    <m/>
    <m/>
    <m/>
    <m/>
    <n v="1"/>
    <n v="0"/>
    <n v="0"/>
    <n v="0"/>
    <n v="0"/>
    <n v="0"/>
    <n v="0"/>
    <n v="1"/>
    <n v="0"/>
    <n v="0"/>
    <n v="0"/>
    <n v="0"/>
    <n v="0"/>
    <n v="0"/>
    <n v="0"/>
    <n v="0"/>
    <n v="0"/>
    <n v="0"/>
    <n v="0"/>
    <n v="0"/>
    <n v="0"/>
    <n v="0"/>
    <n v="0"/>
    <n v="0"/>
    <n v="0"/>
    <n v="0"/>
    <n v="0"/>
    <n v="0"/>
    <x v="4"/>
    <x v="0"/>
    <x v="7"/>
    <n v="13"/>
    <m/>
    <n v="1"/>
    <m/>
    <m/>
    <m/>
    <m/>
    <m/>
    <m/>
    <m/>
    <m/>
    <m/>
    <m/>
    <m/>
    <m/>
    <m/>
    <m/>
    <m/>
    <m/>
    <m/>
    <m/>
    <n v="1"/>
    <n v="1"/>
  </r>
  <r>
    <n v="3695"/>
    <x v="1"/>
    <s v="2022/0867"/>
    <s v="157-159 Wandsworth High Street"/>
    <s v=""/>
    <n v="525409"/>
    <n v="174671"/>
    <x v="14"/>
    <d v="2022-09-15T00:00:00"/>
    <m/>
    <n v="0"/>
    <x v="3"/>
    <x v="5"/>
    <n v="1"/>
    <n v="1"/>
    <x v="1"/>
    <s v="Determination as to whether prior approval is required for change of use of part of first floor from Class E to 1 x 1-bedroom flat (Class C3)."/>
    <s v="PANR"/>
    <d v="2022-03-01T00:00:00"/>
    <d v="2022-04-25T00:00:00"/>
    <x v="0"/>
    <s v="Nil"/>
    <m/>
    <s v="BF"/>
    <s v="COU"/>
    <x v="2"/>
    <x v="6"/>
    <n v="3.0000000000000001E-3"/>
    <d v="2022-09-15T00:00:00"/>
    <x v="0"/>
    <m/>
    <x v="1"/>
    <s v="M"/>
    <s v=""/>
    <m/>
    <m/>
    <m/>
    <m/>
    <m/>
    <n v="0"/>
    <n v="1"/>
    <n v="0"/>
    <n v="0"/>
    <n v="0"/>
    <n v="0"/>
    <n v="0"/>
    <n v="0"/>
    <n v="1"/>
    <n v="0"/>
    <n v="0"/>
    <n v="0"/>
    <n v="0"/>
    <n v="0"/>
    <n v="0"/>
    <n v="0"/>
    <n v="0"/>
    <n v="0"/>
    <n v="0"/>
    <n v="0"/>
    <n v="0"/>
    <n v="0"/>
    <n v="0"/>
    <n v="0"/>
    <n v="0"/>
    <n v="0"/>
    <n v="0"/>
    <n v="0"/>
    <x v="4"/>
    <x v="0"/>
    <x v="7"/>
    <n v="13"/>
    <m/>
    <n v="1"/>
    <m/>
    <m/>
    <m/>
    <m/>
    <m/>
    <m/>
    <m/>
    <m/>
    <m/>
    <m/>
    <m/>
    <m/>
    <m/>
    <m/>
    <m/>
    <m/>
    <m/>
    <m/>
    <n v="1"/>
    <n v="1"/>
  </r>
  <r>
    <n v="5398"/>
    <x v="1"/>
    <s v="2022/1057"/>
    <s v="Land rear of, 143 St Johns Hill"/>
    <s v=""/>
    <n v="526797"/>
    <n v="175059"/>
    <x v="14"/>
    <d v="2023-02-01T00:00:00"/>
    <m/>
    <n v="0"/>
    <x v="5"/>
    <x v="7"/>
    <n v="2"/>
    <n v="2"/>
    <x v="1"/>
    <s v="Erection of two-storey building to provide one  x 2-bedroom and one x 1-bedroom flats with associated refuse and cycle storage."/>
    <s v="PF"/>
    <d v="2022-03-23T00:00:00"/>
    <d v="2022-05-27T00:00:00"/>
    <x v="0"/>
    <s v="Nil"/>
    <m/>
    <s v="BF"/>
    <s v="NB"/>
    <x v="2"/>
    <x v="3"/>
    <n v="6.0000000000000001E-3"/>
    <d v="2023-02-01T00:00:00"/>
    <x v="0"/>
    <m/>
    <x v="1"/>
    <s v="M"/>
    <s v=""/>
    <m/>
    <m/>
    <m/>
    <m/>
    <m/>
    <n v="0"/>
    <n v="1"/>
    <n v="1"/>
    <n v="0"/>
    <n v="0"/>
    <n v="0"/>
    <n v="0"/>
    <n v="0"/>
    <n v="1"/>
    <n v="1"/>
    <n v="0"/>
    <n v="0"/>
    <n v="0"/>
    <n v="0"/>
    <n v="0"/>
    <n v="0"/>
    <n v="0"/>
    <n v="0"/>
    <n v="0"/>
    <n v="0"/>
    <n v="0"/>
    <n v="0"/>
    <n v="0"/>
    <n v="0"/>
    <n v="0"/>
    <n v="0"/>
    <n v="0"/>
    <n v="0"/>
    <x v="1"/>
    <x v="0"/>
    <x v="2"/>
    <n v="3"/>
    <m/>
    <n v="2"/>
    <m/>
    <m/>
    <m/>
    <m/>
    <m/>
    <m/>
    <m/>
    <m/>
    <m/>
    <m/>
    <m/>
    <m/>
    <m/>
    <m/>
    <m/>
    <m/>
    <m/>
    <m/>
    <n v="2"/>
    <n v="2"/>
  </r>
  <r>
    <n v="7817"/>
    <x v="1"/>
    <s v="2022/1132"/>
    <s v="Formerly Flats A&amp;B, 131 St James Drive"/>
    <s v=""/>
    <n v="527600"/>
    <n v="173459"/>
    <x v="10"/>
    <d v="2024-03-31T00:00:00"/>
    <m/>
    <n v="2"/>
    <x v="3"/>
    <x v="3"/>
    <n v="1"/>
    <n v="-1"/>
    <x v="1"/>
    <s v="Conversion of property into single-family dwellinghouse and alterations including erection of mansard roof extension to provide an additional floor of accommodation; erection of three-storey rear extension; extension above back addition and frormation of roof terrace."/>
    <s v="PF"/>
    <d v="2022-05-20T00:00:00"/>
    <d v="2022-08-31T00:00:00"/>
    <x v="0"/>
    <s v="Nil"/>
    <m/>
    <s v="BF"/>
    <s v="CON"/>
    <x v="2"/>
    <x v="11"/>
    <n v="6.1425000000000004E-3"/>
    <d v="2024-03-31T00:00:00"/>
    <x v="1"/>
    <m/>
    <x v="1"/>
    <s v="M"/>
    <s v=""/>
    <m/>
    <m/>
    <m/>
    <m/>
    <m/>
    <n v="0"/>
    <n v="-1"/>
    <n v="0"/>
    <n v="-1"/>
    <n v="0"/>
    <n v="1"/>
    <n v="0"/>
    <n v="0"/>
    <n v="-1"/>
    <n v="0"/>
    <n v="-1"/>
    <n v="0"/>
    <n v="0"/>
    <n v="0"/>
    <n v="0"/>
    <n v="0"/>
    <n v="0"/>
    <n v="0"/>
    <n v="0"/>
    <n v="1"/>
    <n v="0"/>
    <n v="0"/>
    <n v="0"/>
    <n v="0"/>
    <n v="0"/>
    <n v="0"/>
    <n v="0"/>
    <n v="0"/>
    <x v="1"/>
    <x v="0"/>
    <x v="2"/>
    <n v="14"/>
    <m/>
    <n v="-0.5"/>
    <n v="-0.5"/>
    <m/>
    <m/>
    <m/>
    <m/>
    <m/>
    <m/>
    <m/>
    <m/>
    <m/>
    <m/>
    <m/>
    <m/>
    <m/>
    <m/>
    <m/>
    <m/>
    <m/>
    <n v="-1"/>
    <n v="-1"/>
  </r>
  <r>
    <n v="7755"/>
    <x v="1"/>
    <s v="2022/1173"/>
    <s v="28 Muncaster Road"/>
    <s v=""/>
    <n v="527982"/>
    <n v="174908"/>
    <x v="11"/>
    <d v="2022-12-31T00:00:00"/>
    <m/>
    <n v="1"/>
    <x v="3"/>
    <x v="6"/>
    <n v="1"/>
    <n v="0"/>
    <x v="1"/>
    <s v="Alterations including demolition of building with exception of front facade. Erection of two-storey dwelling plus enlarged basement (plus front lightwell) and accommodation at roof level, with dormer extension (including French doors and safety railings plu solar panels to roof). Erection of part single/part three storey rear extension"/>
    <s v="PF"/>
    <d v="2022-03-18T00:00:00"/>
    <d v="2022-05-13T00:00:00"/>
    <x v="0"/>
    <s v="Nil"/>
    <m/>
    <s v="BF"/>
    <s v="NB"/>
    <x v="2"/>
    <x v="3"/>
    <n v="8.0000000000000002E-3"/>
    <d v="2022-12-31T00:00:00"/>
    <x v="0"/>
    <m/>
    <x v="1"/>
    <s v="M"/>
    <s v=""/>
    <m/>
    <m/>
    <m/>
    <m/>
    <m/>
    <n v="0"/>
    <n v="0"/>
    <n v="-1"/>
    <n v="0"/>
    <n v="1"/>
    <n v="0"/>
    <n v="0"/>
    <n v="0"/>
    <n v="0"/>
    <n v="0"/>
    <n v="0"/>
    <n v="0"/>
    <n v="0"/>
    <n v="0"/>
    <n v="0"/>
    <n v="0"/>
    <n v="-1"/>
    <n v="0"/>
    <n v="1"/>
    <n v="0"/>
    <n v="0"/>
    <n v="0"/>
    <n v="0"/>
    <n v="0"/>
    <n v="0"/>
    <n v="0"/>
    <n v="0"/>
    <n v="0"/>
    <x v="1"/>
    <x v="0"/>
    <x v="2"/>
    <n v="3"/>
    <m/>
    <n v="0"/>
    <m/>
    <m/>
    <m/>
    <m/>
    <m/>
    <m/>
    <m/>
    <m/>
    <m/>
    <m/>
    <m/>
    <m/>
    <m/>
    <m/>
    <m/>
    <m/>
    <m/>
    <m/>
    <n v="0"/>
    <n v="0"/>
  </r>
  <r>
    <n v="5339"/>
    <x v="2"/>
    <s v="2021/5839"/>
    <s v="103-111 Mitcham Road"/>
    <s v="Block A"/>
    <n v="527711"/>
    <n v="171233"/>
    <x v="0"/>
    <m/>
    <m/>
    <n v="0"/>
    <x v="28"/>
    <x v="32"/>
    <n v="24"/>
    <n v="24"/>
    <x v="0"/>
    <s v="Partial demolition of existing buildings and erection of part 3/4 storey building (plus basement) to front and part 2/3 storey buildings to rear; change of use of 2 x existing ancillary rear warehouses from storage (Class E) to residential and ancillary storage (Class C3) in connection with provision of commercial use (Class E) on basement and ground floor and provision of 24 residential units (Class C3) on rear ground floor and above with private and communal amenity spaces. Provision of cycle parking, refuse storage and landscaping."/>
    <s v="PFLA"/>
    <d v="2021-12-24T00:00:00"/>
    <d v="2023-06-27T00:00:00"/>
    <x v="1"/>
    <s v="Nil"/>
    <m/>
    <s v="BF"/>
    <s v="MIX"/>
    <x v="1"/>
    <x v="0"/>
    <n v="8.8999999999999996E-2"/>
    <m/>
    <x v="0"/>
    <m/>
    <x v="1"/>
    <s v="M"/>
    <s v=""/>
    <m/>
    <m/>
    <n v="13"/>
    <m/>
    <n v="2"/>
    <n v="1"/>
    <n v="5"/>
    <n v="8"/>
    <n v="1"/>
    <n v="0"/>
    <n v="0"/>
    <n v="0"/>
    <n v="1"/>
    <n v="5"/>
    <n v="8"/>
    <n v="1"/>
    <n v="0"/>
    <n v="0"/>
    <n v="0"/>
    <n v="0"/>
    <n v="0"/>
    <n v="0"/>
    <n v="0"/>
    <n v="0"/>
    <n v="0"/>
    <n v="0"/>
    <n v="0"/>
    <n v="0"/>
    <n v="0"/>
    <n v="0"/>
    <n v="0"/>
    <n v="0"/>
    <n v="0"/>
    <x v="0"/>
    <x v="0"/>
    <x v="0"/>
    <n v="18"/>
    <m/>
    <n v="3.75"/>
    <n v="3.75"/>
    <n v="3.75"/>
    <n v="3.75"/>
    <m/>
    <m/>
    <m/>
    <m/>
    <m/>
    <m/>
    <m/>
    <m/>
    <m/>
    <m/>
    <m/>
    <m/>
    <m/>
    <m/>
    <m/>
    <n v="15"/>
    <n v="15"/>
  </r>
  <r>
    <n v="5339"/>
    <x v="2"/>
    <s v="2021/5839"/>
    <s v="103-111 Mitcham Road"/>
    <s v="Block B"/>
    <n v="527711"/>
    <n v="171233"/>
    <x v="0"/>
    <m/>
    <m/>
    <n v="0"/>
    <x v="0"/>
    <x v="0"/>
    <n v="24"/>
    <n v="24"/>
    <x v="0"/>
    <s v="Partial demolition of existing buildings and erection of part 3/4 storey building (plus basement) to front and part 2/3 storey buildings to rear; change of use of 2 x existing ancillary rear warehouses from storage (Class E) to residential and ancillary storage (Class C3) in connection with provision of commercial use (Class E) on basement and ground floor and provision of 24 residential units (Class C3) on rear ground floor and above with private and communal amenity spaces. Provision of cycle parking, refuse storage and landscaping."/>
    <s v="PFLA"/>
    <d v="2021-12-24T00:00:00"/>
    <d v="2023-06-27T00:00:00"/>
    <x v="1"/>
    <s v="Nil"/>
    <m/>
    <s v="BF"/>
    <s v="MIX"/>
    <x v="1"/>
    <x v="0"/>
    <n v="3.5000000000000003E-2"/>
    <m/>
    <x v="0"/>
    <m/>
    <x v="1"/>
    <s v="M"/>
    <s v=""/>
    <m/>
    <m/>
    <n v="5"/>
    <m/>
    <n v="1"/>
    <n v="0"/>
    <n v="0"/>
    <n v="4"/>
    <n v="2"/>
    <n v="0"/>
    <n v="0"/>
    <n v="0"/>
    <n v="0"/>
    <n v="0"/>
    <n v="4"/>
    <n v="2"/>
    <n v="0"/>
    <n v="0"/>
    <n v="0"/>
    <n v="0"/>
    <n v="0"/>
    <n v="0"/>
    <n v="0"/>
    <n v="0"/>
    <n v="0"/>
    <n v="0"/>
    <n v="0"/>
    <n v="0"/>
    <n v="0"/>
    <n v="0"/>
    <n v="0"/>
    <n v="0"/>
    <n v="0"/>
    <x v="0"/>
    <x v="0"/>
    <x v="0"/>
    <n v="18"/>
    <m/>
    <n v="1.5"/>
    <n v="1.5"/>
    <n v="1.5"/>
    <n v="1.5"/>
    <m/>
    <m/>
    <m/>
    <m/>
    <m/>
    <m/>
    <m/>
    <m/>
    <m/>
    <m/>
    <m/>
    <m/>
    <m/>
    <m/>
    <m/>
    <n v="6"/>
    <n v="6"/>
  </r>
  <r>
    <n v="7382"/>
    <x v="1"/>
    <s v="2022/1789"/>
    <s v="133 Lavender Hill"/>
    <s v=""/>
    <n v="528107"/>
    <n v="175629"/>
    <x v="8"/>
    <d v="2023-06-01T00:00:00"/>
    <m/>
    <n v="1"/>
    <x v="24"/>
    <x v="15"/>
    <n v="5"/>
    <n v="4"/>
    <x v="1"/>
    <s v="Erection of part single, part three-storey rear extension (top floor within roof) with first floor roof terrace, side dormer and external access stairs; replacement of shopfront with wall, windows and two entrance doors; Alterations and extensions in connection with change of use from restaurant (Class E) to 5 x 1-bedroom flats (Class C3)."/>
    <s v="PF"/>
    <d v="2022-10-12T00:00:00"/>
    <d v="2022-12-16T00:00:00"/>
    <x v="0"/>
    <s v="Nil"/>
    <m/>
    <s v="BF"/>
    <s v="MIX"/>
    <x v="2"/>
    <x v="8"/>
    <n v="0.01"/>
    <d v="2023-06-01T00:00:00"/>
    <x v="1"/>
    <m/>
    <x v="1"/>
    <s v="M"/>
    <s v=""/>
    <m/>
    <m/>
    <m/>
    <m/>
    <m/>
    <n v="0"/>
    <n v="5"/>
    <n v="-1"/>
    <n v="0"/>
    <n v="0"/>
    <n v="0"/>
    <n v="0"/>
    <n v="0"/>
    <n v="5"/>
    <n v="-1"/>
    <n v="0"/>
    <n v="0"/>
    <n v="0"/>
    <n v="0"/>
    <n v="0"/>
    <n v="0"/>
    <n v="0"/>
    <n v="0"/>
    <n v="0"/>
    <n v="0"/>
    <n v="0"/>
    <n v="0"/>
    <n v="0"/>
    <n v="0"/>
    <n v="0"/>
    <n v="0"/>
    <n v="0"/>
    <n v="0"/>
    <x v="1"/>
    <x v="0"/>
    <x v="2"/>
    <n v="13"/>
    <m/>
    <n v="4"/>
    <m/>
    <m/>
    <m/>
    <m/>
    <m/>
    <m/>
    <m/>
    <m/>
    <m/>
    <m/>
    <m/>
    <m/>
    <m/>
    <m/>
    <m/>
    <m/>
    <m/>
    <m/>
    <n v="4"/>
    <n v="4"/>
  </r>
  <r>
    <n v="7858"/>
    <x v="1"/>
    <s v="2022/2246"/>
    <s v="148 Church Lane"/>
    <s v=""/>
    <n v="528443"/>
    <n v="171438"/>
    <x v="19"/>
    <d v="2023-04-24T00:00:00"/>
    <m/>
    <n v="1"/>
    <x v="11"/>
    <x v="7"/>
    <n v="3"/>
    <n v="2"/>
    <x v="1"/>
    <s v="Alterations including erection of side and rear roof extensions with ridge raise, extension above two-storey back addition and erection of single storey side/rear extension, in connection with conversion of property into 1 x 3- bedroom  and 2 x 2-bedroom flats with associated boundary treatment, landscaping, refuse and cycle storage within front garden."/>
    <s v="PF"/>
    <d v="2022-05-30T00:00:00"/>
    <d v="2022-07-25T00:00:00"/>
    <x v="0"/>
    <s v="Nil"/>
    <m/>
    <s v="BF"/>
    <s v="MIX"/>
    <x v="2"/>
    <x v="10"/>
    <n v="8.0333330000000001E-3"/>
    <d v="2023-04-24T00:00:00"/>
    <x v="1"/>
    <m/>
    <x v="1"/>
    <s v="M"/>
    <s v=""/>
    <m/>
    <m/>
    <m/>
    <m/>
    <m/>
    <n v="0"/>
    <n v="0"/>
    <n v="2"/>
    <n v="0"/>
    <n v="0"/>
    <n v="0"/>
    <n v="0"/>
    <n v="0"/>
    <n v="0"/>
    <n v="2"/>
    <n v="1"/>
    <n v="0"/>
    <n v="0"/>
    <n v="0"/>
    <n v="0"/>
    <n v="0"/>
    <n v="0"/>
    <n v="-1"/>
    <n v="0"/>
    <n v="0"/>
    <n v="0"/>
    <n v="0"/>
    <n v="0"/>
    <n v="0"/>
    <n v="0"/>
    <n v="0"/>
    <n v="0"/>
    <n v="0"/>
    <x v="1"/>
    <x v="0"/>
    <x v="2"/>
    <n v="13"/>
    <m/>
    <n v="2"/>
    <m/>
    <m/>
    <m/>
    <m/>
    <m/>
    <m/>
    <m/>
    <m/>
    <m/>
    <m/>
    <m/>
    <m/>
    <m/>
    <m/>
    <m/>
    <m/>
    <m/>
    <m/>
    <n v="2"/>
    <n v="2"/>
  </r>
  <r>
    <n v="7859"/>
    <x v="1"/>
    <s v="2022/2352"/>
    <s v="13 Gwendolen Avenue"/>
    <s v=""/>
    <n v="523549"/>
    <n v="175035"/>
    <x v="16"/>
    <d v="2023-08-01T00:00:00"/>
    <m/>
    <n v="2"/>
    <x v="3"/>
    <x v="3"/>
    <n v="1"/>
    <n v="-1"/>
    <x v="1"/>
    <s v="Alterations including demolition and replacement of single and two-storey rear additions; excavation to enlarge basement and install front and rear lightwells and construction of a swimming pool;  erection of extension to main roof with rear and side dormers; erection of front boundary wall with railings and gates, external repairs and refurbishment works in connection with use as a single dwelling house."/>
    <s v="PF"/>
    <d v="2022-06-28T00:00:00"/>
    <d v="2022-12-06T00:00:00"/>
    <x v="0"/>
    <s v="Nil"/>
    <m/>
    <s v="BF"/>
    <s v="CON"/>
    <x v="2"/>
    <x v="11"/>
    <n v="2.5100000000000001E-2"/>
    <d v="2023-08-01T00:00:00"/>
    <x v="1"/>
    <m/>
    <x v="1"/>
    <s v="M"/>
    <s v=""/>
    <m/>
    <m/>
    <m/>
    <m/>
    <m/>
    <n v="0"/>
    <n v="-1"/>
    <n v="0"/>
    <n v="0"/>
    <n v="0"/>
    <n v="0"/>
    <n v="0"/>
    <n v="0"/>
    <n v="-1"/>
    <n v="0"/>
    <n v="0"/>
    <n v="0"/>
    <n v="-1"/>
    <n v="0"/>
    <n v="0"/>
    <n v="0"/>
    <n v="0"/>
    <n v="0"/>
    <n v="0"/>
    <n v="1"/>
    <n v="0"/>
    <n v="0"/>
    <n v="0"/>
    <n v="0"/>
    <n v="0"/>
    <n v="0"/>
    <n v="0"/>
    <n v="0"/>
    <x v="1"/>
    <x v="0"/>
    <x v="2"/>
    <n v="13"/>
    <m/>
    <n v="-1"/>
    <m/>
    <m/>
    <m/>
    <m/>
    <m/>
    <m/>
    <m/>
    <m/>
    <m/>
    <m/>
    <m/>
    <m/>
    <m/>
    <m/>
    <m/>
    <m/>
    <m/>
    <m/>
    <n v="-1"/>
    <n v="-1"/>
  </r>
  <r>
    <n v="6990"/>
    <x v="1"/>
    <s v="2022/2515"/>
    <s v="19a St Anns Park Road"/>
    <s v=""/>
    <n v="526243"/>
    <n v="174114"/>
    <x v="13"/>
    <d v="2024-03-31T00:00:00"/>
    <m/>
    <n v="1"/>
    <x v="3"/>
    <x v="6"/>
    <n v="1"/>
    <n v="0"/>
    <x v="1"/>
    <s v="Demolition of existing building and erection of a two-storey (plus basement) 3-bedroom detached house including associated landscaping, cycle and refuse storage."/>
    <s v="PF"/>
    <d v="2022-06-15T00:00:00"/>
    <d v="2022-09-15T00:00:00"/>
    <x v="0"/>
    <s v="Nil"/>
    <m/>
    <s v="BF"/>
    <s v="NB"/>
    <x v="2"/>
    <x v="3"/>
    <n v="4.7499999999999999E-3"/>
    <d v="2024-03-31T00:00:00"/>
    <x v="1"/>
    <m/>
    <x v="1"/>
    <s v="M"/>
    <s v=""/>
    <m/>
    <m/>
    <m/>
    <m/>
    <m/>
    <n v="0"/>
    <n v="-1"/>
    <n v="0"/>
    <n v="1"/>
    <n v="0"/>
    <n v="0"/>
    <n v="0"/>
    <n v="0"/>
    <n v="0"/>
    <n v="0"/>
    <n v="0"/>
    <n v="0"/>
    <n v="0"/>
    <n v="0"/>
    <n v="0"/>
    <n v="-1"/>
    <n v="0"/>
    <n v="1"/>
    <n v="0"/>
    <n v="0"/>
    <n v="0"/>
    <n v="0"/>
    <n v="0"/>
    <n v="0"/>
    <n v="0"/>
    <n v="0"/>
    <n v="0"/>
    <n v="0"/>
    <x v="1"/>
    <x v="0"/>
    <x v="2"/>
    <n v="4"/>
    <m/>
    <n v="0"/>
    <n v="0"/>
    <m/>
    <m/>
    <m/>
    <m/>
    <m/>
    <m/>
    <m/>
    <m/>
    <m/>
    <m/>
    <m/>
    <m/>
    <m/>
    <m/>
    <m/>
    <m/>
    <m/>
    <n v="0"/>
    <n v="0"/>
  </r>
  <r>
    <n v="7863"/>
    <x v="1"/>
    <s v="2022/2530"/>
    <s v="178 Mitcham Road"/>
    <s v=""/>
    <n v="527882"/>
    <n v="170985"/>
    <x v="0"/>
    <d v="2023-11-01T00:00:00"/>
    <m/>
    <n v="2"/>
    <x v="11"/>
    <x v="5"/>
    <n v="4"/>
    <n v="2"/>
    <x v="1"/>
    <s v="Alterations including erection of roof extensions to the main rear roof and above the back addition and erection of part single, part three-storey side and rear extension with first floor terrace in connection with partial change of use from restaurant (Class E) to residential (Class C3) to provide 2 x 1-bedroom and 2 x 2-bedroom flats with the retention of commercial space (Class E) at front ground floor, and associated refuse and cycle storage."/>
    <s v="PF"/>
    <d v="2022-06-16T00:00:00"/>
    <d v="2022-10-13T00:00:00"/>
    <x v="0"/>
    <s v="Nil"/>
    <m/>
    <s v="BF"/>
    <s v="MIX"/>
    <x v="2"/>
    <x v="5"/>
    <n v="9.8300000000000002E-3"/>
    <d v="2023-11-01T00:00:00"/>
    <x v="1"/>
    <m/>
    <x v="1"/>
    <s v="MR"/>
    <s v=""/>
    <m/>
    <m/>
    <m/>
    <m/>
    <m/>
    <n v="-1"/>
    <n v="1"/>
    <n v="2"/>
    <n v="0"/>
    <n v="-1"/>
    <n v="0"/>
    <n v="0"/>
    <n v="-1"/>
    <n v="1"/>
    <n v="2"/>
    <n v="0"/>
    <n v="-1"/>
    <n v="0"/>
    <n v="0"/>
    <n v="0"/>
    <n v="0"/>
    <n v="0"/>
    <n v="0"/>
    <n v="0"/>
    <n v="0"/>
    <n v="0"/>
    <n v="0"/>
    <n v="0"/>
    <n v="0"/>
    <n v="0"/>
    <n v="0"/>
    <n v="0"/>
    <n v="0"/>
    <x v="1"/>
    <x v="0"/>
    <x v="0"/>
    <n v="14"/>
    <m/>
    <n v="0.5"/>
    <n v="0.5"/>
    <m/>
    <m/>
    <m/>
    <m/>
    <m/>
    <m/>
    <m/>
    <m/>
    <m/>
    <m/>
    <m/>
    <m/>
    <m/>
    <m/>
    <m/>
    <m/>
    <m/>
    <n v="1"/>
    <n v="1"/>
  </r>
  <r>
    <n v="7863"/>
    <x v="1"/>
    <s v="2022/2530"/>
    <s v="178 Mitcham Road"/>
    <s v="Studio"/>
    <n v="527882"/>
    <n v="170985"/>
    <x v="0"/>
    <d v="2023-11-01T00:00:00"/>
    <m/>
    <n v="0"/>
    <x v="3"/>
    <x v="5"/>
    <n v="4"/>
    <n v="2"/>
    <x v="1"/>
    <s v="Alterations including erection of roof extensions to the main rear roof and above the back addition and erection of part single, part three-storey side and rear extension with first floor terrace in connection with partial change of use from restaurant (Class E) to residential (Class C3) to provide 2 x 1-bedroom and 2 x 2-bedroom flats with the retention of commercial space (Class E) at front ground floor, and associated refuse and cycle storage."/>
    <s v="PF"/>
    <d v="2022-06-16T00:00:00"/>
    <d v="2022-10-13T00:00:00"/>
    <x v="0"/>
    <s v="Nil"/>
    <m/>
    <s v="BF"/>
    <s v="MIX"/>
    <x v="2"/>
    <x v="7"/>
    <n v="3.7399999999999998E-3"/>
    <d v="2023-11-01T00:00:00"/>
    <x v="1"/>
    <m/>
    <x v="1"/>
    <s v="MR"/>
    <s v=""/>
    <m/>
    <m/>
    <m/>
    <m/>
    <m/>
    <n v="1"/>
    <n v="0"/>
    <n v="0"/>
    <n v="0"/>
    <n v="0"/>
    <n v="0"/>
    <n v="0"/>
    <n v="1"/>
    <n v="0"/>
    <n v="0"/>
    <n v="0"/>
    <n v="0"/>
    <n v="0"/>
    <n v="0"/>
    <n v="0"/>
    <n v="0"/>
    <n v="0"/>
    <n v="0"/>
    <n v="0"/>
    <n v="0"/>
    <n v="0"/>
    <n v="0"/>
    <n v="0"/>
    <n v="0"/>
    <n v="0"/>
    <n v="0"/>
    <n v="0"/>
    <n v="0"/>
    <x v="1"/>
    <x v="0"/>
    <x v="0"/>
    <n v="14"/>
    <m/>
    <n v="0.5"/>
    <n v="0.5"/>
    <m/>
    <m/>
    <m/>
    <m/>
    <m/>
    <m/>
    <m/>
    <m/>
    <m/>
    <m/>
    <m/>
    <m/>
    <m/>
    <m/>
    <m/>
    <m/>
    <m/>
    <n v="1"/>
    <n v="1"/>
  </r>
  <r>
    <n v="7585"/>
    <x v="1"/>
    <s v="2022/2622"/>
    <s v="55 Trinity Road"/>
    <s v=""/>
    <n v="527885"/>
    <n v="172457"/>
    <x v="19"/>
    <d v="2023-06-01T00:00:00"/>
    <m/>
    <n v="0"/>
    <x v="3"/>
    <x v="5"/>
    <n v="1"/>
    <n v="1"/>
    <x v="1"/>
    <s v="Determination as to whether prior approval is required for change of use from retail (Class E) to mixed use as a  1 x studio (Class C3) and shop (Class E) with associated external and internal alterations."/>
    <s v="PAG"/>
    <d v="2022-06-24T00:00:00"/>
    <d v="2022-08-15T00:00:00"/>
    <x v="0"/>
    <s v="Nil"/>
    <m/>
    <s v="BF"/>
    <s v="COU"/>
    <x v="2"/>
    <x v="4"/>
    <n v="4.0000000000000001E-3"/>
    <d v="2023-06-01T00:00:00"/>
    <x v="1"/>
    <m/>
    <x v="1"/>
    <s v="M"/>
    <s v=""/>
    <m/>
    <m/>
    <m/>
    <m/>
    <m/>
    <n v="1"/>
    <n v="0"/>
    <n v="0"/>
    <n v="0"/>
    <n v="0"/>
    <n v="0"/>
    <n v="0"/>
    <n v="1"/>
    <n v="0"/>
    <n v="0"/>
    <n v="0"/>
    <n v="0"/>
    <n v="0"/>
    <n v="0"/>
    <n v="0"/>
    <n v="0"/>
    <n v="0"/>
    <n v="0"/>
    <n v="0"/>
    <n v="0"/>
    <n v="0"/>
    <n v="0"/>
    <n v="0"/>
    <n v="0"/>
    <n v="0"/>
    <n v="0"/>
    <n v="0"/>
    <n v="0"/>
    <x v="1"/>
    <x v="0"/>
    <x v="2"/>
    <n v="13"/>
    <m/>
    <n v="1"/>
    <m/>
    <m/>
    <m/>
    <m/>
    <m/>
    <m/>
    <m/>
    <m/>
    <m/>
    <m/>
    <m/>
    <m/>
    <m/>
    <m/>
    <m/>
    <m/>
    <m/>
    <m/>
    <n v="1"/>
    <n v="1"/>
  </r>
  <r>
    <n v="7866"/>
    <x v="1"/>
    <s v="2022/2665"/>
    <s v="109 Northcote Road"/>
    <s v=""/>
    <n v="527553"/>
    <n v="174743"/>
    <x v="11"/>
    <d v="2023-03-31T00:00:00"/>
    <m/>
    <n v="1"/>
    <x v="5"/>
    <x v="5"/>
    <n v="2"/>
    <n v="1"/>
    <x v="1"/>
    <s v="Alterations including roof extension and changes to the roof pitch. Erection of mansard/dormer roof extension to main rear roof. Installation of 1.7m high obscure glazing to first floor terrace on all sides and formation of new roof terrace above existing back addition with 1.7m obscure glazing along sides. Erection of part single/part two storey rear and side extensions.  Replacement of existing windows and alterations to rear and side fenestrations, in connection with conversion from single dwelling into 1 x 2-bedroom and 1 x 3-bedroom flats with associated refuse and cycle storage."/>
    <s v="PF"/>
    <d v="2022-08-09T00:00:00"/>
    <d v="2022-11-08T00:00:00"/>
    <x v="0"/>
    <s v="Nil"/>
    <m/>
    <s v="BF"/>
    <s v="CON"/>
    <x v="2"/>
    <x v="10"/>
    <n v="7.1599999999999997E-3"/>
    <d v="2023-03-31T00:00:00"/>
    <x v="0"/>
    <m/>
    <x v="1"/>
    <s v="MR"/>
    <s v=""/>
    <m/>
    <m/>
    <m/>
    <m/>
    <m/>
    <n v="0"/>
    <n v="0"/>
    <n v="1"/>
    <n v="1"/>
    <n v="-1"/>
    <n v="0"/>
    <n v="0"/>
    <n v="0"/>
    <n v="0"/>
    <n v="1"/>
    <n v="1"/>
    <n v="0"/>
    <n v="0"/>
    <n v="0"/>
    <n v="0"/>
    <n v="0"/>
    <n v="0"/>
    <n v="0"/>
    <n v="-1"/>
    <n v="0"/>
    <n v="0"/>
    <n v="0"/>
    <n v="0"/>
    <n v="0"/>
    <n v="0"/>
    <n v="0"/>
    <n v="0"/>
    <n v="0"/>
    <x v="1"/>
    <x v="0"/>
    <x v="3"/>
    <n v="13"/>
    <m/>
    <n v="1"/>
    <m/>
    <m/>
    <m/>
    <m/>
    <m/>
    <m/>
    <m/>
    <m/>
    <m/>
    <m/>
    <m/>
    <m/>
    <m/>
    <m/>
    <m/>
    <m/>
    <m/>
    <m/>
    <n v="1"/>
    <n v="1"/>
  </r>
  <r>
    <n v="7864"/>
    <x v="1"/>
    <s v="2022/3059"/>
    <s v="Cemetery Lodge, 240 Lower Richmond Road"/>
    <s v=""/>
    <n v="522892"/>
    <n v="175932"/>
    <x v="3"/>
    <d v="2023-09-25T00:00:00"/>
    <m/>
    <n v="1"/>
    <x v="3"/>
    <x v="6"/>
    <n v="1"/>
    <n v="0"/>
    <x v="1"/>
    <s v="Change of use of the ground floor from residential (Class C3) to cafe (Class E) with residential on first floor. Alterations to include the erection of a ground floor extension and removal of boundary walls."/>
    <s v="PF"/>
    <d v="2022-07-21T00:00:00"/>
    <d v="2022-09-23T00:00:00"/>
    <x v="0"/>
    <s v="Nil"/>
    <m/>
    <s v="BF"/>
    <s v="CON"/>
    <x v="2"/>
    <x v="9"/>
    <n v="3.5000000000000001E-3"/>
    <d v="2023-09-25T00:00:00"/>
    <x v="1"/>
    <m/>
    <x v="1"/>
    <s v="M"/>
    <s v=""/>
    <m/>
    <m/>
    <m/>
    <m/>
    <m/>
    <n v="0"/>
    <n v="1"/>
    <n v="-1"/>
    <n v="0"/>
    <n v="0"/>
    <n v="0"/>
    <n v="0"/>
    <n v="0"/>
    <n v="1"/>
    <n v="0"/>
    <n v="0"/>
    <n v="0"/>
    <n v="0"/>
    <n v="0"/>
    <n v="0"/>
    <n v="0"/>
    <n v="-1"/>
    <n v="0"/>
    <n v="0"/>
    <n v="0"/>
    <n v="0"/>
    <n v="0"/>
    <n v="0"/>
    <n v="0"/>
    <n v="0"/>
    <n v="0"/>
    <n v="0"/>
    <n v="0"/>
    <x v="1"/>
    <x v="0"/>
    <x v="2"/>
    <n v="13"/>
    <m/>
    <n v="0"/>
    <m/>
    <m/>
    <m/>
    <m/>
    <m/>
    <m/>
    <m/>
    <m/>
    <m/>
    <m/>
    <m/>
    <m/>
    <m/>
    <m/>
    <m/>
    <m/>
    <m/>
    <m/>
    <n v="0"/>
    <n v="0"/>
  </r>
  <r>
    <n v="7750"/>
    <x v="1"/>
    <s v="2022/3403"/>
    <s v="Land South of 5, Tennyson Street"/>
    <s v=""/>
    <n v="528671"/>
    <n v="176005"/>
    <x v="20"/>
    <d v="2024-03-31T00:00:00"/>
    <m/>
    <n v="0"/>
    <x v="3"/>
    <x v="5"/>
    <n v="1"/>
    <n v="1"/>
    <x v="1"/>
    <s v="Erection of a three-storey dwelling house."/>
    <s v="PF"/>
    <d v="2022-08-15T00:00:00"/>
    <d v="2022-10-24T00:00:00"/>
    <x v="0"/>
    <s v="Nil"/>
    <m/>
    <s v="BF"/>
    <s v="NB"/>
    <x v="2"/>
    <x v="3"/>
    <n v="5.45E-3"/>
    <d v="2024-03-31T00:00:00"/>
    <x v="1"/>
    <m/>
    <x v="1"/>
    <s v="M"/>
    <s v=""/>
    <m/>
    <m/>
    <m/>
    <m/>
    <m/>
    <n v="0"/>
    <n v="0"/>
    <n v="0"/>
    <n v="1"/>
    <n v="0"/>
    <n v="0"/>
    <n v="0"/>
    <n v="0"/>
    <n v="0"/>
    <n v="0"/>
    <n v="0"/>
    <n v="0"/>
    <n v="0"/>
    <n v="0"/>
    <n v="0"/>
    <n v="0"/>
    <n v="0"/>
    <n v="1"/>
    <n v="0"/>
    <n v="0"/>
    <n v="0"/>
    <n v="0"/>
    <n v="0"/>
    <n v="0"/>
    <n v="0"/>
    <n v="0"/>
    <n v="0"/>
    <n v="0"/>
    <x v="1"/>
    <x v="0"/>
    <x v="2"/>
    <n v="4"/>
    <m/>
    <n v="0.5"/>
    <n v="0.5"/>
    <m/>
    <m/>
    <m/>
    <m/>
    <m/>
    <m/>
    <m/>
    <m/>
    <m/>
    <m/>
    <m/>
    <m/>
    <m/>
    <m/>
    <m/>
    <m/>
    <m/>
    <n v="1"/>
    <n v="1"/>
  </r>
  <r>
    <n v="7884"/>
    <x v="1"/>
    <s v="2022/3458"/>
    <s v="134 Boundaries Road"/>
    <s v=""/>
    <n v="527886"/>
    <n v="172990"/>
    <x v="10"/>
    <d v="2024-03-31T00:00:00"/>
    <m/>
    <n v="0"/>
    <x v="3"/>
    <x v="5"/>
    <n v="1"/>
    <n v="1"/>
    <x v="1"/>
    <s v="Erection of a mansard extension to main rear roof and extension above part of two-storey rear addition with roof terrace and 1.7m high obscured glazed balustrade to form for a 1-bedroom flat. Installation of associated cycle provision and refuse storage. Internal alterations to first floor flat with new bifold doors on rear elevation"/>
    <s v="PF"/>
    <d v="2022-08-17T00:00:00"/>
    <d v="2022-10-25T00:00:00"/>
    <x v="0"/>
    <s v="Nil"/>
    <m/>
    <s v="BF"/>
    <s v="EXT"/>
    <x v="2"/>
    <x v="7"/>
    <n v="3.8999999999999998E-3"/>
    <d v="2024-03-31T00:00:00"/>
    <x v="1"/>
    <m/>
    <x v="1"/>
    <s v="M"/>
    <s v=""/>
    <m/>
    <m/>
    <m/>
    <m/>
    <m/>
    <n v="0"/>
    <n v="1"/>
    <n v="0"/>
    <n v="0"/>
    <n v="0"/>
    <n v="0"/>
    <n v="0"/>
    <n v="0"/>
    <n v="1"/>
    <n v="0"/>
    <n v="0"/>
    <n v="0"/>
    <n v="0"/>
    <n v="0"/>
    <n v="0"/>
    <n v="0"/>
    <n v="0"/>
    <n v="0"/>
    <n v="0"/>
    <n v="0"/>
    <n v="0"/>
    <n v="0"/>
    <n v="0"/>
    <n v="0"/>
    <n v="0"/>
    <n v="0"/>
    <n v="0"/>
    <n v="0"/>
    <x v="1"/>
    <x v="0"/>
    <x v="2"/>
    <n v="14"/>
    <m/>
    <n v="0.5"/>
    <n v="0.5"/>
    <m/>
    <m/>
    <m/>
    <m/>
    <m/>
    <m/>
    <m/>
    <m/>
    <m/>
    <m/>
    <m/>
    <m/>
    <m/>
    <m/>
    <m/>
    <m/>
    <m/>
    <n v="1"/>
    <n v="1"/>
  </r>
  <r>
    <n v="6711"/>
    <x v="1"/>
    <s v="2022/3530"/>
    <s v="Basement and Ground floor, 77 Lower Richmond Road"/>
    <s v=""/>
    <n v="523785"/>
    <n v="175744"/>
    <x v="3"/>
    <d v="2023-04-01T00:00:00"/>
    <m/>
    <n v="0"/>
    <x v="3"/>
    <x v="5"/>
    <n v="1"/>
    <n v="1"/>
    <x v="1"/>
    <s v="Alterations including excavation to enlarge basement, formation of front lightwell, erection of single-storey rear extension, re-siting of rear external staircase in connection with change of use of ground floor and basement from retail (Class E) to residential (class C3) and office (Class E) to provide 1 x 1-bedroom flat with associated bin and cycle storage at rear."/>
    <s v="PF"/>
    <d v="2022-09-26T00:00:00"/>
    <d v="2022-11-18T00:00:00"/>
    <x v="0"/>
    <s v="Nil"/>
    <m/>
    <s v="BF"/>
    <s v="COU"/>
    <x v="2"/>
    <x v="4"/>
    <n v="5.0000000000000001E-3"/>
    <d v="2023-04-01T00:00:00"/>
    <x v="1"/>
    <m/>
    <x v="1"/>
    <s v="M"/>
    <s v=""/>
    <m/>
    <m/>
    <m/>
    <m/>
    <m/>
    <n v="0"/>
    <n v="1"/>
    <n v="0"/>
    <n v="0"/>
    <n v="0"/>
    <n v="0"/>
    <n v="0"/>
    <n v="0"/>
    <n v="1"/>
    <n v="0"/>
    <n v="0"/>
    <n v="0"/>
    <n v="0"/>
    <n v="0"/>
    <n v="0"/>
    <n v="0"/>
    <n v="0"/>
    <n v="0"/>
    <n v="0"/>
    <n v="0"/>
    <n v="0"/>
    <n v="0"/>
    <n v="0"/>
    <n v="0"/>
    <n v="0"/>
    <n v="0"/>
    <n v="0"/>
    <n v="0"/>
    <x v="1"/>
    <x v="0"/>
    <x v="2"/>
    <n v="13"/>
    <m/>
    <n v="1"/>
    <m/>
    <m/>
    <m/>
    <m/>
    <m/>
    <m/>
    <m/>
    <m/>
    <m/>
    <m/>
    <m/>
    <m/>
    <m/>
    <m/>
    <m/>
    <m/>
    <m/>
    <m/>
    <n v="1"/>
    <n v="1"/>
  </r>
  <r>
    <n v="7837"/>
    <x v="1"/>
    <s v="2022/3536"/>
    <s v="637 Garratt Lane"/>
    <s v=""/>
    <n v="526142"/>
    <n v="172548"/>
    <x v="17"/>
    <d v="2023-07-10T00:00:00"/>
    <m/>
    <n v="1"/>
    <x v="11"/>
    <x v="7"/>
    <n v="3"/>
    <n v="2"/>
    <x v="1"/>
    <s v="Alterations including erection of a roof extension to the main rear roof; Erection of a first floor rear extension; Erection of a part-single, part-two storey rear extension; Installation of a new shopfront, new residential entrance and bin store to front elevation; In connection with conversion to  3 x 2-bed flats, with associated cycle and refuse storage."/>
    <s v="PF"/>
    <d v="2022-09-30T00:00:00"/>
    <d v="2023-04-04T00:00:00"/>
    <x v="1"/>
    <s v="Nil"/>
    <m/>
    <s v="BF"/>
    <s v="COU"/>
    <x v="2"/>
    <x v="7"/>
    <n v="1.2449999999999999E-2"/>
    <d v="2023-07-10T00:00:00"/>
    <x v="1"/>
    <m/>
    <x v="1"/>
    <s v="MR"/>
    <s v=""/>
    <m/>
    <m/>
    <m/>
    <m/>
    <m/>
    <n v="0"/>
    <n v="0"/>
    <n v="3"/>
    <n v="0"/>
    <n v="-1"/>
    <n v="0"/>
    <n v="0"/>
    <n v="0"/>
    <n v="0"/>
    <n v="3"/>
    <n v="0"/>
    <n v="-1"/>
    <n v="0"/>
    <n v="0"/>
    <n v="0"/>
    <n v="0"/>
    <n v="0"/>
    <n v="0"/>
    <n v="0"/>
    <n v="0"/>
    <n v="0"/>
    <n v="0"/>
    <n v="0"/>
    <n v="0"/>
    <n v="0"/>
    <n v="0"/>
    <n v="0"/>
    <n v="0"/>
    <x v="1"/>
    <x v="0"/>
    <x v="5"/>
    <n v="13"/>
    <m/>
    <n v="2"/>
    <m/>
    <m/>
    <m/>
    <m/>
    <m/>
    <m/>
    <m/>
    <m/>
    <m/>
    <m/>
    <m/>
    <m/>
    <m/>
    <m/>
    <m/>
    <m/>
    <m/>
    <m/>
    <n v="2"/>
    <n v="2"/>
  </r>
  <r>
    <n v="7845"/>
    <x v="1"/>
    <s v="2022/3574"/>
    <s v="80 Lavender Sweep"/>
    <s v=""/>
    <n v="527616"/>
    <n v="175185"/>
    <x v="8"/>
    <d v="2023-04-01T00:00:00"/>
    <m/>
    <n v="1"/>
    <x v="11"/>
    <x v="7"/>
    <n v="3"/>
    <n v="2"/>
    <x v="1"/>
    <s v="Alterations including erection of mansard roof extension to main rear roof (with french doors and safety railings) including raising ridge; formation of roof terrace with 1.7m glazed safety surround; erection of single storey rear and side extension and excavation to enlarge basement and formation of rear lightwell in connection with conversion to 1 x 3-bedroom, 1 x 2-bedroom and 1 x 1-bedroom flats."/>
    <s v="PF"/>
    <d v="2022-08-25T00:00:00"/>
    <d v="2022-10-26T00:00:00"/>
    <x v="0"/>
    <s v="Nil"/>
    <m/>
    <s v="BF"/>
    <s v="EXT"/>
    <x v="2"/>
    <x v="10"/>
    <n v="5.4250000000000001E-3"/>
    <d v="2023-04-01T00:00:00"/>
    <x v="1"/>
    <m/>
    <x v="1"/>
    <s v="M"/>
    <s v=""/>
    <m/>
    <m/>
    <m/>
    <m/>
    <m/>
    <n v="0"/>
    <n v="1"/>
    <n v="1"/>
    <n v="1"/>
    <n v="0"/>
    <n v="-1"/>
    <n v="0"/>
    <n v="0"/>
    <n v="1"/>
    <n v="1"/>
    <n v="1"/>
    <n v="0"/>
    <n v="0"/>
    <n v="0"/>
    <n v="0"/>
    <n v="0"/>
    <n v="0"/>
    <n v="0"/>
    <n v="0"/>
    <n v="-1"/>
    <n v="0"/>
    <n v="0"/>
    <n v="0"/>
    <n v="0"/>
    <n v="0"/>
    <n v="0"/>
    <n v="0"/>
    <n v="0"/>
    <x v="1"/>
    <x v="0"/>
    <x v="3"/>
    <n v="13"/>
    <m/>
    <n v="2"/>
    <m/>
    <m/>
    <m/>
    <m/>
    <m/>
    <m/>
    <m/>
    <m/>
    <m/>
    <m/>
    <m/>
    <m/>
    <m/>
    <m/>
    <m/>
    <m/>
    <m/>
    <m/>
    <n v="2"/>
    <n v="2"/>
  </r>
  <r>
    <n v="5339"/>
    <x v="2"/>
    <s v="2021/5839"/>
    <s v="103-111 Mitcham Road"/>
    <s v="Block C"/>
    <n v="527711"/>
    <n v="171233"/>
    <x v="0"/>
    <m/>
    <m/>
    <n v="0"/>
    <x v="3"/>
    <x v="5"/>
    <n v="24"/>
    <n v="24"/>
    <x v="0"/>
    <s v="Partial demolition of existing buildings and erection of part 3/4 storey building (plus basement) to front and part 2/3 storey buildings to rear; change of use of 2 x existing ancillary rear warehouses from storage (Class E) to residential and ancillary storage (Class C3) in connection with provision of commercial use (Class E) on basement and ground floor and provision of 24 residential units (Class C3) on rear ground floor and above with private and communal amenity spaces. Provision of cycle parking, refuse storage and landscaping."/>
    <s v="PFLA"/>
    <d v="2021-12-24T00:00:00"/>
    <d v="2023-06-27T00:00:00"/>
    <x v="1"/>
    <s v="Nil"/>
    <m/>
    <s v="BF"/>
    <s v="MIX"/>
    <x v="1"/>
    <x v="0"/>
    <n v="6.0000000000000001E-3"/>
    <m/>
    <x v="0"/>
    <m/>
    <x v="1"/>
    <s v="M"/>
    <s v=""/>
    <m/>
    <m/>
    <n v="1"/>
    <m/>
    <m/>
    <n v="0"/>
    <n v="0"/>
    <n v="0"/>
    <n v="1"/>
    <n v="0"/>
    <n v="0"/>
    <n v="0"/>
    <n v="0"/>
    <n v="0"/>
    <n v="0"/>
    <n v="1"/>
    <n v="0"/>
    <n v="0"/>
    <n v="0"/>
    <n v="0"/>
    <n v="0"/>
    <n v="0"/>
    <n v="0"/>
    <n v="0"/>
    <n v="0"/>
    <n v="0"/>
    <n v="0"/>
    <n v="0"/>
    <n v="0"/>
    <n v="0"/>
    <n v="0"/>
    <n v="0"/>
    <n v="0"/>
    <x v="0"/>
    <x v="0"/>
    <x v="0"/>
    <n v="18"/>
    <m/>
    <n v="0.25"/>
    <n v="0.25"/>
    <n v="0.25"/>
    <n v="0.25"/>
    <m/>
    <m/>
    <m/>
    <m/>
    <m/>
    <m/>
    <m/>
    <m/>
    <m/>
    <m/>
    <m/>
    <m/>
    <m/>
    <m/>
    <m/>
    <n v="1"/>
    <n v="1"/>
  </r>
  <r>
    <n v="7870"/>
    <x v="1"/>
    <s v="2022/3913"/>
    <s v="59 Byrne Road"/>
    <s v=""/>
    <n v="528923"/>
    <n v="173012"/>
    <x v="18"/>
    <d v="2023-04-03T00:00:00"/>
    <m/>
    <n v="1"/>
    <x v="11"/>
    <x v="7"/>
    <n v="3"/>
    <n v="2"/>
    <x v="1"/>
    <s v="Erection of hip to gable side roof extension and mansard roof extension to main rear roof including raising the ridge by 300mm; erection of extension above part of three-storey back addition and formation of roof terrace with 1.7m high screen surround; erection of single storey side/rear extension and rear extension of back addition at first and second floors; formation of first floor roof terrace with 1.7m high screen surround and conversion of property into 1 x 3-bedroom and 2 x 2-bedroom flats with associated cycle and refuse storage."/>
    <s v="PF"/>
    <d v="2022-09-20T00:00:00"/>
    <d v="2022-12-02T00:00:00"/>
    <x v="0"/>
    <s v="Nil"/>
    <m/>
    <s v="BF"/>
    <s v="CON"/>
    <x v="2"/>
    <x v="10"/>
    <n v="8.0000000000000002E-3"/>
    <d v="2023-04-03T00:00:00"/>
    <x v="1"/>
    <m/>
    <x v="1"/>
    <s v="M"/>
    <s v=""/>
    <m/>
    <m/>
    <m/>
    <m/>
    <m/>
    <n v="0"/>
    <n v="0"/>
    <n v="2"/>
    <n v="1"/>
    <n v="0"/>
    <n v="-1"/>
    <n v="0"/>
    <n v="0"/>
    <n v="0"/>
    <n v="2"/>
    <n v="1"/>
    <n v="0"/>
    <n v="0"/>
    <n v="0"/>
    <n v="0"/>
    <n v="0"/>
    <n v="0"/>
    <n v="0"/>
    <n v="0"/>
    <n v="-1"/>
    <n v="0"/>
    <n v="0"/>
    <n v="0"/>
    <n v="0"/>
    <n v="0"/>
    <n v="0"/>
    <n v="0"/>
    <n v="0"/>
    <x v="1"/>
    <x v="0"/>
    <x v="2"/>
    <n v="13"/>
    <m/>
    <n v="2"/>
    <m/>
    <m/>
    <m/>
    <m/>
    <m/>
    <m/>
    <m/>
    <m/>
    <m/>
    <m/>
    <m/>
    <m/>
    <m/>
    <m/>
    <m/>
    <m/>
    <m/>
    <m/>
    <n v="2"/>
    <n v="2"/>
  </r>
  <r>
    <n v="7897"/>
    <x v="1"/>
    <s v="2022/3951"/>
    <s v="14A Oakmead Road"/>
    <s v=""/>
    <n v="528647"/>
    <n v="173103"/>
    <x v="18"/>
    <d v="2024-03-31T00:00:00"/>
    <m/>
    <n v="0"/>
    <x v="3"/>
    <x v="5"/>
    <n v="1"/>
    <n v="1"/>
    <x v="1"/>
    <s v="Alterations including erection of mansard roof extension to main rear roof (with French doors and safety railings) and extension above part of two-storey back addition; Formation of roof terrace above two-storey back addition with 1.7m high screen surround. Installation of metal stairs from first floor to ground floor in connection with creation of 1 x1 bedroom residential flat."/>
    <s v="PF"/>
    <d v="2022-09-26T00:00:00"/>
    <d v="2022-12-15T00:00:00"/>
    <x v="0"/>
    <s v="Nil"/>
    <m/>
    <s v="BF"/>
    <s v="EXT"/>
    <x v="2"/>
    <x v="7"/>
    <n v="5.1700000000000001E-3"/>
    <d v="2024-03-31T00:00:00"/>
    <x v="1"/>
    <m/>
    <x v="1"/>
    <s v="MR"/>
    <s v=""/>
    <m/>
    <m/>
    <m/>
    <m/>
    <m/>
    <n v="0"/>
    <n v="1"/>
    <n v="0"/>
    <n v="0"/>
    <n v="0"/>
    <n v="0"/>
    <n v="0"/>
    <n v="0"/>
    <n v="1"/>
    <n v="0"/>
    <n v="0"/>
    <n v="0"/>
    <n v="0"/>
    <n v="0"/>
    <n v="0"/>
    <n v="0"/>
    <n v="0"/>
    <n v="0"/>
    <n v="0"/>
    <n v="0"/>
    <n v="0"/>
    <n v="0"/>
    <n v="0"/>
    <n v="0"/>
    <n v="0"/>
    <n v="0"/>
    <n v="0"/>
    <n v="0"/>
    <x v="1"/>
    <x v="0"/>
    <x v="9"/>
    <n v="14"/>
    <m/>
    <n v="0.5"/>
    <n v="0.5"/>
    <m/>
    <m/>
    <m/>
    <m/>
    <m/>
    <m/>
    <m/>
    <m/>
    <m/>
    <m/>
    <m/>
    <m/>
    <m/>
    <m/>
    <m/>
    <m/>
    <m/>
    <n v="1"/>
    <n v="1"/>
  </r>
  <r>
    <n v="7460"/>
    <x v="1"/>
    <s v="2022/4157"/>
    <s v="and Flat B 790, 788 Garratt Lane"/>
    <s v="no 788"/>
    <n v="526862"/>
    <n v="171849"/>
    <x v="0"/>
    <d v="2023-12-05T00:00:00"/>
    <m/>
    <n v="1"/>
    <x v="11"/>
    <x v="7"/>
    <n v="3"/>
    <n v="2"/>
    <x v="1"/>
    <s v="Erection of part single, part two-storey side/rear extension, erection of mansard roof extension to main rear roof (with French doors and safety railings) and extension above part of back addition in connection with conversion of the property into 1 x 2 bedroom, 1 x 1- bedroom and 1 x studio flats at 788 Garratt Lane with formation of rear roof terraces at first and second floor levels. Erection of first floor rear extension at 790 Garratt Lane."/>
    <s v="PF"/>
    <d v="2022-11-25T00:00:00"/>
    <d v="2023-01-26T00:00:00"/>
    <x v="0"/>
    <s v="Nil"/>
    <m/>
    <s v="BF"/>
    <s v="CON"/>
    <x v="2"/>
    <x v="7"/>
    <n v="6.3200000000000001E-3"/>
    <d v="2023-12-05T00:00:00"/>
    <x v="1"/>
    <m/>
    <x v="1"/>
    <s v="M"/>
    <s v=""/>
    <m/>
    <m/>
    <m/>
    <m/>
    <m/>
    <n v="1"/>
    <n v="1"/>
    <n v="0"/>
    <n v="0"/>
    <n v="0"/>
    <n v="0"/>
    <n v="0"/>
    <n v="1"/>
    <n v="1"/>
    <n v="0"/>
    <n v="0"/>
    <n v="0"/>
    <n v="0"/>
    <n v="0"/>
    <n v="0"/>
    <n v="0"/>
    <n v="0"/>
    <n v="0"/>
    <n v="0"/>
    <n v="0"/>
    <n v="0"/>
    <n v="0"/>
    <n v="0"/>
    <n v="0"/>
    <n v="0"/>
    <n v="0"/>
    <n v="0"/>
    <n v="0"/>
    <x v="1"/>
    <x v="0"/>
    <x v="2"/>
    <n v="14"/>
    <m/>
    <n v="1"/>
    <n v="1"/>
    <m/>
    <m/>
    <m/>
    <m/>
    <m/>
    <m/>
    <m/>
    <m/>
    <m/>
    <m/>
    <m/>
    <m/>
    <m/>
    <m/>
    <m/>
    <m/>
    <m/>
    <n v="2"/>
    <n v="2"/>
  </r>
  <r>
    <n v="8058"/>
    <x v="1"/>
    <s v="2022/4179"/>
    <s v="The Brewery Tap, 68 Wandsworth High Street"/>
    <s v=""/>
    <n v="525652"/>
    <n v="174657"/>
    <x v="14"/>
    <d v="2024-03-22T00:00:00"/>
    <m/>
    <n v="1"/>
    <x v="6"/>
    <x v="3"/>
    <n v="0"/>
    <n v="-1"/>
    <x v="1"/>
    <s v="Refurbishment of existing listed public house; including the refurbishment and alterations to the existing ground &amp; first floor public bars, wc's and circulation areas, the creation of new interior public seating/dining areas, public wc's, conversion of existing external service yards into customer seating &amp; smoking areas with associated extension and bin store; new external signage; change of use of part of first floor from ancillary staff accommodation to pub toilets."/>
    <s v="PF"/>
    <d v="2022-10-31T00:00:00"/>
    <d v="2023-06-15T00:00:00"/>
    <x v="1"/>
    <s v="Nil"/>
    <m/>
    <s v="BF"/>
    <s v="COU"/>
    <x v="2"/>
    <x v="9"/>
    <n v="0"/>
    <d v="2024-03-22T00:00:00"/>
    <x v="1"/>
    <m/>
    <x v="3"/>
    <s v="U"/>
    <s v=""/>
    <m/>
    <m/>
    <m/>
    <m/>
    <m/>
    <n v="-1"/>
    <n v="0"/>
    <n v="0"/>
    <n v="0"/>
    <n v="0"/>
    <n v="0"/>
    <n v="0"/>
    <n v="-1"/>
    <n v="0"/>
    <n v="0"/>
    <n v="0"/>
    <n v="0"/>
    <n v="0"/>
    <n v="0"/>
    <n v="0"/>
    <n v="0"/>
    <n v="0"/>
    <n v="0"/>
    <n v="0"/>
    <n v="0"/>
    <n v="0"/>
    <n v="0"/>
    <n v="0"/>
    <n v="0"/>
    <n v="0"/>
    <n v="0"/>
    <n v="0"/>
    <n v="0"/>
    <x v="4"/>
    <x v="0"/>
    <x v="7"/>
    <n v="14"/>
    <m/>
    <n v="-0.5"/>
    <n v="-0.5"/>
    <m/>
    <m/>
    <m/>
    <m/>
    <m/>
    <m/>
    <m/>
    <m/>
    <m/>
    <m/>
    <m/>
    <m/>
    <m/>
    <m/>
    <m/>
    <m/>
    <m/>
    <n v="-1"/>
    <n v="-1"/>
  </r>
  <r>
    <n v="7903"/>
    <x v="1"/>
    <s v="2022/4249"/>
    <s v="Gardeners Arms, 266-268 Merton Road"/>
    <s v=""/>
    <n v="525219"/>
    <n v="173651"/>
    <x v="12"/>
    <d v="2024-03-31T00:00:00"/>
    <m/>
    <n v="0"/>
    <x v="24"/>
    <x v="28"/>
    <n v="5"/>
    <n v="5"/>
    <x v="1"/>
    <s v="Change of use of first and second floors from sui generis to residential (Class C3) to provide 5 x 1-bedroom flats."/>
    <s v="PF"/>
    <d v="2022-10-17T00:00:00"/>
    <d v="2023-05-26T00:00:00"/>
    <x v="1"/>
    <s v="Nil"/>
    <m/>
    <s v="BF"/>
    <s v="COU"/>
    <x v="2"/>
    <x v="8"/>
    <n v="1.2999999999999999E-2"/>
    <d v="2024-03-31T00:00:00"/>
    <x v="1"/>
    <m/>
    <x v="1"/>
    <s v="MR"/>
    <s v=""/>
    <m/>
    <m/>
    <m/>
    <m/>
    <m/>
    <n v="0"/>
    <n v="5"/>
    <n v="0"/>
    <n v="0"/>
    <n v="0"/>
    <n v="0"/>
    <n v="0"/>
    <n v="0"/>
    <n v="5"/>
    <n v="0"/>
    <n v="0"/>
    <n v="0"/>
    <n v="0"/>
    <n v="0"/>
    <n v="0"/>
    <n v="0"/>
    <n v="0"/>
    <n v="0"/>
    <n v="0"/>
    <n v="0"/>
    <n v="0"/>
    <n v="0"/>
    <n v="0"/>
    <n v="0"/>
    <n v="0"/>
    <n v="0"/>
    <n v="0"/>
    <n v="0"/>
    <x v="1"/>
    <x v="0"/>
    <x v="5"/>
    <n v="14"/>
    <m/>
    <n v="2.5"/>
    <n v="2.5"/>
    <m/>
    <m/>
    <m/>
    <m/>
    <m/>
    <m/>
    <m/>
    <m/>
    <m/>
    <m/>
    <m/>
    <m/>
    <m/>
    <m/>
    <m/>
    <m/>
    <m/>
    <n v="5"/>
    <n v="5"/>
  </r>
  <r>
    <n v="2410"/>
    <x v="1"/>
    <s v="2022/4305"/>
    <s v="Coach House adjoining 83, Mallinson Road"/>
    <s v=""/>
    <n v="527525"/>
    <n v="174930"/>
    <x v="11"/>
    <d v="2022-04-01T00:00:00"/>
    <m/>
    <n v="0"/>
    <x v="3"/>
    <x v="5"/>
    <n v="1"/>
    <n v="1"/>
    <x v="1"/>
    <s v="Erection of a detached house with basement and roof terraces to front, rear and above roof."/>
    <s v="PF"/>
    <d v="2022-10-20T00:00:00"/>
    <d v="2022-12-20T00:00:00"/>
    <x v="0"/>
    <s v="Nil"/>
    <m/>
    <s v="BF"/>
    <s v="NB"/>
    <x v="2"/>
    <x v="3"/>
    <n v="0.01"/>
    <d v="2022-04-01T00:00:00"/>
    <x v="0"/>
    <m/>
    <x v="1"/>
    <s v="M"/>
    <s v=""/>
    <m/>
    <m/>
    <m/>
    <m/>
    <m/>
    <n v="0"/>
    <n v="0"/>
    <n v="0"/>
    <n v="0"/>
    <n v="1"/>
    <n v="0"/>
    <n v="0"/>
    <n v="0"/>
    <n v="0"/>
    <n v="0"/>
    <n v="0"/>
    <n v="0"/>
    <n v="0"/>
    <n v="0"/>
    <n v="0"/>
    <n v="0"/>
    <n v="0"/>
    <n v="0"/>
    <n v="1"/>
    <n v="0"/>
    <n v="0"/>
    <n v="0"/>
    <n v="0"/>
    <n v="0"/>
    <n v="0"/>
    <n v="0"/>
    <n v="0"/>
    <n v="0"/>
    <x v="3"/>
    <x v="0"/>
    <x v="3"/>
    <n v="3"/>
    <m/>
    <n v="1"/>
    <m/>
    <m/>
    <m/>
    <m/>
    <m/>
    <m/>
    <m/>
    <m/>
    <m/>
    <m/>
    <m/>
    <m/>
    <m/>
    <m/>
    <m/>
    <m/>
    <m/>
    <m/>
    <n v="1"/>
    <n v="1"/>
  </r>
  <r>
    <n v="5339"/>
    <x v="2"/>
    <s v="2021/5839"/>
    <s v="103-111 Mitcham Road"/>
    <s v="Block D"/>
    <n v="527711"/>
    <n v="171233"/>
    <x v="0"/>
    <m/>
    <m/>
    <n v="0"/>
    <x v="5"/>
    <x v="7"/>
    <n v="24"/>
    <n v="24"/>
    <x v="0"/>
    <s v="Partial demolition of existing buildings and erection of part 3/4 storey building (plus basement) to front and part 2/3 storey buildings to rear; change of use of 2 x existing ancillary rear warehouses from storage (Class E) to residential and ancillary storage (Class C3) in connection with provision of commercial use (Class E) on basement and ground floor and provision of 24 residential units (Class C3) on rear ground floor and above with private and communal amenity spaces. Provision of cycle parking, refuse storage and landscaping."/>
    <s v="PFLA"/>
    <d v="2021-12-24T00:00:00"/>
    <d v="2023-06-27T00:00:00"/>
    <x v="1"/>
    <s v="Nil"/>
    <m/>
    <s v="BF"/>
    <s v="MIX"/>
    <x v="5"/>
    <x v="0"/>
    <n v="1.2E-2"/>
    <m/>
    <x v="0"/>
    <m/>
    <x v="1"/>
    <s v="M"/>
    <s v=""/>
    <m/>
    <m/>
    <n v="2"/>
    <m/>
    <m/>
    <n v="0"/>
    <n v="0"/>
    <n v="2"/>
    <n v="0"/>
    <n v="0"/>
    <n v="0"/>
    <n v="0"/>
    <n v="0"/>
    <n v="0"/>
    <n v="2"/>
    <n v="0"/>
    <n v="0"/>
    <n v="0"/>
    <n v="0"/>
    <n v="0"/>
    <n v="0"/>
    <n v="0"/>
    <n v="0"/>
    <n v="0"/>
    <n v="0"/>
    <n v="0"/>
    <n v="0"/>
    <n v="0"/>
    <n v="0"/>
    <n v="0"/>
    <n v="0"/>
    <n v="0"/>
    <n v="0"/>
    <x v="0"/>
    <x v="0"/>
    <x v="0"/>
    <n v="18"/>
    <m/>
    <n v="0.5"/>
    <n v="0.5"/>
    <n v="0.5"/>
    <n v="0.5"/>
    <m/>
    <m/>
    <m/>
    <m/>
    <m/>
    <m/>
    <m/>
    <m/>
    <m/>
    <m/>
    <m/>
    <m/>
    <m/>
    <m/>
    <m/>
    <n v="2"/>
    <n v="2"/>
  </r>
  <r>
    <n v="6657"/>
    <x v="1"/>
    <s v="2023/1546"/>
    <s v="Brocklebank Health Centre, 249 Garratt Lane (and others), 229-247 Garratt Lane (Garratt Lane and Atheldene Regeneration Site)"/>
    <s v="Phase 2 (Block D)"/>
    <n v="525999"/>
    <n v="173647"/>
    <x v="13"/>
    <d v="2023-04-01T00:00:00"/>
    <m/>
    <n v="0"/>
    <x v="30"/>
    <x v="34"/>
    <n v="83"/>
    <n v="83"/>
    <x v="0"/>
    <s v="Amendments under Section 96a of the Town and Country Planning Act 1990 to planning permission dated 31/07/2020 ref. 2017/4141 (for Demolition of existing buildings and erection of a mixed use development providing a total of 193 residential units (of both private and affordable tenure) including houses and apartments, with associated amenity space including gardens, balconies and terraces; a new health centre (Class D1 use) (1,873sq.m), a pharmacy (Class A1 use) (94sq.m), two commercial units (flexible Class A1/A2/A3 or B1 use) (189sq.m), within buildings ranging between two and five-storeys high, together with the provision of hard and soft landscaping, enhanced pedestrian routes, and associated car parking and cycle parking, with the development proposed to be constructed in two phases) to amend the tenure of the 83 residential units in Phase 2 from 14 affordable shared ownership units and 69 private sale units to 83 social rent units, together with minor internal alterations and revised placement of a stack of 4 windows on the Oakshaw Road frontage."/>
    <s v="S96A"/>
    <d v="2023-04-24T00:00:00"/>
    <d v="2023-06-27T00:00:00"/>
    <x v="1"/>
    <s v="Nil"/>
    <m/>
    <s v="BF"/>
    <s v="NB"/>
    <x v="1"/>
    <x v="0"/>
    <n v="1.7999999999999999E-2"/>
    <d v="2023-04-01T00:00:00"/>
    <x v="1"/>
    <m/>
    <x v="2"/>
    <s v="AS"/>
    <s v=""/>
    <m/>
    <m/>
    <n v="18"/>
    <m/>
    <n v="2"/>
    <n v="0"/>
    <n v="6"/>
    <n v="14"/>
    <n v="0"/>
    <n v="0"/>
    <n v="0"/>
    <n v="0"/>
    <n v="0"/>
    <n v="6"/>
    <n v="14"/>
    <n v="0"/>
    <n v="0"/>
    <n v="0"/>
    <n v="0"/>
    <n v="0"/>
    <n v="0"/>
    <n v="0"/>
    <n v="0"/>
    <n v="0"/>
    <n v="0"/>
    <n v="0"/>
    <n v="0"/>
    <n v="0"/>
    <n v="0"/>
    <n v="0"/>
    <n v="0"/>
    <n v="0"/>
    <n v="0"/>
    <x v="1"/>
    <x v="0"/>
    <x v="2"/>
    <n v="5"/>
    <m/>
    <m/>
    <m/>
    <m/>
    <m/>
    <n v="20"/>
    <m/>
    <m/>
    <m/>
    <m/>
    <m/>
    <m/>
    <m/>
    <m/>
    <m/>
    <m/>
    <m/>
    <m/>
    <m/>
    <m/>
    <n v="20"/>
    <n v="20"/>
  </r>
  <r>
    <n v="6854"/>
    <x v="1"/>
    <s v="2021/3247"/>
    <s v="Stroud Crescent (Open space adjacent to 178-204)"/>
    <s v="done"/>
    <n v="522206"/>
    <n v="172346"/>
    <x v="4"/>
    <d v="2022-12-09T00:00:00"/>
    <m/>
    <n v="0"/>
    <x v="46"/>
    <x v="55"/>
    <n v="14"/>
    <n v="14"/>
    <x v="0"/>
    <s v="Erection of three/four storey building to provide 14 x flats (4 x 1-bedroom, 6 x 2-bedroom and 4 x 3-bedroom) each with a balcony with metal rails and with associated landscaping, 6 parking spaces, 2 of which are disability spaces, erection of new refuse and cycle storage."/>
    <s v="PFLA"/>
    <d v="2021-07-13T00:00:00"/>
    <d v="2022-03-16T00:00:00"/>
    <x v="0"/>
    <s v="Nil"/>
    <m/>
    <s v="BF"/>
    <s v="NB"/>
    <x v="1"/>
    <x v="0"/>
    <n v="2.5000000000000001E-2"/>
    <d v="2022-12-09T00:00:00"/>
    <x v="0"/>
    <m/>
    <x v="2"/>
    <s v="AA"/>
    <s v=""/>
    <m/>
    <m/>
    <m/>
    <m/>
    <n v="2"/>
    <n v="0"/>
    <n v="4"/>
    <n v="6"/>
    <n v="4"/>
    <n v="0"/>
    <n v="0"/>
    <n v="0"/>
    <n v="0"/>
    <n v="4"/>
    <n v="6"/>
    <n v="4"/>
    <n v="0"/>
    <n v="0"/>
    <n v="0"/>
    <n v="0"/>
    <n v="0"/>
    <n v="0"/>
    <n v="0"/>
    <n v="0"/>
    <n v="0"/>
    <n v="0"/>
    <n v="0"/>
    <n v="0"/>
    <n v="0"/>
    <n v="0"/>
    <n v="0"/>
    <n v="0"/>
    <n v="0"/>
    <x v="1"/>
    <x v="0"/>
    <x v="2"/>
    <n v="2"/>
    <m/>
    <m/>
    <n v="14"/>
    <m/>
    <m/>
    <m/>
    <m/>
    <m/>
    <m/>
    <m/>
    <m/>
    <m/>
    <m/>
    <m/>
    <m/>
    <m/>
    <m/>
    <m/>
    <m/>
    <m/>
    <n v="14"/>
    <n v="14"/>
  </r>
  <r>
    <n v="6955"/>
    <x v="1"/>
    <s v="2019/2186"/>
    <s v="1 East Hill"/>
    <s v=""/>
    <n v="526542"/>
    <n v="174943"/>
    <x v="14"/>
    <d v="2021-12-23T00:00:00"/>
    <m/>
    <n v="0"/>
    <x v="9"/>
    <x v="12"/>
    <n v="8"/>
    <n v="8"/>
    <x v="1"/>
    <s v="New 4 storey building with 2 new commercial units (Class A1, A2, A3 and B1) and 8 x residential self-contained flats (Class C3), comprising 2 x 1 bed units; and 5 x 2 bed units and 1 x 3 bed units."/>
    <s v="PF"/>
    <d v="2019-05-20T00:00:00"/>
    <d v="2019-08-23T00:00:00"/>
    <x v="0"/>
    <s v="Nil"/>
    <m/>
    <s v="BF"/>
    <s v="NB"/>
    <x v="2"/>
    <x v="3"/>
    <n v="2.5000000000000001E-2"/>
    <d v="2021-12-23T00:00:00"/>
    <x v="0"/>
    <m/>
    <x v="1"/>
    <s v="M"/>
    <s v=""/>
    <m/>
    <m/>
    <m/>
    <m/>
    <m/>
    <n v="0"/>
    <n v="2"/>
    <n v="5"/>
    <n v="1"/>
    <n v="0"/>
    <n v="0"/>
    <n v="0"/>
    <n v="0"/>
    <n v="2"/>
    <n v="5"/>
    <n v="1"/>
    <n v="0"/>
    <n v="0"/>
    <n v="0"/>
    <n v="0"/>
    <n v="0"/>
    <n v="0"/>
    <n v="0"/>
    <n v="0"/>
    <n v="0"/>
    <n v="0"/>
    <n v="0"/>
    <n v="0"/>
    <n v="0"/>
    <n v="0"/>
    <n v="0"/>
    <n v="0"/>
    <n v="0"/>
    <x v="1"/>
    <x v="0"/>
    <x v="2"/>
    <n v="2"/>
    <m/>
    <n v="8"/>
    <m/>
    <m/>
    <m/>
    <m/>
    <m/>
    <m/>
    <m/>
    <m/>
    <m/>
    <m/>
    <m/>
    <m/>
    <m/>
    <m/>
    <m/>
    <m/>
    <m/>
    <m/>
    <n v="8"/>
    <n v="8"/>
  </r>
  <r>
    <n v="6988"/>
    <x v="1"/>
    <s v="2021/1729"/>
    <s v="73 Earlsfield Road"/>
    <s v=""/>
    <n v="526452"/>
    <n v="173866"/>
    <x v="13"/>
    <d v="2022-06-28T00:00:00"/>
    <m/>
    <n v="1"/>
    <x v="9"/>
    <x v="14"/>
    <n v="8"/>
    <n v="7"/>
    <x v="1"/>
    <s v="Alterations including erection of rear mansard roof extension to main rear roof slope and above existing two-storey side extension; extension above part of two-storey rear addition with installation of 1.7m high obscure glazed balustrade to form roof terrace; erection of single-storey rear extension to create full width ground floor rear extension, excavation to enlarge existing basement with stairs up to rear garden. alterations to front fenestration and replacement of all windows and doors in association with conversion of single-family dwelling house into 8 self-contained flats (3 x 3 bed, 2 x 2 bed, 3 x 1 bed) with associated outside amenity space, secure refuse and cycle storage and off-street parking."/>
    <s v="PF"/>
    <d v="2021-04-12T00:00:00"/>
    <d v="2021-07-27T00:00:00"/>
    <x v="0"/>
    <s v="Nil"/>
    <m/>
    <s v="BF"/>
    <s v="MIX"/>
    <x v="2"/>
    <x v="10"/>
    <n v="1.6199999999999999E-2"/>
    <d v="2022-06-28T00:00:00"/>
    <x v="0"/>
    <m/>
    <x v="1"/>
    <s v="M"/>
    <s v=""/>
    <m/>
    <m/>
    <m/>
    <m/>
    <m/>
    <n v="0"/>
    <n v="3"/>
    <n v="2"/>
    <n v="3"/>
    <n v="0"/>
    <n v="-1"/>
    <n v="0"/>
    <n v="0"/>
    <n v="3"/>
    <n v="2"/>
    <n v="3"/>
    <n v="0"/>
    <n v="0"/>
    <n v="0"/>
    <n v="0"/>
    <n v="0"/>
    <n v="0"/>
    <n v="0"/>
    <n v="0"/>
    <n v="-1"/>
    <n v="0"/>
    <n v="0"/>
    <n v="0"/>
    <n v="0"/>
    <n v="0"/>
    <n v="0"/>
    <n v="0"/>
    <n v="0"/>
    <x v="1"/>
    <x v="0"/>
    <x v="2"/>
    <n v="12"/>
    <m/>
    <m/>
    <n v="7"/>
    <m/>
    <m/>
    <m/>
    <m/>
    <m/>
    <m/>
    <m/>
    <m/>
    <m/>
    <m/>
    <m/>
    <m/>
    <m/>
    <m/>
    <m/>
    <m/>
    <m/>
    <n v="7"/>
    <n v="7"/>
  </r>
  <r>
    <n v="7024"/>
    <x v="1"/>
    <s v="2021/3556"/>
    <s v="17-19 St Anns Park Road"/>
    <s v=""/>
    <n v="526226"/>
    <n v="174119"/>
    <x v="13"/>
    <d v="2024-03-31T00:00:00"/>
    <m/>
    <n v="5"/>
    <x v="0"/>
    <x v="5"/>
    <n v="6"/>
    <n v="1"/>
    <x v="1"/>
    <s v="Alterations including erection of replacement main roof, raising the ridge by 1.1m with dormers to all elevations; infilling extension to first floor; replacement fenestration throughout in connection with use as 1 x studio, 2 x 2-bed and 3 x 1-bed flats; enlarge refuse and cycle stores in front garden."/>
    <s v="PF"/>
    <d v="2021-07-28T00:00:00"/>
    <d v="2021-12-15T00:00:00"/>
    <x v="0"/>
    <s v="Nil"/>
    <m/>
    <s v="BF"/>
    <s v="CON"/>
    <x v="2"/>
    <x v="5"/>
    <n v="1.0999999999999999E-2"/>
    <d v="2024-03-31T00:00:00"/>
    <x v="1"/>
    <m/>
    <x v="1"/>
    <s v="M"/>
    <s v=""/>
    <m/>
    <m/>
    <m/>
    <m/>
    <m/>
    <n v="0"/>
    <n v="0"/>
    <n v="1"/>
    <n v="0"/>
    <n v="0"/>
    <n v="0"/>
    <n v="0"/>
    <n v="0"/>
    <n v="0"/>
    <n v="1"/>
    <n v="0"/>
    <n v="0"/>
    <n v="0"/>
    <n v="0"/>
    <n v="0"/>
    <n v="0"/>
    <n v="0"/>
    <n v="0"/>
    <n v="0"/>
    <n v="0"/>
    <n v="0"/>
    <n v="0"/>
    <n v="0"/>
    <n v="0"/>
    <n v="0"/>
    <n v="0"/>
    <n v="0"/>
    <n v="0"/>
    <x v="1"/>
    <x v="0"/>
    <x v="2"/>
    <n v="12"/>
    <m/>
    <n v="1"/>
    <m/>
    <m/>
    <m/>
    <m/>
    <m/>
    <m/>
    <m/>
    <m/>
    <m/>
    <m/>
    <m/>
    <m/>
    <m/>
    <m/>
    <m/>
    <m/>
    <m/>
    <m/>
    <n v="1"/>
    <n v="1"/>
  </r>
  <r>
    <n v="7912"/>
    <x v="1"/>
    <s v="2022/4396"/>
    <s v="952 Garratt Lane"/>
    <s v=""/>
    <n v="527318"/>
    <n v="171548"/>
    <x v="0"/>
    <d v="2023-03-31T00:00:00"/>
    <m/>
    <n v="1"/>
    <x v="11"/>
    <x v="7"/>
    <n v="3"/>
    <n v="2"/>
    <x v="1"/>
    <s v="Alterations including raising of ridge by 300mm, replacement rear mansard dormer and insertion of french doors and safety railings, erection of roof extension above two storey back addition with roof terrace (plus 1.7m high screening above) and erection of replacement single storey rear and side extension. Extensions and alterations in connection with conversion of property into three flats (1x3 bedroom, 1x2 bedroom and 1x1 bedroom flats). Provision of bin and cycle stores within front garden."/>
    <s v="PF"/>
    <d v="2022-10-21T00:00:00"/>
    <d v="2023-01-10T00:00:00"/>
    <x v="0"/>
    <s v="Nil"/>
    <m/>
    <s v="BF"/>
    <s v="MIX"/>
    <x v="2"/>
    <x v="10"/>
    <n v="5.8333329999999996E-3"/>
    <d v="2023-03-31T00:00:00"/>
    <x v="0"/>
    <m/>
    <x v="1"/>
    <s v="M"/>
    <s v=""/>
    <m/>
    <m/>
    <m/>
    <m/>
    <m/>
    <n v="0"/>
    <n v="1"/>
    <n v="1"/>
    <n v="1"/>
    <n v="0"/>
    <n v="-1"/>
    <n v="0"/>
    <n v="0"/>
    <n v="1"/>
    <n v="1"/>
    <n v="1"/>
    <n v="0"/>
    <n v="0"/>
    <n v="0"/>
    <n v="0"/>
    <n v="0"/>
    <n v="0"/>
    <n v="0"/>
    <n v="0"/>
    <n v="-1"/>
    <n v="0"/>
    <n v="0"/>
    <n v="0"/>
    <n v="0"/>
    <n v="0"/>
    <n v="0"/>
    <n v="0"/>
    <n v="0"/>
    <x v="1"/>
    <x v="0"/>
    <x v="0"/>
    <n v="13"/>
    <m/>
    <n v="2"/>
    <m/>
    <m/>
    <m/>
    <m/>
    <m/>
    <m/>
    <m/>
    <m/>
    <m/>
    <m/>
    <m/>
    <m/>
    <m/>
    <m/>
    <m/>
    <m/>
    <m/>
    <m/>
    <n v="2"/>
    <n v="2"/>
  </r>
  <r>
    <n v="7754"/>
    <x v="1"/>
    <s v="2022/4549"/>
    <s v="31 Clarendon Drive"/>
    <s v=""/>
    <n v="523504"/>
    <n v="175361"/>
    <x v="3"/>
    <d v="2023-08-03T00:00:00"/>
    <m/>
    <n v="7"/>
    <x v="3"/>
    <x v="84"/>
    <n v="1"/>
    <n v="-6"/>
    <x v="1"/>
    <s v="Deconversion of seven bedsits into a single dwelling house."/>
    <s v="PF"/>
    <d v="2022-11-29T00:00:00"/>
    <d v="2023-02-08T00:00:00"/>
    <x v="0"/>
    <s v="Nil"/>
    <m/>
    <s v="BF"/>
    <s v="CON"/>
    <x v="2"/>
    <x v="11"/>
    <n v="7.1333330000000004E-3"/>
    <d v="2023-08-03T00:00:00"/>
    <x v="1"/>
    <m/>
    <x v="1"/>
    <s v="M"/>
    <s v=""/>
    <m/>
    <m/>
    <m/>
    <m/>
    <m/>
    <n v="-7"/>
    <n v="0"/>
    <n v="0"/>
    <n v="0"/>
    <n v="0"/>
    <n v="1"/>
    <n v="0"/>
    <n v="-7"/>
    <n v="0"/>
    <n v="0"/>
    <n v="0"/>
    <n v="0"/>
    <n v="0"/>
    <n v="0"/>
    <n v="0"/>
    <n v="0"/>
    <n v="0"/>
    <n v="0"/>
    <n v="0"/>
    <n v="1"/>
    <n v="0"/>
    <n v="0"/>
    <n v="0"/>
    <n v="0"/>
    <n v="0"/>
    <n v="0"/>
    <n v="0"/>
    <n v="0"/>
    <x v="1"/>
    <x v="0"/>
    <x v="2"/>
    <n v="13"/>
    <m/>
    <n v="-6"/>
    <m/>
    <m/>
    <m/>
    <m/>
    <m/>
    <m/>
    <m/>
    <m/>
    <m/>
    <m/>
    <m/>
    <m/>
    <m/>
    <m/>
    <m/>
    <m/>
    <m/>
    <m/>
    <n v="-6"/>
    <n v="-6"/>
  </r>
  <r>
    <n v="7886"/>
    <x v="1"/>
    <s v="2022/4648"/>
    <s v="80 Taybridge Road"/>
    <s v=""/>
    <n v="528462"/>
    <n v="175439"/>
    <x v="8"/>
    <d v="2023-03-31T00:00:00"/>
    <m/>
    <n v="1"/>
    <x v="11"/>
    <x v="7"/>
    <n v="3"/>
    <n v="2"/>
    <x v="1"/>
    <s v="Alterations including erection of dormer roof extensions to side roof slope, extension to roof at rear incuding increase ridge, erection of ground floor extension and replacement of shop frontage and lowering/replacement of windows in connection with the conversion of the commercial unit and dwelling into into 3 self-contained residential units (1 x 1 bedroom, and 2 x 2 bedroom units); provision cycle storage and waste storage."/>
    <s v="PF"/>
    <d v="2022-11-14T00:00:00"/>
    <d v="2023-01-11T00:00:00"/>
    <x v="0"/>
    <s v="Nil"/>
    <m/>
    <s v="BF"/>
    <s v="CON"/>
    <x v="2"/>
    <x v="5"/>
    <n v="1.9E-2"/>
    <d v="2023-03-31T00:00:00"/>
    <x v="0"/>
    <m/>
    <x v="1"/>
    <s v="M"/>
    <s v=""/>
    <m/>
    <m/>
    <m/>
    <m/>
    <m/>
    <n v="0"/>
    <n v="1"/>
    <n v="2"/>
    <n v="0"/>
    <n v="-1"/>
    <n v="0"/>
    <n v="0"/>
    <n v="0"/>
    <n v="1"/>
    <n v="2"/>
    <n v="0"/>
    <n v="-1"/>
    <n v="0"/>
    <n v="0"/>
    <n v="0"/>
    <n v="0"/>
    <n v="0"/>
    <n v="0"/>
    <n v="0"/>
    <n v="0"/>
    <n v="0"/>
    <n v="0"/>
    <n v="0"/>
    <n v="0"/>
    <n v="0"/>
    <n v="0"/>
    <n v="0"/>
    <n v="0"/>
    <x v="1"/>
    <x v="0"/>
    <x v="2"/>
    <n v="13"/>
    <m/>
    <n v="2"/>
    <m/>
    <m/>
    <m/>
    <m/>
    <m/>
    <m/>
    <m/>
    <m/>
    <m/>
    <m/>
    <m/>
    <m/>
    <m/>
    <m/>
    <m/>
    <m/>
    <m/>
    <m/>
    <n v="2"/>
    <n v="2"/>
  </r>
  <r>
    <n v="4882"/>
    <x v="1"/>
    <s v="2022/4780"/>
    <s v="46 Ramsden Road"/>
    <s v=""/>
    <n v="528475"/>
    <n v="173545"/>
    <x v="6"/>
    <d v="2024-03-31T00:00:00"/>
    <m/>
    <n v="2"/>
    <x v="3"/>
    <x v="3"/>
    <n v="1"/>
    <n v="-1"/>
    <x v="1"/>
    <s v="Conversion of two flats into a single family dwelling."/>
    <s v="PF"/>
    <d v="2022-11-23T00:00:00"/>
    <d v="2023-04-24T00:00:00"/>
    <x v="1"/>
    <s v="Nil"/>
    <m/>
    <s v="BF"/>
    <s v="CON"/>
    <x v="2"/>
    <x v="11"/>
    <n v="1.7999999999999999E-2"/>
    <d v="2024-03-31T00:00:00"/>
    <x v="1"/>
    <m/>
    <x v="1"/>
    <s v="M"/>
    <s v=""/>
    <m/>
    <m/>
    <m/>
    <m/>
    <m/>
    <n v="0"/>
    <n v="-1"/>
    <n v="0"/>
    <n v="0"/>
    <n v="-1"/>
    <n v="1"/>
    <n v="0"/>
    <n v="0"/>
    <n v="-1"/>
    <n v="0"/>
    <n v="0"/>
    <n v="-1"/>
    <n v="0"/>
    <n v="0"/>
    <n v="0"/>
    <n v="0"/>
    <n v="0"/>
    <n v="0"/>
    <n v="0"/>
    <n v="1"/>
    <n v="0"/>
    <n v="0"/>
    <n v="0"/>
    <n v="0"/>
    <n v="0"/>
    <n v="0"/>
    <n v="0"/>
    <n v="0"/>
    <x v="1"/>
    <x v="0"/>
    <x v="2"/>
    <n v="14"/>
    <m/>
    <n v="-0.5"/>
    <n v="-0.5"/>
    <m/>
    <m/>
    <m/>
    <m/>
    <m/>
    <m/>
    <m/>
    <m/>
    <m/>
    <m/>
    <m/>
    <m/>
    <m/>
    <m/>
    <m/>
    <m/>
    <m/>
    <n v="-1"/>
    <n v="-1"/>
  </r>
  <r>
    <n v="6657"/>
    <x v="1"/>
    <s v="2023/1546"/>
    <s v="Brocklebank Health Centre, 249 Garratt Lane (and others), 229-247 Garratt Lane (Garratt Lane and Atheldene Regeneration Site)"/>
    <s v="Phase 2 (Block B)"/>
    <n v="525999"/>
    <n v="173647"/>
    <x v="13"/>
    <d v="2023-04-01T00:00:00"/>
    <m/>
    <n v="0"/>
    <x v="58"/>
    <x v="67"/>
    <n v="83"/>
    <n v="83"/>
    <x v="0"/>
    <s v="Amendments under Section 96a of the Town and Country Planning Act 1990 to planning permission dated 31/07/2020 ref. 2017/4141 (for Demolition of existing buildings and erection of a mixed use development providing a total of 193 residential units (of both private and affordable tenure) including houses and apartments, with associated amenity space including gardens, balconies and terraces; a new health centre (Class D1 use) (1,873sq.m), a pharmacy (Class A1 use) (94sq.m), two commercial units (flexible Class A1/A2/A3 or B1 use) (189sq.m), within buildings ranging between two and five-storeys high, together with the provision of hard and soft landscaping, enhanced pedestrian routes, and associated car parking and cycle parking, with the development proposed to be constructed in two phases) to amend the tenure of the 83 residential units in Phase 2 from 14 affordable shared ownership units and 69 private sale units to 83 social rent units, together with minor internal alterations and revised placement of a stack of 4 windows on the Oakshaw Road frontage."/>
    <s v="S96A"/>
    <d v="2023-04-24T00:00:00"/>
    <d v="2023-06-27T00:00:00"/>
    <x v="1"/>
    <s v="Nil"/>
    <m/>
    <s v="BF"/>
    <s v="NB"/>
    <x v="1"/>
    <x v="0"/>
    <n v="1.4999999999999999E-2"/>
    <d v="2023-04-01T00:00:00"/>
    <x v="1"/>
    <m/>
    <x v="2"/>
    <s v="AS"/>
    <s v=""/>
    <m/>
    <m/>
    <n v="17"/>
    <m/>
    <n v="2"/>
    <n v="0"/>
    <n v="2"/>
    <n v="13"/>
    <n v="4"/>
    <n v="0"/>
    <n v="0"/>
    <n v="0"/>
    <n v="0"/>
    <n v="2"/>
    <n v="13"/>
    <n v="4"/>
    <n v="0"/>
    <n v="0"/>
    <n v="0"/>
    <n v="0"/>
    <n v="0"/>
    <n v="0"/>
    <n v="0"/>
    <n v="0"/>
    <n v="0"/>
    <n v="0"/>
    <n v="0"/>
    <n v="0"/>
    <n v="0"/>
    <n v="0"/>
    <n v="0"/>
    <n v="0"/>
    <n v="0"/>
    <x v="1"/>
    <x v="0"/>
    <x v="2"/>
    <n v="5"/>
    <m/>
    <m/>
    <m/>
    <m/>
    <m/>
    <n v="19"/>
    <m/>
    <m/>
    <m/>
    <m/>
    <m/>
    <m/>
    <m/>
    <m/>
    <m/>
    <m/>
    <m/>
    <m/>
    <m/>
    <m/>
    <n v="19"/>
    <n v="19"/>
  </r>
  <r>
    <n v="6657"/>
    <x v="1"/>
    <s v="2023/1546"/>
    <s v="Brocklebank Health Centre, 249 Garratt Lane (and others), 229-247 Garratt Lane (Garratt Lane and Atheldene Regeneration Site)"/>
    <s v="Phase 2 (Block E)"/>
    <n v="525999"/>
    <n v="173647"/>
    <x v="13"/>
    <d v="2023-04-01T00:00:00"/>
    <m/>
    <n v="0"/>
    <x v="58"/>
    <x v="67"/>
    <n v="83"/>
    <n v="83"/>
    <x v="0"/>
    <s v="Amendments under Section 96a of the Town and Country Planning Act 1990 to planning permission dated 31/07/2020 ref. 2017/4141 (for Demolition of existing buildings and erection of a mixed use development providing a total of 193 residential units (of both private and affordable tenure) including houses and apartments, with associated amenity space including gardens, balconies and terraces; a new health centre (Class D1 use) (1,873sq.m), a pharmacy (Class A1 use) (94sq.m), two commercial units (flexible Class A1/A2/A3 or B1 use) (189sq.m), within buildings ranging between two and five-storeys high, together with the provision of hard and soft landscaping, enhanced pedestrian routes, and associated car parking and cycle parking, with the development proposed to be constructed in two phases) to amend the tenure of the 83 residential units in Phase 2 from 14 affordable shared ownership units and 69 private sale units to 83 social rent units, together with minor internal alterations and revised placement of a stack of 4 windows on the Oakshaw Road frontage."/>
    <s v="S96A"/>
    <d v="2023-04-24T00:00:00"/>
    <d v="2023-06-27T00:00:00"/>
    <x v="1"/>
    <s v="Nil"/>
    <m/>
    <s v="BF"/>
    <s v="NB"/>
    <x v="1"/>
    <x v="0"/>
    <n v="1.7000000000000001E-2"/>
    <d v="2023-04-01T00:00:00"/>
    <x v="1"/>
    <m/>
    <x v="2"/>
    <s v="AS"/>
    <s v=""/>
    <m/>
    <m/>
    <n v="18"/>
    <m/>
    <n v="1"/>
    <n v="0"/>
    <n v="7"/>
    <n v="12"/>
    <n v="0"/>
    <n v="0"/>
    <n v="0"/>
    <n v="0"/>
    <n v="0"/>
    <n v="7"/>
    <n v="12"/>
    <n v="0"/>
    <n v="0"/>
    <n v="0"/>
    <n v="0"/>
    <n v="0"/>
    <n v="0"/>
    <n v="0"/>
    <n v="0"/>
    <n v="0"/>
    <n v="0"/>
    <n v="0"/>
    <n v="0"/>
    <n v="0"/>
    <n v="0"/>
    <n v="0"/>
    <n v="0"/>
    <n v="0"/>
    <n v="0"/>
    <x v="1"/>
    <x v="0"/>
    <x v="2"/>
    <n v="5"/>
    <m/>
    <m/>
    <m/>
    <m/>
    <m/>
    <n v="19"/>
    <m/>
    <m/>
    <m/>
    <m/>
    <m/>
    <m/>
    <m/>
    <m/>
    <m/>
    <m/>
    <m/>
    <m/>
    <m/>
    <m/>
    <n v="19"/>
    <n v="19"/>
  </r>
  <r>
    <n v="6657"/>
    <x v="1"/>
    <s v="2023/1546"/>
    <s v="Brocklebank Health Centre, 249 Garratt Lane (and others), 229-247 Garratt Lane (Garratt Lane and Atheldene Regeneration Site)"/>
    <s v="Phase 2 (Block C)"/>
    <n v="525999"/>
    <n v="173647"/>
    <x v="13"/>
    <d v="2023-04-01T00:00:00"/>
    <m/>
    <n v="0"/>
    <x v="35"/>
    <x v="40"/>
    <n v="83"/>
    <n v="83"/>
    <x v="0"/>
    <s v="Amendments under Section 96a of the Town and Country Planning Act 1990 to planning permission dated 31/07/2020 ref. 2017/4141 (for Demolition of existing buildings and erection of a mixed use development providing a total of 193 residential units (of both private and affordable tenure) including houses and apartments, with associated amenity space including gardens, balconies and terraces; a new health centre (Class D1 use) (1,873sq.m), a pharmacy (Class A1 use) (94sq.m), two commercial units (flexible Class A1/A2/A3 or B1 use) (189sq.m), within buildings ranging between two and five-storeys high, together with the provision of hard and soft landscaping, enhanced pedestrian routes, and associated car parking and cycle parking, with the development proposed to be constructed in two phases) to amend the tenure of the 83 residential units in Phase 2 from 14 affordable shared ownership units and 69 private sale units to 83 social rent units, together with minor internal alterations and revised placement of a stack of 4 windows on the Oakshaw Road frontage."/>
    <s v="S96A"/>
    <d v="2023-04-24T00:00:00"/>
    <d v="2023-06-27T00:00:00"/>
    <x v="1"/>
    <s v="Nil"/>
    <m/>
    <s v="BF"/>
    <s v="NB"/>
    <x v="1"/>
    <x v="0"/>
    <n v="1.7000000000000001E-2"/>
    <d v="2023-04-01T00:00:00"/>
    <x v="1"/>
    <m/>
    <x v="2"/>
    <s v="AS"/>
    <s v=""/>
    <m/>
    <m/>
    <n v="15"/>
    <m/>
    <n v="2"/>
    <n v="0"/>
    <n v="1"/>
    <n v="12"/>
    <n v="4"/>
    <n v="0"/>
    <n v="0"/>
    <n v="0"/>
    <n v="0"/>
    <n v="1"/>
    <n v="12"/>
    <n v="4"/>
    <n v="0"/>
    <n v="0"/>
    <n v="0"/>
    <n v="0"/>
    <n v="0"/>
    <n v="0"/>
    <n v="0"/>
    <n v="0"/>
    <n v="0"/>
    <n v="0"/>
    <n v="0"/>
    <n v="0"/>
    <n v="0"/>
    <n v="0"/>
    <n v="0"/>
    <n v="0"/>
    <n v="0"/>
    <x v="1"/>
    <x v="0"/>
    <x v="2"/>
    <n v="5"/>
    <m/>
    <m/>
    <m/>
    <m/>
    <m/>
    <n v="17"/>
    <m/>
    <m/>
    <m/>
    <m/>
    <m/>
    <m/>
    <m/>
    <m/>
    <m/>
    <m/>
    <m/>
    <m/>
    <m/>
    <m/>
    <n v="17"/>
    <n v="17"/>
  </r>
  <r>
    <n v="6657"/>
    <x v="1"/>
    <s v="2023/1546"/>
    <s v="Brocklebank Health Centre, 249 Garratt Lane (and others), 229-247 Garratt Lane (Garratt Lane and Atheldene Regeneration Site)"/>
    <s v="Phase 2 (Block A)"/>
    <n v="525999"/>
    <n v="173647"/>
    <x v="13"/>
    <d v="2023-04-01T00:00:00"/>
    <m/>
    <n v="0"/>
    <x v="9"/>
    <x v="12"/>
    <n v="83"/>
    <n v="83"/>
    <x v="0"/>
    <s v="Amendments under Section 96a of the Town and Country Planning Act 1990 to planning permission dated 31/07/2020 ref. 2017/4141 (for Demolition of existing buildings and erection of a mixed use development providing a total of 193 residential units (of both private and affordable tenure) including houses and apartments, with associated amenity space including gardens, balconies and terraces; a new health centre (Class D1 use) (1,873sq.m), a pharmacy (Class A1 use) (94sq.m), two commercial units (flexible Class A1/A2/A3 or B1 use) (189sq.m), within buildings ranging between two and five-storeys high, together with the provision of hard and soft landscaping, enhanced pedestrian routes, and associated car parking and cycle parking, with the development proposed to be constructed in two phases) to amend the tenure of the 83 residential units in Phase 2 from 14 affordable shared ownership units and 69 private sale units to 83 social rent units, together with minor internal alterations and revised placement of a stack of 4 windows on the Oakshaw Road frontage."/>
    <s v="S96A"/>
    <d v="2023-04-24T00:00:00"/>
    <d v="2023-06-27T00:00:00"/>
    <x v="1"/>
    <s v="Nil"/>
    <m/>
    <s v="BF"/>
    <s v="NB"/>
    <x v="1"/>
    <x v="0"/>
    <n v="7.0000000000000001E-3"/>
    <d v="2023-04-01T00:00:00"/>
    <x v="1"/>
    <m/>
    <x v="2"/>
    <s v="AS"/>
    <s v=""/>
    <m/>
    <m/>
    <n v="6"/>
    <m/>
    <n v="2"/>
    <n v="0"/>
    <n v="0"/>
    <n v="4"/>
    <n v="4"/>
    <n v="0"/>
    <n v="0"/>
    <n v="0"/>
    <n v="0"/>
    <n v="0"/>
    <n v="4"/>
    <n v="4"/>
    <n v="0"/>
    <n v="0"/>
    <n v="0"/>
    <n v="0"/>
    <n v="0"/>
    <n v="0"/>
    <n v="0"/>
    <n v="0"/>
    <n v="0"/>
    <n v="0"/>
    <n v="0"/>
    <n v="0"/>
    <n v="0"/>
    <n v="0"/>
    <n v="0"/>
    <n v="0"/>
    <n v="0"/>
    <x v="1"/>
    <x v="0"/>
    <x v="2"/>
    <n v="5"/>
    <m/>
    <m/>
    <m/>
    <m/>
    <m/>
    <n v="8"/>
    <m/>
    <m/>
    <m/>
    <m/>
    <m/>
    <m/>
    <m/>
    <m/>
    <m/>
    <m/>
    <m/>
    <m/>
    <m/>
    <m/>
    <n v="8"/>
    <n v="8"/>
  </r>
  <r>
    <n v="6852"/>
    <x v="1"/>
    <s v="2022/4370"/>
    <s v="Kersfield Estate, Lytton Grove"/>
    <s v="Block F"/>
    <n v="524063"/>
    <n v="174446"/>
    <x v="7"/>
    <d v="2021-05-26T00:00:00"/>
    <m/>
    <n v="0"/>
    <x v="10"/>
    <x v="14"/>
    <n v="41"/>
    <n v="41"/>
    <x v="0"/>
    <s v="Variation of condition 2  (in accordance with approved drawings) pursuant to planning permission 28/02/2020 ref 2018/5553 (Demolition of existing electricity substation and erection of 7 blocks and new electricity substation across the estate ranging from 2 to 4 storeys to provide 41 new residential units (14 x 1 bed, 25 x 2 bed, 2 x 3 bed) removal of a number of existing trees along Lytton Grove frontage with provision of replacement trees, landscaping and play space) to allow change to the tenure to provide all 41 dwelling as affordable rent; increase the height of the external courtyard wall on Block D up to 2.99m  and install security rollers barrier on courtyard walls of Blocks B, C and D."/>
    <s v="S73"/>
    <d v="2022-10-27T00:00:00"/>
    <d v="2023-05-31T00:00:00"/>
    <x v="1"/>
    <s v="Nil"/>
    <m/>
    <s v="BF"/>
    <s v="NB"/>
    <x v="1"/>
    <x v="0"/>
    <n v="9.9000000000000005E-2"/>
    <d v="2021-05-26T00:00:00"/>
    <x v="0"/>
    <m/>
    <x v="2"/>
    <s v="AL"/>
    <s v=""/>
    <n v="17320313"/>
    <m/>
    <m/>
    <m/>
    <n v="1"/>
    <n v="0"/>
    <n v="3"/>
    <n v="3"/>
    <n v="1"/>
    <n v="0"/>
    <n v="0"/>
    <n v="0"/>
    <n v="0"/>
    <n v="3"/>
    <n v="3"/>
    <n v="1"/>
    <n v="0"/>
    <n v="0"/>
    <n v="0"/>
    <n v="0"/>
    <n v="0"/>
    <n v="0"/>
    <n v="0"/>
    <n v="0"/>
    <n v="0"/>
    <n v="0"/>
    <n v="0"/>
    <n v="0"/>
    <n v="0"/>
    <n v="0"/>
    <n v="0"/>
    <n v="0"/>
    <n v="0"/>
    <x v="1"/>
    <x v="0"/>
    <x v="2"/>
    <n v="5"/>
    <m/>
    <n v="7"/>
    <m/>
    <m/>
    <m/>
    <m/>
    <m/>
    <m/>
    <m/>
    <m/>
    <m/>
    <m/>
    <m/>
    <m/>
    <m/>
    <m/>
    <m/>
    <m/>
    <m/>
    <m/>
    <n v="7"/>
    <n v="7"/>
  </r>
  <r>
    <n v="6852"/>
    <x v="1"/>
    <s v="2022/4370"/>
    <s v="Kersfield Estate, Lytton Grove"/>
    <s v="Block G"/>
    <n v="524063"/>
    <n v="174446"/>
    <x v="7"/>
    <d v="2021-05-26T00:00:00"/>
    <m/>
    <n v="0"/>
    <x v="10"/>
    <x v="14"/>
    <n v="41"/>
    <n v="41"/>
    <x v="0"/>
    <s v="Variation of condition 2  (in accordance with approved drawings) pursuant to planning permission 28/02/2020 ref 2018/5553 (Demolition of existing electricity substation and erection of 7 blocks and new electricity substation across the estate ranging from 2 to 4 storeys to provide 41 new residential units (14 x 1 bed, 25 x 2 bed, 2 x 3 bed) removal of a number of existing trees along Lytton Grove frontage with provision of replacement trees, landscaping and play space) to allow change to the tenure to provide all 41 dwelling as affordable rent; increase the height of the external courtyard wall on Block D up to 2.99m  and install security rollers barrier on courtyard walls of Blocks B, C and D."/>
    <s v="S73"/>
    <d v="2022-10-27T00:00:00"/>
    <d v="2023-05-31T00:00:00"/>
    <x v="1"/>
    <s v="Nil"/>
    <m/>
    <s v="BF"/>
    <s v="NB"/>
    <x v="1"/>
    <x v="0"/>
    <n v="9.9000000000000005E-2"/>
    <d v="2021-05-26T00:00:00"/>
    <x v="0"/>
    <m/>
    <x v="2"/>
    <s v="AL"/>
    <s v=""/>
    <n v="17320313"/>
    <m/>
    <m/>
    <m/>
    <n v="1"/>
    <n v="0"/>
    <n v="3"/>
    <n v="3"/>
    <n v="1"/>
    <n v="0"/>
    <n v="0"/>
    <n v="0"/>
    <n v="0"/>
    <n v="3"/>
    <n v="3"/>
    <n v="1"/>
    <n v="0"/>
    <n v="0"/>
    <n v="0"/>
    <n v="0"/>
    <n v="0"/>
    <n v="0"/>
    <n v="0"/>
    <n v="0"/>
    <n v="0"/>
    <n v="0"/>
    <n v="0"/>
    <n v="0"/>
    <n v="0"/>
    <n v="0"/>
    <n v="0"/>
    <n v="0"/>
    <n v="0"/>
    <x v="1"/>
    <x v="0"/>
    <x v="2"/>
    <n v="5"/>
    <m/>
    <n v="7"/>
    <m/>
    <m/>
    <m/>
    <m/>
    <m/>
    <m/>
    <m/>
    <m/>
    <m/>
    <m/>
    <m/>
    <m/>
    <m/>
    <m/>
    <m/>
    <m/>
    <m/>
    <m/>
    <n v="7"/>
    <n v="7"/>
  </r>
  <r>
    <n v="6852"/>
    <x v="1"/>
    <s v="2022/4370"/>
    <s v="Kersfield Estate, Lytton Grove"/>
    <s v="Block B"/>
    <n v="524063"/>
    <n v="174446"/>
    <x v="7"/>
    <d v="2021-05-26T00:00:00"/>
    <m/>
    <n v="0"/>
    <x v="0"/>
    <x v="0"/>
    <n v="41"/>
    <n v="41"/>
    <x v="0"/>
    <s v="Variation of condition 2  (in accordance with approved drawings) pursuant to planning permission 28/02/2020 ref 2018/5553 (Demolition of existing electricity substation and erection of 7 blocks and new electricity substation across the estate ranging from 2 to 4 storeys to provide 41 new residential units (14 x 1 bed, 25 x 2 bed, 2 x 3 bed) removal of a number of existing trees along Lytton Grove frontage with provision of replacement trees, landscaping and play space) to allow change to the tenure to provide all 41 dwelling as affordable rent; increase the height of the external courtyard wall on Block D up to 2.99m  and install security rollers barrier on courtyard walls of Blocks B, C and D."/>
    <s v="S73"/>
    <d v="2022-10-27T00:00:00"/>
    <d v="2023-05-31T00:00:00"/>
    <x v="1"/>
    <s v="Nil"/>
    <m/>
    <s v="BF"/>
    <s v="NB"/>
    <x v="1"/>
    <x v="0"/>
    <n v="8.5000000000000006E-2"/>
    <d v="2021-05-26T00:00:00"/>
    <x v="0"/>
    <m/>
    <x v="2"/>
    <s v="AL"/>
    <s v=""/>
    <n v="17320313"/>
    <m/>
    <m/>
    <m/>
    <m/>
    <n v="0"/>
    <n v="2"/>
    <n v="4"/>
    <n v="0"/>
    <n v="0"/>
    <n v="0"/>
    <n v="0"/>
    <n v="0"/>
    <n v="2"/>
    <n v="4"/>
    <n v="0"/>
    <n v="0"/>
    <n v="0"/>
    <n v="0"/>
    <n v="0"/>
    <n v="0"/>
    <n v="0"/>
    <n v="0"/>
    <n v="0"/>
    <n v="0"/>
    <n v="0"/>
    <n v="0"/>
    <n v="0"/>
    <n v="0"/>
    <n v="0"/>
    <n v="0"/>
    <n v="0"/>
    <n v="0"/>
    <x v="1"/>
    <x v="0"/>
    <x v="2"/>
    <n v="5"/>
    <m/>
    <n v="6"/>
    <m/>
    <m/>
    <m/>
    <m/>
    <m/>
    <m/>
    <m/>
    <m/>
    <m/>
    <m/>
    <m/>
    <m/>
    <m/>
    <m/>
    <m/>
    <m/>
    <m/>
    <m/>
    <n v="6"/>
    <n v="6"/>
  </r>
  <r>
    <n v="6852"/>
    <x v="1"/>
    <s v="2022/4370"/>
    <s v="Kersfield Estate, Lytton Grove"/>
    <s v="Block C"/>
    <n v="524063"/>
    <n v="174446"/>
    <x v="7"/>
    <d v="2021-05-26T00:00:00"/>
    <m/>
    <n v="0"/>
    <x v="0"/>
    <x v="0"/>
    <n v="41"/>
    <n v="41"/>
    <x v="0"/>
    <s v="Variation of condition 2  (in accordance with approved drawings) pursuant to planning permission 28/02/2020 ref 2018/5553 (Demolition of existing electricity substation and erection of 7 blocks and new electricity substation across the estate ranging from 2 to 4 storeys to provide 41 new residential units (14 x 1 bed, 25 x 2 bed, 2 x 3 bed) removal of a number of existing trees along Lytton Grove frontage with provision of replacement trees, landscaping and play space) to allow change to the tenure to provide all 41 dwelling as affordable rent; increase the height of the external courtyard wall on Block D up to 2.99m  and install security rollers barrier on courtyard walls of Blocks B, C and D."/>
    <s v="S73"/>
    <d v="2022-10-27T00:00:00"/>
    <d v="2023-05-31T00:00:00"/>
    <x v="1"/>
    <s v="Nil"/>
    <m/>
    <s v="BF"/>
    <s v="NB"/>
    <x v="1"/>
    <x v="0"/>
    <n v="8.5000000000000006E-2"/>
    <d v="2021-05-26T00:00:00"/>
    <x v="0"/>
    <m/>
    <x v="2"/>
    <s v="AL"/>
    <s v=""/>
    <n v="17320313"/>
    <m/>
    <m/>
    <m/>
    <m/>
    <n v="0"/>
    <n v="2"/>
    <n v="4"/>
    <n v="0"/>
    <n v="0"/>
    <n v="0"/>
    <n v="0"/>
    <n v="0"/>
    <n v="2"/>
    <n v="4"/>
    <n v="0"/>
    <n v="0"/>
    <n v="0"/>
    <n v="0"/>
    <n v="0"/>
    <n v="0"/>
    <n v="0"/>
    <n v="0"/>
    <n v="0"/>
    <n v="0"/>
    <n v="0"/>
    <n v="0"/>
    <n v="0"/>
    <n v="0"/>
    <n v="0"/>
    <n v="0"/>
    <n v="0"/>
    <n v="0"/>
    <x v="1"/>
    <x v="0"/>
    <x v="2"/>
    <n v="5"/>
    <m/>
    <n v="6"/>
    <m/>
    <m/>
    <m/>
    <m/>
    <m/>
    <m/>
    <m/>
    <m/>
    <m/>
    <m/>
    <m/>
    <m/>
    <m/>
    <m/>
    <m/>
    <m/>
    <m/>
    <m/>
    <n v="6"/>
    <n v="6"/>
  </r>
  <r>
    <n v="7923"/>
    <x v="1"/>
    <s v="2022/4956"/>
    <s v="Maisonette First Second And Third Floors 13,  11-13 Bedford Hill"/>
    <s v=""/>
    <n v="528606"/>
    <n v="173388"/>
    <x v="6"/>
    <d v="2023-09-14T00:00:00"/>
    <m/>
    <n v="2"/>
    <x v="24"/>
    <x v="36"/>
    <n v="5"/>
    <n v="3"/>
    <x v="1"/>
    <s v="Alterations including erection of a three storey rear extension above existing ground and first floor addition and replacement of windows and doors to rear elevation in connection with the conversion of existing 2 x 3 Bedroom Maisonettes into 6 x 1 bedroom flats. Internal alterations and reconfiguration of external areas to create bike storage."/>
    <s v="PF"/>
    <d v="2022-12-02T00:00:00"/>
    <d v="2023-04-26T00:00:00"/>
    <x v="1"/>
    <s v="Nil"/>
    <m/>
    <s v="BF"/>
    <s v="CON"/>
    <x v="2"/>
    <x v="5"/>
    <n v="0.08"/>
    <d v="2023-09-14T00:00:00"/>
    <x v="1"/>
    <m/>
    <x v="1"/>
    <s v="M"/>
    <s v=""/>
    <m/>
    <m/>
    <m/>
    <m/>
    <m/>
    <n v="0"/>
    <n v="3"/>
    <n v="1"/>
    <n v="-1"/>
    <n v="0"/>
    <n v="0"/>
    <n v="0"/>
    <n v="0"/>
    <n v="3"/>
    <n v="1"/>
    <n v="-1"/>
    <n v="0"/>
    <n v="0"/>
    <n v="0"/>
    <n v="0"/>
    <n v="0"/>
    <n v="0"/>
    <n v="0"/>
    <n v="0"/>
    <n v="0"/>
    <n v="0"/>
    <n v="0"/>
    <n v="0"/>
    <n v="0"/>
    <n v="0"/>
    <n v="0"/>
    <n v="0"/>
    <n v="0"/>
    <x v="5"/>
    <x v="0"/>
    <x v="9"/>
    <n v="13"/>
    <m/>
    <n v="3"/>
    <m/>
    <m/>
    <m/>
    <m/>
    <m/>
    <m/>
    <m/>
    <m/>
    <m/>
    <m/>
    <m/>
    <m/>
    <m/>
    <m/>
    <m/>
    <m/>
    <m/>
    <m/>
    <n v="3"/>
    <n v="3"/>
  </r>
  <r>
    <n v="7090"/>
    <x v="1"/>
    <s v="2018/5833"/>
    <s v="The Northcote Library, Chatham Hall and garages west of Chatham Hall, 155e Northcote Road"/>
    <s v="Northcote Library Site"/>
    <n v="527587"/>
    <n v="174507"/>
    <x v="11"/>
    <d v="2021-04-01T00:00:00"/>
    <m/>
    <n v="0"/>
    <x v="29"/>
    <x v="33"/>
    <n v="16"/>
    <n v="16"/>
    <x v="0"/>
    <s v="The demolition of the two storey library, the single storey plus two storey roof Chatham Hall and the 8 vehicular garages (single storey) and the erection of a four storey building plus the excavation of a basement at the existing library site comprising two commercial units (Use Class A1) split over basement and ground floor levels (approximately 388sq.m) and nine (9) residential units at upper floor levels; the erection of a part one/two/three storey library (Use Class D1) (approximately 848sq.m) fronting onto Northcote Road; the erection of a part two/ three storey building behind the proposed library comprising a community hall (Use Class D1) at ground floor (approximately 301sq.m) and seven (7) residential flats at upper floor levels; 2 car parking spaces and 20 cycle parking spaces; and associated landscaping and infrastructure works."/>
    <s v="PFLA"/>
    <d v="2019-01-15T00:00:00"/>
    <d v="2020-03-25T00:00:00"/>
    <x v="0"/>
    <s v="Nil"/>
    <m/>
    <s v="BF"/>
    <s v="NB"/>
    <x v="1"/>
    <x v="0"/>
    <n v="6.6000000000000003E-2"/>
    <d v="2023-11-01T00:00:00"/>
    <x v="1"/>
    <m/>
    <x v="1"/>
    <s v="M"/>
    <s v=""/>
    <m/>
    <m/>
    <m/>
    <m/>
    <m/>
    <n v="0"/>
    <n v="1"/>
    <n v="8"/>
    <n v="0"/>
    <n v="0"/>
    <n v="0"/>
    <n v="0"/>
    <n v="0"/>
    <n v="1"/>
    <n v="8"/>
    <n v="0"/>
    <n v="0"/>
    <n v="0"/>
    <n v="0"/>
    <n v="0"/>
    <n v="0"/>
    <n v="0"/>
    <n v="0"/>
    <n v="0"/>
    <n v="0"/>
    <n v="0"/>
    <n v="0"/>
    <n v="0"/>
    <n v="0"/>
    <n v="0"/>
    <n v="0"/>
    <n v="0"/>
    <n v="0"/>
    <x v="1"/>
    <x v="0"/>
    <x v="2"/>
    <n v="2"/>
    <m/>
    <m/>
    <n v="9"/>
    <m/>
    <m/>
    <m/>
    <m/>
    <m/>
    <m/>
    <m/>
    <m/>
    <m/>
    <m/>
    <m/>
    <m/>
    <m/>
    <m/>
    <m/>
    <m/>
    <m/>
    <n v="9"/>
    <n v="9"/>
  </r>
  <r>
    <n v="6852"/>
    <x v="1"/>
    <s v="2022/4370"/>
    <s v="Kersfield Estate, Lytton Grove"/>
    <s v="Block D"/>
    <n v="524063"/>
    <n v="174446"/>
    <x v="7"/>
    <d v="2021-05-26T00:00:00"/>
    <m/>
    <n v="0"/>
    <x v="0"/>
    <x v="0"/>
    <n v="41"/>
    <n v="41"/>
    <x v="0"/>
    <s v="Variation of condition 2  (in accordance with approved drawings) pursuant to planning permission 28/02/2020 ref 2018/5553 (Demolition of existing electricity substation and erection of 7 blocks and new electricity substation across the estate ranging from 2 to 4 storeys to provide 41 new residential units (14 x 1 bed, 25 x 2 bed, 2 x 3 bed) removal of a number of existing trees along Lytton Grove frontage with provision of replacement trees, landscaping and play space) to allow change to the tenure to provide all 41 dwelling as affordable rent; increase the height of the external courtyard wall on Block D up to 2.99m  and install security rollers barrier on courtyard walls of Blocks B, C and D."/>
    <s v="S73"/>
    <d v="2022-10-27T00:00:00"/>
    <d v="2023-05-31T00:00:00"/>
    <x v="1"/>
    <s v="Nil"/>
    <m/>
    <s v="BF"/>
    <s v="NB"/>
    <x v="1"/>
    <x v="0"/>
    <n v="8.5000000000000006E-2"/>
    <d v="2021-05-26T00:00:00"/>
    <x v="0"/>
    <m/>
    <x v="2"/>
    <s v="AL"/>
    <s v=""/>
    <n v="17320313"/>
    <m/>
    <m/>
    <m/>
    <m/>
    <n v="0"/>
    <n v="2"/>
    <n v="4"/>
    <n v="0"/>
    <n v="0"/>
    <n v="0"/>
    <n v="0"/>
    <n v="0"/>
    <n v="2"/>
    <n v="4"/>
    <n v="0"/>
    <n v="0"/>
    <n v="0"/>
    <n v="0"/>
    <n v="0"/>
    <n v="0"/>
    <n v="0"/>
    <n v="0"/>
    <n v="0"/>
    <n v="0"/>
    <n v="0"/>
    <n v="0"/>
    <n v="0"/>
    <n v="0"/>
    <n v="0"/>
    <n v="0"/>
    <n v="0"/>
    <n v="0"/>
    <x v="1"/>
    <x v="0"/>
    <x v="2"/>
    <n v="5"/>
    <m/>
    <n v="6"/>
    <m/>
    <m/>
    <m/>
    <m/>
    <m/>
    <m/>
    <m/>
    <m/>
    <m/>
    <m/>
    <m/>
    <m/>
    <m/>
    <m/>
    <m/>
    <m/>
    <m/>
    <m/>
    <n v="6"/>
    <n v="6"/>
  </r>
  <r>
    <n v="6852"/>
    <x v="1"/>
    <s v="2022/4370"/>
    <s v="Kersfield Estate, Lytton Grove"/>
    <s v="Block E"/>
    <n v="524063"/>
    <n v="174446"/>
    <x v="7"/>
    <d v="2021-05-26T00:00:00"/>
    <m/>
    <n v="0"/>
    <x v="24"/>
    <x v="28"/>
    <n v="41"/>
    <n v="41"/>
    <x v="0"/>
    <s v="Variation of condition 2  (in accordance with approved drawings) pursuant to planning permission 28/02/2020 ref 2018/5553 (Demolition of existing electricity substation and erection of 7 blocks and new electricity substation across the estate ranging from 2 to 4 storeys to provide 41 new residential units (14 x 1 bed, 25 x 2 bed, 2 x 3 bed) removal of a number of existing trees along Lytton Grove frontage with provision of replacement trees, landscaping and play space) to allow change to the tenure to provide all 41 dwelling as affordable rent; increase the height of the external courtyard wall on Block D up to 2.99m  and install security rollers barrier on courtyard walls of Blocks B, C and D."/>
    <s v="S73"/>
    <d v="2022-10-27T00:00:00"/>
    <d v="2023-05-31T00:00:00"/>
    <x v="1"/>
    <s v="Nil"/>
    <m/>
    <s v="BF"/>
    <s v="NB"/>
    <x v="1"/>
    <x v="0"/>
    <n v="7.0000000000000007E-2"/>
    <d v="2021-05-26T00:00:00"/>
    <x v="0"/>
    <m/>
    <x v="2"/>
    <s v="AL"/>
    <s v=""/>
    <n v="17320313"/>
    <m/>
    <m/>
    <m/>
    <m/>
    <n v="0"/>
    <n v="1"/>
    <n v="4"/>
    <n v="0"/>
    <n v="0"/>
    <n v="0"/>
    <n v="0"/>
    <n v="0"/>
    <n v="1"/>
    <n v="4"/>
    <n v="0"/>
    <n v="0"/>
    <n v="0"/>
    <n v="0"/>
    <n v="0"/>
    <n v="0"/>
    <n v="0"/>
    <n v="0"/>
    <n v="0"/>
    <n v="0"/>
    <n v="0"/>
    <n v="0"/>
    <n v="0"/>
    <n v="0"/>
    <n v="0"/>
    <n v="0"/>
    <n v="0"/>
    <n v="0"/>
    <x v="1"/>
    <x v="0"/>
    <x v="2"/>
    <n v="5"/>
    <m/>
    <n v="5"/>
    <m/>
    <m/>
    <m/>
    <m/>
    <m/>
    <m/>
    <m/>
    <m/>
    <m/>
    <m/>
    <m/>
    <m/>
    <m/>
    <m/>
    <m/>
    <m/>
    <m/>
    <m/>
    <n v="5"/>
    <n v="5"/>
  </r>
  <r>
    <n v="7936"/>
    <x v="1"/>
    <s v="2022/5295"/>
    <s v="39 Dornton Road"/>
    <s v=""/>
    <n v="529018"/>
    <n v="172727"/>
    <x v="18"/>
    <d v="2023-11-16T00:00:00"/>
    <m/>
    <n v="2"/>
    <x v="3"/>
    <x v="3"/>
    <n v="1"/>
    <n v="-1"/>
    <x v="1"/>
    <s v="Conversion of two flats into one single dwellinghouse, to include alterations to install new glazed door on ground floor and addition of five roof lights on the front and side roof slopes."/>
    <s v="PF"/>
    <d v="2022-12-23T00:00:00"/>
    <d v="2023-02-24T00:00:00"/>
    <x v="0"/>
    <s v="Nil"/>
    <m/>
    <s v="BF"/>
    <s v="CON"/>
    <x v="2"/>
    <x v="11"/>
    <n v="7.0000000000000001E-3"/>
    <d v="2023-11-16T00:00:00"/>
    <x v="1"/>
    <m/>
    <x v="1"/>
    <s v="M"/>
    <s v=""/>
    <m/>
    <m/>
    <m/>
    <m/>
    <m/>
    <n v="0"/>
    <n v="-1"/>
    <n v="0"/>
    <n v="-1"/>
    <n v="0"/>
    <n v="1"/>
    <n v="0"/>
    <n v="0"/>
    <n v="-1"/>
    <n v="0"/>
    <n v="-1"/>
    <n v="0"/>
    <n v="0"/>
    <n v="0"/>
    <n v="0"/>
    <n v="0"/>
    <n v="0"/>
    <n v="0"/>
    <n v="0"/>
    <n v="1"/>
    <n v="0"/>
    <n v="0"/>
    <n v="0"/>
    <n v="0"/>
    <n v="0"/>
    <n v="0"/>
    <n v="0"/>
    <n v="0"/>
    <x v="1"/>
    <x v="0"/>
    <x v="2"/>
    <n v="14"/>
    <m/>
    <n v="-0.5"/>
    <n v="-0.5"/>
    <m/>
    <m/>
    <m/>
    <m/>
    <m/>
    <m/>
    <m/>
    <m/>
    <m/>
    <m/>
    <m/>
    <m/>
    <m/>
    <m/>
    <m/>
    <m/>
    <m/>
    <n v="-1"/>
    <n v="-1"/>
  </r>
  <r>
    <n v="6852"/>
    <x v="1"/>
    <s v="2022/4370"/>
    <s v="Kersfield Estate, Lytton Grove"/>
    <s v="Block A"/>
    <n v="524063"/>
    <n v="174446"/>
    <x v="7"/>
    <d v="2021-05-26T00:00:00"/>
    <m/>
    <n v="0"/>
    <x v="12"/>
    <x v="15"/>
    <n v="41"/>
    <n v="41"/>
    <x v="0"/>
    <s v="Variation of condition 2  (in accordance with approved drawings) pursuant to planning permission 28/02/2020 ref 2018/5553 (Demolition of existing electricity substation and erection of 7 blocks and new electricity substation across the estate ranging from 2 to 4 storeys to provide 41 new residential units (14 x 1 bed, 25 x 2 bed, 2 x 3 bed) removal of a number of existing trees along Lytton Grove frontage with provision of replacement trees, landscaping and play space) to allow change to the tenure to provide all 41 dwelling as affordable rent; increase the height of the external courtyard wall on Block D up to 2.99m  and install security rollers barrier on courtyard walls of Blocks B, C and D."/>
    <s v="S73"/>
    <d v="2022-10-27T00:00:00"/>
    <d v="2023-05-31T00:00:00"/>
    <x v="1"/>
    <s v="Nil"/>
    <m/>
    <s v="BF"/>
    <s v="NB"/>
    <x v="1"/>
    <x v="0"/>
    <n v="5.6000000000000001E-2"/>
    <d v="2021-05-26T00:00:00"/>
    <x v="0"/>
    <m/>
    <x v="2"/>
    <s v="AL"/>
    <s v=""/>
    <n v="17320313"/>
    <m/>
    <m/>
    <m/>
    <m/>
    <n v="0"/>
    <n v="1"/>
    <n v="3"/>
    <n v="0"/>
    <n v="0"/>
    <n v="0"/>
    <n v="0"/>
    <n v="0"/>
    <n v="1"/>
    <n v="3"/>
    <n v="0"/>
    <n v="0"/>
    <n v="0"/>
    <n v="0"/>
    <n v="0"/>
    <n v="0"/>
    <n v="0"/>
    <n v="0"/>
    <n v="0"/>
    <n v="0"/>
    <n v="0"/>
    <n v="0"/>
    <n v="0"/>
    <n v="0"/>
    <n v="0"/>
    <n v="0"/>
    <n v="0"/>
    <n v="0"/>
    <x v="1"/>
    <x v="0"/>
    <x v="2"/>
    <n v="5"/>
    <m/>
    <n v="4"/>
    <m/>
    <m/>
    <m/>
    <m/>
    <m/>
    <m/>
    <m/>
    <m/>
    <m/>
    <m/>
    <m/>
    <m/>
    <m/>
    <m/>
    <m/>
    <m/>
    <m/>
    <m/>
    <n v="4"/>
    <n v="4"/>
  </r>
  <r>
    <n v="6853"/>
    <x v="1"/>
    <s v="2022/5287"/>
    <s v="The Patmore Centre, Patmore Street"/>
    <s v="Block B"/>
    <n v="529335"/>
    <n v="176880"/>
    <x v="20"/>
    <d v="2022-11-08T00:00:00"/>
    <m/>
    <n v="0"/>
    <x v="30"/>
    <x v="34"/>
    <n v="57"/>
    <n v="57"/>
    <x v="0"/>
    <s v="Application under Section 96a of the Town and Country Planning Act 1990 for amendments to the housing tenure mix of planning permission 2020/0636 dated 2 September 2021 (&quot;Demolition of existing building and multi-use games area and redevelopment of the site to include erection of two five-storey buildings to provide 57 affordable residential units and a community room (Use Class D1) with associated bicycle parking, residential car parking, refuse storage, plant and outdoor private amenity space. Provision of a new shared street and enhancements to existing public open space (including new and improved children's play space and replacement multi-use games area) and associated landscaping and SuDS.&quot;) It is proposed to change the tenure of 18 shared ownership units to social rented (London Affordable Rent), providing a total of 57 social rent units within the development."/>
    <s v="S96A"/>
    <d v="2023-01-26T00:00:00"/>
    <d v="2023-05-17T00:00:00"/>
    <x v="1"/>
    <s v="Nil"/>
    <m/>
    <s v="BF"/>
    <s v="NB"/>
    <x v="1"/>
    <x v="0"/>
    <n v="0.23300000000000001"/>
    <d v="2022-11-08T00:00:00"/>
    <x v="0"/>
    <m/>
    <x v="2"/>
    <s v="AL"/>
    <s v=""/>
    <m/>
    <m/>
    <n v="14"/>
    <m/>
    <n v="6"/>
    <n v="0"/>
    <n v="6"/>
    <n v="8"/>
    <n v="4"/>
    <n v="2"/>
    <n v="0"/>
    <n v="0"/>
    <n v="0"/>
    <n v="6"/>
    <n v="8"/>
    <n v="4"/>
    <n v="2"/>
    <n v="0"/>
    <n v="0"/>
    <n v="0"/>
    <n v="0"/>
    <n v="0"/>
    <n v="0"/>
    <n v="0"/>
    <n v="0"/>
    <n v="0"/>
    <n v="0"/>
    <n v="0"/>
    <n v="0"/>
    <n v="0"/>
    <n v="0"/>
    <n v="0"/>
    <n v="0"/>
    <x v="1"/>
    <x v="1"/>
    <x v="1"/>
    <n v="5"/>
    <m/>
    <n v="20"/>
    <m/>
    <m/>
    <m/>
    <m/>
    <m/>
    <m/>
    <m/>
    <m/>
    <m/>
    <m/>
    <m/>
    <m/>
    <m/>
    <m/>
    <m/>
    <m/>
    <m/>
    <m/>
    <n v="20"/>
    <n v="20"/>
  </r>
  <r>
    <n v="6853"/>
    <x v="1"/>
    <s v="2022/5287"/>
    <s v="The Patmore Centre, Patmore Street"/>
    <s v="Block C"/>
    <n v="529335"/>
    <n v="176880"/>
    <x v="20"/>
    <d v="2022-11-08T00:00:00"/>
    <m/>
    <n v="0"/>
    <x v="58"/>
    <x v="67"/>
    <n v="57"/>
    <n v="57"/>
    <x v="0"/>
    <s v="Application under Section 96a of the Town and Country Planning Act 1990 for amendments to the housing tenure mix of planning permission 2020/0636 dated 2 September 2021 (&quot;Demolition of existing building and multi-use games area and redevelopment of the site to include erection of two five-storey buildings to provide 57 affordable residential units and a community room (Use Class D1) with associated bicycle parking, residential car parking, refuse storage, plant and outdoor private amenity space. Provision of a new shared street and enhancements to existing public open space (including new and improved children's play space and replacement multi-use games area) and associated landscaping and SuDS.&quot;) It is proposed to change the tenure of 18 shared ownership units to social rented (London Affordable Rent), providing a total of 57 social rent units within the development."/>
    <s v="S96A"/>
    <d v="2023-01-26T00:00:00"/>
    <d v="2023-05-17T00:00:00"/>
    <x v="1"/>
    <s v="Nil"/>
    <m/>
    <s v="BF"/>
    <s v="NB"/>
    <x v="1"/>
    <x v="0"/>
    <n v="0.186"/>
    <d v="2022-11-08T00:00:00"/>
    <x v="0"/>
    <m/>
    <x v="2"/>
    <s v="AL"/>
    <s v=""/>
    <m/>
    <m/>
    <n v="19"/>
    <m/>
    <m/>
    <n v="0"/>
    <n v="6"/>
    <n v="7"/>
    <n v="4"/>
    <n v="2"/>
    <n v="0"/>
    <n v="0"/>
    <n v="0"/>
    <n v="6"/>
    <n v="7"/>
    <n v="4"/>
    <n v="2"/>
    <n v="0"/>
    <n v="0"/>
    <n v="0"/>
    <n v="0"/>
    <n v="0"/>
    <n v="0"/>
    <n v="0"/>
    <n v="0"/>
    <n v="0"/>
    <n v="0"/>
    <n v="0"/>
    <n v="0"/>
    <n v="0"/>
    <n v="0"/>
    <n v="0"/>
    <n v="0"/>
    <x v="1"/>
    <x v="1"/>
    <x v="1"/>
    <n v="5"/>
    <m/>
    <n v="19"/>
    <m/>
    <m/>
    <m/>
    <m/>
    <m/>
    <m/>
    <m/>
    <m/>
    <m/>
    <m/>
    <m/>
    <m/>
    <m/>
    <m/>
    <m/>
    <m/>
    <m/>
    <m/>
    <n v="19"/>
    <n v="19"/>
  </r>
  <r>
    <n v="6853"/>
    <x v="1"/>
    <s v="2022/5287"/>
    <s v="The Patmore Centre, Patmore Street"/>
    <s v="Block A"/>
    <n v="529335"/>
    <n v="176880"/>
    <x v="20"/>
    <d v="2022-11-08T00:00:00"/>
    <m/>
    <n v="0"/>
    <x v="74"/>
    <x v="85"/>
    <n v="57"/>
    <n v="57"/>
    <x v="0"/>
    <s v="Application under Section 96a of the Town and Country Planning Act 1990 for amendments to the housing tenure mix of planning permission 2020/0636 dated 2 September 2021 (&quot;Demolition of existing building and multi-use games area and redevelopment of the site to include erection of two five-storey buildings to provide 57 affordable residential units and a community room (Use Class D1) with associated bicycle parking, residential car parking, refuse storage, plant and outdoor private amenity space. Provision of a new shared street and enhancements to existing public open space (including new and improved children's play space and replacement multi-use games area) and associated landscaping and SuDS.&quot;) It is proposed to change the tenure of 18 shared ownership units to social rented (London Affordable Rent), providing a total of 57 social rent units within the development."/>
    <s v="S96A"/>
    <d v="2023-01-26T00:00:00"/>
    <d v="2023-05-17T00:00:00"/>
    <x v="1"/>
    <s v="Nil"/>
    <m/>
    <s v="BF"/>
    <s v="NB"/>
    <x v="1"/>
    <x v="0"/>
    <n v="3.5000000000000003E-2"/>
    <d v="2022-11-08T00:00:00"/>
    <x v="0"/>
    <m/>
    <x v="2"/>
    <s v="AL"/>
    <s v=""/>
    <m/>
    <m/>
    <n v="18"/>
    <m/>
    <m/>
    <n v="0"/>
    <n v="9"/>
    <n v="9"/>
    <n v="0"/>
    <n v="0"/>
    <n v="0"/>
    <n v="0"/>
    <n v="0"/>
    <n v="9"/>
    <n v="9"/>
    <n v="0"/>
    <n v="0"/>
    <n v="0"/>
    <n v="0"/>
    <n v="0"/>
    <n v="0"/>
    <n v="0"/>
    <n v="0"/>
    <n v="0"/>
    <n v="0"/>
    <n v="0"/>
    <n v="0"/>
    <n v="0"/>
    <n v="0"/>
    <n v="0"/>
    <n v="0"/>
    <n v="0"/>
    <n v="0"/>
    <x v="1"/>
    <x v="1"/>
    <x v="1"/>
    <n v="5"/>
    <m/>
    <n v="18"/>
    <m/>
    <m/>
    <m/>
    <m/>
    <m/>
    <m/>
    <m/>
    <m/>
    <m/>
    <m/>
    <m/>
    <m/>
    <m/>
    <m/>
    <m/>
    <m/>
    <m/>
    <m/>
    <n v="18"/>
    <n v="18"/>
  </r>
  <r>
    <n v="7296"/>
    <x v="1"/>
    <s v="2019/4697"/>
    <s v="Alton One O'clock Centre, Fontley Way"/>
    <s v="GROUND FLOOR"/>
    <n v="522049"/>
    <n v="173511"/>
    <x v="4"/>
    <d v="2022-04-01T00:00:00"/>
    <m/>
    <n v="0"/>
    <x v="10"/>
    <x v="14"/>
    <n v="14"/>
    <n v="14"/>
    <x v="0"/>
    <s v="Redevelopment of the site to provide one new build block of four storeys in height comprising 14 dwellings (Class C3) comprising 12 x 3 bed units and 2 x 4 bed units, landscaped amenity area and playspace, car parking spaces (including disabled spaces), cycle parking, refuse storage and creation of access."/>
    <s v="PFLA"/>
    <d v="2019-11-11T00:00:00"/>
    <d v="2021-11-05T00:00:00"/>
    <x v="0"/>
    <s v="Nil"/>
    <m/>
    <s v="BF"/>
    <s v="NB"/>
    <x v="1"/>
    <x v="0"/>
    <n v="4.5999999999999999E-2"/>
    <d v="2022-09-15T00:00:00"/>
    <x v="0"/>
    <m/>
    <x v="2"/>
    <s v="AS"/>
    <s v=""/>
    <m/>
    <m/>
    <n v="5"/>
    <m/>
    <n v="2"/>
    <n v="0"/>
    <n v="0"/>
    <n v="0"/>
    <n v="5"/>
    <n v="2"/>
    <n v="0"/>
    <n v="0"/>
    <n v="0"/>
    <n v="0"/>
    <n v="0"/>
    <n v="5"/>
    <n v="2"/>
    <n v="0"/>
    <n v="0"/>
    <n v="0"/>
    <n v="0"/>
    <n v="0"/>
    <n v="0"/>
    <n v="0"/>
    <n v="0"/>
    <n v="0"/>
    <n v="0"/>
    <n v="0"/>
    <n v="0"/>
    <n v="0"/>
    <n v="0"/>
    <n v="0"/>
    <n v="0"/>
    <x v="1"/>
    <x v="0"/>
    <x v="2"/>
    <n v="2"/>
    <m/>
    <n v="7"/>
    <m/>
    <m/>
    <m/>
    <m/>
    <m/>
    <m/>
    <m/>
    <m/>
    <m/>
    <m/>
    <m/>
    <m/>
    <m/>
    <m/>
    <m/>
    <m/>
    <m/>
    <m/>
    <n v="7"/>
    <n v="7"/>
  </r>
  <r>
    <n v="8001"/>
    <x v="1"/>
    <s v="2023/0177"/>
    <s v="103 Eswyn Road"/>
    <s v=""/>
    <n v="527860"/>
    <n v="171448"/>
    <x v="19"/>
    <d v="2023-11-28T00:00:00"/>
    <m/>
    <n v="1"/>
    <x v="3"/>
    <x v="6"/>
    <n v="1"/>
    <n v="0"/>
    <x v="1"/>
    <s v="Alterations including erection of dormer roof extension to main rear roof and ground floor side and rear extension in connection with conversion of property into house of multi occupancy (HMO) (Class C4)."/>
    <s v="PF"/>
    <d v="2023-06-19T00:00:00"/>
    <d v="2023-11-28T00:00:00"/>
    <x v="1"/>
    <s v="Nil"/>
    <m/>
    <s v="BF"/>
    <s v="COU"/>
    <x v="2"/>
    <x v="10"/>
    <n v="0"/>
    <d v="2023-11-28T00:00:00"/>
    <x v="1"/>
    <m/>
    <x v="1"/>
    <s v="M"/>
    <s v=""/>
    <m/>
    <m/>
    <m/>
    <m/>
    <m/>
    <n v="0"/>
    <n v="0"/>
    <n v="0"/>
    <n v="0"/>
    <n v="0"/>
    <n v="0"/>
    <n v="0"/>
    <n v="0"/>
    <n v="0"/>
    <n v="0"/>
    <n v="0"/>
    <n v="0"/>
    <n v="0"/>
    <n v="0"/>
    <n v="0"/>
    <n v="0"/>
    <n v="0"/>
    <n v="0"/>
    <n v="0"/>
    <n v="0"/>
    <n v="0"/>
    <n v="0"/>
    <n v="0"/>
    <n v="0"/>
    <n v="0"/>
    <n v="0"/>
    <n v="0"/>
    <n v="0"/>
    <x v="1"/>
    <x v="0"/>
    <x v="2"/>
    <n v="14"/>
    <m/>
    <n v="0"/>
    <n v="0"/>
    <m/>
    <m/>
    <m/>
    <m/>
    <m/>
    <m/>
    <m/>
    <m/>
    <m/>
    <m/>
    <m/>
    <m/>
    <m/>
    <m/>
    <m/>
    <m/>
    <m/>
    <n v="0"/>
    <n v="0"/>
  </r>
  <r>
    <n v="2356"/>
    <x v="1"/>
    <s v="2023/0224"/>
    <s v="The Forester, 114 Allfarthing Lane"/>
    <s v=""/>
    <n v="525955"/>
    <n v="174077"/>
    <x v="14"/>
    <d v="2024-03-31T00:00:00"/>
    <m/>
    <n v="0"/>
    <x v="9"/>
    <x v="12"/>
    <n v="8"/>
    <n v="8"/>
    <x v="1"/>
    <s v="Alterations including part demolition of building, retaining existing facades; erection of main roof extension and side extensions at first and second floor levels to NE elevation; front and side lightwells and first floor level terraces to NE elevation in connection with provision of 8 residential units (3 x 1-bed, 4 x 2-bed and 1 x 3-bed) with associated landscaping, cycle and refuse storage."/>
    <s v="PF"/>
    <d v="2023-01-19T00:00:00"/>
    <d v="2023-05-25T00:00:00"/>
    <x v="1"/>
    <s v="Nil"/>
    <m/>
    <s v="BF"/>
    <s v="MIX"/>
    <x v="2"/>
    <x v="3"/>
    <n v="0.1"/>
    <d v="2024-03-31T00:00:00"/>
    <x v="1"/>
    <m/>
    <x v="1"/>
    <s v="M"/>
    <s v=""/>
    <m/>
    <m/>
    <m/>
    <m/>
    <m/>
    <n v="0"/>
    <n v="3"/>
    <n v="4"/>
    <n v="1"/>
    <n v="0"/>
    <n v="0"/>
    <n v="0"/>
    <n v="0"/>
    <n v="3"/>
    <n v="4"/>
    <n v="1"/>
    <n v="0"/>
    <n v="0"/>
    <n v="0"/>
    <n v="0"/>
    <n v="0"/>
    <n v="0"/>
    <n v="0"/>
    <n v="0"/>
    <n v="0"/>
    <n v="0"/>
    <n v="0"/>
    <n v="0"/>
    <n v="0"/>
    <n v="0"/>
    <n v="0"/>
    <n v="0"/>
    <n v="0"/>
    <x v="1"/>
    <x v="0"/>
    <x v="2"/>
    <n v="14"/>
    <m/>
    <n v="4"/>
    <n v="4"/>
    <m/>
    <m/>
    <m/>
    <m/>
    <m/>
    <m/>
    <m/>
    <m/>
    <m/>
    <m/>
    <m/>
    <m/>
    <m/>
    <m/>
    <m/>
    <m/>
    <m/>
    <n v="8"/>
    <n v="8"/>
  </r>
  <r>
    <n v="5220"/>
    <x v="1"/>
    <s v="2023/0244"/>
    <s v="Units 11 &amp; 15 Southside Quarter, Burns Road"/>
    <s v=""/>
    <n v="527650"/>
    <n v="176358"/>
    <x v="2"/>
    <d v="2023-07-24T00:00:00"/>
    <m/>
    <n v="1"/>
    <x v="5"/>
    <x v="5"/>
    <n v="2"/>
    <n v="1"/>
    <x v="1"/>
    <s v="Conversion of one self-contained flat into two self-contained flats."/>
    <s v="PF"/>
    <d v="2023-02-17T00:00:00"/>
    <d v="2023-05-19T00:00:00"/>
    <x v="1"/>
    <s v="Nil"/>
    <m/>
    <s v="BF"/>
    <s v="CON"/>
    <x v="2"/>
    <x v="5"/>
    <n v="1.4999999999999999E-2"/>
    <d v="2023-07-24T00:00:00"/>
    <x v="1"/>
    <m/>
    <x v="1"/>
    <s v="M"/>
    <s v=""/>
    <m/>
    <m/>
    <m/>
    <m/>
    <m/>
    <n v="0"/>
    <n v="0"/>
    <n v="2"/>
    <n v="-1"/>
    <n v="0"/>
    <n v="0"/>
    <n v="0"/>
    <n v="0"/>
    <n v="0"/>
    <n v="2"/>
    <n v="-1"/>
    <n v="0"/>
    <n v="0"/>
    <n v="0"/>
    <n v="0"/>
    <n v="0"/>
    <n v="0"/>
    <n v="0"/>
    <n v="0"/>
    <n v="0"/>
    <n v="0"/>
    <n v="0"/>
    <n v="0"/>
    <n v="0"/>
    <n v="0"/>
    <n v="0"/>
    <n v="0"/>
    <n v="0"/>
    <x v="1"/>
    <x v="0"/>
    <x v="2"/>
    <n v="13"/>
    <m/>
    <n v="1"/>
    <m/>
    <m/>
    <m/>
    <m/>
    <m/>
    <m/>
    <m/>
    <m/>
    <m/>
    <m/>
    <m/>
    <m/>
    <m/>
    <m/>
    <m/>
    <m/>
    <m/>
    <m/>
    <n v="1"/>
    <n v="1"/>
  </r>
  <r>
    <n v="7734"/>
    <x v="1"/>
    <s v="2023/0295"/>
    <s v="Land to the rear of 43, Southfields Road"/>
    <s v=""/>
    <n v="525211"/>
    <n v="174287"/>
    <x v="7"/>
    <d v="2024-03-31T00:00:00"/>
    <m/>
    <n v="0"/>
    <x v="24"/>
    <x v="28"/>
    <n v="5"/>
    <n v="5"/>
    <x v="1"/>
    <s v="Redevelopment including erection of a terrace of 5 x two-storey houses (4 x 3-bedroom and 1 x 2 bedroom) with 3 no. off-street parking spaces, cycle and refuse storage. (Revisions to 2021/5257 with pitched roof added to each house to provide additional living space)."/>
    <s v="PFLA"/>
    <d v="2023-01-25T00:00:00"/>
    <d v="2023-10-02T00:00:00"/>
    <x v="1"/>
    <s v="Nil"/>
    <m/>
    <s v="BF"/>
    <s v="NB"/>
    <x v="2"/>
    <x v="3"/>
    <n v="0.50900000000000001"/>
    <d v="2024-03-31T00:00:00"/>
    <x v="1"/>
    <m/>
    <x v="1"/>
    <s v="M"/>
    <s v=""/>
    <m/>
    <m/>
    <m/>
    <m/>
    <m/>
    <n v="0"/>
    <n v="0"/>
    <n v="1"/>
    <n v="4"/>
    <n v="0"/>
    <n v="0"/>
    <n v="0"/>
    <n v="0"/>
    <n v="0"/>
    <n v="0"/>
    <n v="0"/>
    <n v="0"/>
    <n v="0"/>
    <n v="0"/>
    <n v="0"/>
    <n v="0"/>
    <n v="1"/>
    <n v="4"/>
    <n v="0"/>
    <n v="0"/>
    <n v="0"/>
    <n v="0"/>
    <n v="0"/>
    <n v="0"/>
    <n v="0"/>
    <n v="0"/>
    <n v="0"/>
    <n v="0"/>
    <x v="1"/>
    <x v="0"/>
    <x v="2"/>
    <n v="4"/>
    <m/>
    <n v="2.5"/>
    <n v="2.5"/>
    <m/>
    <m/>
    <m/>
    <m/>
    <m/>
    <m/>
    <m/>
    <m/>
    <m/>
    <m/>
    <m/>
    <m/>
    <m/>
    <m/>
    <m/>
    <m/>
    <m/>
    <n v="5"/>
    <n v="5"/>
  </r>
  <r>
    <n v="3902"/>
    <x v="1"/>
    <s v="2023/0320"/>
    <s v="St Peter with St Paul Church, Vicarage and, 23-31 Plough Road (Parkside St. Peters)"/>
    <s v=""/>
    <n v="526710"/>
    <n v="175659"/>
    <x v="21"/>
    <d v="2024-03-31T00:00:00"/>
    <m/>
    <n v="0"/>
    <x v="11"/>
    <x v="36"/>
    <n v="3"/>
    <n v="3"/>
    <x v="1"/>
    <s v="Replacement of roof garden with extension to  provide 2 x 1 bedroom flats and 1 x 3 bedroom flat."/>
    <s v="PFLA"/>
    <d v="2023-01-26T00:00:00"/>
    <d v="2023-12-20T00:00:00"/>
    <x v="1"/>
    <s v="Nil"/>
    <m/>
    <s v="BF"/>
    <s v="EXT"/>
    <x v="2"/>
    <x v="7"/>
    <n v="2.0199999999999999E-2"/>
    <d v="2024-03-31T00:00:00"/>
    <x v="1"/>
    <m/>
    <x v="1"/>
    <s v="M"/>
    <s v="4.1.6"/>
    <m/>
    <m/>
    <m/>
    <m/>
    <m/>
    <n v="0"/>
    <n v="2"/>
    <n v="0"/>
    <n v="1"/>
    <n v="0"/>
    <n v="0"/>
    <n v="0"/>
    <n v="0"/>
    <n v="2"/>
    <n v="0"/>
    <n v="1"/>
    <n v="0"/>
    <n v="0"/>
    <n v="0"/>
    <n v="0"/>
    <n v="0"/>
    <n v="0"/>
    <n v="0"/>
    <n v="0"/>
    <n v="0"/>
    <n v="0"/>
    <n v="0"/>
    <n v="0"/>
    <n v="0"/>
    <n v="0"/>
    <n v="0"/>
    <n v="0"/>
    <n v="0"/>
    <x v="1"/>
    <x v="0"/>
    <x v="3"/>
    <n v="14"/>
    <m/>
    <n v="1.5"/>
    <n v="1.5"/>
    <m/>
    <m/>
    <m/>
    <m/>
    <m/>
    <m/>
    <m/>
    <m/>
    <m/>
    <m/>
    <m/>
    <m/>
    <m/>
    <m/>
    <m/>
    <m/>
    <m/>
    <n v="3"/>
    <n v="3"/>
  </r>
  <r>
    <n v="7915"/>
    <x v="1"/>
    <s v="2023/0600"/>
    <s v="Basement and Ground Flr, 2 Glenburnie Road"/>
    <s v=""/>
    <n v="527854"/>
    <n v="172507"/>
    <x v="10"/>
    <d v="2024-03-31T00:00:00"/>
    <m/>
    <n v="0"/>
    <x v="3"/>
    <x v="5"/>
    <n v="1"/>
    <n v="1"/>
    <x v="1"/>
    <s v="Determination as to whether prior approval is required for change of use of basement and ground floor from Hot Food Takeaway (Sui Generis) to residential (Class C3) to provide 1 x 1-bedroom flat. Replacement of existing shopfront with windows and door."/>
    <s v="PAG"/>
    <d v="2023-02-14T00:00:00"/>
    <d v="2023-04-06T00:00:00"/>
    <x v="1"/>
    <s v="Nil"/>
    <m/>
    <s v="BF"/>
    <s v="COU"/>
    <x v="2"/>
    <x v="8"/>
    <n v="4.3E-3"/>
    <d v="2024-03-31T00:00:00"/>
    <x v="1"/>
    <m/>
    <x v="1"/>
    <s v="M"/>
    <s v=""/>
    <m/>
    <m/>
    <m/>
    <m/>
    <m/>
    <n v="0"/>
    <n v="1"/>
    <n v="0"/>
    <n v="0"/>
    <n v="0"/>
    <n v="0"/>
    <n v="0"/>
    <n v="0"/>
    <n v="1"/>
    <n v="0"/>
    <n v="0"/>
    <n v="0"/>
    <n v="0"/>
    <n v="0"/>
    <n v="0"/>
    <n v="0"/>
    <n v="0"/>
    <n v="0"/>
    <n v="0"/>
    <n v="0"/>
    <n v="0"/>
    <n v="0"/>
    <n v="0"/>
    <n v="0"/>
    <n v="0"/>
    <n v="0"/>
    <n v="0"/>
    <n v="0"/>
    <x v="1"/>
    <x v="0"/>
    <x v="2"/>
    <n v="14"/>
    <m/>
    <n v="0.5"/>
    <n v="0.5"/>
    <m/>
    <m/>
    <m/>
    <m/>
    <m/>
    <m/>
    <m/>
    <m/>
    <m/>
    <m/>
    <m/>
    <m/>
    <m/>
    <m/>
    <m/>
    <m/>
    <m/>
    <n v="1"/>
    <n v="1"/>
  </r>
  <r>
    <n v="7954"/>
    <x v="1"/>
    <s v="2023/0640"/>
    <s v="41 Southfields Road"/>
    <s v=""/>
    <n v="525175"/>
    <n v="174296"/>
    <x v="7"/>
    <d v="2024-03-31T00:00:00"/>
    <m/>
    <n v="0"/>
    <x v="3"/>
    <x v="5"/>
    <n v="1"/>
    <n v="1"/>
    <x v="1"/>
    <s v="Determination as to whether prior approval is required for change of use of the ground floor from  medical consulting rooms (Class E) to a 2-bed flat. (Class C3)"/>
    <s v="PAG"/>
    <d v="2023-02-16T00:00:00"/>
    <d v="2023-04-04T00:00:00"/>
    <x v="1"/>
    <s v="Nil"/>
    <m/>
    <s v="BF"/>
    <s v="COU"/>
    <x v="2"/>
    <x v="8"/>
    <n v="7.4999999999999997E-3"/>
    <d v="2024-03-31T00:00:00"/>
    <x v="1"/>
    <m/>
    <x v="1"/>
    <s v="M"/>
    <s v=""/>
    <m/>
    <m/>
    <m/>
    <m/>
    <m/>
    <n v="0"/>
    <n v="0"/>
    <n v="1"/>
    <n v="0"/>
    <n v="0"/>
    <n v="0"/>
    <n v="0"/>
    <n v="0"/>
    <n v="0"/>
    <n v="1"/>
    <n v="0"/>
    <n v="0"/>
    <n v="0"/>
    <n v="0"/>
    <n v="0"/>
    <n v="0"/>
    <n v="0"/>
    <n v="0"/>
    <n v="0"/>
    <n v="0"/>
    <n v="0"/>
    <n v="0"/>
    <n v="0"/>
    <n v="0"/>
    <n v="0"/>
    <n v="0"/>
    <n v="0"/>
    <n v="0"/>
    <x v="1"/>
    <x v="0"/>
    <x v="2"/>
    <n v="14"/>
    <m/>
    <n v="0.5"/>
    <n v="0.5"/>
    <m/>
    <m/>
    <m/>
    <m/>
    <m/>
    <m/>
    <m/>
    <m/>
    <m/>
    <m/>
    <m/>
    <m/>
    <m/>
    <m/>
    <m/>
    <m/>
    <m/>
    <n v="1"/>
    <n v="1"/>
  </r>
  <r>
    <n v="7863"/>
    <x v="1"/>
    <s v="2023/0718"/>
    <s v="178 Mitcham Road"/>
    <s v=""/>
    <n v="527882"/>
    <n v="170985"/>
    <x v="0"/>
    <d v="2024-03-31T00:00:00"/>
    <m/>
    <n v="0"/>
    <x v="3"/>
    <x v="5"/>
    <n v="1"/>
    <n v="1"/>
    <x v="1"/>
    <s v="Determination as to whether prior approval is required for change of use from retail unit (Class E) to residential (Class C3) to provide a studio flat_x000d_."/>
    <s v="PAG"/>
    <d v="2023-02-22T00:00:00"/>
    <d v="2023-05-05T00:00:00"/>
    <x v="1"/>
    <s v="Nil"/>
    <m/>
    <s v="BF"/>
    <s v="COU"/>
    <x v="2"/>
    <x v="4"/>
    <n v="4.0000000000000001E-3"/>
    <d v="2024-03-31T00:00:00"/>
    <x v="1"/>
    <m/>
    <x v="1"/>
    <s v="M"/>
    <s v=""/>
    <m/>
    <m/>
    <m/>
    <m/>
    <m/>
    <n v="1"/>
    <n v="0"/>
    <n v="0"/>
    <n v="0"/>
    <n v="0"/>
    <n v="0"/>
    <n v="0"/>
    <n v="1"/>
    <n v="0"/>
    <n v="0"/>
    <n v="0"/>
    <n v="0"/>
    <n v="0"/>
    <n v="0"/>
    <n v="0"/>
    <n v="0"/>
    <n v="0"/>
    <n v="0"/>
    <n v="0"/>
    <n v="0"/>
    <n v="0"/>
    <n v="0"/>
    <n v="0"/>
    <n v="0"/>
    <n v="0"/>
    <n v="0"/>
    <n v="0"/>
    <n v="0"/>
    <x v="1"/>
    <x v="0"/>
    <x v="0"/>
    <n v="14"/>
    <m/>
    <n v="0.5"/>
    <n v="0.5"/>
    <m/>
    <m/>
    <m/>
    <m/>
    <m/>
    <m/>
    <m/>
    <m/>
    <m/>
    <m/>
    <m/>
    <m/>
    <m/>
    <m/>
    <m/>
    <m/>
    <m/>
    <n v="1"/>
    <n v="1"/>
  </r>
  <r>
    <n v="7296"/>
    <x v="1"/>
    <s v="2019/4697"/>
    <s v="Alton One O'clock Centre, Fontley Way"/>
    <s v="SECOND FLOOR"/>
    <n v="522049"/>
    <n v="173511"/>
    <x v="4"/>
    <d v="2022-04-01T00:00:00"/>
    <m/>
    <n v="0"/>
    <x v="10"/>
    <x v="14"/>
    <n v="14"/>
    <n v="14"/>
    <x v="0"/>
    <s v="Redevelopment of the site to provide one new build block of four storeys in height comprising 14 dwellings (Class C3) comprising 12 x 3 bed units and 2 x 4 bed units, landscaped amenity area and playspace, car parking spaces (including disabled spaces), cycle parking, refuse storage and creation of access."/>
    <s v="PFLA"/>
    <d v="2019-11-11T00:00:00"/>
    <d v="2021-11-05T00:00:00"/>
    <x v="0"/>
    <s v="Nil"/>
    <m/>
    <s v="BF"/>
    <s v="NB"/>
    <x v="1"/>
    <x v="0"/>
    <n v="4.1000000000000002E-2"/>
    <d v="2022-09-15T00:00:00"/>
    <x v="0"/>
    <m/>
    <x v="0"/>
    <s v="ISE"/>
    <s v=""/>
    <m/>
    <m/>
    <n v="7"/>
    <m/>
    <m/>
    <n v="0"/>
    <n v="0"/>
    <n v="0"/>
    <n v="7"/>
    <n v="0"/>
    <n v="0"/>
    <n v="0"/>
    <n v="0"/>
    <n v="0"/>
    <n v="0"/>
    <n v="7"/>
    <n v="0"/>
    <n v="0"/>
    <n v="0"/>
    <n v="0"/>
    <n v="0"/>
    <n v="0"/>
    <n v="0"/>
    <n v="0"/>
    <n v="0"/>
    <n v="0"/>
    <n v="0"/>
    <n v="0"/>
    <n v="0"/>
    <n v="0"/>
    <n v="0"/>
    <n v="0"/>
    <n v="0"/>
    <x v="1"/>
    <x v="0"/>
    <x v="2"/>
    <n v="2"/>
    <m/>
    <n v="7"/>
    <m/>
    <m/>
    <m/>
    <m/>
    <m/>
    <m/>
    <m/>
    <m/>
    <m/>
    <m/>
    <m/>
    <m/>
    <m/>
    <m/>
    <m/>
    <m/>
    <m/>
    <m/>
    <n v="7"/>
    <n v="7"/>
  </r>
  <r>
    <n v="7101"/>
    <x v="1"/>
    <s v="2022/0354"/>
    <s v="Site of York Road, Winstanley Road (Part of Estate, York Gardens and Winstanley Estate)"/>
    <s v="Block 5A"/>
    <n v="526922"/>
    <n v="175807"/>
    <x v="21"/>
    <d v="2022-02-17T00:00:00"/>
    <m/>
    <n v="0"/>
    <x v="75"/>
    <x v="86"/>
    <n v="126"/>
    <n v="126"/>
    <x v="0"/>
    <s v="Non Material Amendment under Section 96a of the Town and County Planning Act (1990) to planning permission dated 29th January 2021 planning reference 2019/0024 for the &quot;a part outline and part detailed planning permission for the following proposed development: a) Phased demolition of all existing buildings; b) Mixed use phased development comprising residential up to 2550 units (mix tenure including social rent, affordable rent, intermediate, private rented and private sale) above ground level including leisure centre, health, flexible commercial uses (retail, financial and professional services, café / restaurants, drinking establishments, hot food takeaways, business, non residential institutions and assembly and leisure), park, landscaping, public realm, energy centres, car/cycle parking and new vehicle accesses. All matters reserved except for phased construction of Block 1 (two residential towers comprising private sale units and new leisure/community centre including a gym, swimming pool and library, commercial uses), Block 5 (comprising affordable units and commercial units) and Block 6 (private sale units and affordable units) together with a new Park and associated works. c) Site clearance and enabling works including works to Winstanley Road, as well as temporary works necessary to enable the approved development. An Environmental Statement has been submitted with the application under the Town and Country Planning (Environmental Impact Assessment) Regulations 2017.&quot;"/>
    <s v="S96A"/>
    <d v="2022-01-31T00:00:00"/>
    <d v="2022-04-22T00:00:00"/>
    <x v="0"/>
    <s v="Nil"/>
    <m/>
    <s v="BF"/>
    <s v="NB"/>
    <x v="1"/>
    <x v="0"/>
    <n v="0"/>
    <d v="2022-02-17T00:00:00"/>
    <x v="0"/>
    <m/>
    <x v="2"/>
    <s v="AS"/>
    <s v=""/>
    <m/>
    <m/>
    <m/>
    <m/>
    <m/>
    <n v="0"/>
    <n v="18"/>
    <n v="10"/>
    <n v="14"/>
    <n v="5"/>
    <n v="0"/>
    <n v="0"/>
    <n v="0"/>
    <n v="18"/>
    <n v="10"/>
    <n v="14"/>
    <n v="5"/>
    <n v="0"/>
    <n v="0"/>
    <n v="0"/>
    <n v="0"/>
    <n v="0"/>
    <n v="0"/>
    <n v="0"/>
    <n v="0"/>
    <n v="0"/>
    <n v="0"/>
    <n v="0"/>
    <n v="0"/>
    <n v="0"/>
    <n v="0"/>
    <n v="0"/>
    <n v="0"/>
    <x v="1"/>
    <x v="0"/>
    <x v="3"/>
    <n v="5"/>
    <m/>
    <n v="47"/>
    <m/>
    <m/>
    <m/>
    <m/>
    <m/>
    <m/>
    <m/>
    <m/>
    <m/>
    <m/>
    <m/>
    <m/>
    <m/>
    <m/>
    <m/>
    <m/>
    <m/>
    <m/>
    <n v="47"/>
    <n v="47"/>
  </r>
  <r>
    <n v="7960"/>
    <x v="1"/>
    <s v="2023/1179"/>
    <s v="Land West Of, 1 Treville Street"/>
    <s v=""/>
    <n v="522588"/>
    <n v="173914"/>
    <x v="4"/>
    <d v="2024-03-31T00:00:00"/>
    <m/>
    <n v="1"/>
    <x v="3"/>
    <x v="6"/>
    <n v="1"/>
    <n v="0"/>
    <x v="1"/>
    <s v="Redevelopment of single-storey building and garage (Class C3) to provide a two-storey (basement and ground levels)  2-bedroom house (Class C3) with 1 x off street parking space and associated refuse and cycle storage."/>
    <s v="PF"/>
    <d v="2023-03-24T00:00:00"/>
    <d v="2023-05-23T00:00:00"/>
    <x v="1"/>
    <s v="Nil"/>
    <m/>
    <s v="BF"/>
    <s v="NB"/>
    <x v="2"/>
    <x v="3"/>
    <n v="7.7499999999999999E-3"/>
    <d v="2024-03-31T00:00:00"/>
    <x v="1"/>
    <m/>
    <x v="1"/>
    <s v="MR"/>
    <s v=""/>
    <m/>
    <m/>
    <m/>
    <m/>
    <m/>
    <n v="0"/>
    <n v="-1"/>
    <n v="1"/>
    <n v="0"/>
    <n v="0"/>
    <n v="0"/>
    <n v="0"/>
    <n v="0"/>
    <n v="-1"/>
    <n v="0"/>
    <n v="0"/>
    <n v="0"/>
    <n v="0"/>
    <n v="0"/>
    <n v="0"/>
    <n v="0"/>
    <n v="1"/>
    <n v="0"/>
    <n v="0"/>
    <n v="0"/>
    <n v="0"/>
    <n v="0"/>
    <n v="0"/>
    <n v="0"/>
    <n v="0"/>
    <n v="0"/>
    <n v="0"/>
    <n v="0"/>
    <x v="1"/>
    <x v="0"/>
    <x v="2"/>
    <n v="4"/>
    <m/>
    <n v="0"/>
    <n v="0"/>
    <m/>
    <m/>
    <m/>
    <m/>
    <m/>
    <m/>
    <m/>
    <m/>
    <m/>
    <m/>
    <m/>
    <m/>
    <m/>
    <m/>
    <m/>
    <m/>
    <m/>
    <n v="0"/>
    <n v="0"/>
  </r>
  <r>
    <n v="7280"/>
    <x v="1"/>
    <s v="2023/1311"/>
    <s v="207-217 Lavender Hill"/>
    <s v=""/>
    <n v="527825"/>
    <n v="175532"/>
    <x v="8"/>
    <d v="2024-03-31T00:00:00"/>
    <m/>
    <n v="0"/>
    <x v="3"/>
    <x v="5"/>
    <n v="1"/>
    <n v="1"/>
    <x v="1"/>
    <s v="Alterations in connection with change of use from office (Class E) to residential (Class C3) to provide 2-bedroom flat, installation of planting to forecourt, alterations to ramp, installation of new doors."/>
    <s v="PF"/>
    <d v="2023-04-04T00:00:00"/>
    <d v="2023-10-20T00:00:00"/>
    <x v="1"/>
    <s v="Nil"/>
    <m/>
    <s v="BF"/>
    <s v="CON"/>
    <x v="2"/>
    <x v="8"/>
    <n v="1.0999999999999999E-2"/>
    <d v="2024-03-31T00:00:00"/>
    <x v="1"/>
    <m/>
    <x v="1"/>
    <s v="M"/>
    <s v=""/>
    <m/>
    <m/>
    <m/>
    <m/>
    <m/>
    <n v="0"/>
    <n v="0"/>
    <n v="1"/>
    <n v="0"/>
    <n v="0"/>
    <n v="0"/>
    <n v="0"/>
    <n v="0"/>
    <n v="0"/>
    <n v="1"/>
    <n v="0"/>
    <n v="0"/>
    <n v="0"/>
    <n v="0"/>
    <n v="0"/>
    <n v="0"/>
    <n v="0"/>
    <n v="0"/>
    <n v="0"/>
    <n v="0"/>
    <n v="0"/>
    <n v="0"/>
    <n v="0"/>
    <n v="0"/>
    <n v="0"/>
    <n v="0"/>
    <n v="0"/>
    <n v="0"/>
    <x v="1"/>
    <x v="0"/>
    <x v="3"/>
    <n v="14"/>
    <m/>
    <n v="0.5"/>
    <n v="0.5"/>
    <m/>
    <m/>
    <m/>
    <m/>
    <m/>
    <m/>
    <m/>
    <m/>
    <m/>
    <m/>
    <m/>
    <m/>
    <m/>
    <m/>
    <m/>
    <m/>
    <m/>
    <n v="1"/>
    <n v="1"/>
  </r>
  <r>
    <n v="7829"/>
    <x v="1"/>
    <s v="2023/1371"/>
    <s v="116 Disraeli Road"/>
    <s v=""/>
    <n v="524414"/>
    <n v="175024"/>
    <x v="3"/>
    <d v="2023-07-20T00:00:00"/>
    <m/>
    <n v="1"/>
    <x v="11"/>
    <x v="7"/>
    <n v="3"/>
    <n v="2"/>
    <x v="1"/>
    <s v="Alterations including erection of part single, part two-storey rear and side extensions; mansard roof extension to main rear roof and above back addition with terraces at rear first and second floor levels; in connection with the conversion of the property into 3 self-contained residential units (1 x 3-bedroom and 2 x 2-bedroom units) (Amendment to 2022/1557)"/>
    <s v="PF"/>
    <d v="2023-05-04T00:00:00"/>
    <d v="2023-07-12T00:00:00"/>
    <x v="1"/>
    <s v="Nil"/>
    <m/>
    <s v="BF"/>
    <s v="MIX"/>
    <x v="2"/>
    <x v="10"/>
    <n v="1.8350000000000002E-2"/>
    <d v="2023-07-20T00:00:00"/>
    <x v="1"/>
    <m/>
    <x v="1"/>
    <s v="M"/>
    <s v=""/>
    <m/>
    <m/>
    <m/>
    <m/>
    <m/>
    <n v="0"/>
    <n v="0"/>
    <n v="2"/>
    <n v="1"/>
    <n v="0"/>
    <n v="-1"/>
    <n v="0"/>
    <n v="0"/>
    <n v="0"/>
    <n v="2"/>
    <n v="1"/>
    <n v="0"/>
    <n v="0"/>
    <n v="0"/>
    <n v="0"/>
    <n v="0"/>
    <n v="0"/>
    <n v="0"/>
    <n v="0"/>
    <n v="-1"/>
    <n v="0"/>
    <n v="0"/>
    <n v="0"/>
    <n v="0"/>
    <n v="0"/>
    <n v="0"/>
    <n v="0"/>
    <n v="0"/>
    <x v="1"/>
    <x v="0"/>
    <x v="2"/>
    <n v="13"/>
    <m/>
    <n v="2"/>
    <m/>
    <m/>
    <m/>
    <m/>
    <m/>
    <m/>
    <m/>
    <m/>
    <m/>
    <m/>
    <m/>
    <m/>
    <m/>
    <m/>
    <m/>
    <m/>
    <m/>
    <m/>
    <n v="2"/>
    <n v="2"/>
  </r>
  <r>
    <n v="7101"/>
    <x v="1"/>
    <s v="2022/0354"/>
    <s v="Site of York Road, Winstanley Road (Part of Estate, York Gardens and Winstanley Estate)"/>
    <s v="Block 5C"/>
    <n v="526922"/>
    <n v="175807"/>
    <x v="21"/>
    <d v="2022-02-17T00:00:00"/>
    <m/>
    <n v="0"/>
    <x v="76"/>
    <x v="87"/>
    <n v="126"/>
    <n v="126"/>
    <x v="0"/>
    <s v="Non Material Amendment under Section 96a of the Town and County Planning Act (1990) to planning permission dated 29th January 2021 planning reference 2019/0024 for the &quot;a part outline and part detailed planning permission for the following proposed development: a) Phased demolition of all existing buildings; b) Mixed use phased development comprising residential up to 2550 units (mix tenure including social rent, affordable rent, intermediate, private rented and private sale) above ground level including leisure centre, health, flexible commercial uses (retail, financial and professional services, café / restaurants, drinking establishments, hot food takeaways, business, non residential institutions and assembly and leisure), park, landscaping, public realm, energy centres, car/cycle parking and new vehicle accesses. All matters reserved except for phased construction of Block 1 (two residential towers comprising private sale units and new leisure/community centre including a gym, swimming pool and library, commercial uses), Block 5 (comprising affordable units and commercial units) and Block 6 (private sale units and affordable units) together with a new Park and associated works. c) Site clearance and enabling works including works to Winstanley Road, as well as temporary works necessary to enable the approved development. An Environmental Statement has been submitted with the application under the Town and Country Planning (Environmental Impact Assessment) Regulations 2017.&quot;"/>
    <s v="S96A"/>
    <d v="2022-01-31T00:00:00"/>
    <d v="2022-04-22T00:00:00"/>
    <x v="0"/>
    <s v="Nil"/>
    <m/>
    <s v="BF"/>
    <s v="NB"/>
    <x v="1"/>
    <x v="0"/>
    <n v="0"/>
    <d v="2022-02-17T00:00:00"/>
    <x v="0"/>
    <m/>
    <x v="2"/>
    <s v="AS"/>
    <s v=""/>
    <m/>
    <m/>
    <m/>
    <m/>
    <m/>
    <n v="0"/>
    <n v="7"/>
    <n v="15"/>
    <n v="14"/>
    <n v="3"/>
    <n v="1"/>
    <n v="0"/>
    <n v="0"/>
    <n v="7"/>
    <n v="15"/>
    <n v="14"/>
    <n v="3"/>
    <n v="1"/>
    <n v="0"/>
    <n v="0"/>
    <n v="0"/>
    <n v="0"/>
    <n v="0"/>
    <n v="0"/>
    <n v="0"/>
    <n v="0"/>
    <n v="0"/>
    <n v="0"/>
    <n v="0"/>
    <n v="0"/>
    <n v="0"/>
    <n v="0"/>
    <n v="0"/>
    <x v="1"/>
    <x v="0"/>
    <x v="3"/>
    <n v="5"/>
    <m/>
    <n v="40"/>
    <m/>
    <m/>
    <m/>
    <m/>
    <m/>
    <m/>
    <m/>
    <m/>
    <m/>
    <m/>
    <m/>
    <m/>
    <m/>
    <m/>
    <m/>
    <m/>
    <m/>
    <m/>
    <n v="40"/>
    <n v="40"/>
  </r>
  <r>
    <n v="7101"/>
    <x v="1"/>
    <s v="2022/0354"/>
    <s v="Site of York Road, Winstanley Road (Part of Estate, York Gardens and Winstanley Estate)"/>
    <s v="Block 5B"/>
    <n v="526922"/>
    <n v="175807"/>
    <x v="21"/>
    <d v="2022-02-17T00:00:00"/>
    <m/>
    <n v="0"/>
    <x v="28"/>
    <x v="32"/>
    <n v="126"/>
    <n v="126"/>
    <x v="0"/>
    <s v="Non Material Amendment under Section 96a of the Town and County Planning Act (1990) to planning permission dated 29th January 2021 planning reference 2019/0024 for the &quot;a part outline and part detailed planning permission for the following proposed development: a) Phased demolition of all existing buildings; b) Mixed use phased development comprising residential up to 2550 units (mix tenure including social rent, affordable rent, intermediate, private rented and private sale) above ground level including leisure centre, health, flexible commercial uses (retail, financial and professional services, café / restaurants, drinking establishments, hot food takeaways, business, non residential institutions and assembly and leisure), park, landscaping, public realm, energy centres, car/cycle parking and new vehicle accesses. All matters reserved except for phased construction of Block 1 (two residential towers comprising private sale units and new leisure/community centre including a gym, swimming pool and library, commercial uses), Block 5 (comprising affordable units and commercial units) and Block 6 (private sale units and affordable units) together with a new Park and associated works. c) Site clearance and enabling works including works to Winstanley Road, as well as temporary works necessary to enable the approved development. An Environmental Statement has been submitted with the application under the Town and Country Planning (Environmental Impact Assessment) Regulations 2017.&quot;"/>
    <s v="S96A"/>
    <d v="2022-01-31T00:00:00"/>
    <d v="2022-04-22T00:00:00"/>
    <x v="0"/>
    <s v="Nil"/>
    <m/>
    <s v="BF"/>
    <s v="NB"/>
    <x v="1"/>
    <x v="0"/>
    <n v="0"/>
    <d v="2022-02-17T00:00:00"/>
    <x v="0"/>
    <m/>
    <x v="2"/>
    <s v="AS"/>
    <s v=""/>
    <m/>
    <m/>
    <m/>
    <m/>
    <m/>
    <n v="0"/>
    <n v="0"/>
    <n v="2"/>
    <n v="8"/>
    <n v="3"/>
    <n v="2"/>
    <n v="0"/>
    <n v="0"/>
    <n v="0"/>
    <n v="2"/>
    <n v="8"/>
    <n v="3"/>
    <n v="2"/>
    <n v="0"/>
    <n v="0"/>
    <n v="0"/>
    <n v="0"/>
    <n v="0"/>
    <n v="0"/>
    <n v="0"/>
    <n v="0"/>
    <n v="0"/>
    <n v="0"/>
    <n v="0"/>
    <n v="0"/>
    <n v="0"/>
    <n v="0"/>
    <n v="0"/>
    <x v="1"/>
    <x v="0"/>
    <x v="3"/>
    <n v="5"/>
    <m/>
    <n v="15"/>
    <m/>
    <m/>
    <m/>
    <m/>
    <m/>
    <m/>
    <m/>
    <m/>
    <m/>
    <m/>
    <m/>
    <m/>
    <m/>
    <m/>
    <m/>
    <m/>
    <m/>
    <m/>
    <n v="15"/>
    <n v="15"/>
  </r>
  <r>
    <n v="7101"/>
    <x v="1"/>
    <s v="2022/0354"/>
    <s v="Site of York Road, Winstanley Road (Part of Estate, York Gardens and Winstanley Estate)"/>
    <s v="Block 5C"/>
    <n v="526922"/>
    <n v="175807"/>
    <x v="21"/>
    <d v="2022-02-17T00:00:00"/>
    <m/>
    <n v="0"/>
    <x v="43"/>
    <x v="52"/>
    <n v="126"/>
    <n v="126"/>
    <x v="0"/>
    <s v="Non Material Amendment under Section 96a of the Town and County Planning Act (1990) to planning permission dated 29th January 2021 planning reference 2019/0024 for the &quot;a part outline and part detailed planning permission for the following proposed development: a) Phased demolition of all existing buildings; b) Mixed use phased development comprising residential up to 2550 units (mix tenure including social rent, affordable rent, intermediate, private rented and private sale) above ground level including leisure centre, health, flexible commercial uses (retail, financial and professional services, café / restaurants, drinking establishments, hot food takeaways, business, non residential institutions and assembly and leisure), park, landscaping, public realm, energy centres, car/cycle parking and new vehicle accesses. All matters reserved except for phased construction of Block 1 (two residential towers comprising private sale units and new leisure/community centre including a gym, swimming pool and library, commercial uses), Block 5 (comprising affordable units and commercial units) and Block 6 (private sale units and affordable units) together with a new Park and associated works. c) Site clearance and enabling works including works to Winstanley Road, as well as temporary works necessary to enable the approved development. An Environmental Statement has been submitted with the application under the Town and Country Planning (Environmental Impact Assessment) Regulations 2017.&quot;"/>
    <s v="S96A"/>
    <d v="2022-01-31T00:00:00"/>
    <d v="2022-04-22T00:00:00"/>
    <x v="0"/>
    <s v="Nil"/>
    <m/>
    <s v="BF"/>
    <s v="NB"/>
    <x v="1"/>
    <x v="0"/>
    <n v="0"/>
    <d v="2022-02-17T00:00:00"/>
    <x v="0"/>
    <m/>
    <x v="0"/>
    <s v="ISE"/>
    <s v=""/>
    <m/>
    <m/>
    <m/>
    <m/>
    <m/>
    <n v="0"/>
    <n v="4"/>
    <n v="6"/>
    <n v="0"/>
    <n v="0"/>
    <n v="0"/>
    <n v="0"/>
    <n v="0"/>
    <n v="4"/>
    <n v="6"/>
    <n v="0"/>
    <n v="0"/>
    <n v="0"/>
    <n v="0"/>
    <n v="0"/>
    <n v="0"/>
    <n v="0"/>
    <n v="0"/>
    <n v="0"/>
    <n v="0"/>
    <n v="0"/>
    <n v="0"/>
    <n v="0"/>
    <n v="0"/>
    <n v="0"/>
    <n v="0"/>
    <n v="0"/>
    <n v="0"/>
    <x v="1"/>
    <x v="0"/>
    <x v="3"/>
    <n v="5"/>
    <m/>
    <n v="10"/>
    <m/>
    <m/>
    <m/>
    <m/>
    <m/>
    <m/>
    <m/>
    <m/>
    <m/>
    <m/>
    <m/>
    <m/>
    <m/>
    <m/>
    <m/>
    <m/>
    <m/>
    <m/>
    <n v="10"/>
    <n v="10"/>
  </r>
  <r>
    <n v="7980"/>
    <x v="1"/>
    <s v="2023/1549"/>
    <s v="68 Southcroft Road"/>
    <s v=""/>
    <n v="528153"/>
    <n v="170863"/>
    <x v="9"/>
    <d v="2023-06-01T00:00:00"/>
    <m/>
    <n v="0"/>
    <x v="3"/>
    <x v="5"/>
    <n v="1"/>
    <n v="1"/>
    <x v="1"/>
    <s v="Alterations including erection of mansard roof extension to main rear roof and extension above part of the two-storey back addition and formation of roof terrace above two-storey back addition with 1.7m high screen surround in connection with creation of 1 x 1 bedroom flat."/>
    <s v="PF"/>
    <d v="2023-04-24T00:00:00"/>
    <d v="2023-06-19T00:00:00"/>
    <x v="1"/>
    <s v="Nil"/>
    <m/>
    <s v="BF"/>
    <s v="EXT"/>
    <x v="2"/>
    <x v="7"/>
    <n v="5.6499999999999996E-3"/>
    <d v="2023-06-01T00:00:00"/>
    <x v="1"/>
    <m/>
    <x v="1"/>
    <s v="M"/>
    <s v=""/>
    <m/>
    <m/>
    <m/>
    <m/>
    <m/>
    <n v="0"/>
    <n v="1"/>
    <n v="0"/>
    <n v="0"/>
    <n v="0"/>
    <n v="0"/>
    <n v="0"/>
    <n v="0"/>
    <n v="1"/>
    <n v="0"/>
    <n v="0"/>
    <n v="0"/>
    <n v="0"/>
    <n v="0"/>
    <n v="0"/>
    <n v="0"/>
    <n v="0"/>
    <n v="0"/>
    <n v="0"/>
    <n v="0"/>
    <n v="0"/>
    <n v="0"/>
    <n v="0"/>
    <n v="0"/>
    <n v="0"/>
    <n v="0"/>
    <n v="0"/>
    <n v="0"/>
    <x v="1"/>
    <x v="0"/>
    <x v="2"/>
    <n v="13"/>
    <m/>
    <n v="1"/>
    <m/>
    <m/>
    <m/>
    <m/>
    <m/>
    <m/>
    <m/>
    <m/>
    <m/>
    <m/>
    <m/>
    <m/>
    <m/>
    <m/>
    <m/>
    <m/>
    <m/>
    <m/>
    <n v="1"/>
    <n v="1"/>
  </r>
  <r>
    <n v="7991"/>
    <x v="1"/>
    <s v="2023/1804"/>
    <s v="13 Thirsk Road"/>
    <s v=""/>
    <n v="528019"/>
    <n v="175525"/>
    <x v="8"/>
    <d v="2024-03-31T00:00:00"/>
    <m/>
    <n v="2"/>
    <x v="3"/>
    <x v="3"/>
    <n v="1"/>
    <n v="-1"/>
    <x v="1"/>
    <s v="Conversion of two existing flats into a single 4-bedroom house"/>
    <s v="PF"/>
    <d v="2023-05-10T00:00:00"/>
    <d v="2023-07-05T00:00:00"/>
    <x v="1"/>
    <s v="Nil"/>
    <m/>
    <s v="BF"/>
    <s v="CON"/>
    <x v="2"/>
    <x v="11"/>
    <n v="6.1999999999999998E-3"/>
    <d v="2024-03-31T00:00:00"/>
    <x v="1"/>
    <m/>
    <x v="1"/>
    <s v="M"/>
    <s v=""/>
    <m/>
    <m/>
    <m/>
    <m/>
    <m/>
    <n v="0"/>
    <n v="-1"/>
    <n v="-1"/>
    <n v="0"/>
    <n v="1"/>
    <n v="0"/>
    <n v="0"/>
    <n v="0"/>
    <n v="-1"/>
    <n v="-1"/>
    <n v="0"/>
    <n v="0"/>
    <n v="0"/>
    <n v="0"/>
    <n v="0"/>
    <n v="0"/>
    <n v="0"/>
    <n v="0"/>
    <n v="1"/>
    <n v="0"/>
    <n v="0"/>
    <n v="0"/>
    <n v="0"/>
    <n v="0"/>
    <n v="0"/>
    <n v="0"/>
    <n v="0"/>
    <n v="0"/>
    <x v="1"/>
    <x v="0"/>
    <x v="2"/>
    <n v="14"/>
    <m/>
    <n v="-0.5"/>
    <n v="-0.5"/>
    <m/>
    <m/>
    <m/>
    <m/>
    <m/>
    <m/>
    <m/>
    <m/>
    <m/>
    <m/>
    <m/>
    <m/>
    <m/>
    <m/>
    <m/>
    <m/>
    <m/>
    <n v="-1"/>
    <n v="-1"/>
  </r>
  <r>
    <n v="7992"/>
    <x v="1"/>
    <s v="2023/1904"/>
    <s v="20 Coverton Road"/>
    <s v=""/>
    <n v="527301"/>
    <n v="171404"/>
    <x v="0"/>
    <d v="2024-01-22T00:00:00"/>
    <m/>
    <n v="2"/>
    <x v="12"/>
    <x v="7"/>
    <n v="4"/>
    <n v="2"/>
    <x v="1"/>
    <s v="Alterations including erection of mansard roof extension to main rear roof (with french doors and safety railings) including raising ridge by 300mm, erection of roof extension above three storey back addition, erection of part single/part three storey rear and side extension, formation of roof terrace with 1.7m safety screen surround at second floor level and installation of french doors and safety railings  at first and second floors. Extensions and alterastions in connection with creation of 2 x 1-bedroom, 1 x 2-bedroom and 1 x 3-bedroom flats with associated refuse and cycle storage and boundary treatment."/>
    <s v="PF"/>
    <d v="2023-05-17T00:00:00"/>
    <d v="2023-08-24T00:00:00"/>
    <x v="1"/>
    <s v="Nil"/>
    <m/>
    <s v="BF"/>
    <s v="MIX"/>
    <x v="2"/>
    <x v="7"/>
    <n v="7.9266670000000001E-3"/>
    <d v="2024-01-22T00:00:00"/>
    <x v="1"/>
    <m/>
    <x v="1"/>
    <s v="M"/>
    <s v=""/>
    <m/>
    <m/>
    <m/>
    <m/>
    <m/>
    <n v="0"/>
    <n v="2"/>
    <n v="0"/>
    <n v="0"/>
    <n v="0"/>
    <n v="0"/>
    <n v="0"/>
    <n v="0"/>
    <n v="2"/>
    <n v="0"/>
    <n v="0"/>
    <n v="0"/>
    <n v="0"/>
    <n v="0"/>
    <n v="0"/>
    <n v="0"/>
    <n v="0"/>
    <n v="0"/>
    <n v="0"/>
    <n v="0"/>
    <n v="0"/>
    <n v="0"/>
    <n v="0"/>
    <n v="0"/>
    <n v="0"/>
    <n v="0"/>
    <n v="0"/>
    <n v="0"/>
    <x v="1"/>
    <x v="0"/>
    <x v="0"/>
    <n v="14"/>
    <m/>
    <n v="1"/>
    <n v="1"/>
    <m/>
    <m/>
    <m/>
    <m/>
    <m/>
    <m/>
    <m/>
    <m/>
    <m/>
    <m/>
    <m/>
    <m/>
    <m/>
    <m/>
    <m/>
    <m/>
    <m/>
    <n v="2"/>
    <n v="2"/>
  </r>
  <r>
    <n v="8003"/>
    <x v="1"/>
    <s v="2023/1977"/>
    <s v="11 and 11a, 11 Fairlight Road"/>
    <s v=""/>
    <n v="526962"/>
    <n v="171676"/>
    <x v="0"/>
    <d v="2024-01-23T00:00:00"/>
    <m/>
    <n v="2"/>
    <x v="11"/>
    <x v="5"/>
    <n v="3"/>
    <n v="1"/>
    <x v="1"/>
    <s v="Alterations including erection of a dormer roof extension to main rear roof (including raising the roof ridge by 250mm) and extension with formation of a roof terrace with 1.7m high screen surround above two storey back addition in connection with the creation of 1-bedroom flat. Replacement of window with bi folding doors at first floor and erection of first floor balcony with 1.7m high screen surround. Erection of ground floor rear extension."/>
    <s v="PF"/>
    <d v="2023-07-07T00:00:00"/>
    <d v="2023-10-06T00:00:00"/>
    <x v="1"/>
    <s v="Nil"/>
    <m/>
    <s v="BF"/>
    <s v="EXT"/>
    <x v="2"/>
    <x v="7"/>
    <n v="6.4000000000000003E-3"/>
    <d v="2024-01-23T00:00:00"/>
    <x v="1"/>
    <m/>
    <x v="1"/>
    <s v="M"/>
    <s v=""/>
    <m/>
    <m/>
    <m/>
    <m/>
    <m/>
    <n v="0"/>
    <n v="0"/>
    <n v="1"/>
    <n v="0"/>
    <n v="0"/>
    <n v="0"/>
    <n v="0"/>
    <n v="0"/>
    <n v="0"/>
    <n v="1"/>
    <n v="0"/>
    <n v="0"/>
    <n v="0"/>
    <n v="0"/>
    <n v="0"/>
    <n v="0"/>
    <n v="0"/>
    <n v="0"/>
    <n v="0"/>
    <n v="0"/>
    <n v="0"/>
    <n v="0"/>
    <n v="0"/>
    <n v="0"/>
    <n v="0"/>
    <n v="0"/>
    <n v="0"/>
    <n v="0"/>
    <x v="1"/>
    <x v="0"/>
    <x v="2"/>
    <n v="14"/>
    <m/>
    <n v="0.5"/>
    <n v="0.5"/>
    <m/>
    <m/>
    <m/>
    <m/>
    <m/>
    <m/>
    <m/>
    <m/>
    <m/>
    <m/>
    <m/>
    <m/>
    <m/>
    <m/>
    <m/>
    <m/>
    <m/>
    <n v="1"/>
    <n v="1"/>
  </r>
  <r>
    <n v="6983"/>
    <x v="1"/>
    <s v="2023/2434"/>
    <s v="824 Garratt Lane"/>
    <s v=""/>
    <n v="526930"/>
    <n v="171771"/>
    <x v="0"/>
    <d v="2024-01-10T00:00:00"/>
    <m/>
    <n v="1"/>
    <x v="11"/>
    <x v="7"/>
    <n v="3"/>
    <n v="2"/>
    <x v="1"/>
    <s v="Erection of mansard roof extension to main rear roof slope, extension over two-storey back addition and part single/part two-storey rear extension. Raising of ridgeline by 350mm,  installation of roof lights to front main roof slope. Formation of a roof terrace to second floor addition and internal balcony to the first floor. Install new shop front and doorway to the front elevation with extensive internal refurbishment throughout. Change of use of rear of ground floor from launderette (Sui Generis) to residential (Class C3) and creation of 2 no x 1-bedroom and 1 No 2-bedroom flat with retention of front for commercial use."/>
    <s v="PF"/>
    <d v="2023-06-26T00:00:00"/>
    <d v="2023-11-02T00:00:00"/>
    <x v="1"/>
    <s v="Nil"/>
    <m/>
    <s v="BF"/>
    <s v="MIX"/>
    <x v="2"/>
    <x v="7"/>
    <n v="9.3399999999999993E-3"/>
    <d v="2024-01-10T00:00:00"/>
    <x v="1"/>
    <m/>
    <x v="1"/>
    <s v="M"/>
    <s v=""/>
    <m/>
    <m/>
    <m/>
    <m/>
    <m/>
    <n v="0"/>
    <n v="2"/>
    <n v="0"/>
    <n v="0"/>
    <n v="0"/>
    <n v="0"/>
    <n v="0"/>
    <n v="0"/>
    <n v="2"/>
    <n v="0"/>
    <n v="0"/>
    <n v="0"/>
    <n v="0"/>
    <n v="0"/>
    <n v="0"/>
    <n v="0"/>
    <n v="0"/>
    <n v="0"/>
    <n v="0"/>
    <n v="0"/>
    <n v="0"/>
    <n v="0"/>
    <n v="0"/>
    <n v="0"/>
    <n v="0"/>
    <n v="0"/>
    <n v="0"/>
    <n v="0"/>
    <x v="1"/>
    <x v="0"/>
    <x v="2"/>
    <n v="14"/>
    <m/>
    <n v="1"/>
    <n v="1"/>
    <m/>
    <m/>
    <m/>
    <m/>
    <m/>
    <m/>
    <m/>
    <m/>
    <m/>
    <m/>
    <m/>
    <m/>
    <m/>
    <m/>
    <m/>
    <m/>
    <m/>
    <n v="2"/>
    <n v="2"/>
  </r>
  <r>
    <n v="4865"/>
    <x v="1"/>
    <s v="2023/2606"/>
    <s v="1 Withycombe Road"/>
    <s v=""/>
    <n v="523686"/>
    <n v="173656"/>
    <x v="5"/>
    <d v="2023-04-01T00:00:00"/>
    <m/>
    <n v="0"/>
    <x v="5"/>
    <x v="7"/>
    <n v="2"/>
    <n v="2"/>
    <x v="1"/>
    <s v="Erection of two new semi-detached house with two 3-bedroom units including a basement. (site has already been demolished)"/>
    <s v="PF"/>
    <d v="2023-07-17T00:00:00"/>
    <d v="2024-03-13T00:00:00"/>
    <x v="1"/>
    <s v="Nil"/>
    <m/>
    <s v="BF"/>
    <s v="NB"/>
    <x v="2"/>
    <x v="3"/>
    <n v="1.09E-2"/>
    <d v="2023-04-01T00:00:00"/>
    <x v="1"/>
    <m/>
    <x v="1"/>
    <s v="M"/>
    <s v=""/>
    <m/>
    <m/>
    <m/>
    <m/>
    <m/>
    <n v="0"/>
    <n v="0"/>
    <n v="0"/>
    <n v="2"/>
    <n v="0"/>
    <n v="0"/>
    <n v="0"/>
    <n v="0"/>
    <n v="0"/>
    <n v="0"/>
    <n v="0"/>
    <n v="0"/>
    <n v="0"/>
    <n v="0"/>
    <n v="0"/>
    <n v="0"/>
    <n v="0"/>
    <n v="2"/>
    <n v="0"/>
    <n v="0"/>
    <n v="0"/>
    <n v="0"/>
    <n v="0"/>
    <n v="0"/>
    <n v="0"/>
    <n v="0"/>
    <n v="0"/>
    <n v="0"/>
    <x v="1"/>
    <x v="0"/>
    <x v="2"/>
    <n v="3"/>
    <m/>
    <n v="2"/>
    <m/>
    <m/>
    <m/>
    <m/>
    <m/>
    <m/>
    <m/>
    <m/>
    <m/>
    <m/>
    <m/>
    <m/>
    <m/>
    <m/>
    <m/>
    <m/>
    <m/>
    <m/>
    <n v="2"/>
    <n v="2"/>
  </r>
  <r>
    <n v="7748"/>
    <x v="1"/>
    <s v="2023/2912"/>
    <s v="19 St Maragret's Crescent"/>
    <s v=""/>
    <n v="522924"/>
    <n v="174688"/>
    <x v="16"/>
    <d v="2024-01-29T00:00:00"/>
    <m/>
    <n v="0"/>
    <x v="3"/>
    <x v="5"/>
    <n v="1"/>
    <n v="1"/>
    <x v="1"/>
    <s v="Erection of a two-storey (plus additional accommodation within the roofspace and at basement level) 5-bedroom dwellinghouse, with associated off-street parking space, cycle storage and hard and soft landscaping, including provision of a front lightwell and an air source heat pump."/>
    <s v="PF"/>
    <d v="2023-08-01T00:00:00"/>
    <d v="2023-09-22T00:00:00"/>
    <x v="1"/>
    <s v="Nil"/>
    <m/>
    <s v="BF"/>
    <s v="NB"/>
    <x v="2"/>
    <x v="3"/>
    <n v="0"/>
    <d v="2024-01-29T00:00:00"/>
    <x v="1"/>
    <m/>
    <x v="1"/>
    <s v="M"/>
    <s v=""/>
    <m/>
    <m/>
    <m/>
    <m/>
    <m/>
    <n v="0"/>
    <n v="0"/>
    <n v="0"/>
    <n v="0"/>
    <n v="0"/>
    <n v="1"/>
    <n v="0"/>
    <n v="0"/>
    <n v="0"/>
    <n v="0"/>
    <n v="0"/>
    <n v="0"/>
    <n v="0"/>
    <n v="0"/>
    <n v="0"/>
    <n v="0"/>
    <n v="0"/>
    <n v="0"/>
    <n v="0"/>
    <n v="1"/>
    <n v="0"/>
    <n v="0"/>
    <n v="0"/>
    <n v="0"/>
    <n v="0"/>
    <n v="0"/>
    <n v="0"/>
    <n v="0"/>
    <x v="1"/>
    <x v="0"/>
    <x v="2"/>
    <n v="4"/>
    <m/>
    <n v="0.5"/>
    <n v="0.5"/>
    <m/>
    <m/>
    <m/>
    <m/>
    <m/>
    <m/>
    <m/>
    <m/>
    <m/>
    <m/>
    <m/>
    <m/>
    <m/>
    <m/>
    <m/>
    <m/>
    <m/>
    <n v="1"/>
    <n v="1"/>
  </r>
  <r>
    <n v="5998"/>
    <x v="1"/>
    <s v="2023/2923"/>
    <s v="61 Latchmere Road"/>
    <s v=""/>
    <n v="527626"/>
    <n v="176137"/>
    <x v="20"/>
    <d v="2024-03-31T00:00:00"/>
    <m/>
    <n v="1"/>
    <x v="11"/>
    <x v="7"/>
    <n v="3"/>
    <n v="2"/>
    <x v="1"/>
    <s v="Alterations including erection of a front and rear mansard roof extension above main roof (with French doors and safety railings). Erection of part single, two, three, four storey rear/side extension and formation of rear roof terrace with 1.7m high screen surround in connection with conversion of single family dwelling house into 3 self-contained flats (1 x 3-bed, 1 x 2-bed, 1 x 1-bed) with associated refuse and cycle storage._x000a__x000a_Rear extensions at ground, first and second floor, with full mansard and pod roof extension and roof terrace with obscured glazed balustrade up to a height of 1.7m above terrace floor and conversion of single family dwelling house into 3 self-contained flats (1 x 3-bed, 1 x 2-bed, 1 x 1-bed/1-person) with associated refuse and cycle storage."/>
    <s v="PF"/>
    <d v="2023-08-02T00:00:00"/>
    <d v="2023-12-20T00:00:00"/>
    <x v="1"/>
    <s v="Nil"/>
    <m/>
    <s v="BF"/>
    <s v="CON"/>
    <x v="2"/>
    <x v="10"/>
    <n v="6.4999999999999997E-3"/>
    <d v="2024-03-31T00:00:00"/>
    <x v="1"/>
    <m/>
    <x v="1"/>
    <s v="M"/>
    <s v=""/>
    <m/>
    <m/>
    <m/>
    <m/>
    <m/>
    <n v="1"/>
    <n v="1"/>
    <n v="0"/>
    <n v="-1"/>
    <n v="1"/>
    <n v="0"/>
    <n v="0"/>
    <n v="1"/>
    <n v="1"/>
    <n v="0"/>
    <n v="0"/>
    <n v="1"/>
    <n v="0"/>
    <n v="0"/>
    <n v="0"/>
    <n v="0"/>
    <n v="0"/>
    <n v="-1"/>
    <n v="0"/>
    <n v="0"/>
    <n v="0"/>
    <n v="0"/>
    <n v="0"/>
    <n v="0"/>
    <n v="0"/>
    <n v="0"/>
    <n v="0"/>
    <n v="0"/>
    <x v="1"/>
    <x v="0"/>
    <x v="2"/>
    <n v="14"/>
    <m/>
    <n v="1"/>
    <n v="1"/>
    <m/>
    <m/>
    <m/>
    <m/>
    <m/>
    <m/>
    <m/>
    <m/>
    <m/>
    <m/>
    <m/>
    <m/>
    <m/>
    <m/>
    <m/>
    <m/>
    <m/>
    <n v="2"/>
    <n v="2"/>
  </r>
  <r>
    <n v="8028"/>
    <x v="1"/>
    <s v="2023/3024"/>
    <s v="284 Franciscan Road"/>
    <s v=""/>
    <n v="527719"/>
    <n v="171291"/>
    <x v="0"/>
    <d v="2023-12-07T00:00:00"/>
    <m/>
    <n v="1"/>
    <x v="12"/>
    <x v="36"/>
    <n v="4"/>
    <n v="3"/>
    <x v="1"/>
    <s v="Alterations including erection of a mansard roof extension to main rear roof (with French doors and safety railings) including raising ridge by 300mm and erection of roof extension above two storey back addition; erection of single storey rear/side extension; formation of second floor rear roof terrace with 1.7m glazed safety screen surround in connection with creation of 1 x 3-bedroom, 1 x 2-bedroom and 1 x 1-bedroom and 1 x studio flats with associated refuse storage to front garden and associate internal cycle storage."/>
    <s v="PF"/>
    <d v="2023-08-10T00:00:00"/>
    <d v="2023-11-23T00:00:00"/>
    <x v="1"/>
    <s v="Nil"/>
    <m/>
    <s v="BF"/>
    <s v="EXT"/>
    <x v="2"/>
    <x v="10"/>
    <n v="1.2152E-2"/>
    <d v="2023-12-07T00:00:00"/>
    <x v="1"/>
    <m/>
    <x v="1"/>
    <s v="M"/>
    <s v=""/>
    <m/>
    <m/>
    <m/>
    <m/>
    <m/>
    <n v="0"/>
    <n v="2"/>
    <n v="1"/>
    <n v="1"/>
    <n v="-1"/>
    <n v="0"/>
    <n v="0"/>
    <n v="0"/>
    <n v="2"/>
    <n v="1"/>
    <n v="1"/>
    <n v="0"/>
    <n v="0"/>
    <n v="0"/>
    <n v="0"/>
    <n v="0"/>
    <n v="0"/>
    <n v="0"/>
    <n v="-1"/>
    <n v="0"/>
    <n v="0"/>
    <n v="0"/>
    <n v="0"/>
    <n v="0"/>
    <n v="0"/>
    <n v="0"/>
    <n v="0"/>
    <n v="0"/>
    <x v="1"/>
    <x v="0"/>
    <x v="0"/>
    <n v="14"/>
    <m/>
    <n v="1.5"/>
    <n v="1.5"/>
    <m/>
    <m/>
    <m/>
    <m/>
    <m/>
    <m/>
    <m/>
    <m/>
    <m/>
    <m/>
    <m/>
    <m/>
    <m/>
    <m/>
    <m/>
    <m/>
    <m/>
    <n v="3"/>
    <n v="3"/>
  </r>
  <r>
    <n v="7924"/>
    <x v="1"/>
    <s v="2023/3205"/>
    <s v="4a Aldrington Road"/>
    <s v=""/>
    <n v="529471"/>
    <n v="171314"/>
    <x v="9"/>
    <d v="2024-03-31T00:00:00"/>
    <m/>
    <n v="1"/>
    <x v="10"/>
    <x v="0"/>
    <n v="7"/>
    <n v="6"/>
    <x v="1"/>
    <s v="Variation of condition 2 (in accordance with approved drawings) pursuant to planning permission dated 14/07/2023 ref 2022/5125 (Demolition of existing property and annex buildings and the erection of three storey building to create 7 self-contained flats (2 x 3-bed units, 2 x 2-bed units and 3 x 1-bed units) with associated terrace/balconies, refuse and cycle storage, boundary treatments and landscaping, including removal and replacement of two trees.) to allow changes to internal layout so that a 1-bedroom unit can be a 2-bedroom unit; relocate a terrace from second floor to first; alterations to fenestration and increase number of windows on side elevation (window on side elevation above ground floor will be obscured); repositioning of boundary and replacement of doors on the ground floor with full height windows and safety railings."/>
    <s v="S73"/>
    <d v="2023-09-08T00:00:00"/>
    <d v="2024-01-30T00:00:00"/>
    <x v="1"/>
    <s v="Nil"/>
    <m/>
    <s v="BF"/>
    <s v="NB"/>
    <x v="2"/>
    <x v="3"/>
    <n v="0.47499999999999998"/>
    <d v="2024-03-31T00:00:00"/>
    <x v="1"/>
    <m/>
    <x v="1"/>
    <s v="M"/>
    <s v=""/>
    <m/>
    <m/>
    <m/>
    <m/>
    <m/>
    <n v="0"/>
    <n v="2"/>
    <n v="3"/>
    <n v="2"/>
    <n v="0"/>
    <n v="-1"/>
    <n v="0"/>
    <n v="0"/>
    <n v="2"/>
    <n v="3"/>
    <n v="2"/>
    <n v="0"/>
    <n v="0"/>
    <n v="0"/>
    <n v="0"/>
    <n v="0"/>
    <n v="0"/>
    <n v="0"/>
    <n v="0"/>
    <n v="-1"/>
    <n v="0"/>
    <n v="0"/>
    <n v="0"/>
    <n v="0"/>
    <n v="0"/>
    <n v="0"/>
    <n v="0"/>
    <n v="0"/>
    <x v="1"/>
    <x v="0"/>
    <x v="2"/>
    <n v="4"/>
    <m/>
    <n v="3"/>
    <n v="3"/>
    <m/>
    <m/>
    <m/>
    <m/>
    <m/>
    <m/>
    <m/>
    <m/>
    <m/>
    <m/>
    <m/>
    <m/>
    <m/>
    <m/>
    <m/>
    <m/>
    <m/>
    <n v="6"/>
    <n v="6"/>
  </r>
  <r>
    <n v="7836"/>
    <x v="1"/>
    <s v="2023/3240"/>
    <s v="4 West Hill"/>
    <s v=""/>
    <n v="525243"/>
    <n v="174663"/>
    <x v="7"/>
    <d v="2024-03-31T00:00:00"/>
    <m/>
    <n v="0"/>
    <x v="5"/>
    <x v="7"/>
    <n v="2"/>
    <n v="2"/>
    <x v="1"/>
    <s v="Erection of a rear single-storey extension with lightwell to ground floor, installation of a new rear door, window and roof lights and formation of a roof terrace for existing flat.  Internal alterations to form 1 x studio and 1 x 2-bedroom flat.  New front to existing shop elevation."/>
    <s v="PF"/>
    <d v="2023-08-25T00:00:00"/>
    <d v="2023-11-16T00:00:00"/>
    <x v="1"/>
    <s v="Nil"/>
    <m/>
    <s v="BF"/>
    <s v="CON"/>
    <x v="2"/>
    <x v="6"/>
    <n v="4.5500000000000002E-3"/>
    <d v="2024-03-31T00:00:00"/>
    <x v="1"/>
    <m/>
    <x v="1"/>
    <s v="M"/>
    <s v=""/>
    <m/>
    <m/>
    <m/>
    <m/>
    <m/>
    <n v="0"/>
    <n v="1"/>
    <n v="1"/>
    <n v="0"/>
    <n v="0"/>
    <n v="0"/>
    <n v="0"/>
    <n v="0"/>
    <n v="1"/>
    <n v="1"/>
    <n v="0"/>
    <n v="0"/>
    <n v="0"/>
    <n v="0"/>
    <n v="0"/>
    <n v="0"/>
    <n v="0"/>
    <n v="0"/>
    <n v="0"/>
    <n v="0"/>
    <n v="0"/>
    <n v="0"/>
    <n v="0"/>
    <n v="0"/>
    <n v="0"/>
    <n v="0"/>
    <n v="0"/>
    <n v="0"/>
    <x v="1"/>
    <x v="0"/>
    <x v="7"/>
    <n v="14"/>
    <m/>
    <n v="1"/>
    <n v="1"/>
    <m/>
    <m/>
    <m/>
    <m/>
    <m/>
    <m/>
    <m/>
    <m/>
    <m/>
    <m/>
    <m/>
    <m/>
    <m/>
    <m/>
    <m/>
    <m/>
    <m/>
    <n v="2"/>
    <n v="2"/>
  </r>
  <r>
    <n v="3260"/>
    <x v="1"/>
    <s v="2023/3368"/>
    <s v="4 Bank Buildings, Mitcham Lane"/>
    <s v=""/>
    <n v="529282"/>
    <n v="171042"/>
    <x v="9"/>
    <d v="2024-03-26T00:00:00"/>
    <m/>
    <n v="0"/>
    <x v="3"/>
    <x v="5"/>
    <n v="1"/>
    <n v="1"/>
    <x v="1"/>
    <s v="Determination as to whether prior approval is required for change of use from Launderette (Sui Generis) to 1 x 1-bedroom flat (Class C3)."/>
    <s v="PAG"/>
    <d v="2023-09-08T00:00:00"/>
    <d v="2023-10-30T00:00:00"/>
    <x v="1"/>
    <s v="Nil"/>
    <m/>
    <s v="BF"/>
    <s v="COU"/>
    <x v="2"/>
    <x v="4"/>
    <n v="5.0000000000000001E-3"/>
    <d v="2024-03-26T00:00:00"/>
    <x v="1"/>
    <m/>
    <x v="1"/>
    <s v="M"/>
    <s v=""/>
    <m/>
    <m/>
    <m/>
    <m/>
    <m/>
    <n v="0"/>
    <n v="1"/>
    <n v="0"/>
    <n v="0"/>
    <n v="0"/>
    <n v="0"/>
    <n v="0"/>
    <n v="0"/>
    <n v="1"/>
    <n v="0"/>
    <n v="0"/>
    <n v="0"/>
    <n v="0"/>
    <n v="0"/>
    <n v="0"/>
    <n v="0"/>
    <n v="0"/>
    <n v="0"/>
    <n v="0"/>
    <n v="0"/>
    <n v="0"/>
    <n v="0"/>
    <n v="0"/>
    <n v="0"/>
    <n v="0"/>
    <n v="0"/>
    <n v="0"/>
    <n v="0"/>
    <x v="1"/>
    <x v="0"/>
    <x v="2"/>
    <n v="14"/>
    <m/>
    <n v="0.5"/>
    <n v="0.5"/>
    <m/>
    <m/>
    <m/>
    <m/>
    <m/>
    <m/>
    <m/>
    <m/>
    <m/>
    <m/>
    <m/>
    <m/>
    <m/>
    <m/>
    <m/>
    <m/>
    <m/>
    <n v="1"/>
    <n v="1"/>
  </r>
  <r>
    <n v="8046"/>
    <x v="1"/>
    <s v="2023/3464"/>
    <s v="6-9 Denton Street"/>
    <s v=""/>
    <n v="525920"/>
    <n v="174386"/>
    <x v="14"/>
    <d v="2024-02-29T00:00:00"/>
    <m/>
    <n v="0"/>
    <x v="3"/>
    <x v="5"/>
    <n v="1"/>
    <n v="1"/>
    <x v="1"/>
    <s v="Alterations including erection of mansard roof extension to main rear including raising the ridge by 350mm and extension above part of two-storey back addition; formation of roof terrace above two-storey back addition with 1.7m high screen surround in connection with the creation of 1 x 2-bedroom flat."/>
    <s v="PF"/>
    <d v="2023-09-28T00:00:00"/>
    <d v="2023-12-01T00:00:00"/>
    <x v="1"/>
    <s v="Nil"/>
    <m/>
    <s v="BF"/>
    <s v="EXT"/>
    <x v="2"/>
    <x v="7"/>
    <n v="5.592667E-3"/>
    <d v="2024-02-29T00:00:00"/>
    <x v="1"/>
    <m/>
    <x v="1"/>
    <s v="M"/>
    <s v=""/>
    <m/>
    <m/>
    <m/>
    <m/>
    <m/>
    <n v="0"/>
    <n v="0"/>
    <n v="1"/>
    <n v="0"/>
    <n v="0"/>
    <n v="0"/>
    <n v="0"/>
    <n v="0"/>
    <n v="0"/>
    <n v="1"/>
    <n v="0"/>
    <n v="0"/>
    <n v="0"/>
    <n v="0"/>
    <n v="0"/>
    <n v="0"/>
    <n v="0"/>
    <n v="0"/>
    <n v="0"/>
    <n v="0"/>
    <n v="0"/>
    <n v="0"/>
    <n v="0"/>
    <n v="0"/>
    <n v="0"/>
    <n v="0"/>
    <n v="0"/>
    <n v="0"/>
    <x v="1"/>
    <x v="0"/>
    <x v="10"/>
    <n v="14"/>
    <m/>
    <n v="0.5"/>
    <n v="0.5"/>
    <m/>
    <m/>
    <m/>
    <m/>
    <m/>
    <m/>
    <m/>
    <m/>
    <m/>
    <m/>
    <m/>
    <m/>
    <m/>
    <m/>
    <m/>
    <m/>
    <m/>
    <n v="1"/>
    <n v="1"/>
  </r>
  <r>
    <n v="6955"/>
    <x v="1"/>
    <s v="2023/3664"/>
    <s v="1 East Hill"/>
    <s v=""/>
    <n v="526542"/>
    <n v="174943"/>
    <x v="14"/>
    <d v="2021-12-23T00:00:00"/>
    <m/>
    <n v="0"/>
    <x v="3"/>
    <x v="5"/>
    <n v="1"/>
    <n v="1"/>
    <x v="1"/>
    <s v="Variation of condition 2 (in accordance with approved drawings) pursuant to planning permission dated 23/08/2019 ref 2019/2186 varied by 2020/4573 (New 4 storey building with new commercial units and residential self-contained flats) to allow for change of the approved commercial unit B to a two-bed four-person dwelling"/>
    <s v="S73"/>
    <d v="2023-11-02T00:00:00"/>
    <d v="2024-01-31T00:00:00"/>
    <x v="1"/>
    <s v="Nil"/>
    <m/>
    <s v="BF"/>
    <s v="COU"/>
    <x v="2"/>
    <x v="6"/>
    <n v="3.3999999999999998E-3"/>
    <d v="2021-12-23T00:00:00"/>
    <x v="0"/>
    <m/>
    <x v="1"/>
    <s v="M"/>
    <s v=""/>
    <m/>
    <m/>
    <m/>
    <m/>
    <m/>
    <n v="0"/>
    <n v="0"/>
    <n v="1"/>
    <n v="0"/>
    <n v="0"/>
    <n v="0"/>
    <n v="0"/>
    <n v="0"/>
    <n v="0"/>
    <n v="1"/>
    <n v="0"/>
    <n v="0"/>
    <n v="0"/>
    <n v="0"/>
    <n v="0"/>
    <n v="0"/>
    <n v="0"/>
    <n v="0"/>
    <n v="0"/>
    <n v="0"/>
    <n v="0"/>
    <n v="0"/>
    <n v="0"/>
    <n v="0"/>
    <n v="0"/>
    <n v="0"/>
    <n v="0"/>
    <n v="0"/>
    <x v="1"/>
    <x v="0"/>
    <x v="2"/>
    <n v="13"/>
    <m/>
    <n v="1"/>
    <m/>
    <m/>
    <m/>
    <m/>
    <m/>
    <m/>
    <m/>
    <m/>
    <m/>
    <m/>
    <m/>
    <m/>
    <m/>
    <m/>
    <m/>
    <m/>
    <m/>
    <m/>
    <n v="1"/>
    <n v="1"/>
  </r>
  <r>
    <n v="7498"/>
    <x v="1"/>
    <s v="2021/0831"/>
    <s v="142 Trinity Road"/>
    <s v=""/>
    <n v="527633"/>
    <n v="172951"/>
    <x v="10"/>
    <d v="2022-03-31T00:00:00"/>
    <m/>
    <n v="1"/>
    <x v="9"/>
    <x v="14"/>
    <n v="8"/>
    <n v="7"/>
    <x v="1"/>
    <s v="Alterations including demolition of existing garage, erection of dormer roof extensions to main rear roof, two-storey rear and side extension plus roof level extensions above, excavation to enlarge basement including formation of front and rear lightwells, alterations to fenestration in connection with conversion and creation of 2 x 3-bedroom, 5 x 2-bedroom and 1 x 1-bed/studio flats with associated boundary treatment, landscaping, cycle and refuse storage."/>
    <s v="PF"/>
    <d v="2021-02-22T00:00:00"/>
    <d v="2021-06-22T00:00:00"/>
    <x v="0"/>
    <s v="Nil"/>
    <m/>
    <s v="BF"/>
    <s v="MIX"/>
    <x v="2"/>
    <x v="10"/>
    <n v="6.2E-2"/>
    <d v="2022-07-03T00:00:00"/>
    <x v="0"/>
    <m/>
    <x v="1"/>
    <s v="M"/>
    <s v=""/>
    <m/>
    <m/>
    <m/>
    <m/>
    <m/>
    <n v="0"/>
    <n v="1"/>
    <n v="5"/>
    <n v="2"/>
    <n v="0"/>
    <n v="-1"/>
    <n v="0"/>
    <n v="0"/>
    <n v="1"/>
    <n v="5"/>
    <n v="2"/>
    <n v="0"/>
    <n v="0"/>
    <n v="0"/>
    <n v="0"/>
    <n v="0"/>
    <n v="0"/>
    <n v="0"/>
    <n v="0"/>
    <n v="-1"/>
    <n v="0"/>
    <n v="0"/>
    <n v="0"/>
    <n v="0"/>
    <n v="0"/>
    <n v="0"/>
    <n v="0"/>
    <n v="0"/>
    <x v="1"/>
    <x v="0"/>
    <x v="2"/>
    <n v="12"/>
    <m/>
    <m/>
    <n v="7"/>
    <m/>
    <m/>
    <m/>
    <m/>
    <m/>
    <m/>
    <m/>
    <m/>
    <m/>
    <m/>
    <m/>
    <m/>
    <m/>
    <m/>
    <m/>
    <m/>
    <m/>
    <n v="7"/>
    <n v="7"/>
  </r>
  <r>
    <n v="7797"/>
    <x v="1"/>
    <s v="2022/0777"/>
    <s v="21 Chetwode Road"/>
    <s v=""/>
    <n v="528052"/>
    <n v="172514"/>
    <x v="10"/>
    <d v="2023-05-01T00:00:00"/>
    <m/>
    <n v="1"/>
    <x v="9"/>
    <x v="14"/>
    <n v="8"/>
    <n v="7"/>
    <x v="1"/>
    <s v="Demolition of existing dwelling house and erection of replacement two storey (plus roof and basement) building to create 2 x 3-bedroom, 4 x 2-bedroom, 2 x 1-bedroom flats with associated cycle and refuse storage."/>
    <s v="PF"/>
    <d v="2022-02-23T00:00:00"/>
    <d v="2022-07-01T00:00:00"/>
    <x v="0"/>
    <s v="Nil"/>
    <m/>
    <s v="BF"/>
    <s v="NB"/>
    <x v="2"/>
    <x v="3"/>
    <n v="0.01"/>
    <d v="2023-12-27T00:00:00"/>
    <x v="1"/>
    <m/>
    <x v="1"/>
    <s v="M"/>
    <s v=""/>
    <m/>
    <m/>
    <n v="8"/>
    <m/>
    <n v="8"/>
    <n v="0"/>
    <n v="3"/>
    <n v="3"/>
    <n v="1"/>
    <n v="0"/>
    <n v="0"/>
    <n v="0"/>
    <n v="0"/>
    <n v="3"/>
    <n v="3"/>
    <n v="2"/>
    <n v="0"/>
    <n v="0"/>
    <n v="0"/>
    <n v="0"/>
    <n v="0"/>
    <n v="0"/>
    <n v="-1"/>
    <n v="0"/>
    <n v="0"/>
    <n v="0"/>
    <n v="0"/>
    <n v="0"/>
    <n v="0"/>
    <n v="0"/>
    <n v="0"/>
    <n v="0"/>
    <n v="0"/>
    <x v="1"/>
    <x v="0"/>
    <x v="2"/>
    <n v="2"/>
    <m/>
    <m/>
    <n v="7"/>
    <m/>
    <m/>
    <m/>
    <m/>
    <m/>
    <m/>
    <m/>
    <m/>
    <m/>
    <m/>
    <m/>
    <m/>
    <m/>
    <m/>
    <m/>
    <m/>
    <m/>
    <n v="7"/>
    <n v="7"/>
  </r>
  <r>
    <n v="8043"/>
    <x v="1"/>
    <s v="2023/2863"/>
    <s v="Flat A 539 and 541A, Battersea Park Road"/>
    <s v=""/>
    <n v="527388"/>
    <n v="176323"/>
    <x v="15"/>
    <d v="2024-02-27T00:00:00"/>
    <m/>
    <n v="2"/>
    <x v="0"/>
    <x v="15"/>
    <n v="6"/>
    <n v="4"/>
    <x v="1"/>
    <s v="Alterations including erection of a mansard style roof extension to main roof to form additional storey. Erection of rear extension at second floor level and formation of roof terrace above with 1.7m obscured glazed balustrade. Formation of terrace at first floor level. Extensions and alterations as part of the conversion of the properties from 2 flats into 4 x 1 bedroom and 2x2-bedroom flats."/>
    <s v="PF"/>
    <d v="2023-09-14T00:00:00"/>
    <d v="2023-12-20T00:00:00"/>
    <x v="1"/>
    <s v="Nil"/>
    <m/>
    <s v="BF"/>
    <s v="MIX"/>
    <x v="2"/>
    <x v="5"/>
    <n v="1.468125E-2"/>
    <d v="2024-02-27T00:00:00"/>
    <x v="1"/>
    <m/>
    <x v="1"/>
    <s v="MR"/>
    <s v=""/>
    <m/>
    <m/>
    <m/>
    <m/>
    <m/>
    <n v="0"/>
    <n v="4"/>
    <n v="1"/>
    <n v="-1"/>
    <n v="0"/>
    <n v="0"/>
    <n v="0"/>
    <n v="0"/>
    <n v="4"/>
    <n v="1"/>
    <n v="-1"/>
    <n v="0"/>
    <n v="0"/>
    <n v="0"/>
    <n v="0"/>
    <n v="0"/>
    <n v="0"/>
    <n v="0"/>
    <n v="0"/>
    <n v="0"/>
    <n v="0"/>
    <n v="0"/>
    <n v="0"/>
    <n v="0"/>
    <n v="0"/>
    <n v="0"/>
    <n v="0"/>
    <n v="0"/>
    <x v="1"/>
    <x v="0"/>
    <x v="2"/>
    <n v="12"/>
    <m/>
    <n v="4"/>
    <m/>
    <m/>
    <m/>
    <m/>
    <m/>
    <m/>
    <m/>
    <m/>
    <m/>
    <m/>
    <m/>
    <m/>
    <m/>
    <m/>
    <m/>
    <m/>
    <m/>
    <m/>
    <n v="4"/>
    <n v="4"/>
  </r>
  <r>
    <n v="7768"/>
    <x v="1"/>
    <s v="2023/4514"/>
    <s v="124 Wandsworth High Street"/>
    <s v="C3 to small HMO"/>
    <n v="525371"/>
    <n v="174696"/>
    <x v="14"/>
    <d v="2024-03-31T00:00:00"/>
    <m/>
    <n v="1"/>
    <x v="3"/>
    <x v="6"/>
    <n v="1"/>
    <n v="0"/>
    <x v="1"/>
    <s v="Alterations including the erection of a mansard extension to provide an additional floor of accommodation at main roof level; erection of a part single, part-four storey rear/side extension, with formation of roof terraces at first floor level, installation of new shopfront. Works in connection with proposed use as an 8-bedroom HMO with a commercial unit to the front part of the ground floor."/>
    <s v="PF"/>
    <d v="2023-11-30T00:00:00"/>
    <d v="2024-03-11T00:00:00"/>
    <x v="1"/>
    <s v="Nil"/>
    <m/>
    <s v="BF"/>
    <s v="COU"/>
    <x v="2"/>
    <x v="10"/>
    <n v="1.0999999999999999E-2"/>
    <d v="2024-03-31T00:00:00"/>
    <x v="1"/>
    <m/>
    <x v="1"/>
    <s v="M"/>
    <s v=""/>
    <m/>
    <m/>
    <m/>
    <m/>
    <m/>
    <n v="0"/>
    <n v="0"/>
    <n v="0"/>
    <n v="0"/>
    <n v="0"/>
    <n v="0"/>
    <n v="0"/>
    <n v="0"/>
    <n v="0"/>
    <n v="0"/>
    <n v="0"/>
    <n v="0"/>
    <n v="0"/>
    <n v="0"/>
    <n v="0"/>
    <n v="0"/>
    <n v="0"/>
    <n v="0"/>
    <n v="0"/>
    <n v="0"/>
    <n v="0"/>
    <n v="0"/>
    <n v="0"/>
    <n v="0"/>
    <n v="0"/>
    <n v="0"/>
    <n v="0"/>
    <n v="0"/>
    <x v="4"/>
    <x v="0"/>
    <x v="7"/>
    <n v="14"/>
    <m/>
    <n v="0"/>
    <n v="0"/>
    <m/>
    <m/>
    <m/>
    <m/>
    <m/>
    <m/>
    <m/>
    <m/>
    <m/>
    <m/>
    <m/>
    <m/>
    <m/>
    <m/>
    <m/>
    <m/>
    <m/>
    <n v="0"/>
    <n v="0"/>
  </r>
  <r>
    <n v="7692"/>
    <x v="1"/>
    <s v="2023/4747"/>
    <s v="367 Garratt Lane"/>
    <s v=""/>
    <n v="525937"/>
    <n v="173389"/>
    <x v="13"/>
    <d v="2023-04-01T00:00:00"/>
    <m/>
    <n v="1"/>
    <x v="11"/>
    <x v="7"/>
    <n v="3"/>
    <n v="2"/>
    <x v="1"/>
    <s v="Alterations including excavation to enlarge basement including formation of front and rear lightwells with grille over. Replacement fenestration to front elevation, installation of railings to front forecourt with cycle store. Erection of a mansard roof _x000a_extension to main rear roof including raising the ridge height by 300mm and erection of a mansard roof extension above two-storey back addition including formation of roof terrace with 1.7m high screen surround. Erection of a part first floor rear extension and ground floor single storey side/rear extension. All in connection with the change of use of the ground floor retail (Class E(b)) and residential (Class C3) _x000a_3 x 1 bed and 1 x Studio."/>
    <s v="PF"/>
    <d v="2024-01-03T00:00:00"/>
    <d v="2024-03-04T00:00:00"/>
    <x v="1"/>
    <s v="Nil"/>
    <m/>
    <s v="BF"/>
    <s v="COU"/>
    <x v="2"/>
    <x v="4"/>
    <n v="1.0999999999999999E-2"/>
    <d v="2023-04-01T00:00:00"/>
    <x v="1"/>
    <m/>
    <x v="1"/>
    <s v="M"/>
    <s v=""/>
    <m/>
    <m/>
    <m/>
    <m/>
    <m/>
    <n v="1"/>
    <n v="1"/>
    <n v="0"/>
    <n v="0"/>
    <n v="0"/>
    <n v="0"/>
    <n v="0"/>
    <n v="1"/>
    <n v="1"/>
    <n v="0"/>
    <n v="0"/>
    <n v="0"/>
    <n v="0"/>
    <n v="0"/>
    <n v="0"/>
    <n v="0"/>
    <n v="0"/>
    <n v="0"/>
    <n v="0"/>
    <n v="0"/>
    <n v="0"/>
    <n v="0"/>
    <n v="0"/>
    <n v="0"/>
    <n v="0"/>
    <n v="0"/>
    <n v="0"/>
    <n v="0"/>
    <x v="1"/>
    <x v="0"/>
    <x v="5"/>
    <n v="13"/>
    <m/>
    <n v="2"/>
    <m/>
    <m/>
    <m/>
    <m/>
    <m/>
    <m/>
    <m/>
    <m/>
    <m/>
    <m/>
    <m/>
    <m/>
    <m/>
    <m/>
    <m/>
    <m/>
    <m/>
    <m/>
    <n v="2"/>
    <n v="2"/>
  </r>
  <r>
    <n v="2320"/>
    <x v="2"/>
    <s v="2014/3837"/>
    <s v="Former Domus Tiles site, 31-33 Parkgate Road/Elcho Street (27-33 Parkgate Road &amp; 2-42 Elcho Street)"/>
    <s v=""/>
    <n v="527260"/>
    <n v="177215"/>
    <x v="2"/>
    <d v="2018-03-31T00:00:00"/>
    <m/>
    <n v="0"/>
    <x v="56"/>
    <x v="65"/>
    <n v="118"/>
    <n v="118"/>
    <x v="0"/>
    <s v="Demolition of existing buildings and redevelopment of the site to provide new buildings ranging from 3 to 10 storeys in height comprising 118 residential units including affordable housing (Use Class C3), and 2,282m2 of flexible commercial floorspace (Use Classes A1-A4/B1/D1/D2), together with associated car parking, open space, landscaping and infrastructure works."/>
    <s v="PFLA"/>
    <d v="2014-08-04T00:00:00"/>
    <d v="2015-06-30T00:00:00"/>
    <x v="0"/>
    <s v="Nil"/>
    <m/>
    <s v="BF"/>
    <s v="NB"/>
    <x v="1"/>
    <x v="0"/>
    <n v="0.247"/>
    <m/>
    <x v="0"/>
    <m/>
    <x v="1"/>
    <s v="M"/>
    <s v="10.1.1"/>
    <m/>
    <n v="94"/>
    <m/>
    <n v="94"/>
    <m/>
    <n v="0"/>
    <n v="21"/>
    <n v="47"/>
    <n v="23"/>
    <n v="3"/>
    <n v="0"/>
    <n v="0"/>
    <n v="0"/>
    <n v="21"/>
    <n v="47"/>
    <n v="23"/>
    <n v="3"/>
    <n v="0"/>
    <n v="0"/>
    <n v="0"/>
    <n v="0"/>
    <n v="0"/>
    <n v="0"/>
    <n v="0"/>
    <n v="0"/>
    <n v="0"/>
    <n v="0"/>
    <n v="0"/>
    <n v="0"/>
    <n v="0"/>
    <n v="0"/>
    <n v="0"/>
    <n v="0"/>
    <x v="1"/>
    <x v="0"/>
    <x v="4"/>
    <n v="8"/>
    <m/>
    <m/>
    <m/>
    <m/>
    <m/>
    <n v="47"/>
    <n v="47"/>
    <m/>
    <m/>
    <m/>
    <m/>
    <m/>
    <m/>
    <m/>
    <m/>
    <m/>
    <m/>
    <m/>
    <m/>
    <m/>
    <n v="47"/>
    <n v="94"/>
  </r>
  <r>
    <n v="2320"/>
    <x v="2"/>
    <s v="2014/3837"/>
    <s v="Former Domus Tiles site, 31-33 Parkgate Road/Elcho Street (27-33 Parkgate Road &amp; 2-42 Elcho Street)"/>
    <s v=""/>
    <n v="527260"/>
    <n v="177215"/>
    <x v="2"/>
    <d v="2018-03-31T00:00:00"/>
    <m/>
    <n v="0"/>
    <x v="46"/>
    <x v="55"/>
    <n v="118"/>
    <n v="118"/>
    <x v="0"/>
    <s v="Demolition of existing buildings and redevelopment of the site to provide new buildings ranging from 3 to 10 storeys in height comprising 118 residential units including affordable housing (Use Class C3), and 2,282m2 of flexible commercial floorspace (Use Classes A1-A4/B1/D1/D2), together with associated car parking, open space, landscaping and infrastructure works."/>
    <s v="PFLA"/>
    <d v="2014-08-04T00:00:00"/>
    <d v="2015-06-30T00:00:00"/>
    <x v="0"/>
    <s v="Nil"/>
    <m/>
    <s v="BF"/>
    <s v="NB"/>
    <x v="1"/>
    <x v="0"/>
    <n v="3.6999999999999998E-2"/>
    <m/>
    <x v="0"/>
    <m/>
    <x v="2"/>
    <s v="AS"/>
    <s v="10.1.1"/>
    <m/>
    <n v="14"/>
    <m/>
    <n v="14"/>
    <m/>
    <n v="0"/>
    <n v="1"/>
    <n v="0"/>
    <n v="13"/>
    <n v="0"/>
    <n v="0"/>
    <n v="0"/>
    <n v="0"/>
    <n v="1"/>
    <n v="0"/>
    <n v="13"/>
    <n v="0"/>
    <n v="0"/>
    <n v="0"/>
    <n v="0"/>
    <n v="0"/>
    <n v="0"/>
    <n v="0"/>
    <n v="0"/>
    <n v="0"/>
    <n v="0"/>
    <n v="0"/>
    <n v="0"/>
    <n v="0"/>
    <n v="0"/>
    <n v="0"/>
    <n v="0"/>
    <n v="0"/>
    <x v="1"/>
    <x v="0"/>
    <x v="4"/>
    <n v="8"/>
    <m/>
    <m/>
    <m/>
    <m/>
    <m/>
    <n v="7"/>
    <n v="7"/>
    <m/>
    <m/>
    <m/>
    <m/>
    <m/>
    <m/>
    <m/>
    <m/>
    <m/>
    <m/>
    <m/>
    <m/>
    <m/>
    <n v="7"/>
    <n v="14"/>
  </r>
  <r>
    <n v="2320"/>
    <x v="2"/>
    <s v="2014/3837"/>
    <s v="Former Domus Tiles site, 31-33 Parkgate Road/Elcho Street (27-33 Parkgate Road &amp; 2-42 Elcho Street)"/>
    <s v=""/>
    <n v="527260"/>
    <n v="177215"/>
    <x v="2"/>
    <d v="2018-03-31T00:00:00"/>
    <m/>
    <n v="0"/>
    <x v="43"/>
    <x v="52"/>
    <n v="118"/>
    <n v="118"/>
    <x v="0"/>
    <s v="Demolition of existing buildings and redevelopment of the site to provide new buildings ranging from 3 to 10 storeys in height comprising 118 residential units including affordable housing (Use Class C3), and 2,282m2 of flexible commercial floorspace (Use Classes A1-A4/B1/D1/D2), together with associated car parking, open space, landscaping and infrastructure works."/>
    <s v="PFLA"/>
    <d v="2014-08-04T00:00:00"/>
    <d v="2015-06-30T00:00:00"/>
    <x v="0"/>
    <s v="Nil"/>
    <m/>
    <s v="BF"/>
    <s v="NB"/>
    <x v="1"/>
    <x v="0"/>
    <n v="2.5999999999999999E-2"/>
    <m/>
    <x v="0"/>
    <m/>
    <x v="0"/>
    <s v="ISO"/>
    <s v="10.1.1"/>
    <m/>
    <n v="10"/>
    <m/>
    <n v="10"/>
    <m/>
    <n v="0"/>
    <n v="6"/>
    <n v="2"/>
    <n v="2"/>
    <n v="0"/>
    <n v="0"/>
    <n v="0"/>
    <n v="0"/>
    <n v="6"/>
    <n v="2"/>
    <n v="2"/>
    <n v="0"/>
    <n v="0"/>
    <n v="0"/>
    <n v="0"/>
    <n v="0"/>
    <n v="0"/>
    <n v="0"/>
    <n v="0"/>
    <n v="0"/>
    <n v="0"/>
    <n v="0"/>
    <n v="0"/>
    <n v="0"/>
    <n v="0"/>
    <n v="0"/>
    <n v="0"/>
    <n v="0"/>
    <x v="1"/>
    <x v="0"/>
    <x v="4"/>
    <n v="8"/>
    <m/>
    <m/>
    <m/>
    <m/>
    <m/>
    <n v="5"/>
    <n v="5"/>
    <m/>
    <m/>
    <m/>
    <m/>
    <m/>
    <m/>
    <m/>
    <m/>
    <m/>
    <m/>
    <m/>
    <m/>
    <m/>
    <n v="5"/>
    <n v="10"/>
  </r>
  <r>
    <n v="2530"/>
    <x v="2"/>
    <s v="2023/3698"/>
    <s v="193-197 Upper Tooting Road"/>
    <s v=""/>
    <n v="527684"/>
    <n v="171814"/>
    <x v="19"/>
    <m/>
    <m/>
    <n v="3"/>
    <x v="0"/>
    <x v="36"/>
    <n v="6"/>
    <n v="3"/>
    <x v="1"/>
    <s v="Alterations including erection of roof extension to create an additional storey with accommodation in connection with the conversion ofthe upper floors into  5 x 2-bedroom and 1 x 1 bedroom flats. Erection of an external staircase."/>
    <s v="PF"/>
    <d v="2023-10-02T00:00:00"/>
    <d v="2024-01-08T00:00:00"/>
    <x v="1"/>
    <s v="Nil"/>
    <m/>
    <s v="BF"/>
    <s v="CON"/>
    <x v="2"/>
    <x v="7"/>
    <n v="2.4E-2"/>
    <m/>
    <x v="0"/>
    <m/>
    <x v="1"/>
    <s v="MR"/>
    <s v=""/>
    <m/>
    <m/>
    <m/>
    <m/>
    <m/>
    <n v="0"/>
    <n v="0"/>
    <n v="3"/>
    <n v="0"/>
    <n v="0"/>
    <n v="0"/>
    <n v="0"/>
    <n v="0"/>
    <n v="0"/>
    <n v="3"/>
    <n v="0"/>
    <n v="0"/>
    <n v="0"/>
    <n v="0"/>
    <n v="0"/>
    <n v="0"/>
    <n v="0"/>
    <n v="0"/>
    <n v="0"/>
    <n v="0"/>
    <n v="0"/>
    <n v="0"/>
    <n v="0"/>
    <n v="0"/>
    <n v="0"/>
    <n v="0"/>
    <n v="0"/>
    <n v="0"/>
    <x v="0"/>
    <x v="0"/>
    <x v="0"/>
    <n v="16"/>
    <m/>
    <n v="1"/>
    <n v="1"/>
    <n v="1"/>
    <m/>
    <m/>
    <m/>
    <m/>
    <m/>
    <m/>
    <m/>
    <m/>
    <m/>
    <m/>
    <m/>
    <m/>
    <m/>
    <m/>
    <m/>
    <m/>
    <n v="3"/>
    <n v="3"/>
  </r>
  <r>
    <n v="5442"/>
    <x v="2"/>
    <s v="2013/3516"/>
    <s v="70A Ravensbury Road"/>
    <s v=""/>
    <n v="525614"/>
    <n v="172864"/>
    <x v="12"/>
    <d v="2014-03-31T00:00:00"/>
    <m/>
    <n v="0"/>
    <x v="3"/>
    <x v="5"/>
    <n v="1"/>
    <n v="1"/>
    <x v="1"/>
    <s v="Demolition of existing workshop. Erection of two-storey, 1-bedroom house with first floor level terrace to rear."/>
    <s v="PF"/>
    <d v="2013-07-15T00:00:00"/>
    <d v="2013-10-11T00:00:00"/>
    <x v="0"/>
    <s v="Nil"/>
    <m/>
    <s v="BF"/>
    <s v="NB"/>
    <x v="2"/>
    <x v="3"/>
    <n v="4.0000000000000001E-3"/>
    <m/>
    <x v="0"/>
    <m/>
    <x v="1"/>
    <s v="M"/>
    <s v=""/>
    <m/>
    <m/>
    <m/>
    <m/>
    <m/>
    <n v="0"/>
    <n v="1"/>
    <n v="0"/>
    <n v="0"/>
    <n v="0"/>
    <n v="0"/>
    <n v="0"/>
    <n v="0"/>
    <n v="0"/>
    <n v="0"/>
    <n v="0"/>
    <n v="0"/>
    <n v="0"/>
    <n v="0"/>
    <n v="0"/>
    <n v="1"/>
    <n v="0"/>
    <n v="0"/>
    <n v="0"/>
    <n v="0"/>
    <n v="0"/>
    <n v="0"/>
    <n v="0"/>
    <n v="0"/>
    <n v="0"/>
    <n v="0"/>
    <n v="0"/>
    <n v="0"/>
    <x v="1"/>
    <x v="0"/>
    <x v="5"/>
    <n v="7"/>
    <m/>
    <m/>
    <n v="0.25"/>
    <n v="0.25"/>
    <n v="0.25"/>
    <n v="0.25"/>
    <m/>
    <m/>
    <m/>
    <m/>
    <m/>
    <m/>
    <m/>
    <m/>
    <m/>
    <m/>
    <m/>
    <m/>
    <m/>
    <m/>
    <n v="1"/>
    <n v="1"/>
  </r>
  <r>
    <n v="3511"/>
    <x v="2"/>
    <s v="2014/2810"/>
    <s v="New Covent Garden Market, Nine Elms Lane (Combined Main Market, Entrance site and Thessaly College site)"/>
    <s v="Entrance Site - E7"/>
    <n v="529369"/>
    <n v="177317"/>
    <x v="1"/>
    <d v="2017-03-31T00:00:00"/>
    <m/>
    <n v="0"/>
    <x v="72"/>
    <x v="82"/>
    <n v="2971"/>
    <n v="2966"/>
    <x v="0"/>
    <s v="Planning application for part outline and part detail planning permission for: (a) demolition of existing wholesale Fruit and Vegetable and Flower Market and ancillary buildings and structures, and residential building on Nine Elms Lane (apart from the existing multi storey car park); (b) Construction of mixed-use redevelopment comprising: a new Fruit and Vegetable Market and Flower Market and ancillary uses, including temporary and permanent façade; refurbishment and extension of existing waste collection area (including rooftop sports pitches); residential dwellings; flexible commercial uses, including retail, financial and professional services, café/restaurant, bar uses and hot food takeaways and offices; non-residential institutions; assembly and leisure uses; temporary storage and distribution buildings and associated works; associated car, cycle and motorcycle parking and servicing and new vehicle accesses, energy centres; and landscaping public realm and open space including part of the Linear Park. All matters reserved apart from access, details of all new markets and supporting buildings, and details of Building N8 and associated landscaping); (c) Site clearance and enabling works."/>
    <s v="POLA"/>
    <d v="2014-05-15T00:00:00"/>
    <d v="2015-02-11T00:00:00"/>
    <x v="0"/>
    <s v="Nil"/>
    <m/>
    <s v="BF"/>
    <s v="NB"/>
    <x v="1"/>
    <x v="0"/>
    <n v="0.435"/>
    <m/>
    <x v="0"/>
    <m/>
    <x v="2"/>
    <s v="AA"/>
    <s v="2.1.27"/>
    <m/>
    <m/>
    <n v="65"/>
    <m/>
    <n v="7"/>
    <n v="0"/>
    <n v="11"/>
    <n v="32"/>
    <n v="22"/>
    <n v="7"/>
    <n v="0"/>
    <n v="0"/>
    <n v="0"/>
    <n v="11"/>
    <n v="32"/>
    <n v="22"/>
    <n v="7"/>
    <n v="0"/>
    <n v="0"/>
    <n v="0"/>
    <n v="0"/>
    <n v="0"/>
    <n v="0"/>
    <n v="0"/>
    <n v="0"/>
    <n v="0"/>
    <n v="0"/>
    <n v="0"/>
    <n v="0"/>
    <n v="0"/>
    <n v="0"/>
    <n v="0"/>
    <n v="0"/>
    <x v="1"/>
    <x v="1"/>
    <x v="1"/>
    <n v="8"/>
    <m/>
    <m/>
    <m/>
    <m/>
    <m/>
    <m/>
    <m/>
    <m/>
    <m/>
    <m/>
    <n v="72"/>
    <m/>
    <m/>
    <m/>
    <m/>
    <m/>
    <m/>
    <m/>
    <m/>
    <m/>
    <n v="0"/>
    <n v="72"/>
  </r>
  <r>
    <n v="3511"/>
    <x v="2"/>
    <s v="2014/2810"/>
    <s v="New Covent Garden Market, Nine Elms Lane (Combined Main Market, Entrance site and Thessaly College site)"/>
    <s v="Apex Site - A4"/>
    <n v="529369"/>
    <n v="177317"/>
    <x v="1"/>
    <d v="2017-03-31T00:00:00"/>
    <m/>
    <n v="0"/>
    <x v="77"/>
    <x v="88"/>
    <n v="2971"/>
    <n v="2966"/>
    <x v="0"/>
    <s v="Planning application for part outline and part detail planning permission for: (a) demolition of existing wholesale Fruit and Vegetable and Flower Market and ancillary buildings and structures, and residential building on Nine Elms Lane (apart from the existing multi storey car park); (b) Construction of mixed-use redevelopment comprising: a new Fruit and Vegetable Market and Flower Market and ancillary uses, including temporary and permanent façade; refurbishment and extension of existing waste collection area (including rooftop sports pitches); residential dwellings; flexible commercial uses, including retail, financial and professional services, café/restaurant, bar uses and hot food takeaways and offices; non-residential institutions; assembly and leisure uses; temporary storage and distribution buildings and associated works; associated car, cycle and motorcycle parking and servicing and new vehicle accesses, energy centres; and landscaping public realm and open space including part of the Linear Park. All matters reserved apart from access, details of all new markets and supporting buildings, and details of Building N8 and associated landscaping); (c) Site clearance and enabling works."/>
    <s v="POLA"/>
    <d v="2014-05-15T00:00:00"/>
    <d v="2015-02-11T00:00:00"/>
    <x v="0"/>
    <s v="Nil"/>
    <m/>
    <s v="BF"/>
    <s v="NB"/>
    <x v="1"/>
    <x v="0"/>
    <n v="0.91100000000000003"/>
    <m/>
    <x v="0"/>
    <m/>
    <x v="1"/>
    <s v="M"/>
    <s v="2.1.27"/>
    <m/>
    <m/>
    <n v="136"/>
    <m/>
    <n v="15"/>
    <n v="19"/>
    <n v="30"/>
    <n v="91"/>
    <n v="11"/>
    <n v="0"/>
    <n v="0"/>
    <n v="0"/>
    <n v="19"/>
    <n v="30"/>
    <n v="91"/>
    <n v="11"/>
    <n v="0"/>
    <n v="0"/>
    <n v="0"/>
    <n v="0"/>
    <n v="0"/>
    <n v="0"/>
    <n v="0"/>
    <n v="0"/>
    <n v="0"/>
    <n v="0"/>
    <n v="0"/>
    <n v="0"/>
    <n v="0"/>
    <n v="0"/>
    <n v="0"/>
    <n v="0"/>
    <n v="0"/>
    <x v="1"/>
    <x v="1"/>
    <x v="1"/>
    <n v="8"/>
    <m/>
    <m/>
    <m/>
    <m/>
    <m/>
    <m/>
    <m/>
    <m/>
    <m/>
    <n v="151"/>
    <m/>
    <m/>
    <m/>
    <m/>
    <m/>
    <m/>
    <m/>
    <m/>
    <m/>
    <m/>
    <n v="0"/>
    <n v="151"/>
  </r>
  <r>
    <n v="3511"/>
    <x v="2"/>
    <s v="2014/2810"/>
    <s v="New Covent Garden Market, Nine Elms Lane (Combined Main Market, Entrance site and Thessaly College site)"/>
    <s v="Entrance Site - E6"/>
    <n v="529369"/>
    <n v="177317"/>
    <x v="1"/>
    <d v="2017-03-31T00:00:00"/>
    <m/>
    <n v="0"/>
    <x v="78"/>
    <x v="89"/>
    <n v="2971"/>
    <n v="2966"/>
    <x v="0"/>
    <s v="Planning application for part outline and part detail planning permission for: (a) demolition of existing wholesale Fruit and Vegetable and Flower Market and ancillary buildings and structures, and residential building on Nine Elms Lane (apart from the existing multi storey car park); (b) Construction of mixed-use redevelopment comprising: a new Fruit and Vegetable Market and Flower Market and ancillary uses, including temporary and permanent façade; refurbishment and extension of existing waste collection area (including rooftop sports pitches); residential dwellings; flexible commercial uses, including retail, financial and professional services, café/restaurant, bar uses and hot food takeaways and offices; non-residential institutions; assembly and leisure uses; temporary storage and distribution buildings and associated works; associated car, cycle and motorcycle parking and servicing and new vehicle accesses, energy centres; and landscaping public realm and open space including part of the Linear Park. All matters reserved apart from access, details of all new markets and supporting buildings, and details of Building N8 and associated landscaping); (c) Site clearance and enabling works."/>
    <s v="POLA"/>
    <d v="2014-05-15T00:00:00"/>
    <d v="2015-02-11T00:00:00"/>
    <x v="0"/>
    <s v="Nil"/>
    <m/>
    <s v="BF"/>
    <s v="NB"/>
    <x v="1"/>
    <x v="0"/>
    <n v="0.57299999999999995"/>
    <m/>
    <x v="0"/>
    <m/>
    <x v="0"/>
    <s v="IU"/>
    <s v="2.1.27"/>
    <m/>
    <m/>
    <n v="86"/>
    <m/>
    <n v="10"/>
    <n v="12"/>
    <n v="19"/>
    <n v="57"/>
    <n v="8"/>
    <n v="0"/>
    <n v="0"/>
    <n v="0"/>
    <n v="12"/>
    <n v="19"/>
    <n v="57"/>
    <n v="8"/>
    <n v="0"/>
    <n v="0"/>
    <n v="0"/>
    <n v="0"/>
    <n v="0"/>
    <n v="0"/>
    <n v="0"/>
    <n v="0"/>
    <n v="0"/>
    <n v="0"/>
    <n v="0"/>
    <n v="0"/>
    <n v="0"/>
    <n v="0"/>
    <n v="0"/>
    <n v="0"/>
    <n v="0"/>
    <x v="1"/>
    <x v="1"/>
    <x v="1"/>
    <n v="8"/>
    <m/>
    <m/>
    <m/>
    <m/>
    <m/>
    <m/>
    <m/>
    <m/>
    <m/>
    <n v="96"/>
    <m/>
    <m/>
    <m/>
    <m/>
    <m/>
    <m/>
    <m/>
    <m/>
    <m/>
    <m/>
    <n v="0"/>
    <n v="96"/>
  </r>
  <r>
    <n v="3511"/>
    <x v="2"/>
    <s v="2014/2810"/>
    <s v="New Covent Garden Market, Nine Elms Lane (Combined Main Market, Entrance site and Thessaly College site)"/>
    <s v="Entrance Site - E8"/>
    <n v="529369"/>
    <n v="177317"/>
    <x v="1"/>
    <d v="2017-03-31T00:00:00"/>
    <m/>
    <n v="0"/>
    <x v="79"/>
    <x v="90"/>
    <n v="2971"/>
    <n v="2966"/>
    <x v="0"/>
    <s v="Planning application for part outline and part detail planning permission for: (a) demolition of existing wholesale Fruit and Vegetable and Flower Market and ancillary buildings and structures, and residential building on Nine Elms Lane (apart from the existing multi storey car park); (b) Construction of mixed-use redevelopment comprising: a new Fruit and Vegetable Market and Flower Market and ancillary uses, including temporary and permanent façade; refurbishment and extension of existing waste collection area (including rooftop sports pitches); residential dwellings; flexible commercial uses, including retail, financial and professional services, café/restaurant, bar uses and hot food takeaways and offices; non-residential institutions; assembly and leisure uses; temporary storage and distribution buildings and associated works; associated car, cycle and motorcycle parking and servicing and new vehicle accesses, energy centres; and landscaping public realm and open space including part of the Linear Park. All matters reserved apart from access, details of all new markets and supporting buildings, and details of Building N8 and associated landscaping); (c) Site clearance and enabling works."/>
    <s v="POLA"/>
    <d v="2014-05-15T00:00:00"/>
    <d v="2015-02-11T00:00:00"/>
    <x v="0"/>
    <s v="Nil"/>
    <m/>
    <s v="BF"/>
    <s v="NB"/>
    <x v="1"/>
    <x v="0"/>
    <n v="0.52400000000000002"/>
    <m/>
    <x v="0"/>
    <m/>
    <x v="1"/>
    <s v="M"/>
    <s v="2.1.27"/>
    <m/>
    <m/>
    <n v="77"/>
    <m/>
    <n v="9"/>
    <n v="0"/>
    <n v="17"/>
    <n v="30"/>
    <n v="39"/>
    <n v="0"/>
    <n v="0"/>
    <n v="0"/>
    <n v="0"/>
    <n v="17"/>
    <n v="30"/>
    <n v="39"/>
    <n v="0"/>
    <n v="0"/>
    <n v="0"/>
    <n v="0"/>
    <n v="0"/>
    <n v="0"/>
    <n v="0"/>
    <n v="0"/>
    <n v="0"/>
    <n v="0"/>
    <n v="0"/>
    <n v="0"/>
    <n v="0"/>
    <n v="0"/>
    <n v="0"/>
    <n v="0"/>
    <n v="0"/>
    <x v="1"/>
    <x v="1"/>
    <x v="1"/>
    <n v="8"/>
    <m/>
    <m/>
    <m/>
    <m/>
    <m/>
    <m/>
    <m/>
    <m/>
    <m/>
    <n v="86"/>
    <m/>
    <m/>
    <m/>
    <m/>
    <m/>
    <m/>
    <m/>
    <m/>
    <m/>
    <m/>
    <n v="0"/>
    <n v="86"/>
  </r>
  <r>
    <n v="3511"/>
    <x v="2"/>
    <s v="2014/2810"/>
    <s v="New Covent Garden Market, Nine Elms Lane (Combined Main Market, Entrance site and Thessaly College site)"/>
    <s v="Entrance Site - E4"/>
    <n v="529369"/>
    <n v="177317"/>
    <x v="1"/>
    <d v="2017-03-31T00:00:00"/>
    <m/>
    <n v="0"/>
    <x v="80"/>
    <x v="91"/>
    <n v="2971"/>
    <n v="2966"/>
    <x v="0"/>
    <s v="Planning application for part outline and part detail planning permission for: (a) demolition of existing wholesale Fruit and Vegetable and Flower Market and ancillary buildings and structures, and residential building on Nine Elms Lane (apart from the existing multi storey car park); (b) Construction of mixed-use redevelopment comprising: a new Fruit and Vegetable Market and Flower Market and ancillary uses, including temporary and permanent façade; refurbishment and extension of existing waste collection area (including rooftop sports pitches); residential dwellings; flexible commercial uses, including retail, financial and professional services, café/restaurant, bar uses and hot food takeaways and offices; non-residential institutions; assembly and leisure uses; temporary storage and distribution buildings and associated works; associated car, cycle and motorcycle parking and servicing and new vehicle accesses, energy centres; and landscaping public realm and open space including part of the Linear Park. All matters reserved apart from access, details of all new markets and supporting buildings, and details of Building N8 and associated landscaping); (c) Site clearance and enabling works."/>
    <s v="POLA"/>
    <d v="2014-05-15T00:00:00"/>
    <d v="2015-02-11T00:00:00"/>
    <x v="0"/>
    <s v="Nil"/>
    <m/>
    <s v="BF"/>
    <s v="NB"/>
    <x v="1"/>
    <x v="0"/>
    <n v="0.35599999999999998"/>
    <m/>
    <x v="0"/>
    <m/>
    <x v="2"/>
    <s v="AA"/>
    <s v="2.1.27"/>
    <m/>
    <m/>
    <n v="53"/>
    <m/>
    <n v="6"/>
    <n v="7"/>
    <n v="12"/>
    <n v="36"/>
    <n v="4"/>
    <n v="0"/>
    <n v="0"/>
    <n v="0"/>
    <n v="7"/>
    <n v="12"/>
    <n v="36"/>
    <n v="4"/>
    <n v="0"/>
    <n v="0"/>
    <n v="0"/>
    <n v="0"/>
    <n v="0"/>
    <n v="0"/>
    <n v="0"/>
    <n v="0"/>
    <n v="0"/>
    <n v="0"/>
    <n v="0"/>
    <n v="0"/>
    <n v="0"/>
    <n v="0"/>
    <n v="0"/>
    <n v="0"/>
    <n v="0"/>
    <x v="1"/>
    <x v="1"/>
    <x v="1"/>
    <n v="8"/>
    <m/>
    <m/>
    <m/>
    <m/>
    <m/>
    <m/>
    <m/>
    <m/>
    <m/>
    <n v="59"/>
    <m/>
    <m/>
    <m/>
    <m/>
    <m/>
    <m/>
    <m/>
    <m/>
    <m/>
    <m/>
    <n v="0"/>
    <n v="59"/>
  </r>
  <r>
    <n v="3511"/>
    <x v="2"/>
    <s v="2014/2810"/>
    <s v="New Covent Garden Market, Nine Elms Lane (Combined Main Market, Entrance site and Thessaly College site)"/>
    <s v="Apex Site - A6"/>
    <n v="529369"/>
    <n v="177317"/>
    <x v="1"/>
    <d v="2017-03-31T00:00:00"/>
    <m/>
    <n v="0"/>
    <x v="35"/>
    <x v="40"/>
    <n v="2971"/>
    <n v="2966"/>
    <x v="0"/>
    <s v="Planning application for part outline and part detail planning permission for: (a) demolition of existing wholesale Fruit and Vegetable and Flower Market and ancillary buildings and structures, and residential building on Nine Elms Lane (apart from the existing multi storey car park); (b) Construction of mixed-use redevelopment comprising: a new Fruit and Vegetable Market and Flower Market and ancillary uses, including temporary and permanent façade; refurbishment and extension of existing waste collection area (including rooftop sports pitches); residential dwellings; flexible commercial uses, including retail, financial and professional services, café/restaurant, bar uses and hot food takeaways and offices; non-residential institutions; assembly and leisure uses; temporary storage and distribution buildings and associated works; associated car, cycle and motorcycle parking and servicing and new vehicle accesses, energy centres; and landscaping public realm and open space including part of the Linear Park. All matters reserved apart from access, details of all new markets and supporting buildings, and details of Building N8 and associated landscaping); (c) Site clearance and enabling works."/>
    <s v="POLA"/>
    <d v="2014-05-15T00:00:00"/>
    <d v="2015-02-11T00:00:00"/>
    <x v="0"/>
    <s v="Nil"/>
    <m/>
    <s v="BF"/>
    <s v="NB"/>
    <x v="1"/>
    <x v="0"/>
    <n v="0.10299999999999999"/>
    <m/>
    <x v="0"/>
    <m/>
    <x v="1"/>
    <s v="M"/>
    <s v="2.1.27"/>
    <m/>
    <m/>
    <n v="15"/>
    <m/>
    <n v="2"/>
    <n v="2"/>
    <n v="3"/>
    <n v="10"/>
    <n v="2"/>
    <n v="0"/>
    <n v="0"/>
    <n v="0"/>
    <n v="2"/>
    <n v="3"/>
    <n v="10"/>
    <n v="2"/>
    <n v="0"/>
    <n v="0"/>
    <n v="0"/>
    <n v="0"/>
    <n v="0"/>
    <n v="0"/>
    <n v="0"/>
    <n v="0"/>
    <n v="0"/>
    <n v="0"/>
    <n v="0"/>
    <n v="0"/>
    <n v="0"/>
    <n v="0"/>
    <n v="0"/>
    <n v="0"/>
    <n v="0"/>
    <x v="1"/>
    <x v="1"/>
    <x v="1"/>
    <n v="8"/>
    <m/>
    <m/>
    <m/>
    <m/>
    <m/>
    <m/>
    <m/>
    <m/>
    <m/>
    <n v="17"/>
    <m/>
    <m/>
    <m/>
    <m/>
    <m/>
    <m/>
    <m/>
    <m/>
    <m/>
    <m/>
    <n v="0"/>
    <n v="17"/>
  </r>
  <r>
    <n v="3511"/>
    <x v="2"/>
    <s v="2014/2810"/>
    <s v="New Covent Garden Market, Nine Elms Lane (Combined Main Market, Entrance site and Thessaly College site)"/>
    <s v="Apex Site - A2"/>
    <n v="529369"/>
    <n v="177317"/>
    <x v="1"/>
    <d v="2017-03-31T00:00:00"/>
    <m/>
    <n v="0"/>
    <x v="81"/>
    <x v="92"/>
    <n v="2971"/>
    <n v="2966"/>
    <x v="0"/>
    <s v="Planning application for part outline and part detail planning permission for: (a) demolition of existing wholesale Fruit and Vegetable and Flower Market and ancillary buildings and structures, and residential building on Nine Elms Lane (apart from the existing multi storey car park); (b) Construction of mixed-use redevelopment comprising: a new Fruit and Vegetable Market and Flower Market and ancillary uses, including temporary and permanent façade; refurbishment and extension of existing waste collection area (including rooftop sports pitches); residential dwellings; flexible commercial uses, including retail, financial and professional services, café/restaurant, bar uses and hot food takeaways and offices; non-residential institutions; assembly and leisure uses; temporary storage and distribution buildings and associated works; associated car, cycle and motorcycle parking and servicing and new vehicle accesses, energy centres; and landscaping public realm and open space including part of the Linear Park. All matters reserved apart from access, details of all new markets and supporting buildings, and details of Building N8 and associated landscaping); (c) Site clearance and enabling works."/>
    <s v="POLA"/>
    <d v="2014-05-15T00:00:00"/>
    <d v="2015-02-11T00:00:00"/>
    <x v="0"/>
    <s v="Nil"/>
    <m/>
    <s v="BF"/>
    <s v="NB"/>
    <x v="1"/>
    <x v="0"/>
    <n v="0.82099999999999995"/>
    <m/>
    <x v="0"/>
    <m/>
    <x v="1"/>
    <s v="M"/>
    <s v="2.1.27"/>
    <m/>
    <m/>
    <n v="122"/>
    <m/>
    <n v="14"/>
    <n v="17"/>
    <n v="27"/>
    <n v="82"/>
    <n v="10"/>
    <n v="0"/>
    <n v="0"/>
    <n v="0"/>
    <n v="17"/>
    <n v="27"/>
    <n v="82"/>
    <n v="10"/>
    <n v="0"/>
    <n v="0"/>
    <n v="0"/>
    <n v="0"/>
    <n v="0"/>
    <n v="0"/>
    <n v="0"/>
    <n v="0"/>
    <n v="0"/>
    <n v="0"/>
    <n v="0"/>
    <n v="0"/>
    <n v="0"/>
    <n v="0"/>
    <n v="0"/>
    <n v="0"/>
    <n v="0"/>
    <x v="1"/>
    <x v="1"/>
    <x v="1"/>
    <n v="8"/>
    <m/>
    <m/>
    <m/>
    <m/>
    <m/>
    <m/>
    <m/>
    <m/>
    <n v="136"/>
    <m/>
    <m/>
    <m/>
    <m/>
    <m/>
    <m/>
    <m/>
    <m/>
    <m/>
    <m/>
    <m/>
    <n v="0"/>
    <n v="136"/>
  </r>
  <r>
    <n v="3511"/>
    <x v="2"/>
    <s v="2014/2810"/>
    <s v="New Covent Garden Market, Nine Elms Lane (Combined Main Market, Entrance site and Thessaly College site)"/>
    <s v="Apex Site - A3"/>
    <n v="529369"/>
    <n v="177317"/>
    <x v="1"/>
    <d v="2017-03-31T00:00:00"/>
    <m/>
    <n v="0"/>
    <x v="82"/>
    <x v="93"/>
    <n v="2971"/>
    <n v="2966"/>
    <x v="0"/>
    <s v="Planning application for part outline and part detail planning permission for: (a) demolition of existing wholesale Fruit and Vegetable and Flower Market and ancillary buildings and structures, and residential building on Nine Elms Lane (apart from the existing multi storey car park); (b) Construction of mixed-use redevelopment comprising: a new Fruit and Vegetable Market and Flower Market and ancillary uses, including temporary and permanent façade; refurbishment and extension of existing waste collection area (including rooftop sports pitches); residential dwellings; flexible commercial uses, including retail, financial and professional services, café/restaurant, bar uses and hot food takeaways and offices; non-residential institutions; assembly and leisure uses; temporary storage and distribution buildings and associated works; associated car, cycle and motorcycle parking and servicing and new vehicle accesses, energy centres; and landscaping public realm and open space including part of the Linear Park. All matters reserved apart from access, details of all new markets and supporting buildings, and details of Building N8 and associated landscaping); (c) Site clearance and enabling works."/>
    <s v="POLA"/>
    <d v="2014-05-15T00:00:00"/>
    <d v="2015-02-11T00:00:00"/>
    <x v="0"/>
    <s v="Nil"/>
    <m/>
    <s v="BF"/>
    <s v="NB"/>
    <x v="1"/>
    <x v="0"/>
    <n v="0.61"/>
    <m/>
    <x v="0"/>
    <m/>
    <x v="0"/>
    <s v="ISO"/>
    <s v="2.1.27"/>
    <m/>
    <m/>
    <n v="91"/>
    <m/>
    <n v="10"/>
    <n v="0"/>
    <n v="45"/>
    <n v="46"/>
    <n v="10"/>
    <n v="0"/>
    <n v="0"/>
    <n v="0"/>
    <n v="0"/>
    <n v="45"/>
    <n v="46"/>
    <n v="10"/>
    <n v="0"/>
    <n v="0"/>
    <n v="0"/>
    <n v="0"/>
    <n v="0"/>
    <n v="0"/>
    <n v="0"/>
    <n v="0"/>
    <n v="0"/>
    <n v="0"/>
    <n v="0"/>
    <n v="0"/>
    <n v="0"/>
    <n v="0"/>
    <n v="0"/>
    <n v="0"/>
    <n v="0"/>
    <x v="1"/>
    <x v="1"/>
    <x v="1"/>
    <n v="8"/>
    <m/>
    <m/>
    <m/>
    <m/>
    <m/>
    <m/>
    <m/>
    <m/>
    <n v="101"/>
    <m/>
    <m/>
    <m/>
    <m/>
    <m/>
    <m/>
    <m/>
    <m/>
    <m/>
    <m/>
    <m/>
    <n v="0"/>
    <n v="101"/>
  </r>
  <r>
    <n v="3511"/>
    <x v="2"/>
    <s v="2014/2810"/>
    <s v="New Covent Garden Market, Nine Elms Lane (Combined Main Market, Entrance site and Thessaly College site)"/>
    <s v="Entrance Site - E3"/>
    <n v="529369"/>
    <n v="177317"/>
    <x v="1"/>
    <d v="2017-03-31T00:00:00"/>
    <m/>
    <n v="0"/>
    <x v="83"/>
    <x v="94"/>
    <n v="2971"/>
    <n v="2966"/>
    <x v="0"/>
    <s v="Planning application for part outline and part detail planning permission for: (a) demolition of existing wholesale Fruit and Vegetable and Flower Market and ancillary buildings and structures, and residential building on Nine Elms Lane (apart from the existing multi storey car park); (b) Construction of mixed-use redevelopment comprising: a new Fruit and Vegetable Market and Flower Market and ancillary uses, including temporary and permanent façade; refurbishment and extension of existing waste collection area (including rooftop sports pitches); residential dwellings; flexible commercial uses, including retail, financial and professional services, café/restaurant, bar uses and hot food takeaways and offices; non-residential institutions; assembly and leisure uses; temporary storage and distribution buildings and associated works; associated car, cycle and motorcycle parking and servicing and new vehicle accesses, energy centres; and landscaping public realm and open space including part of the Linear Park. All matters reserved apart from access, details of all new markets and supporting buildings, and details of Building N8 and associated landscaping); (c) Site clearance and enabling works."/>
    <s v="POLA"/>
    <d v="2014-05-15T00:00:00"/>
    <d v="2015-02-11T00:00:00"/>
    <x v="0"/>
    <s v="Nil"/>
    <m/>
    <s v="BF"/>
    <s v="NB"/>
    <x v="1"/>
    <x v="0"/>
    <n v="0.32600000000000001"/>
    <m/>
    <x v="0"/>
    <m/>
    <x v="2"/>
    <s v="AA"/>
    <s v="2.1.27"/>
    <m/>
    <m/>
    <n v="49"/>
    <m/>
    <n v="5"/>
    <n v="0"/>
    <n v="8"/>
    <n v="25"/>
    <n v="16"/>
    <n v="5"/>
    <n v="0"/>
    <n v="0"/>
    <n v="0"/>
    <n v="8"/>
    <n v="25"/>
    <n v="16"/>
    <n v="5"/>
    <n v="0"/>
    <n v="0"/>
    <n v="0"/>
    <n v="0"/>
    <n v="0"/>
    <n v="0"/>
    <n v="0"/>
    <n v="0"/>
    <n v="0"/>
    <n v="0"/>
    <n v="0"/>
    <n v="0"/>
    <n v="0"/>
    <n v="0"/>
    <n v="0"/>
    <n v="0"/>
    <x v="1"/>
    <x v="1"/>
    <x v="1"/>
    <n v="8"/>
    <m/>
    <m/>
    <m/>
    <m/>
    <m/>
    <m/>
    <m/>
    <m/>
    <n v="54"/>
    <m/>
    <m/>
    <m/>
    <m/>
    <m/>
    <m/>
    <m/>
    <m/>
    <m/>
    <m/>
    <m/>
    <n v="0"/>
    <n v="54"/>
  </r>
  <r>
    <n v="3511"/>
    <x v="2"/>
    <s v="2014/2810"/>
    <s v="New Covent Garden Market, Nine Elms Lane (Combined Main Market, Entrance site and Thessaly College site)"/>
    <s v="Entrance Site - E2"/>
    <n v="529369"/>
    <n v="177317"/>
    <x v="1"/>
    <d v="2017-03-31T00:00:00"/>
    <m/>
    <n v="0"/>
    <x v="71"/>
    <x v="81"/>
    <n v="2971"/>
    <n v="2966"/>
    <x v="0"/>
    <s v="Planning application for part outline and part detail planning permission for: (a) demolition of existing wholesale Fruit and Vegetable and Flower Market and ancillary buildings and structures, and residential building on Nine Elms Lane (apart from the existing multi storey car park); (b) Construction of mixed-use redevelopment comprising: a new Fruit and Vegetable Market and Flower Market and ancillary uses, including temporary and permanent façade; refurbishment and extension of existing waste collection area (including rooftop sports pitches); residential dwellings; flexible commercial uses, including retail, financial and professional services, café/restaurant, bar uses and hot food takeaways and offices; non-residential institutions; assembly and leisure uses; temporary storage and distribution buildings and associated works; associated car, cycle and motorcycle parking and servicing and new vehicle accesses, energy centres; and landscaping public realm and open space including part of the Linear Park. All matters reserved apart from access, details of all new markets and supporting buildings, and details of Building N8 and associated landscaping); (c) Site clearance and enabling works."/>
    <s v="POLA"/>
    <d v="2014-05-15T00:00:00"/>
    <d v="2015-02-11T00:00:00"/>
    <x v="0"/>
    <s v="Nil"/>
    <m/>
    <s v="BF"/>
    <s v="NB"/>
    <x v="1"/>
    <x v="0"/>
    <n v="0.217"/>
    <m/>
    <x v="0"/>
    <m/>
    <x v="2"/>
    <s v="AA"/>
    <s v="2.1.27"/>
    <m/>
    <m/>
    <n v="32"/>
    <m/>
    <n v="4"/>
    <n v="0"/>
    <n v="5"/>
    <n v="16"/>
    <n v="11"/>
    <n v="4"/>
    <n v="0"/>
    <n v="0"/>
    <n v="0"/>
    <n v="5"/>
    <n v="16"/>
    <n v="11"/>
    <n v="4"/>
    <n v="0"/>
    <n v="0"/>
    <n v="0"/>
    <n v="0"/>
    <n v="0"/>
    <n v="0"/>
    <n v="0"/>
    <n v="0"/>
    <n v="0"/>
    <n v="0"/>
    <n v="0"/>
    <n v="0"/>
    <n v="0"/>
    <n v="0"/>
    <n v="0"/>
    <n v="0"/>
    <x v="1"/>
    <x v="1"/>
    <x v="1"/>
    <n v="8"/>
    <m/>
    <m/>
    <m/>
    <m/>
    <m/>
    <m/>
    <m/>
    <m/>
    <n v="36"/>
    <m/>
    <m/>
    <m/>
    <m/>
    <m/>
    <m/>
    <m/>
    <m/>
    <m/>
    <m/>
    <m/>
    <n v="0"/>
    <n v="36"/>
  </r>
  <r>
    <n v="3511"/>
    <x v="2"/>
    <s v="2014/2810"/>
    <s v="New Covent Garden Market, Nine Elms Lane (Combined Main Market, Entrance site and Thessaly College site)"/>
    <s v="Entrance Site - E1"/>
    <n v="529369"/>
    <n v="177317"/>
    <x v="1"/>
    <d v="2017-03-31T00:00:00"/>
    <m/>
    <n v="0"/>
    <x v="25"/>
    <x v="29"/>
    <n v="2971"/>
    <n v="2966"/>
    <x v="0"/>
    <s v="Planning application for part outline and part detail planning permission for: (a) demolition of existing wholesale Fruit and Vegetable and Flower Market and ancillary buildings and structures, and residential building on Nine Elms Lane (apart from the existing multi storey car park); (b) Construction of mixed-use redevelopment comprising: a new Fruit and Vegetable Market and Flower Market and ancillary uses, including temporary and permanent façade; refurbishment and extension of existing waste collection area (including rooftop sports pitches); residential dwellings; flexible commercial uses, including retail, financial and professional services, café/restaurant, bar uses and hot food takeaways and offices; non-residential institutions; assembly and leisure uses; temporary storage and distribution buildings and associated works; associated car, cycle and motorcycle parking and servicing and new vehicle accesses, energy centres; and landscaping public realm and open space including part of the Linear Park. All matters reserved apart from access, details of all new markets and supporting buildings, and details of Building N8 and associated landscaping); (c) Site clearance and enabling works."/>
    <s v="POLA"/>
    <d v="2014-05-15T00:00:00"/>
    <d v="2015-02-11T00:00:00"/>
    <x v="0"/>
    <s v="Nil"/>
    <m/>
    <s v="BF"/>
    <s v="NB"/>
    <x v="1"/>
    <x v="0"/>
    <n v="0.16400000000000001"/>
    <m/>
    <x v="0"/>
    <m/>
    <x v="2"/>
    <s v="AA"/>
    <s v="2.1.27"/>
    <m/>
    <m/>
    <n v="24"/>
    <m/>
    <n v="3"/>
    <n v="0"/>
    <n v="4"/>
    <n v="12"/>
    <n v="8"/>
    <n v="3"/>
    <n v="0"/>
    <n v="0"/>
    <n v="0"/>
    <n v="4"/>
    <n v="12"/>
    <n v="8"/>
    <n v="3"/>
    <n v="0"/>
    <n v="0"/>
    <n v="0"/>
    <n v="0"/>
    <n v="0"/>
    <n v="0"/>
    <n v="0"/>
    <n v="0"/>
    <n v="0"/>
    <n v="0"/>
    <n v="0"/>
    <n v="0"/>
    <n v="0"/>
    <n v="0"/>
    <n v="0"/>
    <n v="0"/>
    <x v="1"/>
    <x v="1"/>
    <x v="1"/>
    <n v="8"/>
    <m/>
    <m/>
    <m/>
    <m/>
    <m/>
    <m/>
    <m/>
    <m/>
    <n v="27"/>
    <m/>
    <m/>
    <m/>
    <m/>
    <m/>
    <m/>
    <m/>
    <m/>
    <m/>
    <m/>
    <m/>
    <n v="0"/>
    <n v="27"/>
  </r>
  <r>
    <n v="3511"/>
    <x v="2"/>
    <s v="2014/2810"/>
    <s v="New Covent Garden Market, Nine Elms Lane (Combined Main Market, Entrance site and Thessaly College site)"/>
    <s v="Thessaly Road Site - T2"/>
    <n v="529369"/>
    <n v="177317"/>
    <x v="1"/>
    <d v="2017-03-31T00:00:00"/>
    <m/>
    <n v="0"/>
    <x v="35"/>
    <x v="40"/>
    <n v="2971"/>
    <n v="2966"/>
    <x v="0"/>
    <s v="Planning application for part outline and part detail planning permission for: (a) demolition of existing wholesale Fruit and Vegetable and Flower Market and ancillary buildings and structures, and residential building on Nine Elms Lane (apart from the existing multi storey car park); (b) Construction of mixed-use redevelopment comprising: a new Fruit and Vegetable Market and Flower Market and ancillary uses, including temporary and permanent façade; refurbishment and extension of existing waste collection area (including rooftop sports pitches); residential dwellings; flexible commercial uses, including retail, financial and professional services, café/restaurant, bar uses and hot food takeaways and offices; non-residential institutions; assembly and leisure uses; temporary storage and distribution buildings and associated works; associated car, cycle and motorcycle parking and servicing and new vehicle accesses, energy centres; and landscaping public realm and open space including part of the Linear Park. All matters reserved apart from access, details of all new markets and supporting buildings, and details of Building N8 and associated landscaping); (c) Site clearance and enabling works."/>
    <s v="POLA"/>
    <d v="2014-05-15T00:00:00"/>
    <d v="2015-02-11T00:00:00"/>
    <x v="0"/>
    <s v="Nil"/>
    <m/>
    <s v="BF"/>
    <s v="NB"/>
    <x v="1"/>
    <x v="0"/>
    <n v="0.10199999999999999"/>
    <m/>
    <x v="0"/>
    <m/>
    <x v="2"/>
    <s v="AA"/>
    <s v="2.1.27"/>
    <m/>
    <m/>
    <n v="15"/>
    <m/>
    <n v="2"/>
    <n v="0"/>
    <n v="2"/>
    <n v="7"/>
    <n v="8"/>
    <n v="0"/>
    <n v="0"/>
    <n v="0"/>
    <n v="0"/>
    <n v="2"/>
    <n v="7"/>
    <n v="8"/>
    <n v="0"/>
    <n v="0"/>
    <n v="0"/>
    <n v="0"/>
    <n v="0"/>
    <n v="0"/>
    <n v="0"/>
    <n v="0"/>
    <n v="0"/>
    <n v="0"/>
    <n v="0"/>
    <n v="0"/>
    <n v="0"/>
    <n v="0"/>
    <n v="0"/>
    <n v="0"/>
    <n v="0"/>
    <x v="1"/>
    <x v="1"/>
    <x v="1"/>
    <n v="8"/>
    <m/>
    <m/>
    <m/>
    <m/>
    <m/>
    <m/>
    <m/>
    <m/>
    <n v="17"/>
    <m/>
    <m/>
    <m/>
    <m/>
    <m/>
    <m/>
    <m/>
    <m/>
    <m/>
    <m/>
    <m/>
    <n v="0"/>
    <n v="17"/>
  </r>
  <r>
    <n v="3511"/>
    <x v="2"/>
    <s v="2014/2810"/>
    <s v="New Covent Garden Market, Nine Elms Lane (Combined Main Market, Entrance site and Thessaly College site)"/>
    <s v="Thessaly Road Site - T4"/>
    <n v="529369"/>
    <n v="177317"/>
    <x v="1"/>
    <d v="2017-03-31T00:00:00"/>
    <m/>
    <n v="0"/>
    <x v="35"/>
    <x v="40"/>
    <n v="2971"/>
    <n v="2966"/>
    <x v="0"/>
    <s v="Planning application for part outline and part detail planning permission for: (a) demolition of existing wholesale Fruit and Vegetable and Flower Market and ancillary buildings and structures, and residential building on Nine Elms Lane (apart from the existing multi storey car park); (b) Construction of mixed-use redevelopment comprising: a new Fruit and Vegetable Market and Flower Market and ancillary uses, including temporary and permanent façade; refurbishment and extension of existing waste collection area (including rooftop sports pitches); residential dwellings; flexible commercial uses, including retail, financial and professional services, café/restaurant, bar uses and hot food takeaways and offices; non-residential institutions; assembly and leisure uses; temporary storage and distribution buildings and associated works; associated car, cycle and motorcycle parking and servicing and new vehicle accesses, energy centres; and landscaping public realm and open space including part of the Linear Park. All matters reserved apart from access, details of all new markets and supporting buildings, and details of Building N8 and associated landscaping); (c) Site clearance and enabling works."/>
    <s v="POLA"/>
    <d v="2014-05-15T00:00:00"/>
    <d v="2015-02-11T00:00:00"/>
    <x v="0"/>
    <s v="Nil"/>
    <m/>
    <s v="BF"/>
    <s v="NB"/>
    <x v="1"/>
    <x v="0"/>
    <n v="0.10199999999999999"/>
    <m/>
    <x v="0"/>
    <m/>
    <x v="2"/>
    <s v="AA"/>
    <s v="2.1.27"/>
    <m/>
    <m/>
    <n v="15"/>
    <m/>
    <n v="2"/>
    <n v="0"/>
    <n v="2"/>
    <n v="7"/>
    <n v="8"/>
    <n v="0"/>
    <n v="0"/>
    <n v="0"/>
    <n v="0"/>
    <n v="2"/>
    <n v="7"/>
    <n v="8"/>
    <n v="0"/>
    <n v="0"/>
    <n v="0"/>
    <n v="0"/>
    <n v="0"/>
    <n v="0"/>
    <n v="0"/>
    <n v="0"/>
    <n v="0"/>
    <n v="0"/>
    <n v="0"/>
    <n v="0"/>
    <n v="0"/>
    <n v="0"/>
    <n v="0"/>
    <n v="0"/>
    <n v="0"/>
    <x v="1"/>
    <x v="1"/>
    <x v="1"/>
    <n v="8"/>
    <m/>
    <m/>
    <m/>
    <m/>
    <m/>
    <m/>
    <m/>
    <m/>
    <n v="17"/>
    <m/>
    <m/>
    <m/>
    <m/>
    <m/>
    <m/>
    <m/>
    <m/>
    <m/>
    <m/>
    <m/>
    <n v="0"/>
    <n v="17"/>
  </r>
  <r>
    <n v="3511"/>
    <x v="2"/>
    <s v="2014/2810"/>
    <s v="New Covent Garden Market, Nine Elms Lane (Combined Main Market, Entrance site and Thessaly College site)"/>
    <s v="Apex Site - A7"/>
    <n v="529369"/>
    <n v="177317"/>
    <x v="1"/>
    <d v="2017-03-31T00:00:00"/>
    <m/>
    <n v="0"/>
    <x v="31"/>
    <x v="35"/>
    <n v="2971"/>
    <n v="2966"/>
    <x v="0"/>
    <s v="Planning application for part outline and part detail planning permission for: (a) demolition of existing wholesale Fruit and Vegetable and Flower Market and ancillary buildings and structures, and residential building on Nine Elms Lane (apart from the existing multi storey car park); (b) Construction of mixed-use redevelopment comprising: a new Fruit and Vegetable Market and Flower Market and ancillary uses, including temporary and permanent façade; refurbishment and extension of existing waste collection area (including rooftop sports pitches); residential dwellings; flexible commercial uses, including retail, financial and professional services, café/restaurant, bar uses and hot food takeaways and offices; non-residential institutions; assembly and leisure uses; temporary storage and distribution buildings and associated works; associated car, cycle and motorcycle parking and servicing and new vehicle accesses, energy centres; and landscaping public realm and open space including part of the Linear Park. All matters reserved apart from access, details of all new markets and supporting buildings, and details of Building N8 and associated landscaping); (c) Site clearance and enabling works."/>
    <s v="POLA"/>
    <d v="2014-05-15T00:00:00"/>
    <d v="2015-02-11T00:00:00"/>
    <x v="0"/>
    <s v="Nil"/>
    <m/>
    <s v="BF"/>
    <s v="NB"/>
    <x v="1"/>
    <x v="0"/>
    <n v="6.0999999999999999E-2"/>
    <m/>
    <x v="0"/>
    <m/>
    <x v="0"/>
    <s v="IU"/>
    <s v="2.1.27"/>
    <m/>
    <m/>
    <n v="10"/>
    <m/>
    <n v="1"/>
    <n v="0"/>
    <n v="2"/>
    <n v="5"/>
    <n v="3"/>
    <n v="1"/>
    <n v="0"/>
    <n v="0"/>
    <n v="0"/>
    <n v="2"/>
    <n v="5"/>
    <n v="3"/>
    <n v="0"/>
    <n v="0"/>
    <n v="0"/>
    <n v="0"/>
    <n v="0"/>
    <n v="0"/>
    <n v="0"/>
    <n v="1"/>
    <n v="0"/>
    <n v="0"/>
    <n v="0"/>
    <n v="0"/>
    <n v="0"/>
    <n v="0"/>
    <n v="0"/>
    <n v="0"/>
    <n v="0"/>
    <x v="1"/>
    <x v="1"/>
    <x v="1"/>
    <n v="8"/>
    <m/>
    <m/>
    <m/>
    <m/>
    <m/>
    <m/>
    <m/>
    <m/>
    <n v="11"/>
    <m/>
    <m/>
    <m/>
    <m/>
    <m/>
    <m/>
    <m/>
    <m/>
    <m/>
    <m/>
    <m/>
    <n v="0"/>
    <n v="11"/>
  </r>
  <r>
    <n v="3511"/>
    <x v="2"/>
    <s v="2014/2810"/>
    <s v="New Covent Garden Market, Nine Elms Lane (Combined Main Market, Entrance site and Thessaly College site)"/>
    <s v="Thessaly Road Site - T3A"/>
    <n v="529369"/>
    <n v="177317"/>
    <x v="1"/>
    <d v="2017-03-31T00:00:00"/>
    <m/>
    <n v="0"/>
    <x v="31"/>
    <x v="35"/>
    <n v="2971"/>
    <n v="2966"/>
    <x v="0"/>
    <s v="Planning application for part outline and part detail planning permission for: (a) demolition of existing wholesale Fruit and Vegetable and Flower Market and ancillary buildings and structures, and residential building on Nine Elms Lane (apart from the existing multi storey car park); (b) Construction of mixed-use redevelopment comprising: a new Fruit and Vegetable Market and Flower Market and ancillary uses, including temporary and permanent façade; refurbishment and extension of existing waste collection area (including rooftop sports pitches); residential dwellings; flexible commercial uses, including retail, financial and professional services, café/restaurant, bar uses and hot food takeaways and offices; non-residential institutions; assembly and leisure uses; temporary storage and distribution buildings and associated works; associated car, cycle and motorcycle parking and servicing and new vehicle accesses, energy centres; and landscaping public realm and open space including part of the Linear Park. All matters reserved apart from access, details of all new markets and supporting buildings, and details of Building N8 and associated landscaping); (c) Site clearance and enabling works."/>
    <s v="POLA"/>
    <d v="2014-05-15T00:00:00"/>
    <d v="2015-02-11T00:00:00"/>
    <x v="0"/>
    <s v="Nil"/>
    <m/>
    <s v="BF"/>
    <s v="NB"/>
    <x v="1"/>
    <x v="0"/>
    <n v="6.6000000000000003E-2"/>
    <m/>
    <x v="0"/>
    <m/>
    <x v="2"/>
    <s v="AA"/>
    <s v="2.1.27"/>
    <m/>
    <m/>
    <n v="10"/>
    <m/>
    <n v="1"/>
    <n v="0"/>
    <n v="2"/>
    <n v="5"/>
    <n v="4"/>
    <n v="0"/>
    <n v="0"/>
    <n v="0"/>
    <n v="0"/>
    <n v="2"/>
    <n v="5"/>
    <n v="4"/>
    <n v="0"/>
    <n v="0"/>
    <n v="0"/>
    <n v="0"/>
    <n v="0"/>
    <n v="0"/>
    <n v="0"/>
    <n v="0"/>
    <n v="0"/>
    <n v="0"/>
    <n v="0"/>
    <n v="0"/>
    <n v="0"/>
    <n v="0"/>
    <n v="0"/>
    <n v="0"/>
    <n v="0"/>
    <x v="1"/>
    <x v="1"/>
    <x v="1"/>
    <n v="8"/>
    <m/>
    <m/>
    <m/>
    <m/>
    <m/>
    <m/>
    <m/>
    <m/>
    <n v="11"/>
    <m/>
    <m/>
    <m/>
    <m/>
    <m/>
    <m/>
    <m/>
    <m/>
    <m/>
    <m/>
    <m/>
    <n v="0"/>
    <n v="11"/>
  </r>
  <r>
    <n v="3511"/>
    <x v="2"/>
    <s v="2014/2810"/>
    <s v="New Covent Garden Market, Nine Elms Lane (Combined Main Market, Entrance site and Thessaly College site)"/>
    <s v="Thessaly Road Site - T3B"/>
    <n v="529369"/>
    <n v="177317"/>
    <x v="1"/>
    <d v="2017-03-31T00:00:00"/>
    <m/>
    <n v="0"/>
    <x v="0"/>
    <x v="0"/>
    <n v="2971"/>
    <n v="2966"/>
    <x v="0"/>
    <s v="Planning application for part outline and part detail planning permission for: (a) demolition of existing wholesale Fruit and Vegetable and Flower Market and ancillary buildings and structures, and residential building on Nine Elms Lane (apart from the existing multi storey car park); (b) Construction of mixed-use redevelopment comprising: a new Fruit and Vegetable Market and Flower Market and ancillary uses, including temporary and permanent façade; refurbishment and extension of existing waste collection area (including rooftop sports pitches); residential dwellings; flexible commercial uses, including retail, financial and professional services, café/restaurant, bar uses and hot food takeaways and offices; non-residential institutions; assembly and leisure uses; temporary storage and distribution buildings and associated works; associated car, cycle and motorcycle parking and servicing and new vehicle accesses, energy centres; and landscaping public realm and open space including part of the Linear Park. All matters reserved apart from access, details of all new markets and supporting buildings, and details of Building N8 and associated landscaping); (c) Site clearance and enabling works."/>
    <s v="POLA"/>
    <d v="2014-05-15T00:00:00"/>
    <d v="2015-02-11T00:00:00"/>
    <x v="0"/>
    <s v="Nil"/>
    <m/>
    <s v="BF"/>
    <s v="NB"/>
    <x v="1"/>
    <x v="0"/>
    <n v="3.5999999999999997E-2"/>
    <m/>
    <x v="0"/>
    <m/>
    <x v="2"/>
    <s v="AA"/>
    <s v="2.1.27"/>
    <m/>
    <m/>
    <n v="5"/>
    <m/>
    <n v="1"/>
    <n v="0"/>
    <n v="0"/>
    <n v="2"/>
    <n v="4"/>
    <n v="0"/>
    <n v="0"/>
    <n v="0"/>
    <n v="0"/>
    <n v="0"/>
    <n v="2"/>
    <n v="4"/>
    <n v="0"/>
    <n v="0"/>
    <n v="0"/>
    <n v="0"/>
    <n v="0"/>
    <n v="0"/>
    <n v="0"/>
    <n v="0"/>
    <n v="0"/>
    <n v="0"/>
    <n v="0"/>
    <n v="0"/>
    <n v="0"/>
    <n v="0"/>
    <n v="0"/>
    <n v="0"/>
    <n v="0"/>
    <x v="1"/>
    <x v="1"/>
    <x v="1"/>
    <n v="8"/>
    <m/>
    <m/>
    <m/>
    <m/>
    <m/>
    <m/>
    <m/>
    <m/>
    <n v="6"/>
    <m/>
    <m/>
    <m/>
    <m/>
    <m/>
    <m/>
    <m/>
    <m/>
    <m/>
    <m/>
    <m/>
    <n v="0"/>
    <n v="6"/>
  </r>
  <r>
    <n v="3511"/>
    <x v="2"/>
    <s v="2014/2810"/>
    <s v="New Covent Garden Market, Nine Elms Lane (Combined Main Market, Entrance site and Thessaly College site)"/>
    <s v="Entrance Site - Existing"/>
    <n v="529369"/>
    <n v="177317"/>
    <x v="1"/>
    <d v="2017-03-31T00:00:00"/>
    <m/>
    <n v="5"/>
    <x v="6"/>
    <x v="46"/>
    <n v="2971"/>
    <n v="2966"/>
    <x v="0"/>
    <s v="Planning application for part outline and part detail planning permission for: (a) demolition of existing wholesale Fruit and Vegetable and Flower Market and ancillary buildings and structures, and residential building on Nine Elms Lane (apart from the existing multi storey car park); (b) Construction of mixed-use redevelopment comprising: a new Fruit and Vegetable Market and Flower Market and ancillary uses, including temporary and permanent façade; refurbishment and extension of existing waste collection area (including rooftop sports pitches); residential dwellings; flexible commercial uses, including retail, financial and professional services, café/restaurant, bar uses and hot food takeaways and offices; non-residential institutions; assembly and leisure uses; temporary storage and distribution buildings and associated works; associated car, cycle and motorcycle parking and servicing and new vehicle accesses, energy centres; and landscaping public realm and open space including part of the Linear Park. All matters reserved apart from access, details of all new markets and supporting buildings, and details of Building N8 and associated landscaping); (c) Site clearance and enabling works."/>
    <s v="POLA"/>
    <d v="2014-05-15T00:00:00"/>
    <d v="2015-02-11T00:00:00"/>
    <x v="0"/>
    <s v="Nil"/>
    <m/>
    <s v="BF"/>
    <s v="NB"/>
    <x v="1"/>
    <x v="0"/>
    <n v="0"/>
    <m/>
    <x v="0"/>
    <m/>
    <x v="1"/>
    <s v="M"/>
    <s v="2.1.27"/>
    <m/>
    <m/>
    <m/>
    <m/>
    <m/>
    <n v="0"/>
    <n v="0"/>
    <n v="0"/>
    <n v="0"/>
    <n v="0"/>
    <n v="0"/>
    <n v="-5"/>
    <n v="0"/>
    <n v="0"/>
    <n v="0"/>
    <n v="0"/>
    <n v="0"/>
    <n v="0"/>
    <n v="-5"/>
    <n v="0"/>
    <n v="0"/>
    <n v="0"/>
    <n v="0"/>
    <n v="0"/>
    <n v="0"/>
    <n v="0"/>
    <n v="0"/>
    <n v="0"/>
    <n v="0"/>
    <n v="0"/>
    <n v="0"/>
    <n v="0"/>
    <n v="0"/>
    <x v="1"/>
    <x v="1"/>
    <x v="1"/>
    <n v="8"/>
    <m/>
    <m/>
    <m/>
    <m/>
    <m/>
    <m/>
    <m/>
    <m/>
    <n v="-5"/>
    <m/>
    <m/>
    <m/>
    <m/>
    <m/>
    <m/>
    <m/>
    <m/>
    <m/>
    <m/>
    <m/>
    <n v="0"/>
    <n v="-5"/>
  </r>
  <r>
    <n v="4797"/>
    <x v="2"/>
    <s v="2014/3470"/>
    <s v="Unit 25-28 Ransomes Dock, 35-37 Parkgate Road (Ransomes Dock Business Centre)"/>
    <s v="Flat 12"/>
    <n v="527293"/>
    <n v="177185"/>
    <x v="2"/>
    <d v="2014-08-19T00:00:00"/>
    <m/>
    <n v="0"/>
    <x v="3"/>
    <x v="5"/>
    <n v="2"/>
    <n v="2"/>
    <x v="1"/>
    <s v="Change of use of 232 sqm of floorspace at third floor level from Office (Class B1a) to Residential use (Class C3) to provide two flats."/>
    <s v="PAG"/>
    <d v="2014-06-24T00:00:00"/>
    <d v="2014-08-19T00:00:00"/>
    <x v="0"/>
    <s v="Nil"/>
    <m/>
    <s v="BF"/>
    <s v="COU"/>
    <x v="2"/>
    <x v="6"/>
    <n v="7.0000000000000001E-3"/>
    <m/>
    <x v="0"/>
    <m/>
    <x v="1"/>
    <s v="M"/>
    <s v=""/>
    <m/>
    <m/>
    <m/>
    <m/>
    <m/>
    <n v="0"/>
    <n v="0"/>
    <n v="0"/>
    <n v="1"/>
    <n v="0"/>
    <n v="0"/>
    <n v="0"/>
    <n v="0"/>
    <n v="0"/>
    <n v="0"/>
    <n v="1"/>
    <n v="0"/>
    <n v="0"/>
    <n v="0"/>
    <n v="0"/>
    <n v="0"/>
    <n v="0"/>
    <n v="0"/>
    <n v="0"/>
    <n v="0"/>
    <n v="0"/>
    <n v="0"/>
    <n v="0"/>
    <n v="0"/>
    <n v="0"/>
    <n v="0"/>
    <n v="0"/>
    <n v="0"/>
    <x v="1"/>
    <x v="0"/>
    <x v="4"/>
    <n v="15"/>
    <m/>
    <n v="0.25"/>
    <n v="0.25"/>
    <n v="0.25"/>
    <n v="0.25"/>
    <m/>
    <m/>
    <m/>
    <m/>
    <m/>
    <m/>
    <m/>
    <m/>
    <m/>
    <m/>
    <m/>
    <m/>
    <m/>
    <m/>
    <m/>
    <n v="1"/>
    <n v="1"/>
  </r>
  <r>
    <n v="3511"/>
    <x v="2"/>
    <s v="2014/2810"/>
    <s v="New Covent Garden Market, Nine Elms Lane (Combined Main Market, Entrance site and Thessaly College site)"/>
    <s v="Northern Site - N7"/>
    <n v="529369"/>
    <n v="177317"/>
    <x v="1"/>
    <d v="2017-03-31T00:00:00"/>
    <m/>
    <n v="0"/>
    <x v="84"/>
    <x v="95"/>
    <n v="2971"/>
    <n v="2966"/>
    <x v="0"/>
    <s v="Planning application for part outline and part detail planning permission for: (a) demolition of existing wholesale Fruit and Vegetable and Flower Market and ancillary buildings and structures, and residential building on Nine Elms Lane (apart from the existing multi storey car park); (b) Construction of mixed-use redevelopment comprising: a new Fruit and Vegetable Market and Flower Market and ancillary uses, including temporary and permanent façade; refurbishment and extension of existing waste collection area (including rooftop sports pitches); residential dwellings; flexible commercial uses, including retail, financial and professional services, café/restaurant, bar uses and hot food takeaways and offices; non-residential institutions; assembly and leisure uses; temporary storage and distribution buildings and associated works; associated car, cycle and motorcycle parking and servicing and new vehicle accesses, energy centres; and landscaping public realm and open space including part of the Linear Park. All matters reserved apart from access, details of all new markets and supporting buildings, and details of Building N8 and associated landscaping); (c) Site clearance and enabling works."/>
    <s v="POLA"/>
    <d v="2014-05-15T00:00:00"/>
    <d v="2015-02-11T00:00:00"/>
    <x v="0"/>
    <s v="Nil"/>
    <m/>
    <s v="BF"/>
    <s v="NB"/>
    <x v="1"/>
    <x v="0"/>
    <n v="1.0009999999999999"/>
    <m/>
    <x v="0"/>
    <m/>
    <x v="1"/>
    <s v="M"/>
    <s v="2.1.27"/>
    <m/>
    <m/>
    <n v="149"/>
    <m/>
    <n v="17"/>
    <n v="0"/>
    <n v="33"/>
    <n v="58"/>
    <n v="75"/>
    <n v="0"/>
    <n v="0"/>
    <n v="0"/>
    <n v="0"/>
    <n v="33"/>
    <n v="58"/>
    <n v="75"/>
    <n v="0"/>
    <n v="0"/>
    <n v="0"/>
    <n v="0"/>
    <n v="0"/>
    <n v="0"/>
    <n v="0"/>
    <n v="0"/>
    <n v="0"/>
    <n v="0"/>
    <n v="0"/>
    <n v="0"/>
    <n v="0"/>
    <n v="0"/>
    <n v="0"/>
    <n v="0"/>
    <n v="0"/>
    <x v="1"/>
    <x v="1"/>
    <x v="1"/>
    <n v="8"/>
    <m/>
    <m/>
    <m/>
    <m/>
    <m/>
    <m/>
    <n v="166"/>
    <m/>
    <m/>
    <m/>
    <m/>
    <m/>
    <m/>
    <m/>
    <m/>
    <m/>
    <m/>
    <m/>
    <m/>
    <m/>
    <n v="0"/>
    <n v="166"/>
  </r>
  <r>
    <n v="3511"/>
    <x v="2"/>
    <s v="2018/5698"/>
    <s v="New Covent Garden Market, Nine Elms Lane (Combined Main Market, Entrance site and Thessaly College site)"/>
    <s v="N12"/>
    <n v="529369"/>
    <n v="177317"/>
    <x v="1"/>
    <d v="2019-07-26T00:00:00"/>
    <m/>
    <n v="0"/>
    <x v="1"/>
    <x v="1"/>
    <n v="559"/>
    <n v="559"/>
    <x v="0"/>
    <s v="Application for approval of reserved matters (Access, Layout, Appearance, Scale and Landscaping) for Phase 1B of the Northern Site Development Zone pursuant to part outline and part detailed planning permission 2014/2810, dated 11/02/15 &quot;For part outline and part detail planning permission for: (a) demolition of existing wholesale Fruit and Vegetable and Flower_x000a_Marketand ancillary buildings and structures, and residential building on Nine Elms Lane (apart from the existing multi storey car park); (b) Construction_x000a_ofmixed-use redevelopment comprising: a new Fruit and Vegetable Market and Flower Market and ancillary uses, including temporary and_x000a_permanentfaçade; refurbishment and extension of existing waste collection area (including rooftop sports pitches); residential dwellings; flexible_x000a_commercial uses, including retail, financial and professional services, café/restaurant, bar uses and hot food takeaways and offices; non-residential_x000a_institutions; assembly and leisure uses; temporary storage and distribution buildings and associated works; associated car, cycle and motorcycle_x000a_parking and servicing and new vehicle accesses, energy centres; and landscaping public realm and open space including part of the Linear Park._x000a_All matters reserved apart from access, details of all new markets and supporting buildings, and details of Building N8 and associated landscaping);_x000a_(c) Site clearance and enabling works. An Environmental Statement has been submitted with the application under The Town and Country Planning_x000a_(Environmental Impact Assessment) Regulations 2011.&quot;"/>
    <s v="DT"/>
    <d v="2018-11-29T00:00:00"/>
    <d v="2019-03-22T00:00:00"/>
    <x v="0"/>
    <s v="Nil"/>
    <m/>
    <s v="BF"/>
    <s v="NB"/>
    <x v="1"/>
    <x v="0"/>
    <n v="7.1999999999999995E-2"/>
    <m/>
    <x v="0"/>
    <m/>
    <x v="0"/>
    <s v="ISO"/>
    <s v="2.1.27"/>
    <m/>
    <n v="13"/>
    <m/>
    <m/>
    <m/>
    <n v="0"/>
    <n v="6"/>
    <n v="6"/>
    <n v="1"/>
    <n v="0"/>
    <n v="0"/>
    <n v="0"/>
    <n v="0"/>
    <n v="6"/>
    <n v="6"/>
    <n v="1"/>
    <n v="0"/>
    <n v="0"/>
    <n v="0"/>
    <n v="0"/>
    <n v="0"/>
    <n v="0"/>
    <n v="0"/>
    <n v="0"/>
    <n v="0"/>
    <n v="0"/>
    <n v="0"/>
    <n v="0"/>
    <n v="0"/>
    <n v="0"/>
    <n v="0"/>
    <n v="0"/>
    <n v="0"/>
    <x v="1"/>
    <x v="1"/>
    <x v="1"/>
    <n v="8"/>
    <m/>
    <m/>
    <m/>
    <m/>
    <m/>
    <m/>
    <n v="13"/>
    <m/>
    <m/>
    <m/>
    <m/>
    <m/>
    <m/>
    <m/>
    <m/>
    <m/>
    <m/>
    <m/>
    <m/>
    <m/>
    <n v="0"/>
    <n v="13"/>
  </r>
  <r>
    <n v="464"/>
    <x v="2"/>
    <s v="2015/6813"/>
    <s v="41-59 Battersea Park Road (Booker and BMW Sites)"/>
    <s v="Block A"/>
    <n v="529321"/>
    <n v="177258"/>
    <x v="1"/>
    <d v="2022-02-14T00:00:00"/>
    <m/>
    <n v="0"/>
    <x v="16"/>
    <x v="20"/>
    <n v="307"/>
    <n v="307"/>
    <x v="0"/>
    <s v="Demolition of all existing buildings and construction of new buildings of between 5 storeys and 18 storeys, containing 307 residential units, business (Class B1) floorspace and flexible retail/restaurant and cafe/business floorspace (Class A1-A5 and B1), CHP basement, vehicle and cycle parking, plant and associated works, landscaping  and a new access onto Sleaford street."/>
    <s v="PFLA"/>
    <d v="2015-11-30T00:00:00"/>
    <d v="2019-03-28T00:00:00"/>
    <x v="0"/>
    <s v="Nil"/>
    <m/>
    <s v="BF"/>
    <s v="NB"/>
    <x v="1"/>
    <x v="0"/>
    <n v="3.9E-2"/>
    <m/>
    <x v="0"/>
    <m/>
    <x v="1"/>
    <s v="M"/>
    <s v="2.1.13"/>
    <n v="17320035"/>
    <m/>
    <n v="38"/>
    <m/>
    <n v="4"/>
    <n v="0"/>
    <n v="10"/>
    <n v="21"/>
    <n v="10"/>
    <n v="1"/>
    <n v="0"/>
    <n v="0"/>
    <n v="0"/>
    <n v="10"/>
    <n v="21"/>
    <n v="10"/>
    <n v="1"/>
    <n v="0"/>
    <n v="0"/>
    <n v="0"/>
    <n v="0"/>
    <n v="0"/>
    <n v="0"/>
    <n v="0"/>
    <n v="0"/>
    <n v="0"/>
    <n v="0"/>
    <n v="0"/>
    <n v="0"/>
    <n v="0"/>
    <n v="0"/>
    <n v="0"/>
    <n v="0"/>
    <x v="1"/>
    <x v="1"/>
    <x v="1"/>
    <n v="10"/>
    <m/>
    <m/>
    <m/>
    <m/>
    <n v="14"/>
    <n v="14"/>
    <n v="14"/>
    <m/>
    <m/>
    <m/>
    <m/>
    <m/>
    <m/>
    <m/>
    <m/>
    <m/>
    <m/>
    <m/>
    <m/>
    <m/>
    <n v="28"/>
    <n v="42"/>
  </r>
  <r>
    <n v="464"/>
    <x v="2"/>
    <s v="2015/6813"/>
    <s v="41-59 Battersea Park Road (Booker and BMW Sites)"/>
    <s v="Block B"/>
    <n v="529321"/>
    <n v="177258"/>
    <x v="1"/>
    <d v="2022-02-14T00:00:00"/>
    <m/>
    <n v="0"/>
    <x v="85"/>
    <x v="96"/>
    <n v="307"/>
    <n v="307"/>
    <x v="0"/>
    <s v="Demolition of all existing buildings and construction of new buildings of between 5 storeys and 18 storeys, containing 307 residential units, business (Class B1) floorspace and flexible retail/restaurant and cafe/business floorspace (Class A1-A5 and B1), CHP basement, vehicle and cycle parking, plant and associated works, landscaping  and a new access onto Sleaford street."/>
    <s v="PFLA"/>
    <d v="2015-11-30T00:00:00"/>
    <d v="2019-03-28T00:00:00"/>
    <x v="0"/>
    <s v="Nil"/>
    <m/>
    <s v="BF"/>
    <s v="NB"/>
    <x v="1"/>
    <x v="0"/>
    <n v="0.09"/>
    <m/>
    <x v="0"/>
    <m/>
    <x v="1"/>
    <s v="M"/>
    <s v="2.1.13"/>
    <n v="17320035"/>
    <m/>
    <n v="100"/>
    <m/>
    <n v="11"/>
    <n v="1"/>
    <n v="40"/>
    <n v="60"/>
    <n v="10"/>
    <n v="0"/>
    <n v="0"/>
    <n v="0"/>
    <n v="1"/>
    <n v="40"/>
    <n v="60"/>
    <n v="10"/>
    <n v="0"/>
    <n v="0"/>
    <n v="0"/>
    <n v="0"/>
    <n v="0"/>
    <n v="0"/>
    <n v="0"/>
    <n v="0"/>
    <n v="0"/>
    <n v="0"/>
    <n v="0"/>
    <n v="0"/>
    <n v="0"/>
    <n v="0"/>
    <n v="0"/>
    <n v="0"/>
    <n v="0"/>
    <x v="1"/>
    <x v="1"/>
    <x v="1"/>
    <n v="10"/>
    <m/>
    <m/>
    <m/>
    <m/>
    <n v="37"/>
    <n v="37"/>
    <n v="37"/>
    <m/>
    <m/>
    <m/>
    <m/>
    <m/>
    <m/>
    <m/>
    <m/>
    <m/>
    <m/>
    <m/>
    <m/>
    <m/>
    <n v="74"/>
    <n v="111"/>
  </r>
  <r>
    <n v="464"/>
    <x v="2"/>
    <s v="2015/6813"/>
    <s v="41-59 Battersea Park Road (Booker and BMW Sites)"/>
    <s v="Block C"/>
    <n v="529321"/>
    <n v="177258"/>
    <x v="1"/>
    <d v="2022-02-14T00:00:00"/>
    <m/>
    <n v="0"/>
    <x v="43"/>
    <x v="52"/>
    <n v="307"/>
    <n v="307"/>
    <x v="0"/>
    <s v="Demolition of all existing buildings and construction of new buildings of between 5 storeys and 18 storeys, containing 307 residential units, business (Class B1) floorspace and flexible retail/restaurant and cafe/business floorspace (Class A1-A5 and B1), CHP basement, vehicle and cycle parking, plant and associated works, landscaping  and a new access onto Sleaford street."/>
    <s v="PFLA"/>
    <d v="2015-11-30T00:00:00"/>
    <d v="2019-03-28T00:00:00"/>
    <x v="0"/>
    <s v="Nil"/>
    <m/>
    <s v="BF"/>
    <s v="NB"/>
    <x v="1"/>
    <x v="0"/>
    <n v="5.0000000000000001E-3"/>
    <m/>
    <x v="0"/>
    <m/>
    <x v="0"/>
    <s v="ISO"/>
    <s v="2.1.13"/>
    <n v="17320035"/>
    <m/>
    <n v="9"/>
    <m/>
    <n v="1"/>
    <n v="0"/>
    <n v="10"/>
    <n v="0"/>
    <n v="0"/>
    <n v="0"/>
    <n v="0"/>
    <n v="0"/>
    <n v="0"/>
    <n v="10"/>
    <n v="0"/>
    <n v="0"/>
    <n v="0"/>
    <n v="0"/>
    <n v="0"/>
    <n v="0"/>
    <n v="0"/>
    <n v="0"/>
    <n v="0"/>
    <n v="0"/>
    <n v="0"/>
    <n v="0"/>
    <n v="0"/>
    <n v="0"/>
    <n v="0"/>
    <n v="0"/>
    <n v="0"/>
    <n v="0"/>
    <n v="0"/>
    <x v="1"/>
    <x v="1"/>
    <x v="1"/>
    <n v="10"/>
    <m/>
    <m/>
    <m/>
    <m/>
    <n v="3.3333333333333335"/>
    <n v="3.3333333333333335"/>
    <n v="3.3333333333333335"/>
    <m/>
    <m/>
    <m/>
    <m/>
    <m/>
    <m/>
    <m/>
    <m/>
    <m/>
    <m/>
    <m/>
    <m/>
    <m/>
    <n v="6.666666666666667"/>
    <n v="10"/>
  </r>
  <r>
    <n v="464"/>
    <x v="2"/>
    <s v="2015/6813"/>
    <s v="41-59 Battersea Park Road (Booker and BMW Sites)"/>
    <s v="Block C"/>
    <n v="529321"/>
    <n v="177258"/>
    <x v="1"/>
    <d v="2022-02-14T00:00:00"/>
    <m/>
    <n v="0"/>
    <x v="86"/>
    <x v="97"/>
    <n v="307"/>
    <n v="307"/>
    <x v="0"/>
    <s v="Demolition of all existing buildings and construction of new buildings of between 5 storeys and 18 storeys, containing 307 residential units, business (Class B1) floorspace and flexible retail/restaurant and cafe/business floorspace (Class A1-A5 and B1), CHP basement, vehicle and cycle parking, plant and associated works, landscaping  and a new access onto Sleaford street."/>
    <s v="PFLA"/>
    <d v="2015-11-30T00:00:00"/>
    <d v="2019-03-28T00:00:00"/>
    <x v="0"/>
    <s v="Nil"/>
    <m/>
    <s v="BF"/>
    <s v="NB"/>
    <x v="1"/>
    <x v="0"/>
    <n v="4.3999999999999997E-2"/>
    <m/>
    <x v="0"/>
    <m/>
    <x v="1"/>
    <s v="M"/>
    <s v="2.1.13"/>
    <n v="17320035"/>
    <m/>
    <n v="47"/>
    <m/>
    <n v="5"/>
    <n v="0"/>
    <n v="9"/>
    <n v="42"/>
    <n v="1"/>
    <n v="0"/>
    <n v="0"/>
    <n v="0"/>
    <n v="0"/>
    <n v="9"/>
    <n v="42"/>
    <n v="1"/>
    <n v="0"/>
    <n v="0"/>
    <n v="0"/>
    <n v="0"/>
    <n v="0"/>
    <n v="0"/>
    <n v="0"/>
    <n v="0"/>
    <n v="0"/>
    <n v="0"/>
    <n v="0"/>
    <n v="0"/>
    <n v="0"/>
    <n v="0"/>
    <n v="0"/>
    <n v="0"/>
    <n v="0"/>
    <x v="1"/>
    <x v="1"/>
    <x v="1"/>
    <n v="10"/>
    <m/>
    <m/>
    <m/>
    <m/>
    <n v="17.333333333333332"/>
    <n v="17.333333333333332"/>
    <n v="17.333333333333332"/>
    <m/>
    <m/>
    <m/>
    <m/>
    <m/>
    <m/>
    <m/>
    <m/>
    <m/>
    <m/>
    <m/>
    <m/>
    <m/>
    <n v="34.666666666666664"/>
    <n v="52"/>
  </r>
  <r>
    <n v="464"/>
    <x v="2"/>
    <s v="2015/6813"/>
    <s v="41-59 Battersea Park Road (Booker and BMW Sites)"/>
    <s v="Block D"/>
    <n v="529321"/>
    <n v="177258"/>
    <x v="1"/>
    <d v="2022-02-14T00:00:00"/>
    <m/>
    <n v="0"/>
    <x v="30"/>
    <x v="34"/>
    <n v="307"/>
    <n v="307"/>
    <x v="0"/>
    <s v="Demolition of all existing buildings and construction of new buildings of between 5 storeys and 18 storeys, containing 307 residential units, business (Class B1) floorspace and flexible retail/restaurant and cafe/business floorspace (Class A1-A5 and B1), CHP basement, vehicle and cycle parking, plant and associated works, landscaping  and a new access onto Sleaford street."/>
    <s v="PFLA"/>
    <d v="2015-11-30T00:00:00"/>
    <d v="2019-03-28T00:00:00"/>
    <x v="0"/>
    <s v="Nil"/>
    <m/>
    <s v="BF"/>
    <s v="NB"/>
    <x v="1"/>
    <x v="0"/>
    <n v="1.7999999999999999E-2"/>
    <m/>
    <x v="0"/>
    <m/>
    <x v="2"/>
    <s v="AA"/>
    <s v="2.1.13"/>
    <n v="17320035"/>
    <m/>
    <n v="18"/>
    <m/>
    <n v="2"/>
    <n v="1"/>
    <n v="9"/>
    <n v="6"/>
    <n v="4"/>
    <n v="0"/>
    <n v="0"/>
    <n v="0"/>
    <n v="1"/>
    <n v="9"/>
    <n v="6"/>
    <n v="4"/>
    <n v="0"/>
    <n v="0"/>
    <n v="0"/>
    <n v="0"/>
    <n v="0"/>
    <n v="0"/>
    <n v="0"/>
    <n v="0"/>
    <n v="0"/>
    <n v="0"/>
    <n v="0"/>
    <n v="0"/>
    <n v="0"/>
    <n v="0"/>
    <n v="0"/>
    <n v="0"/>
    <n v="0"/>
    <x v="1"/>
    <x v="1"/>
    <x v="1"/>
    <n v="10"/>
    <m/>
    <m/>
    <m/>
    <m/>
    <n v="6.666666666666667"/>
    <n v="6.666666666666667"/>
    <n v="6.666666666666667"/>
    <m/>
    <m/>
    <m/>
    <m/>
    <m/>
    <m/>
    <m/>
    <m/>
    <m/>
    <m/>
    <m/>
    <m/>
    <m/>
    <n v="13.333333333333334"/>
    <n v="20"/>
  </r>
  <r>
    <n v="464"/>
    <x v="2"/>
    <s v="2015/6813"/>
    <s v="41-59 Battersea Park Road (Booker and BMW Sites)"/>
    <s v="Block E"/>
    <n v="529321"/>
    <n v="177258"/>
    <x v="1"/>
    <d v="2022-02-14T00:00:00"/>
    <m/>
    <n v="0"/>
    <x v="20"/>
    <x v="24"/>
    <n v="307"/>
    <n v="307"/>
    <x v="0"/>
    <s v="Demolition of all existing buildings and construction of new buildings of between 5 storeys and 18 storeys, containing 307 residential units, business (Class B1) floorspace and flexible retail/restaurant and cafe/business floorspace (Class A1-A5 and B1), CHP basement, vehicle and cycle parking, plant and associated works, landscaping  and a new access onto Sleaford street."/>
    <s v="PFLA"/>
    <d v="2015-11-30T00:00:00"/>
    <d v="2019-03-28T00:00:00"/>
    <x v="0"/>
    <s v="Nil"/>
    <m/>
    <s v="BF"/>
    <s v="NB"/>
    <x v="1"/>
    <x v="0"/>
    <n v="2.1000000000000001E-2"/>
    <m/>
    <x v="0"/>
    <m/>
    <x v="1"/>
    <s v="M"/>
    <s v="2.1.13"/>
    <n v="17320035"/>
    <m/>
    <n v="22"/>
    <m/>
    <n v="3"/>
    <n v="0"/>
    <n v="0"/>
    <n v="25"/>
    <n v="0"/>
    <n v="0"/>
    <n v="0"/>
    <n v="0"/>
    <n v="0"/>
    <n v="0"/>
    <n v="25"/>
    <n v="0"/>
    <n v="0"/>
    <n v="0"/>
    <n v="0"/>
    <n v="0"/>
    <n v="0"/>
    <n v="0"/>
    <n v="0"/>
    <n v="0"/>
    <n v="0"/>
    <n v="0"/>
    <n v="0"/>
    <n v="0"/>
    <n v="0"/>
    <n v="0"/>
    <n v="0"/>
    <n v="0"/>
    <n v="0"/>
    <x v="1"/>
    <x v="1"/>
    <x v="1"/>
    <n v="10"/>
    <m/>
    <m/>
    <m/>
    <m/>
    <n v="8.3333333333333339"/>
    <n v="8.3333333333333339"/>
    <n v="8.3333333333333339"/>
    <m/>
    <m/>
    <m/>
    <m/>
    <m/>
    <m/>
    <m/>
    <m/>
    <m/>
    <m/>
    <m/>
    <m/>
    <m/>
    <n v="16.666666666666668"/>
    <n v="25"/>
  </r>
  <r>
    <n v="464"/>
    <x v="2"/>
    <s v="2015/6813"/>
    <s v="41-59 Battersea Park Road (Booker and BMW Sites)"/>
    <s v="Block E"/>
    <n v="529321"/>
    <n v="177258"/>
    <x v="1"/>
    <d v="2022-02-14T00:00:00"/>
    <m/>
    <n v="0"/>
    <x v="75"/>
    <x v="86"/>
    <n v="307"/>
    <n v="307"/>
    <x v="0"/>
    <s v="Demolition of all existing buildings and construction of new buildings of between 5 storeys and 18 storeys, containing 307 residential units, business (Class B1) floorspace and flexible retail/restaurant and cafe/business floorspace (Class A1-A5 and B1), CHP basement, vehicle and cycle parking, plant and associated works, landscaping  and a new access onto Sleaford street."/>
    <s v="PFLA"/>
    <d v="2015-11-30T00:00:00"/>
    <d v="2019-03-28T00:00:00"/>
    <x v="0"/>
    <s v="Nil"/>
    <m/>
    <s v="BF"/>
    <s v="NB"/>
    <x v="1"/>
    <x v="0"/>
    <n v="3.9E-2"/>
    <m/>
    <x v="0"/>
    <m/>
    <x v="0"/>
    <s v="ISO"/>
    <s v="2.1.13"/>
    <n v="17320035"/>
    <m/>
    <n v="42"/>
    <m/>
    <n v="5"/>
    <n v="0"/>
    <n v="12"/>
    <n v="35"/>
    <n v="0"/>
    <n v="0"/>
    <n v="0"/>
    <n v="0"/>
    <n v="0"/>
    <n v="12"/>
    <n v="35"/>
    <n v="0"/>
    <n v="0"/>
    <n v="0"/>
    <n v="0"/>
    <n v="0"/>
    <n v="0"/>
    <n v="0"/>
    <n v="0"/>
    <n v="0"/>
    <n v="0"/>
    <n v="0"/>
    <n v="0"/>
    <n v="0"/>
    <n v="0"/>
    <n v="0"/>
    <n v="0"/>
    <n v="0"/>
    <n v="0"/>
    <x v="1"/>
    <x v="1"/>
    <x v="1"/>
    <n v="10"/>
    <m/>
    <m/>
    <m/>
    <m/>
    <n v="15.666666666666666"/>
    <n v="15.666666666666666"/>
    <n v="15.666666666666666"/>
    <m/>
    <m/>
    <m/>
    <m/>
    <m/>
    <m/>
    <m/>
    <m/>
    <m/>
    <m/>
    <m/>
    <m/>
    <m/>
    <n v="31.333333333333332"/>
    <n v="47"/>
  </r>
  <r>
    <n v="5966"/>
    <x v="2"/>
    <s v="2015/7662"/>
    <s v="Unit 3 &amp; 20 Ransomes Dock Business Centre, 35-37 Parkgate Road (Ransomes Dock Business Centre)"/>
    <s v="Apartment 3"/>
    <n v="527304"/>
    <n v="177160"/>
    <x v="2"/>
    <d v="2017-03-31T00:00:00"/>
    <m/>
    <n v="0"/>
    <x v="3"/>
    <x v="5"/>
    <n v="2"/>
    <n v="2"/>
    <x v="1"/>
    <s v="Determination as to whether prior approval is required for change of use from office (Class B1a) to two residential units (Class C3)."/>
    <s v="PANR"/>
    <d v="2015-12-13T00:00:00"/>
    <d v="2016-03-14T00:00:00"/>
    <x v="0"/>
    <s v="Nil"/>
    <m/>
    <s v="BF"/>
    <s v="COU"/>
    <x v="2"/>
    <x v="6"/>
    <n v="2E-3"/>
    <m/>
    <x v="0"/>
    <m/>
    <x v="1"/>
    <s v="M"/>
    <s v=""/>
    <m/>
    <m/>
    <m/>
    <m/>
    <m/>
    <n v="1"/>
    <n v="0"/>
    <n v="0"/>
    <n v="0"/>
    <n v="0"/>
    <n v="0"/>
    <n v="0"/>
    <n v="1"/>
    <n v="0"/>
    <n v="0"/>
    <n v="0"/>
    <n v="0"/>
    <n v="0"/>
    <n v="0"/>
    <n v="0"/>
    <n v="0"/>
    <n v="0"/>
    <n v="0"/>
    <n v="0"/>
    <n v="0"/>
    <n v="0"/>
    <n v="0"/>
    <n v="0"/>
    <n v="0"/>
    <n v="0"/>
    <n v="0"/>
    <n v="0"/>
    <n v="0"/>
    <x v="1"/>
    <x v="0"/>
    <x v="4"/>
    <n v="15"/>
    <m/>
    <n v="0.25"/>
    <n v="0.25"/>
    <n v="0.25"/>
    <n v="0.25"/>
    <m/>
    <m/>
    <m/>
    <m/>
    <m/>
    <m/>
    <m/>
    <m/>
    <m/>
    <m/>
    <m/>
    <m/>
    <m/>
    <m/>
    <m/>
    <n v="1"/>
    <n v="1"/>
  </r>
  <r>
    <n v="3652"/>
    <x v="2"/>
    <s v="2016/0654"/>
    <s v="9-15 Elcho Street"/>
    <s v=""/>
    <n v="527224"/>
    <n v="177200"/>
    <x v="2"/>
    <d v="2019-04-16T00:00:00"/>
    <m/>
    <n v="0"/>
    <x v="12"/>
    <x v="15"/>
    <n v="4"/>
    <n v="4"/>
    <x v="1"/>
    <s v="Demolition of existing garage and erection of a ten-storey building comprising 4 residential units (4 x two-bedrooms) and 108 sq m of flexible commercial floorspace (Use Classes B1 (office)/A1 (retail)/A3 (restaurant/cafe)/D1 (non-residential institution) at ground and first floor levels, including associated balconies and roof terraces, cycle parking and refuse storage."/>
    <s v="PF"/>
    <d v="2016-02-12T00:00:00"/>
    <d v="2016-05-27T00:00:00"/>
    <x v="0"/>
    <s v="Nil"/>
    <m/>
    <s v="BF"/>
    <s v="NB"/>
    <x v="2"/>
    <x v="3"/>
    <n v="4.2000000000000003E-2"/>
    <m/>
    <x v="0"/>
    <m/>
    <x v="1"/>
    <s v="M"/>
    <s v=""/>
    <m/>
    <m/>
    <m/>
    <m/>
    <m/>
    <n v="0"/>
    <n v="0"/>
    <n v="4"/>
    <n v="0"/>
    <n v="0"/>
    <n v="0"/>
    <n v="0"/>
    <n v="0"/>
    <n v="0"/>
    <n v="4"/>
    <n v="0"/>
    <n v="0"/>
    <n v="0"/>
    <n v="0"/>
    <n v="0"/>
    <n v="0"/>
    <n v="0"/>
    <n v="0"/>
    <n v="0"/>
    <n v="0"/>
    <n v="0"/>
    <n v="0"/>
    <n v="0"/>
    <n v="0"/>
    <n v="0"/>
    <n v="0"/>
    <n v="0"/>
    <n v="0"/>
    <x v="1"/>
    <x v="0"/>
    <x v="4"/>
    <n v="7"/>
    <m/>
    <m/>
    <n v="1"/>
    <n v="1"/>
    <n v="1"/>
    <n v="1"/>
    <m/>
    <m/>
    <m/>
    <m/>
    <m/>
    <m/>
    <m/>
    <m/>
    <m/>
    <m/>
    <m/>
    <m/>
    <m/>
    <m/>
    <n v="4"/>
    <n v="4"/>
  </r>
  <r>
    <n v="2411"/>
    <x v="2"/>
    <s v="2016/1119"/>
    <s v="South Lambeth Goods Depot, Cringle St./Battersea Park Rd., Kirtling Street (Battersea Power Station)"/>
    <s v="Phase 7 (RS-WF)"/>
    <n v="528934"/>
    <n v="177496"/>
    <x v="1"/>
    <d v="2013-11-21T00:00:00"/>
    <m/>
    <n v="0"/>
    <x v="87"/>
    <x v="98"/>
    <n v="2735"/>
    <n v="2735"/>
    <x v="0"/>
    <s v="Application for Amendments to the outline planning permission dated 5th December 2014 (ref; 2014/2837) for the for the restoration, extension, alterations and conversion of the Power Station building to provide retail, residential flats, business, cultural, hotel and conference facilities, event space and incidental accommodation; the demolition of other buildings and development of the land surrounding the Power Station and adjacent/nearby sites to provide retail, restaurants bars and cafes, offices, hotel, residential, community and cultural space, assembly and leisure space, student housing, serviced apartments, an energy centre and basement plant; parking for cars, coaches, motorcycles and bicycles; new access and internal road system and servicing; 'off-site' highway works; works to the jetty and riverwall to facilitate river transport and fuel delivery; provision of open space and landscaping. (The Amendments include changes to the residential mix to create additional residential units, the change of use of hotel and serviced apartments in Development Zone RS5 to residential, along with changes to the massing and distribution of land uses in Development Zone RS2 and other consequential changes to facilitate the redevelopment of the adjoining Cringle Dock site (previously sought by application ref: 2015/6359)). An Environmental Statement Addendum has been submitted with the application under the Town and Country Planning (Environmental Impact Assessment) (Amendment) Regulations 2015."/>
    <s v="S73"/>
    <d v="2016-03-02T00:00:00"/>
    <d v="2016-11-08T00:00:00"/>
    <x v="0"/>
    <s v="Nil"/>
    <m/>
    <s v="BF"/>
    <s v="NB"/>
    <x v="1"/>
    <x v="0"/>
    <n v="0.21"/>
    <m/>
    <x v="0"/>
    <m/>
    <x v="1"/>
    <s v="M"/>
    <s v="2.1.1"/>
    <m/>
    <n v="152"/>
    <m/>
    <n v="15"/>
    <m/>
    <n v="26"/>
    <n v="1"/>
    <n v="31"/>
    <n v="55"/>
    <n v="14"/>
    <n v="25"/>
    <n v="0"/>
    <n v="26"/>
    <n v="1"/>
    <n v="31"/>
    <n v="55"/>
    <n v="14"/>
    <n v="25"/>
    <n v="0"/>
    <n v="0"/>
    <n v="0"/>
    <n v="0"/>
    <n v="0"/>
    <n v="0"/>
    <n v="0"/>
    <n v="0"/>
    <n v="0"/>
    <n v="0"/>
    <n v="0"/>
    <n v="0"/>
    <n v="0"/>
    <n v="0"/>
    <n v="0"/>
    <x v="1"/>
    <x v="1"/>
    <x v="1"/>
    <n v="10"/>
    <m/>
    <m/>
    <m/>
    <m/>
    <n v="50.666666666666664"/>
    <n v="50.666666666666664"/>
    <n v="50.666666666666664"/>
    <m/>
    <m/>
    <m/>
    <m/>
    <m/>
    <m/>
    <m/>
    <m/>
    <m/>
    <m/>
    <m/>
    <m/>
    <m/>
    <n v="101.33333333333333"/>
    <n v="152"/>
  </r>
  <r>
    <n v="6419"/>
    <x v="2"/>
    <s v="2016/2027"/>
    <s v="15-27 Falcon Road"/>
    <s v=""/>
    <n v="527130"/>
    <n v="176085"/>
    <x v="21"/>
    <d v="2020-05-26T00:00:00"/>
    <m/>
    <n v="0"/>
    <x v="20"/>
    <x v="24"/>
    <n v="25"/>
    <n v="25"/>
    <x v="0"/>
    <s v="Demolition of existing building and erection of a three/five storey building plus basement to provide 25 residential units (8 x one bedroom, 13 x two bedroom, 4 x three bedroom) including balconies and communal garden and two retail units (Class A1, totalling 669sq.m of floorspace) and a gymnasium (Class D2, 434sq.m) together with cycle storage (60 bicycles) and refuse stores."/>
    <s v="PFLA"/>
    <d v="2016-04-12T00:00:00"/>
    <d v="2017-02-24T00:00:00"/>
    <x v="0"/>
    <s v="Nil"/>
    <m/>
    <s v="BF"/>
    <s v="NB"/>
    <x v="1"/>
    <x v="0"/>
    <n v="7.0999999999999994E-2"/>
    <m/>
    <x v="0"/>
    <m/>
    <x v="1"/>
    <s v="M"/>
    <s v=""/>
    <m/>
    <n v="3"/>
    <m/>
    <n v="25"/>
    <m/>
    <n v="0"/>
    <n v="8"/>
    <n v="13"/>
    <n v="4"/>
    <n v="0"/>
    <n v="0"/>
    <n v="0"/>
    <n v="0"/>
    <n v="8"/>
    <n v="13"/>
    <n v="4"/>
    <n v="0"/>
    <n v="0"/>
    <n v="0"/>
    <n v="0"/>
    <n v="0"/>
    <n v="0"/>
    <n v="0"/>
    <n v="0"/>
    <n v="0"/>
    <n v="0"/>
    <n v="0"/>
    <n v="0"/>
    <n v="0"/>
    <n v="0"/>
    <n v="0"/>
    <n v="0"/>
    <n v="0"/>
    <x v="1"/>
    <x v="0"/>
    <x v="2"/>
    <n v="10"/>
    <m/>
    <m/>
    <m/>
    <m/>
    <n v="8.3333333333333339"/>
    <n v="8.3333333333333339"/>
    <n v="8.3333333333333339"/>
    <m/>
    <m/>
    <m/>
    <m/>
    <m/>
    <m/>
    <m/>
    <m/>
    <m/>
    <m/>
    <m/>
    <m/>
    <m/>
    <n v="16.666666666666668"/>
    <n v="25"/>
  </r>
  <r>
    <n v="6149"/>
    <x v="2"/>
    <s v="2016/5183"/>
    <s v="8 Ravensbury Terrace"/>
    <s v=""/>
    <n v="525867"/>
    <n v="172948"/>
    <x v="12"/>
    <d v="2021-08-01T00:00:00"/>
    <m/>
    <n v="0"/>
    <x v="46"/>
    <x v="55"/>
    <n v="14"/>
    <n v="14"/>
    <x v="0"/>
    <s v="Demolition of existing buildings and erection of a part 1, part 3, part 4-storey building to accommodate 14 residential dwellings (3 x 1-bedroom, 10 x 2-bedroom and 1 x 3-bedroom units) including landscaping, cycle and refuse storage and works to the river wall. (Revised scheme following refusal of 2015/6103)"/>
    <s v="PFLA"/>
    <d v="2016-09-02T00:00:00"/>
    <d v="2019-11-01T00:00:00"/>
    <x v="0"/>
    <s v="Nil"/>
    <m/>
    <s v="BF"/>
    <s v="NB"/>
    <x v="1"/>
    <x v="0"/>
    <n v="6.7000000000000004E-2"/>
    <m/>
    <x v="0"/>
    <m/>
    <x v="1"/>
    <s v="M"/>
    <s v=""/>
    <m/>
    <m/>
    <n v="1"/>
    <n v="2"/>
    <n v="1"/>
    <n v="0"/>
    <n v="3"/>
    <n v="10"/>
    <n v="1"/>
    <n v="0"/>
    <n v="0"/>
    <n v="0"/>
    <n v="0"/>
    <n v="3"/>
    <n v="10"/>
    <n v="1"/>
    <n v="0"/>
    <n v="0"/>
    <n v="0"/>
    <n v="0"/>
    <n v="0"/>
    <n v="0"/>
    <n v="0"/>
    <n v="0"/>
    <n v="0"/>
    <n v="0"/>
    <n v="0"/>
    <n v="0"/>
    <n v="0"/>
    <n v="0"/>
    <n v="0"/>
    <n v="0"/>
    <n v="0"/>
    <x v="1"/>
    <x v="0"/>
    <x v="5"/>
    <n v="10"/>
    <m/>
    <m/>
    <m/>
    <m/>
    <n v="4.666666666666667"/>
    <n v="4.666666666666667"/>
    <n v="4.666666666666667"/>
    <m/>
    <m/>
    <m/>
    <m/>
    <m/>
    <m/>
    <m/>
    <m/>
    <m/>
    <m/>
    <m/>
    <m/>
    <m/>
    <n v="9.3333333333333339"/>
    <n v="14"/>
  </r>
  <r>
    <n v="6526"/>
    <x v="2"/>
    <s v="2017/0535"/>
    <s v="Land west of 86-96, Garratt Lane"/>
    <s v="Intermediate"/>
    <n v="525688"/>
    <n v="174300"/>
    <x v="14"/>
    <m/>
    <m/>
    <n v="0"/>
    <x v="43"/>
    <x v="52"/>
    <n v="27"/>
    <n v="27"/>
    <x v="0"/>
    <s v="Erection of a 20-storey mixed use building comprising 27 residential  units; 31sqm cafe floorspace (Class A3) on the ground floor; associated refuse and cycle storage; rooftop solar PV array; and public realm including riverside walk with pedestran access from Garratt Lane and Mapleton Crescent."/>
    <s v="PFLA"/>
    <d v="2017-03-15T00:00:00"/>
    <d v="2021-06-16T00:00:00"/>
    <x v="0"/>
    <s v="Nil"/>
    <m/>
    <s v="BF"/>
    <s v="NB"/>
    <x v="1"/>
    <x v="0"/>
    <n v="6.7000000000000004E-2"/>
    <m/>
    <x v="0"/>
    <m/>
    <x v="0"/>
    <s v="ISD"/>
    <s v=""/>
    <m/>
    <n v="10"/>
    <m/>
    <n v="1"/>
    <m/>
    <n v="3"/>
    <n v="7"/>
    <n v="0"/>
    <n v="0"/>
    <n v="0"/>
    <n v="0"/>
    <n v="0"/>
    <n v="3"/>
    <n v="7"/>
    <n v="0"/>
    <n v="0"/>
    <n v="0"/>
    <n v="0"/>
    <n v="0"/>
    <n v="0"/>
    <n v="0"/>
    <n v="0"/>
    <n v="0"/>
    <n v="0"/>
    <n v="0"/>
    <n v="0"/>
    <n v="0"/>
    <n v="0"/>
    <n v="0"/>
    <n v="0"/>
    <n v="0"/>
    <n v="0"/>
    <n v="0"/>
    <x v="4"/>
    <x v="0"/>
    <x v="7"/>
    <n v="10"/>
    <m/>
    <m/>
    <m/>
    <m/>
    <n v="3.3333333333333335"/>
    <n v="3.3333333333333335"/>
    <n v="3.3333333333333335"/>
    <m/>
    <m/>
    <m/>
    <m/>
    <m/>
    <m/>
    <m/>
    <m/>
    <m/>
    <m/>
    <m/>
    <m/>
    <m/>
    <n v="6.666666666666667"/>
    <n v="10"/>
  </r>
  <r>
    <n v="6526"/>
    <x v="2"/>
    <s v="2017/0535"/>
    <s v="Land west of 86-96, Garratt Lane"/>
    <s v="Market"/>
    <n v="525688"/>
    <n v="174300"/>
    <x v="14"/>
    <m/>
    <m/>
    <n v="0"/>
    <x v="35"/>
    <x v="40"/>
    <n v="27"/>
    <n v="27"/>
    <x v="0"/>
    <s v="Erection of a 20-storey mixed use building comprising 27 residential  units; 31sqm cafe floorspace (Class A3) on the ground floor; associated refuse and cycle storage; rooftop solar PV array; and public realm including riverside walk with pedestran access from Garratt Lane and Mapleton Crescent."/>
    <s v="PFLA"/>
    <d v="2017-03-15T00:00:00"/>
    <d v="2021-06-16T00:00:00"/>
    <x v="0"/>
    <s v="Nil"/>
    <m/>
    <s v="BF"/>
    <s v="NB"/>
    <x v="1"/>
    <x v="0"/>
    <n v="0.1139"/>
    <m/>
    <x v="0"/>
    <m/>
    <x v="1"/>
    <s v="M"/>
    <s v=""/>
    <m/>
    <n v="15"/>
    <m/>
    <n v="2"/>
    <m/>
    <n v="0"/>
    <n v="7"/>
    <n v="6"/>
    <n v="4"/>
    <n v="0"/>
    <n v="0"/>
    <n v="0"/>
    <n v="0"/>
    <n v="7"/>
    <n v="6"/>
    <n v="4"/>
    <n v="0"/>
    <n v="0"/>
    <n v="0"/>
    <n v="0"/>
    <n v="0"/>
    <n v="0"/>
    <n v="0"/>
    <n v="0"/>
    <n v="0"/>
    <n v="0"/>
    <n v="0"/>
    <n v="0"/>
    <n v="0"/>
    <n v="0"/>
    <n v="0"/>
    <n v="0"/>
    <n v="0"/>
    <x v="4"/>
    <x v="0"/>
    <x v="7"/>
    <n v="10"/>
    <m/>
    <m/>
    <m/>
    <m/>
    <n v="5.666666666666667"/>
    <n v="5.666666666666667"/>
    <n v="5.666666666666667"/>
    <m/>
    <m/>
    <m/>
    <m/>
    <m/>
    <m/>
    <m/>
    <m/>
    <m/>
    <m/>
    <m/>
    <m/>
    <m/>
    <n v="11.333333333333334"/>
    <n v="17"/>
  </r>
  <r>
    <n v="2411"/>
    <x v="2"/>
    <s v="2017/1680"/>
    <s v="South Lambeth Goods Depot, Cringle St./Battersea Park Rd., Kirtling Street (Battersea Power Station)"/>
    <s v="Phase 5 (RS-6)"/>
    <n v="528934"/>
    <n v="177496"/>
    <x v="1"/>
    <d v="2016-05-16T00:00:00"/>
    <m/>
    <n v="0"/>
    <x v="31"/>
    <x v="35"/>
    <n v="1192"/>
    <n v="1192"/>
    <x v="0"/>
    <s v="Variation of Section 106 Agreement dated 21 November 2016 of planning permission ref. 2016/3778 (for the restoration and alteration of Battersea Power Station and the surrounding land to provide a mixed use development) to relocate 103 affordable homes from Phase 3b to a later phase(s) alongside the 147 units currently located in Phase 5; introduce an up and down end-of-scheme review in relation to the 250 affordable housing units on the main site targeting 15% affordable housing provision; and amend the delivery triggers in respect of Phase 4a so that the affordable housing in that phase will be delivered earlier than is currently required."/>
    <s v="S106"/>
    <d v="2017-03-15T00:00:00"/>
    <d v="2017-11-10T00:00:00"/>
    <x v="0"/>
    <s v="Nil"/>
    <m/>
    <s v="BF"/>
    <s v="NB"/>
    <x v="1"/>
    <x v="0"/>
    <n v="1.4E-2"/>
    <m/>
    <x v="0"/>
    <m/>
    <x v="0"/>
    <s v="IR"/>
    <s v="2.1.1"/>
    <m/>
    <n v="11"/>
    <m/>
    <n v="1"/>
    <m/>
    <n v="0"/>
    <n v="11"/>
    <n v="0"/>
    <n v="0"/>
    <n v="0"/>
    <n v="0"/>
    <n v="0"/>
    <n v="0"/>
    <n v="11"/>
    <n v="0"/>
    <n v="0"/>
    <n v="0"/>
    <n v="0"/>
    <n v="0"/>
    <n v="0"/>
    <n v="0"/>
    <n v="0"/>
    <n v="0"/>
    <n v="0"/>
    <n v="0"/>
    <n v="0"/>
    <n v="0"/>
    <n v="0"/>
    <n v="0"/>
    <n v="0"/>
    <n v="0"/>
    <n v="0"/>
    <n v="0"/>
    <x v="1"/>
    <x v="1"/>
    <x v="1"/>
    <n v="10"/>
    <m/>
    <m/>
    <m/>
    <m/>
    <n v="3.6666666666666665"/>
    <n v="3.6666666666666665"/>
    <n v="3.6666666666666665"/>
    <m/>
    <m/>
    <m/>
    <m/>
    <m/>
    <m/>
    <m/>
    <m/>
    <m/>
    <m/>
    <m/>
    <m/>
    <m/>
    <n v="7.333333333333333"/>
    <n v="11"/>
  </r>
  <r>
    <n v="2411"/>
    <x v="2"/>
    <s v="2017/1680"/>
    <s v="South Lambeth Goods Depot, Cringle St./Battersea Park Rd., Kirtling Street (Battersea Power Station)"/>
    <s v="Phase 5 (RS-6)"/>
    <n v="528934"/>
    <n v="177496"/>
    <x v="1"/>
    <d v="2016-05-16T00:00:00"/>
    <m/>
    <n v="0"/>
    <x v="88"/>
    <x v="99"/>
    <n v="1192"/>
    <n v="1192"/>
    <x v="0"/>
    <s v="Variation of Section 106 Agreement dated 21 November 2016 of planning permission ref. 2016/3778 (for the restoration and alteration of Battersea Power Station and the surrounding land to provide a mixed use development) to relocate 103 affordable homes from Phase 3b to a later phase(s) alongside the 147 units currently located in Phase 5; introduce an up and down end-of-scheme review in relation to the 250 affordable housing units on the main site targeting 15% affordable housing provision; and amend the delivery triggers in respect of Phase 4a so that the affordable housing in that phase will be delivered earlier than is currently required."/>
    <s v="S106"/>
    <d v="2017-03-15T00:00:00"/>
    <d v="2017-11-10T00:00:00"/>
    <x v="0"/>
    <s v="Nil"/>
    <m/>
    <s v="BF"/>
    <s v="NB"/>
    <x v="1"/>
    <x v="0"/>
    <n v="0.186"/>
    <m/>
    <x v="0"/>
    <m/>
    <x v="0"/>
    <s v="IU"/>
    <s v="2.1.1"/>
    <m/>
    <n v="147"/>
    <m/>
    <n v="15"/>
    <m/>
    <n v="0"/>
    <n v="21"/>
    <n v="71"/>
    <n v="47"/>
    <n v="8"/>
    <n v="0"/>
    <n v="0"/>
    <n v="0"/>
    <n v="21"/>
    <n v="71"/>
    <n v="47"/>
    <n v="8"/>
    <n v="0"/>
    <n v="0"/>
    <n v="0"/>
    <n v="0"/>
    <n v="0"/>
    <n v="0"/>
    <n v="0"/>
    <n v="0"/>
    <n v="0"/>
    <n v="0"/>
    <n v="0"/>
    <n v="0"/>
    <n v="0"/>
    <n v="0"/>
    <n v="0"/>
    <n v="0"/>
    <x v="1"/>
    <x v="1"/>
    <x v="1"/>
    <n v="10"/>
    <m/>
    <m/>
    <m/>
    <m/>
    <n v="49"/>
    <n v="49"/>
    <n v="49"/>
    <m/>
    <m/>
    <m/>
    <m/>
    <m/>
    <m/>
    <m/>
    <m/>
    <m/>
    <m/>
    <m/>
    <m/>
    <m/>
    <n v="98"/>
    <n v="147"/>
  </r>
  <r>
    <n v="2411"/>
    <x v="2"/>
    <s v="2017/1680"/>
    <s v="South Lambeth Goods Depot, Cringle St./Battersea Park Rd., Kirtling Street (Battersea Power Station)"/>
    <s v="Phase 6 (RS-2)"/>
    <n v="528934"/>
    <n v="177496"/>
    <x v="1"/>
    <d v="2016-05-16T00:00:00"/>
    <m/>
    <n v="0"/>
    <x v="34"/>
    <x v="39"/>
    <n v="1192"/>
    <n v="1192"/>
    <x v="0"/>
    <s v="Variation of Section 106 Agreement dated 21 November 2016 of planning permission ref. 2016/3778 (for the restoration and alteration of Battersea Power Station and the surrounding land to provide a mixed use development) to relocate 103 affordable homes from Phase 3b to a later phase(s) alongside the 147 units currently located in Phase 5; introduce an up and down end-of-scheme review in relation to the 250 affordable housing units on the main site targeting 15% affordable housing provision; and amend the delivery triggers in respect of Phase 4a so that the affordable housing in that phase will be delivered earlier than is currently required."/>
    <s v="S106"/>
    <d v="2017-03-15T00:00:00"/>
    <d v="2017-11-10T00:00:00"/>
    <x v="0"/>
    <s v="Nil"/>
    <m/>
    <s v="BF"/>
    <s v="NB"/>
    <x v="1"/>
    <x v="0"/>
    <n v="0.11600000000000001"/>
    <m/>
    <x v="0"/>
    <m/>
    <x v="0"/>
    <s v="IR"/>
    <s v="2.1.1"/>
    <m/>
    <n v="92"/>
    <m/>
    <n v="9"/>
    <m/>
    <n v="0"/>
    <n v="41"/>
    <n v="48"/>
    <n v="3"/>
    <n v="0"/>
    <n v="0"/>
    <n v="0"/>
    <n v="0"/>
    <n v="41"/>
    <n v="48"/>
    <n v="3"/>
    <n v="0"/>
    <n v="0"/>
    <n v="0"/>
    <n v="0"/>
    <n v="0"/>
    <n v="0"/>
    <n v="0"/>
    <n v="0"/>
    <n v="0"/>
    <n v="0"/>
    <n v="0"/>
    <n v="0"/>
    <n v="0"/>
    <n v="0"/>
    <n v="0"/>
    <n v="0"/>
    <n v="0"/>
    <x v="1"/>
    <x v="1"/>
    <x v="1"/>
    <n v="10"/>
    <m/>
    <m/>
    <m/>
    <m/>
    <n v="30.666666666666668"/>
    <n v="30.666666666666668"/>
    <n v="30.666666666666668"/>
    <m/>
    <m/>
    <m/>
    <m/>
    <m/>
    <m/>
    <m/>
    <m/>
    <m/>
    <m/>
    <m/>
    <m/>
    <m/>
    <n v="61.333333333333336"/>
    <n v="92"/>
  </r>
  <r>
    <n v="2411"/>
    <x v="2"/>
    <s v="2017/1680"/>
    <s v="South Lambeth Goods Depot, Cringle St./Battersea Park Rd., Kirtling Street (Battersea Power Station)"/>
    <s v="Phase 6 (RS-2)"/>
    <n v="528934"/>
    <n v="177496"/>
    <x v="1"/>
    <d v="2016-05-16T00:00:00"/>
    <m/>
    <n v="0"/>
    <x v="89"/>
    <x v="100"/>
    <n v="1192"/>
    <n v="1192"/>
    <x v="0"/>
    <s v="Variation of Section 106 Agreement dated 21 November 2016 of planning permission ref. 2016/3778 (for the restoration and alteration of Battersea Power Station and the surrounding land to provide a mixed use development) to relocate 103 affordable homes from Phase 3b to a later phase(s) alongside the 147 units currently located in Phase 5; introduce an up and down end-of-scheme review in relation to the 250 affordable housing units on the main site targeting 15% affordable housing provision; and amend the delivery triggers in respect of Phase 4a so that the affordable housing in that phase will be delivered earlier than is currently required."/>
    <s v="S106"/>
    <d v="2017-03-15T00:00:00"/>
    <d v="2017-11-10T00:00:00"/>
    <x v="0"/>
    <s v="Nil"/>
    <m/>
    <s v="BF"/>
    <s v="NB"/>
    <x v="1"/>
    <x v="0"/>
    <n v="0.38600000000000001"/>
    <m/>
    <x v="0"/>
    <m/>
    <x v="1"/>
    <s v="M"/>
    <s v="2.1.1"/>
    <m/>
    <n v="306"/>
    <m/>
    <n v="31"/>
    <m/>
    <n v="29"/>
    <n v="0"/>
    <n v="36"/>
    <n v="140"/>
    <n v="35"/>
    <n v="66"/>
    <n v="0"/>
    <n v="29"/>
    <n v="0"/>
    <n v="36"/>
    <n v="140"/>
    <n v="35"/>
    <n v="66"/>
    <n v="0"/>
    <n v="0"/>
    <n v="0"/>
    <n v="0"/>
    <n v="0"/>
    <n v="0"/>
    <n v="0"/>
    <n v="0"/>
    <n v="0"/>
    <n v="0"/>
    <n v="0"/>
    <n v="0"/>
    <n v="0"/>
    <n v="0"/>
    <n v="0"/>
    <x v="1"/>
    <x v="1"/>
    <x v="1"/>
    <n v="10"/>
    <m/>
    <m/>
    <m/>
    <m/>
    <n v="102"/>
    <n v="102"/>
    <n v="102"/>
    <m/>
    <m/>
    <m/>
    <m/>
    <m/>
    <m/>
    <m/>
    <m/>
    <m/>
    <m/>
    <m/>
    <m/>
    <m/>
    <n v="204"/>
    <n v="306"/>
  </r>
  <r>
    <n v="6839"/>
    <x v="2"/>
    <s v="2018/1079"/>
    <s v="Land east of 57, 57 Putney Bridge Road"/>
    <s v=""/>
    <n v="525097"/>
    <n v="175034"/>
    <x v="3"/>
    <d v="2021-04-08T00:00:00"/>
    <m/>
    <n v="0"/>
    <x v="24"/>
    <x v="28"/>
    <n v="5"/>
    <n v="5"/>
    <x v="1"/>
    <s v="Erection of five storey building to provide 5 x studio flats with associated cycle and bin storage."/>
    <s v="PF"/>
    <d v="2018-03-09T00:00:00"/>
    <d v="2018-05-25T00:00:00"/>
    <x v="0"/>
    <s v="Nil"/>
    <m/>
    <s v="BF"/>
    <s v="NB"/>
    <x v="2"/>
    <x v="3"/>
    <n v="7.0000000000000001E-3"/>
    <m/>
    <x v="0"/>
    <m/>
    <x v="1"/>
    <s v="M"/>
    <s v=""/>
    <m/>
    <m/>
    <n v="5"/>
    <m/>
    <m/>
    <n v="5"/>
    <n v="0"/>
    <n v="0"/>
    <n v="0"/>
    <n v="0"/>
    <n v="0"/>
    <n v="0"/>
    <n v="5"/>
    <n v="0"/>
    <n v="0"/>
    <n v="0"/>
    <n v="0"/>
    <n v="0"/>
    <n v="0"/>
    <n v="0"/>
    <n v="0"/>
    <n v="0"/>
    <n v="0"/>
    <n v="0"/>
    <n v="0"/>
    <n v="0"/>
    <n v="0"/>
    <n v="0"/>
    <n v="0"/>
    <n v="0"/>
    <n v="0"/>
    <n v="0"/>
    <n v="0"/>
    <x v="1"/>
    <x v="0"/>
    <x v="7"/>
    <n v="7"/>
    <m/>
    <m/>
    <n v="1.25"/>
    <n v="1.25"/>
    <n v="1.25"/>
    <n v="1.25"/>
    <m/>
    <m/>
    <m/>
    <m/>
    <m/>
    <m/>
    <m/>
    <m/>
    <m/>
    <m/>
    <m/>
    <m/>
    <m/>
    <m/>
    <n v="5"/>
    <n v="5"/>
  </r>
  <r>
    <n v="179"/>
    <x v="2"/>
    <s v="2018/2166"/>
    <s v="1a Merivale Road"/>
    <s v="Cou/extn"/>
    <n v="524331"/>
    <n v="175422"/>
    <x v="3"/>
    <m/>
    <m/>
    <n v="0"/>
    <x v="12"/>
    <x v="15"/>
    <n v="7"/>
    <n v="7"/>
    <x v="1"/>
    <s v="Refurbishement and extension of warehouse building including insertion of dormer windows together with replacement and new fenestration to provide 1 x 1-bed, 2 x 2-bed and 1 x 3-bed flats; demolition of outbuildings and erection of  2 x 2-bed and 1 x 3-bed single-storey (plus roof level accommodation) houses; 3 x parking spaces, cycle parking, refuse storage and associated landscaping; gated access via Merivale Road and Deodar Road."/>
    <s v="PFLA"/>
    <d v="2018-05-23T00:00:00"/>
    <d v="2019-10-18T00:00:00"/>
    <x v="0"/>
    <s v="Nil"/>
    <m/>
    <s v="BF"/>
    <s v="MIX"/>
    <x v="2"/>
    <x v="8"/>
    <n v="3.9E-2"/>
    <m/>
    <x v="0"/>
    <m/>
    <x v="1"/>
    <s v="M"/>
    <s v=""/>
    <m/>
    <m/>
    <m/>
    <m/>
    <m/>
    <n v="0"/>
    <n v="1"/>
    <n v="2"/>
    <n v="1"/>
    <n v="0"/>
    <n v="0"/>
    <n v="0"/>
    <n v="0"/>
    <n v="1"/>
    <n v="2"/>
    <n v="1"/>
    <n v="0"/>
    <n v="0"/>
    <n v="0"/>
    <n v="0"/>
    <n v="0"/>
    <n v="0"/>
    <n v="0"/>
    <n v="0"/>
    <n v="0"/>
    <n v="0"/>
    <n v="0"/>
    <n v="0"/>
    <n v="0"/>
    <n v="0"/>
    <n v="0"/>
    <n v="0"/>
    <n v="0"/>
    <x v="1"/>
    <x v="0"/>
    <x v="2"/>
    <n v="18"/>
    <m/>
    <n v="1"/>
    <n v="1"/>
    <n v="1"/>
    <n v="1"/>
    <m/>
    <m/>
    <m/>
    <m/>
    <m/>
    <m/>
    <m/>
    <m/>
    <m/>
    <m/>
    <m/>
    <m/>
    <m/>
    <m/>
    <m/>
    <n v="4"/>
    <n v="4"/>
  </r>
  <r>
    <n v="179"/>
    <x v="2"/>
    <s v="2018/2166"/>
    <s v="1a Merivale Road"/>
    <s v="New build"/>
    <n v="524331"/>
    <n v="175422"/>
    <x v="3"/>
    <m/>
    <m/>
    <n v="0"/>
    <x v="11"/>
    <x v="36"/>
    <n v="7"/>
    <n v="7"/>
    <x v="1"/>
    <s v="Refurbishement and extension of warehouse building including insertion of dormer windows together with replacement and new fenestration to provide 1 x 1-bed, 2 x 2-bed and 1 x 3-bed flats; demolition of outbuildings and erection of  2 x 2-bed and 1 x 3-bed single-storey (plus roof level accommodation) houses; 3 x parking spaces, cycle parking, refuse storage and associated landscaping; gated access via Merivale Road and Deodar Road."/>
    <s v="PFLA"/>
    <d v="2018-05-23T00:00:00"/>
    <d v="2019-10-18T00:00:00"/>
    <x v="0"/>
    <s v="Nil"/>
    <m/>
    <s v="BF"/>
    <s v="MIX"/>
    <x v="2"/>
    <x v="3"/>
    <n v="0.04"/>
    <m/>
    <x v="0"/>
    <m/>
    <x v="1"/>
    <s v="M"/>
    <s v=""/>
    <m/>
    <m/>
    <m/>
    <m/>
    <m/>
    <n v="0"/>
    <n v="0"/>
    <n v="2"/>
    <n v="1"/>
    <n v="0"/>
    <n v="0"/>
    <n v="0"/>
    <n v="0"/>
    <n v="0"/>
    <n v="0"/>
    <n v="0"/>
    <n v="0"/>
    <n v="0"/>
    <n v="0"/>
    <n v="0"/>
    <n v="0"/>
    <n v="2"/>
    <n v="1"/>
    <n v="0"/>
    <n v="0"/>
    <n v="0"/>
    <n v="0"/>
    <n v="0"/>
    <n v="0"/>
    <n v="0"/>
    <n v="0"/>
    <n v="0"/>
    <n v="0"/>
    <x v="1"/>
    <x v="0"/>
    <x v="2"/>
    <n v="18"/>
    <m/>
    <n v="0.75"/>
    <n v="0.75"/>
    <n v="0.75"/>
    <n v="0.75"/>
    <m/>
    <m/>
    <m/>
    <m/>
    <m/>
    <m/>
    <m/>
    <m/>
    <m/>
    <m/>
    <m/>
    <m/>
    <m/>
    <m/>
    <m/>
    <n v="3"/>
    <n v="3"/>
  </r>
  <r>
    <n v="4157"/>
    <x v="2"/>
    <s v="2018/3669"/>
    <s v="37-39 St Johns Road"/>
    <s v=""/>
    <n v="527404"/>
    <n v="175316"/>
    <x v="8"/>
    <m/>
    <m/>
    <n v="0"/>
    <x v="0"/>
    <x v="0"/>
    <n v="6"/>
    <n v="6"/>
    <x v="1"/>
    <s v="Demolition of existing building and erection of a four-storey building to provide 1 x 1-bedroom, 3 x 2-bedroom and 2 x 3-bedroom flats (USe Class C3) and ground floor use as Class A1/A3 including associated works."/>
    <s v="PF"/>
    <d v="2018-07-30T00:00:00"/>
    <d v="2020-02-03T00:00:00"/>
    <x v="0"/>
    <s v="Nil"/>
    <m/>
    <s v="BF"/>
    <s v="NB"/>
    <x v="2"/>
    <x v="3"/>
    <n v="1.2999999999999999E-2"/>
    <m/>
    <x v="0"/>
    <m/>
    <x v="1"/>
    <s v="M"/>
    <s v=""/>
    <m/>
    <m/>
    <m/>
    <m/>
    <m/>
    <n v="0"/>
    <n v="1"/>
    <n v="3"/>
    <n v="2"/>
    <n v="0"/>
    <n v="0"/>
    <n v="0"/>
    <n v="0"/>
    <n v="1"/>
    <n v="3"/>
    <n v="2"/>
    <n v="0"/>
    <n v="0"/>
    <n v="0"/>
    <n v="0"/>
    <n v="0"/>
    <n v="0"/>
    <n v="0"/>
    <n v="0"/>
    <n v="0"/>
    <n v="0"/>
    <n v="0"/>
    <n v="0"/>
    <n v="0"/>
    <n v="0"/>
    <n v="0"/>
    <n v="0"/>
    <n v="0"/>
    <x v="3"/>
    <x v="0"/>
    <x v="3"/>
    <n v="10"/>
    <m/>
    <m/>
    <m/>
    <m/>
    <n v="2"/>
    <n v="2"/>
    <n v="2"/>
    <m/>
    <m/>
    <m/>
    <m/>
    <m/>
    <m/>
    <m/>
    <m/>
    <m/>
    <m/>
    <m/>
    <m/>
    <m/>
    <n v="4"/>
    <n v="6"/>
  </r>
  <r>
    <n v="6618"/>
    <x v="2"/>
    <s v="2018/4798"/>
    <s v="94-96, 94-96 Mitcham Lane"/>
    <s v=""/>
    <n v="529335"/>
    <n v="171178"/>
    <x v="9"/>
    <m/>
    <m/>
    <n v="2"/>
    <x v="9"/>
    <x v="0"/>
    <n v="8"/>
    <n v="6"/>
    <x v="1"/>
    <s v="Demolition of existing building and erection of a four-storey building to provide 6 x 2-bedroom and 2 x 1-bedroom flats and two retails units (Class A1 Shops) at ground floor level."/>
    <s v="RP"/>
    <d v="2018-10-08T00:00:00"/>
    <d v="2019-03-22T00:00:00"/>
    <x v="0"/>
    <s v="APG"/>
    <d v="2019-11-27T00:00:00"/>
    <s v="BF"/>
    <s v="NB"/>
    <x v="2"/>
    <x v="3"/>
    <n v="2.5999999999999999E-2"/>
    <m/>
    <x v="0"/>
    <m/>
    <x v="1"/>
    <s v="M"/>
    <s v=""/>
    <m/>
    <m/>
    <m/>
    <m/>
    <m/>
    <n v="0"/>
    <n v="2"/>
    <n v="6"/>
    <n v="0"/>
    <n v="0"/>
    <n v="0"/>
    <n v="-2"/>
    <n v="0"/>
    <n v="2"/>
    <n v="6"/>
    <n v="0"/>
    <n v="0"/>
    <n v="0"/>
    <n v="0"/>
    <n v="0"/>
    <n v="0"/>
    <n v="0"/>
    <n v="0"/>
    <n v="0"/>
    <n v="0"/>
    <n v="-2"/>
    <n v="0"/>
    <n v="0"/>
    <n v="0"/>
    <n v="0"/>
    <n v="0"/>
    <n v="0"/>
    <n v="0"/>
    <x v="1"/>
    <x v="0"/>
    <x v="2"/>
    <n v="10"/>
    <m/>
    <m/>
    <m/>
    <m/>
    <n v="2"/>
    <n v="2"/>
    <n v="2"/>
    <m/>
    <m/>
    <m/>
    <m/>
    <m/>
    <m/>
    <m/>
    <m/>
    <m/>
    <m/>
    <m/>
    <m/>
    <m/>
    <n v="4"/>
    <n v="6"/>
  </r>
  <r>
    <n v="7057"/>
    <x v="2"/>
    <s v="2018/5309"/>
    <s v="121 Roehampton Vale"/>
    <s v=""/>
    <n v="521700"/>
    <n v="172445"/>
    <x v="4"/>
    <m/>
    <m/>
    <n v="1"/>
    <x v="11"/>
    <x v="7"/>
    <n v="3"/>
    <n v="2"/>
    <x v="1"/>
    <s v="Alterations including erection of main roof extension including rear and side dormers; alterations to front elevation in connection with use of garage as additional habitable accommodation and erection of part single part two-storey rear/side extension in connection with conversion of property into 2 x 3-bedroom and 1 x 1-bedroom flats; refuse and cycle stores in front garden."/>
    <s v="PF"/>
    <d v="2019-02-21T00:00:00"/>
    <d v="2019-04-29T00:00:00"/>
    <x v="0"/>
    <s v="Nil"/>
    <m/>
    <s v="BF"/>
    <s v="MIX"/>
    <x v="2"/>
    <x v="10"/>
    <n v="5.5E-2"/>
    <m/>
    <x v="0"/>
    <m/>
    <x v="1"/>
    <s v="M"/>
    <s v=""/>
    <m/>
    <m/>
    <m/>
    <m/>
    <m/>
    <n v="0"/>
    <n v="1"/>
    <n v="0"/>
    <n v="2"/>
    <n v="-1"/>
    <n v="0"/>
    <n v="0"/>
    <n v="0"/>
    <n v="1"/>
    <n v="0"/>
    <n v="2"/>
    <n v="0"/>
    <n v="0"/>
    <n v="0"/>
    <n v="0"/>
    <n v="0"/>
    <n v="0"/>
    <n v="0"/>
    <n v="-1"/>
    <n v="0"/>
    <n v="0"/>
    <n v="0"/>
    <n v="0"/>
    <n v="0"/>
    <n v="0"/>
    <n v="0"/>
    <n v="0"/>
    <n v="0"/>
    <x v="1"/>
    <x v="0"/>
    <x v="2"/>
    <n v="15"/>
    <m/>
    <n v="0.5"/>
    <n v="0.5"/>
    <n v="0.5"/>
    <n v="0.5"/>
    <m/>
    <m/>
    <m/>
    <m/>
    <m/>
    <m/>
    <m/>
    <m/>
    <m/>
    <m/>
    <m/>
    <m/>
    <m/>
    <m/>
    <m/>
    <n v="2"/>
    <n v="2"/>
  </r>
  <r>
    <n v="6744"/>
    <x v="2"/>
    <s v="2018/5540"/>
    <s v="Land adjacent, 101 Moring Road"/>
    <s v=""/>
    <n v="528468"/>
    <n v="171491"/>
    <x v="19"/>
    <m/>
    <m/>
    <n v="0"/>
    <x v="3"/>
    <x v="5"/>
    <n v="1"/>
    <n v="1"/>
    <x v="1"/>
    <s v="Erection of single storey (plus basement and lightwells) 1-bedroom house with associated refuse and cycle storage."/>
    <s v="PFLA"/>
    <d v="2018-12-12T00:00:00"/>
    <d v="2020-08-03T00:00:00"/>
    <x v="0"/>
    <s v="Nil"/>
    <m/>
    <s v="BF"/>
    <s v="NB"/>
    <x v="2"/>
    <x v="3"/>
    <n v="6.0000000000000001E-3"/>
    <m/>
    <x v="0"/>
    <m/>
    <x v="1"/>
    <s v="M"/>
    <s v=""/>
    <m/>
    <m/>
    <m/>
    <m/>
    <m/>
    <n v="0"/>
    <n v="1"/>
    <n v="0"/>
    <n v="0"/>
    <n v="0"/>
    <n v="0"/>
    <n v="0"/>
    <n v="0"/>
    <n v="0"/>
    <n v="0"/>
    <n v="0"/>
    <n v="0"/>
    <n v="0"/>
    <n v="0"/>
    <n v="0"/>
    <n v="1"/>
    <n v="0"/>
    <n v="0"/>
    <n v="0"/>
    <n v="0"/>
    <n v="0"/>
    <n v="0"/>
    <n v="0"/>
    <n v="0"/>
    <n v="0"/>
    <n v="0"/>
    <n v="0"/>
    <n v="0"/>
    <x v="1"/>
    <x v="0"/>
    <x v="2"/>
    <n v="7"/>
    <m/>
    <m/>
    <n v="0.25"/>
    <n v="0.25"/>
    <n v="0.25"/>
    <n v="0.25"/>
    <m/>
    <m/>
    <m/>
    <m/>
    <m/>
    <m/>
    <m/>
    <m/>
    <m/>
    <m/>
    <m/>
    <m/>
    <m/>
    <m/>
    <n v="1"/>
    <n v="1"/>
  </r>
  <r>
    <n v="3511"/>
    <x v="2"/>
    <s v="2023/0176"/>
    <s v="New Covent Garden Market, Nine Elms Lane (Combined Main Market, Entrance site and Thessaly College site)"/>
    <s v="Apex 1"/>
    <n v="529369"/>
    <n v="177317"/>
    <x v="1"/>
    <m/>
    <m/>
    <n v="0"/>
    <x v="90"/>
    <x v="101"/>
    <n v="201"/>
    <n v="201"/>
    <x v="0"/>
    <s v="Application under Section 96a of the Town and Country Planning Act 1990 for &quot;non-material&quot; amendments to Condition 1 (revised drawings with design amendments to introduce a second staircore with consequential amendments to unit layouts, mix and elevations) of Reserved Matters application ref. 2021/5032 dated 4th March 2022."/>
    <s v="PF"/>
    <d v="2023-01-17T00:00:00"/>
    <d v="2023-02-06T00:00:00"/>
    <x v="0"/>
    <s v="Nil"/>
    <m/>
    <s v="BF"/>
    <s v="NB"/>
    <x v="1"/>
    <x v="0"/>
    <n v="6.5383999999999998E-2"/>
    <m/>
    <x v="0"/>
    <m/>
    <x v="1"/>
    <s v="M"/>
    <s v="2.1.27"/>
    <m/>
    <m/>
    <n v="181"/>
    <m/>
    <n v="20"/>
    <n v="34"/>
    <n v="70"/>
    <n v="87"/>
    <n v="10"/>
    <n v="0"/>
    <n v="0"/>
    <n v="0"/>
    <n v="34"/>
    <n v="70"/>
    <n v="87"/>
    <n v="10"/>
    <n v="0"/>
    <n v="0"/>
    <n v="0"/>
    <n v="0"/>
    <n v="0"/>
    <n v="0"/>
    <n v="0"/>
    <n v="0"/>
    <n v="0"/>
    <n v="0"/>
    <n v="0"/>
    <n v="0"/>
    <n v="0"/>
    <n v="0"/>
    <n v="0"/>
    <n v="0"/>
    <n v="0"/>
    <x v="1"/>
    <x v="1"/>
    <x v="1"/>
    <n v="8"/>
    <m/>
    <m/>
    <m/>
    <n v="201"/>
    <m/>
    <m/>
    <m/>
    <m/>
    <m/>
    <m/>
    <m/>
    <m/>
    <m/>
    <m/>
    <m/>
    <m/>
    <m/>
    <m/>
    <m/>
    <m/>
    <n v="201"/>
    <n v="201"/>
  </r>
  <r>
    <n v="3518"/>
    <x v="2"/>
    <s v="2012/5286"/>
    <s v="Ram Brewery, Capital Studios &amp; Duvall Works, Ram Street/Armoury Way/Wandsworth High Street (The Ram Quarter)"/>
    <s v="Building 06"/>
    <n v="525666"/>
    <n v="174804"/>
    <x v="14"/>
    <d v="2015-04-01T00:00:00"/>
    <m/>
    <n v="0"/>
    <x v="50"/>
    <x v="59"/>
    <n v="663"/>
    <n v="662"/>
    <x v="0"/>
    <s v="A mixed use development comprising alterations and change of use of retained former brewery buildings, demolition of non-Listed Buildings and the construction of new buildings 2-12 storeys in height and a tower of 36 storeys in height. Provision of 10114sqm of retail (Class A1-A4), 661 residential units, continued small scale brewery use (Class B2), museum (Class D1), ancillary gym. The creation of public areas and river walkway; new and repositioned vehicular and pedestrian access points and provision of servicing areas, energy centre and basement car and cycle parking."/>
    <s v="POLA"/>
    <d v="2012-11-21T00:00:00"/>
    <d v="2013-12-06T00:00:00"/>
    <x v="0"/>
    <s v="Nil"/>
    <m/>
    <s v="BF"/>
    <s v="NB"/>
    <x v="1"/>
    <x v="0"/>
    <n v="4.7699999999999999E-2"/>
    <m/>
    <x v="0"/>
    <m/>
    <x v="1"/>
    <s v="M"/>
    <s v="3.1.2"/>
    <m/>
    <m/>
    <m/>
    <n v="5"/>
    <m/>
    <n v="0"/>
    <n v="15"/>
    <n v="5"/>
    <n v="10"/>
    <n v="0"/>
    <n v="0"/>
    <n v="0"/>
    <n v="0"/>
    <n v="15"/>
    <n v="5"/>
    <n v="10"/>
    <n v="0"/>
    <n v="0"/>
    <n v="0"/>
    <n v="0"/>
    <n v="0"/>
    <n v="0"/>
    <n v="0"/>
    <n v="0"/>
    <n v="0"/>
    <n v="0"/>
    <n v="0"/>
    <n v="0"/>
    <n v="0"/>
    <n v="0"/>
    <n v="0"/>
    <n v="0"/>
    <n v="0"/>
    <x v="4"/>
    <x v="0"/>
    <x v="7"/>
    <n v="8"/>
    <m/>
    <m/>
    <m/>
    <m/>
    <m/>
    <n v="30"/>
    <m/>
    <m/>
    <m/>
    <m/>
    <m/>
    <m/>
    <m/>
    <m/>
    <m/>
    <m/>
    <m/>
    <m/>
    <m/>
    <m/>
    <n v="30"/>
    <n v="30"/>
  </r>
  <r>
    <n v="3518"/>
    <x v="2"/>
    <s v="2012/5286"/>
    <s v="Ram Brewery, Capital Studios &amp; Duvall Works, Ram Street/Armoury Way/Wandsworth High Street (The Ram Quarter)"/>
    <s v="Building 04F"/>
    <n v="525666"/>
    <n v="174804"/>
    <x v="14"/>
    <d v="2015-04-01T00:00:00"/>
    <m/>
    <n v="0"/>
    <x v="91"/>
    <x v="102"/>
    <n v="663"/>
    <n v="662"/>
    <x v="0"/>
    <s v="A mixed use development comprising alterations and change of use of retained former brewery buildings, demolition of non-Listed Buildings and the construction of new buildings 2-12 storeys in height and a tower of 36 storeys in height. Provision of 10114sqm of retail (Class A1-A4), 661 residential units, continued small scale brewery use (Class B2), museum (Class D1), ancillary gym. The creation of public areas and river walkway; new and repositioned vehicular and pedestrian access points and provision of servicing areas, energy centre and basement car and cycle parking."/>
    <s v="POLA"/>
    <d v="2012-11-21T00:00:00"/>
    <d v="2013-12-06T00:00:00"/>
    <x v="0"/>
    <s v="Nil"/>
    <m/>
    <s v="BF"/>
    <s v="NB"/>
    <x v="1"/>
    <x v="0"/>
    <n v="4.0300000000000002E-2"/>
    <m/>
    <x v="0"/>
    <m/>
    <x v="1"/>
    <s v="M"/>
    <s v="3.1.2"/>
    <m/>
    <m/>
    <m/>
    <n v="5"/>
    <m/>
    <n v="0"/>
    <n v="1"/>
    <n v="19"/>
    <n v="4"/>
    <n v="0"/>
    <n v="0"/>
    <n v="0"/>
    <n v="0"/>
    <n v="1"/>
    <n v="19"/>
    <n v="4"/>
    <n v="0"/>
    <n v="0"/>
    <n v="0"/>
    <n v="0"/>
    <n v="0"/>
    <n v="0"/>
    <n v="0"/>
    <n v="0"/>
    <n v="0"/>
    <n v="0"/>
    <n v="0"/>
    <n v="0"/>
    <n v="0"/>
    <n v="0"/>
    <n v="0"/>
    <n v="0"/>
    <n v="0"/>
    <x v="4"/>
    <x v="0"/>
    <x v="7"/>
    <n v="8"/>
    <m/>
    <m/>
    <m/>
    <m/>
    <m/>
    <n v="24"/>
    <m/>
    <m/>
    <m/>
    <m/>
    <m/>
    <m/>
    <m/>
    <m/>
    <m/>
    <m/>
    <m/>
    <m/>
    <m/>
    <m/>
    <n v="24"/>
    <n v="24"/>
  </r>
  <r>
    <n v="3518"/>
    <x v="2"/>
    <s v="2012/5286"/>
    <s v="Ram Brewery, Capital Studios &amp; Duvall Works, Ram Street/Armoury Way/Wandsworth High Street (The Ram Quarter)"/>
    <s v="Building 04E"/>
    <n v="525666"/>
    <n v="174804"/>
    <x v="14"/>
    <d v="2015-04-01T00:00:00"/>
    <m/>
    <n v="0"/>
    <x v="67"/>
    <x v="76"/>
    <n v="663"/>
    <n v="662"/>
    <x v="0"/>
    <s v="A mixed use development comprising alterations and change of use of retained former brewery buildings, demolition of non-Listed Buildings and the construction of new buildings 2-12 storeys in height and a tower of 36 storeys in height. Provision of 10114sqm of retail (Class A1-A4), 661 residential units, continued small scale brewery use (Class B2), museum (Class D1), ancillary gym. The creation of public areas and river walkway; new and repositioned vehicular and pedestrian access points and provision of servicing areas, energy centre and basement car and cycle parking."/>
    <s v="POLA"/>
    <d v="2012-11-21T00:00:00"/>
    <d v="2013-12-06T00:00:00"/>
    <x v="0"/>
    <s v="Nil"/>
    <m/>
    <s v="BF"/>
    <s v="NB"/>
    <x v="1"/>
    <x v="0"/>
    <n v="3.0200000000000001E-2"/>
    <m/>
    <x v="0"/>
    <m/>
    <x v="1"/>
    <s v="M"/>
    <s v="3.1.2"/>
    <m/>
    <m/>
    <m/>
    <n v="1"/>
    <m/>
    <n v="0"/>
    <n v="10"/>
    <n v="7"/>
    <n v="4"/>
    <n v="2"/>
    <n v="0"/>
    <n v="0"/>
    <n v="0"/>
    <n v="10"/>
    <n v="7"/>
    <n v="4"/>
    <n v="2"/>
    <n v="0"/>
    <n v="0"/>
    <n v="0"/>
    <n v="0"/>
    <n v="0"/>
    <n v="0"/>
    <n v="0"/>
    <n v="0"/>
    <n v="0"/>
    <n v="0"/>
    <n v="0"/>
    <n v="0"/>
    <n v="0"/>
    <n v="0"/>
    <n v="0"/>
    <n v="0"/>
    <x v="4"/>
    <x v="0"/>
    <x v="7"/>
    <n v="8"/>
    <m/>
    <m/>
    <m/>
    <m/>
    <m/>
    <n v="23"/>
    <m/>
    <m/>
    <m/>
    <m/>
    <m/>
    <m/>
    <m/>
    <m/>
    <m/>
    <m/>
    <m/>
    <m/>
    <m/>
    <m/>
    <n v="23"/>
    <n v="23"/>
  </r>
  <r>
    <n v="3518"/>
    <x v="2"/>
    <s v="2012/5286"/>
    <s v="Ram Brewery, Capital Studios &amp; Duvall Works, Ram Street/Armoury Way/Wandsworth High Street (The Ram Quarter)"/>
    <s v="Building 04D"/>
    <n v="525666"/>
    <n v="174804"/>
    <x v="14"/>
    <d v="2015-04-01T00:00:00"/>
    <m/>
    <n v="0"/>
    <x v="39"/>
    <x v="103"/>
    <n v="663"/>
    <n v="662"/>
    <x v="0"/>
    <s v="A mixed use development comprising alterations and change of use of retained former brewery buildings, demolition of non-Listed Buildings and the construction of new buildings 2-12 storeys in height and a tower of 36 storeys in height. Provision of 10114sqm of retail (Class A1-A4), 661 residential units, continued small scale brewery use (Class B2), museum (Class D1), ancillary gym. The creation of public areas and river walkway; new and repositioned vehicular and pedestrian access points and provision of servicing areas, energy centre and basement car and cycle parking."/>
    <s v="POLA"/>
    <d v="2012-11-21T00:00:00"/>
    <d v="2013-12-06T00:00:00"/>
    <x v="0"/>
    <s v="Nil"/>
    <m/>
    <s v="BF"/>
    <s v="NB"/>
    <x v="1"/>
    <x v="0"/>
    <n v="2.5899999999999999E-2"/>
    <m/>
    <x v="0"/>
    <m/>
    <x v="1"/>
    <s v="M"/>
    <s v="3.1.2"/>
    <m/>
    <m/>
    <m/>
    <m/>
    <m/>
    <n v="0"/>
    <n v="10"/>
    <n v="6"/>
    <n v="0"/>
    <n v="0"/>
    <n v="0"/>
    <n v="0"/>
    <n v="0"/>
    <n v="10"/>
    <n v="6"/>
    <n v="0"/>
    <n v="0"/>
    <n v="0"/>
    <n v="0"/>
    <n v="0"/>
    <n v="0"/>
    <n v="0"/>
    <n v="0"/>
    <n v="0"/>
    <n v="0"/>
    <n v="0"/>
    <n v="0"/>
    <n v="0"/>
    <n v="0"/>
    <n v="0"/>
    <n v="0"/>
    <n v="0"/>
    <n v="0"/>
    <x v="4"/>
    <x v="0"/>
    <x v="7"/>
    <n v="8"/>
    <m/>
    <m/>
    <m/>
    <m/>
    <m/>
    <n v="16"/>
    <m/>
    <m/>
    <m/>
    <m/>
    <m/>
    <m/>
    <m/>
    <m/>
    <m/>
    <m/>
    <m/>
    <m/>
    <m/>
    <m/>
    <n v="16"/>
    <n v="16"/>
  </r>
  <r>
    <n v="7101"/>
    <x v="2"/>
    <s v="2019/0024"/>
    <s v="Site of York Road, Winstanley Road (Part of Estate, York Gardens and Winstanley Estate)"/>
    <s v="Block 1A"/>
    <n v="526922"/>
    <n v="175807"/>
    <x v="21"/>
    <d v="2022-02-17T00:00:00"/>
    <m/>
    <n v="0"/>
    <x v="92"/>
    <x v="104"/>
    <n v="2550"/>
    <n v="1791"/>
    <x v="0"/>
    <s v="The application is for a part outline and part detailed planning permission for the following proposed development:_x000a_(a) Phased demolition of all existing buildings;_x000a_(b) Mixed use phased development comprising residential up to 2550 units (mix tenure including social rent, affordable rent, intermediate, private rented and private sale) ranging from 3 - 31 storeys above ground level including leisure centre, health, flexible commercial uses (retail, financial and professional services, café / restaurants, drinking establishments, hot-food takeaways, business, non-residential institutions and assembly and leisure), park, landscaping, public realm, energy centres, car/cycle parking and new vehicle accesses. All matters reserved except for phased construction of Block 1 (two residential towers comprising 239 private sale units and new leisure/community centre of 12,400sqm GIA including a gym, swimming pool and library, commercial uses of 2191sqm GIA), Block 5 (comprising 136 affordable units and commercial units of 393sqm GIA) and Block 6 (64 private sale units and 63 affordable units) together with a new Park (2.49ha) and associated works; and_x000a_(c) Site clearance and enabling works including works to Winstanley Road, as well as temporary works necessary to enable the approved development._x000a_An Environmental Statement has been submitted with the application under the Town and Country Planning (Environmental Impact Assessment) Regulations 2017."/>
    <s v="PFLA"/>
    <d v="2019-01-18T00:00:00"/>
    <d v="2021-01-29T00:00:00"/>
    <x v="0"/>
    <s v="Nil"/>
    <m/>
    <s v="BF"/>
    <s v="NB"/>
    <x v="1"/>
    <x v="0"/>
    <n v="0.23"/>
    <m/>
    <x v="0"/>
    <m/>
    <x v="1"/>
    <s v="M"/>
    <s v=""/>
    <m/>
    <m/>
    <n v="135"/>
    <m/>
    <n v="15"/>
    <n v="0"/>
    <n v="60"/>
    <n v="61"/>
    <n v="29"/>
    <n v="0"/>
    <n v="0"/>
    <n v="0"/>
    <n v="0"/>
    <n v="60"/>
    <n v="61"/>
    <n v="29"/>
    <n v="0"/>
    <n v="0"/>
    <n v="0"/>
    <n v="0"/>
    <n v="0"/>
    <n v="0"/>
    <n v="0"/>
    <n v="0"/>
    <n v="0"/>
    <n v="0"/>
    <n v="0"/>
    <n v="0"/>
    <n v="0"/>
    <n v="0"/>
    <n v="0"/>
    <n v="0"/>
    <n v="0"/>
    <x v="1"/>
    <x v="0"/>
    <x v="3"/>
    <n v="10"/>
    <m/>
    <m/>
    <m/>
    <m/>
    <n v="50"/>
    <n v="50"/>
    <n v="50"/>
    <m/>
    <m/>
    <m/>
    <m/>
    <m/>
    <m/>
    <m/>
    <m/>
    <m/>
    <m/>
    <m/>
    <m/>
    <m/>
    <n v="100"/>
    <n v="150"/>
  </r>
  <r>
    <n v="7101"/>
    <x v="2"/>
    <s v="2019/0024"/>
    <s v="Site of York Road, Winstanley Road (Part of Estate, York Gardens and Winstanley Estate)"/>
    <s v="Block 1C"/>
    <n v="526922"/>
    <n v="175807"/>
    <x v="21"/>
    <d v="2022-02-17T00:00:00"/>
    <m/>
    <n v="0"/>
    <x v="93"/>
    <x v="105"/>
    <n v="2550"/>
    <n v="1791"/>
    <x v="0"/>
    <s v="The application is for a part outline and part detailed planning permission for the following proposed development:_x000a_(a) Phased demolition of all existing buildings;_x000a_(b) Mixed use phased development comprising residential up to 2550 units (mix tenure including social rent, affordable rent, intermediate, private rented and private sale) ranging from 3 - 31 storeys above ground level including leisure centre, health, flexible commercial uses (retail, financial and professional services, café / restaurants, drinking establishments, hot-food takeaways, business, non-residential institutions and assembly and leisure), park, landscaping, public realm, energy centres, car/cycle parking and new vehicle accesses. All matters reserved except for phased construction of Block 1 (two residential towers comprising 239 private sale units and new leisure/community centre of 12,400sqm GIA including a gym, swimming pool and library, commercial uses of 2191sqm GIA), Block 5 (comprising 136 affordable units and commercial units of 393sqm GIA) and Block 6 (64 private sale units and 63 affordable units) together with a new Park (2.49ha) and associated works; and_x000a_(c) Site clearance and enabling works including works to Winstanley Road, as well as temporary works necessary to enable the approved development._x000a_An Environmental Statement has been submitted with the application under the Town and Country Planning (Environmental Impact Assessment) Regulations 2017."/>
    <s v="PFLA"/>
    <d v="2019-01-18T00:00:00"/>
    <d v="2021-01-29T00:00:00"/>
    <x v="0"/>
    <s v="Nil"/>
    <m/>
    <s v="BF"/>
    <s v="NB"/>
    <x v="1"/>
    <x v="0"/>
    <n v="0.13700000000000001"/>
    <m/>
    <x v="0"/>
    <m/>
    <x v="1"/>
    <s v="M"/>
    <s v=""/>
    <m/>
    <m/>
    <n v="80"/>
    <m/>
    <n v="9"/>
    <n v="7"/>
    <n v="30"/>
    <n v="34"/>
    <n v="18"/>
    <n v="0"/>
    <n v="0"/>
    <n v="0"/>
    <n v="7"/>
    <n v="30"/>
    <n v="34"/>
    <n v="18"/>
    <n v="0"/>
    <n v="0"/>
    <n v="0"/>
    <n v="0"/>
    <n v="0"/>
    <n v="0"/>
    <n v="0"/>
    <n v="0"/>
    <n v="0"/>
    <n v="0"/>
    <n v="0"/>
    <n v="0"/>
    <n v="0"/>
    <n v="0"/>
    <n v="0"/>
    <n v="0"/>
    <n v="0"/>
    <x v="1"/>
    <x v="0"/>
    <x v="3"/>
    <n v="10"/>
    <m/>
    <m/>
    <m/>
    <m/>
    <n v="29.666666666666668"/>
    <n v="29.666666666666668"/>
    <n v="29.666666666666668"/>
    <m/>
    <m/>
    <m/>
    <m/>
    <m/>
    <m/>
    <m/>
    <m/>
    <m/>
    <m/>
    <m/>
    <m/>
    <m/>
    <n v="59.333333333333336"/>
    <n v="89"/>
  </r>
  <r>
    <n v="7101"/>
    <x v="2"/>
    <s v="2019/0024"/>
    <s v="Site of York Road, Winstanley Road (Part of Estate, York Gardens and Winstanley Estate)"/>
    <s v="Block 6"/>
    <n v="526922"/>
    <n v="175807"/>
    <x v="21"/>
    <d v="2022-02-17T00:00:00"/>
    <m/>
    <n v="0"/>
    <x v="94"/>
    <x v="106"/>
    <n v="2550"/>
    <n v="1791"/>
    <x v="0"/>
    <s v="The application is for a part outline and part detailed planning permission for the following proposed development:_x000a_(a) Phased demolition of all existing buildings;_x000a_(b) Mixed use phased development comprising residential up to 2550 units (mix tenure including social rent, affordable rent, intermediate, private rented and private sale) ranging from 3 - 31 storeys above ground level including leisure centre, health, flexible commercial uses (retail, financial and professional services, café / restaurants, drinking establishments, hot-food takeaways, business, non-residential institutions and assembly and leisure), park, landscaping, public realm, energy centres, car/cycle parking and new vehicle accesses. All matters reserved except for phased construction of Block 1 (two residential towers comprising 239 private sale units and new leisure/community centre of 12,400sqm GIA including a gym, swimming pool and library, commercial uses of 2191sqm GIA), Block 5 (comprising 136 affordable units and commercial units of 393sqm GIA) and Block 6 (64 private sale units and 63 affordable units) together with a new Park (2.49ha) and associated works; and_x000a_(c) Site clearance and enabling works including works to Winstanley Road, as well as temporary works necessary to enable the approved development._x000a_An Environmental Statement has been submitted with the application under the Town and Country Planning (Environmental Impact Assessment) Regulations 2017."/>
    <s v="PFLA"/>
    <d v="2019-01-18T00:00:00"/>
    <d v="2021-01-29T00:00:00"/>
    <x v="0"/>
    <s v="Nil"/>
    <m/>
    <s v="BF"/>
    <s v="NB"/>
    <x v="1"/>
    <x v="0"/>
    <n v="9.8000000000000004E-2"/>
    <m/>
    <x v="0"/>
    <m/>
    <x v="1"/>
    <s v="M"/>
    <s v=""/>
    <m/>
    <m/>
    <n v="58"/>
    <m/>
    <n v="6"/>
    <n v="0"/>
    <n v="18"/>
    <n v="24"/>
    <n v="22"/>
    <n v="0"/>
    <n v="0"/>
    <n v="0"/>
    <n v="0"/>
    <n v="18"/>
    <n v="24"/>
    <n v="22"/>
    <n v="0"/>
    <n v="0"/>
    <n v="0"/>
    <n v="0"/>
    <n v="0"/>
    <n v="0"/>
    <n v="0"/>
    <n v="0"/>
    <n v="0"/>
    <n v="0"/>
    <n v="0"/>
    <n v="0"/>
    <n v="0"/>
    <n v="0"/>
    <n v="0"/>
    <n v="0"/>
    <n v="0"/>
    <x v="1"/>
    <x v="0"/>
    <x v="3"/>
    <n v="10"/>
    <m/>
    <m/>
    <m/>
    <m/>
    <n v="21.333333333333332"/>
    <n v="21.333333333333332"/>
    <n v="21.333333333333332"/>
    <m/>
    <m/>
    <m/>
    <m/>
    <m/>
    <m/>
    <m/>
    <m/>
    <m/>
    <m/>
    <m/>
    <m/>
    <m/>
    <n v="42.666666666666664"/>
    <n v="64"/>
  </r>
  <r>
    <n v="7101"/>
    <x v="2"/>
    <s v="2019/0024"/>
    <s v="Site of York Road, Winstanley Road (Part of Estate, York Gardens and Winstanley Estate)"/>
    <s v="Block 6"/>
    <n v="526922"/>
    <n v="175807"/>
    <x v="21"/>
    <d v="2022-02-17T00:00:00"/>
    <m/>
    <n v="0"/>
    <x v="83"/>
    <x v="94"/>
    <n v="2550"/>
    <n v="1791"/>
    <x v="0"/>
    <s v="The application is for a part outline and part detailed planning permission for the following proposed development:_x000a_(a) Phased demolition of all existing buildings;_x000a_(b) Mixed use phased development comprising residential up to 2550 units (mix tenure including social rent, affordable rent, intermediate, private rented and private sale) ranging from 3 - 31 storeys above ground level including leisure centre, health, flexible commercial uses (retail, financial and professional services, café / restaurants, drinking establishments, hot-food takeaways, business, non-residential institutions and assembly and leisure), park, landscaping, public realm, energy centres, car/cycle parking and new vehicle accesses. All matters reserved except for phased construction of Block 1 (two residential towers comprising 239 private sale units and new leisure/community centre of 12,400sqm GIA including a gym, swimming pool and library, commercial uses of 2191sqm GIA), Block 5 (comprising 136 affordable units and commercial units of 393sqm GIA) and Block 6 (64 private sale units and 63 affordable units) together with a new Park (2.49ha) and associated works; and_x000a_(c) Site clearance and enabling works including works to Winstanley Road, as well as temporary works necessary to enable the approved development._x000a_An Environmental Statement has been submitted with the application under the Town and Country Planning (Environmental Impact Assessment) Regulations 2017."/>
    <s v="PFLA"/>
    <d v="2019-01-18T00:00:00"/>
    <d v="2021-01-29T00:00:00"/>
    <x v="0"/>
    <s v="Nil"/>
    <m/>
    <s v="BF"/>
    <s v="NB"/>
    <x v="1"/>
    <x v="0"/>
    <n v="8.3000000000000004E-2"/>
    <m/>
    <x v="0"/>
    <m/>
    <x v="2"/>
    <s v="AS"/>
    <s v=""/>
    <m/>
    <m/>
    <n v="48"/>
    <m/>
    <n v="6"/>
    <n v="0"/>
    <n v="19"/>
    <n v="15"/>
    <n v="17"/>
    <n v="3"/>
    <n v="0"/>
    <n v="0"/>
    <n v="0"/>
    <n v="19"/>
    <n v="15"/>
    <n v="17"/>
    <n v="3"/>
    <n v="0"/>
    <n v="0"/>
    <n v="0"/>
    <n v="0"/>
    <n v="0"/>
    <n v="0"/>
    <n v="0"/>
    <n v="0"/>
    <n v="0"/>
    <n v="0"/>
    <n v="0"/>
    <n v="0"/>
    <n v="0"/>
    <n v="0"/>
    <n v="0"/>
    <n v="0"/>
    <x v="1"/>
    <x v="0"/>
    <x v="3"/>
    <n v="10"/>
    <m/>
    <m/>
    <m/>
    <m/>
    <n v="18"/>
    <n v="18"/>
    <n v="18"/>
    <m/>
    <m/>
    <m/>
    <m/>
    <m/>
    <m/>
    <m/>
    <m/>
    <m/>
    <m/>
    <m/>
    <m/>
    <m/>
    <n v="36"/>
    <n v="54"/>
  </r>
  <r>
    <n v="7101"/>
    <x v="2"/>
    <s v="2019/0024"/>
    <s v="Site of York Road, Winstanley Road (Part of Estate, York Gardens and Winstanley Estate)"/>
    <s v="Block 6"/>
    <n v="526922"/>
    <n v="175807"/>
    <x v="21"/>
    <d v="2022-02-17T00:00:00"/>
    <m/>
    <n v="0"/>
    <x v="29"/>
    <x v="33"/>
    <n v="2550"/>
    <n v="1791"/>
    <x v="0"/>
    <s v="The application is for a part outline and part detailed planning permission for the following proposed development:_x000a_(a) Phased demolition of all existing buildings;_x000a_(b) Mixed use phased development comprising residential up to 2550 units (mix tenure including social rent, affordable rent, intermediate, private rented and private sale) ranging from 3 - 31 storeys above ground level including leisure centre, health, flexible commercial uses (retail, financial and professional services, café / restaurants, drinking establishments, hot-food takeaways, business, non-residential institutions and assembly and leisure), park, landscaping, public realm, energy centres, car/cycle parking and new vehicle accesses. All matters reserved except for phased construction of Block 1 (two residential towers comprising 239 private sale units and new leisure/community centre of 12,400sqm GIA including a gym, swimming pool and library, commercial uses of 2191sqm GIA), Block 5 (comprising 136 affordable units and commercial units of 393sqm GIA) and Block 6 (64 private sale units and 63 affordable units) together with a new Park (2.49ha) and associated works; and_x000a_(c) Site clearance and enabling works including works to Winstanley Road, as well as temporary works necessary to enable the approved development._x000a_An Environmental Statement has been submitted with the application under the Town and Country Planning (Environmental Impact Assessment) Regulations 2017."/>
    <s v="PFLA"/>
    <d v="2019-01-18T00:00:00"/>
    <d v="2021-01-29T00:00:00"/>
    <x v="0"/>
    <s v="Nil"/>
    <m/>
    <s v="BF"/>
    <s v="NB"/>
    <x v="1"/>
    <x v="0"/>
    <n v="1.4E-2"/>
    <m/>
    <x v="0"/>
    <m/>
    <x v="0"/>
    <s v="ISE"/>
    <s v=""/>
    <m/>
    <m/>
    <n v="8"/>
    <m/>
    <n v="1"/>
    <n v="0"/>
    <n v="2"/>
    <n v="3"/>
    <n v="3"/>
    <n v="1"/>
    <n v="0"/>
    <n v="0"/>
    <n v="0"/>
    <n v="2"/>
    <n v="3"/>
    <n v="3"/>
    <n v="1"/>
    <n v="0"/>
    <n v="0"/>
    <n v="0"/>
    <n v="0"/>
    <n v="0"/>
    <n v="0"/>
    <n v="0"/>
    <n v="0"/>
    <n v="0"/>
    <n v="0"/>
    <n v="0"/>
    <n v="0"/>
    <n v="0"/>
    <n v="0"/>
    <n v="0"/>
    <n v="0"/>
    <x v="1"/>
    <x v="0"/>
    <x v="3"/>
    <n v="10"/>
    <m/>
    <m/>
    <m/>
    <m/>
    <n v="3"/>
    <n v="3"/>
    <n v="3"/>
    <m/>
    <m/>
    <m/>
    <m/>
    <m/>
    <m/>
    <m/>
    <m/>
    <m/>
    <m/>
    <m/>
    <m/>
    <m/>
    <n v="6"/>
    <n v="9"/>
  </r>
  <r>
    <n v="7101"/>
    <x v="2"/>
    <s v="2019/0024"/>
    <s v="Site of York Road, Winstanley Road (Part of Estate, York Gardens and Winstanley Estate)"/>
    <s v="Blocks 2-4 and 7-14"/>
    <n v="526922"/>
    <n v="175807"/>
    <x v="21"/>
    <d v="2022-02-17T00:00:00"/>
    <m/>
    <n v="0"/>
    <x v="95"/>
    <x v="107"/>
    <n v="2550"/>
    <n v="1791"/>
    <x v="0"/>
    <s v="The application is for a part outline and part detailed planning permission for the following proposed development:_x000a_(a) Phased demolition of all existing buildings;_x000a_(b) Mixed use phased development comprising residential up to 2550 units (mix tenure including social rent, affordable rent, intermediate, private rented and private sale) ranging from 3 - 31 storeys above ground level including leisure centre, health, flexible commercial uses (retail, financial and professional services, café / restaurants, drinking establishments, hot-food takeaways, business, non-residential institutions and assembly and leisure), park, landscaping, public realm, energy centres, car/cycle parking and new vehicle accesses. All matters reserved except for phased construction of Block 1 (two residential towers comprising 239 private sale units and new leisure/community centre of 12,400sqm GIA including a gym, swimming pool and library, commercial uses of 2191sqm GIA), Block 5 (comprising 136 affordable units and commercial units of 393sqm GIA) and Block 6 (64 private sale units and 63 affordable units) together with a new Park (2.49ha) and associated works; and_x000a_(c) Site clearance and enabling works including works to Winstanley Road, as well as temporary works necessary to enable the approved development._x000a_An Environmental Statement has been submitted with the application under the Town and Country Planning (Environmental Impact Assessment) Regulations 2017."/>
    <s v="PFLA"/>
    <d v="2019-01-18T00:00:00"/>
    <d v="2021-01-29T00:00:00"/>
    <x v="0"/>
    <s v="Nil"/>
    <m/>
    <s v="BF"/>
    <s v="NB"/>
    <x v="1"/>
    <x v="0"/>
    <n v="0.58199999999999996"/>
    <m/>
    <x v="0"/>
    <m/>
    <x v="2"/>
    <s v="AC"/>
    <s v=""/>
    <m/>
    <m/>
    <n v="341"/>
    <m/>
    <n v="38"/>
    <n v="0"/>
    <n v="0"/>
    <n v="0"/>
    <n v="0"/>
    <n v="0"/>
    <n v="0"/>
    <n v="379"/>
    <n v="0"/>
    <n v="0"/>
    <n v="0"/>
    <n v="0"/>
    <n v="0"/>
    <n v="0"/>
    <n v="379"/>
    <n v="0"/>
    <n v="0"/>
    <n v="0"/>
    <n v="0"/>
    <n v="0"/>
    <n v="0"/>
    <n v="0"/>
    <n v="0"/>
    <n v="0"/>
    <n v="0"/>
    <n v="0"/>
    <n v="0"/>
    <n v="0"/>
    <n v="0"/>
    <x v="1"/>
    <x v="0"/>
    <x v="3"/>
    <n v="10"/>
    <m/>
    <m/>
    <m/>
    <m/>
    <n v="126.33333333333333"/>
    <n v="126.33333333333333"/>
    <n v="126.33333333333333"/>
    <m/>
    <m/>
    <m/>
    <m/>
    <m/>
    <m/>
    <m/>
    <m/>
    <m/>
    <m/>
    <m/>
    <m/>
    <m/>
    <n v="252.66666666666666"/>
    <n v="379"/>
  </r>
  <r>
    <n v="7101"/>
    <x v="2"/>
    <s v="2019/0024"/>
    <s v="Site of York Road, Winstanley Road (Part of Estate, York Gardens and Winstanley Estate)"/>
    <s v="Blocks 2-4 and 7-14"/>
    <n v="526922"/>
    <n v="175807"/>
    <x v="21"/>
    <d v="2022-02-17T00:00:00"/>
    <m/>
    <n v="0"/>
    <x v="96"/>
    <x v="108"/>
    <n v="2550"/>
    <n v="1791"/>
    <x v="0"/>
    <s v="The application is for a part outline and part detailed planning permission for the following proposed development:_x000a_(a) Phased demolition of all existing buildings;_x000a_(b) Mixed use phased development comprising residential up to 2550 units (mix tenure including social rent, affordable rent, intermediate, private rented and private sale) ranging from 3 - 31 storeys above ground level including leisure centre, health, flexible commercial uses (retail, financial and professional services, café / restaurants, drinking establishments, hot-food takeaways, business, non-residential institutions and assembly and leisure), park, landscaping, public realm, energy centres, car/cycle parking and new vehicle accesses. All matters reserved except for phased construction of Block 1 (two residential towers comprising 239 private sale units and new leisure/community centre of 12,400sqm GIA including a gym, swimming pool and library, commercial uses of 2191sqm GIA), Block 5 (comprising 136 affordable units and commercial units of 393sqm GIA) and Block 6 (64 private sale units and 63 affordable units) together with a new Park (2.49ha) and associated works; and_x000a_(c) Site clearance and enabling works including works to Winstanley Road, as well as temporary works necessary to enable the approved development._x000a_An Environmental Statement has been submitted with the application under the Town and Country Planning (Environmental Impact Assessment) Regulations 2017."/>
    <s v="PFLA"/>
    <d v="2019-01-18T00:00:00"/>
    <d v="2021-01-29T00:00:00"/>
    <x v="0"/>
    <s v="Nil"/>
    <m/>
    <s v="BF"/>
    <s v="NB"/>
    <x v="1"/>
    <x v="0"/>
    <n v="2.0819999999999999"/>
    <m/>
    <x v="0"/>
    <m/>
    <x v="1"/>
    <s v="M"/>
    <s v=""/>
    <m/>
    <m/>
    <n v="1219"/>
    <m/>
    <n v="136"/>
    <n v="0"/>
    <n v="0"/>
    <n v="0"/>
    <n v="0"/>
    <n v="0"/>
    <n v="0"/>
    <n v="1355"/>
    <n v="0"/>
    <n v="0"/>
    <n v="0"/>
    <n v="0"/>
    <n v="0"/>
    <n v="0"/>
    <n v="1355"/>
    <n v="0"/>
    <n v="0"/>
    <n v="0"/>
    <n v="0"/>
    <n v="0"/>
    <n v="0"/>
    <n v="0"/>
    <n v="0"/>
    <n v="0"/>
    <n v="0"/>
    <n v="0"/>
    <n v="0"/>
    <n v="0"/>
    <n v="0"/>
    <x v="1"/>
    <x v="0"/>
    <x v="3"/>
    <n v="10"/>
    <m/>
    <m/>
    <m/>
    <m/>
    <n v="451.66666666666669"/>
    <n v="451.66666666666669"/>
    <n v="451.66666666666669"/>
    <m/>
    <m/>
    <m/>
    <m/>
    <m/>
    <m/>
    <m/>
    <m/>
    <m/>
    <m/>
    <m/>
    <m/>
    <m/>
    <n v="903.33333333333337"/>
    <n v="1355"/>
  </r>
  <r>
    <n v="7101"/>
    <x v="2"/>
    <s v="2019/0024"/>
    <s v="Site of York Road, Winstanley Road (Part of Estate, York Gardens and Winstanley Estate)"/>
    <s v="Blocks 2-4 and 7-14"/>
    <n v="526922"/>
    <n v="175807"/>
    <x v="21"/>
    <d v="2022-02-17T00:00:00"/>
    <m/>
    <n v="0"/>
    <x v="97"/>
    <x v="109"/>
    <n v="2550"/>
    <n v="1791"/>
    <x v="0"/>
    <s v="The application is for a part outline and part detailed planning permission for the following proposed development:_x000a_(a) Phased demolition of all existing buildings;_x000a_(b) Mixed use phased development comprising residential up to 2550 units (mix tenure including social rent, affordable rent, intermediate, private rented and private sale) ranging from 3 - 31 storeys above ground level including leisure centre, health, flexible commercial uses (retail, financial and professional services, café / restaurants, drinking establishments, hot-food takeaways, business, non-residential institutions and assembly and leisure), park, landscaping, public realm, energy centres, car/cycle parking and new vehicle accesses. All matters reserved except for phased construction of Block 1 (two residential towers comprising 239 private sale units and new leisure/community centre of 12,400sqm GIA including a gym, swimming pool and library, commercial uses of 2191sqm GIA), Block 5 (comprising 136 affordable units and commercial units of 393sqm GIA) and Block 6 (64 private sale units and 63 affordable units) together with a new Park (2.49ha) and associated works; and_x000a_(c) Site clearance and enabling works including works to Winstanley Road, as well as temporary works necessary to enable the approved development._x000a_An Environmental Statement has been submitted with the application under the Town and Country Planning (Environmental Impact Assessment) Regulations 2017."/>
    <s v="PFLA"/>
    <d v="2019-01-18T00:00:00"/>
    <d v="2021-01-29T00:00:00"/>
    <x v="0"/>
    <s v="Nil"/>
    <m/>
    <s v="BF"/>
    <s v="NB"/>
    <x v="1"/>
    <x v="0"/>
    <n v="0.32900000000000001"/>
    <m/>
    <x v="0"/>
    <m/>
    <x v="0"/>
    <s v="ISE"/>
    <s v=""/>
    <m/>
    <m/>
    <n v="193"/>
    <m/>
    <n v="21"/>
    <n v="0"/>
    <n v="0"/>
    <n v="0"/>
    <n v="0"/>
    <n v="0"/>
    <n v="0"/>
    <n v="214"/>
    <n v="0"/>
    <n v="0"/>
    <n v="0"/>
    <n v="0"/>
    <n v="0"/>
    <n v="0"/>
    <n v="214"/>
    <n v="0"/>
    <n v="0"/>
    <n v="0"/>
    <n v="0"/>
    <n v="0"/>
    <n v="0"/>
    <n v="0"/>
    <n v="0"/>
    <n v="0"/>
    <n v="0"/>
    <n v="0"/>
    <n v="0"/>
    <n v="0"/>
    <n v="0"/>
    <x v="1"/>
    <x v="0"/>
    <x v="3"/>
    <n v="10"/>
    <m/>
    <m/>
    <m/>
    <m/>
    <n v="71.333333333333329"/>
    <n v="71.333333333333329"/>
    <n v="71.333333333333329"/>
    <m/>
    <m/>
    <m/>
    <m/>
    <m/>
    <m/>
    <m/>
    <m/>
    <m/>
    <m/>
    <m/>
    <m/>
    <m/>
    <n v="142.66666666666666"/>
    <n v="214"/>
  </r>
  <r>
    <n v="7101"/>
    <x v="2"/>
    <s v="2019/0024"/>
    <s v="Site of York Road, Winstanley Road (Part of Estate, York Gardens and Winstanley Estate)"/>
    <s v="Blocks 2-4 and 7-14"/>
    <n v="526922"/>
    <n v="175807"/>
    <x v="21"/>
    <d v="2022-02-17T00:00:00"/>
    <m/>
    <n v="0"/>
    <x v="64"/>
    <x v="73"/>
    <n v="2550"/>
    <n v="1791"/>
    <x v="0"/>
    <s v="The application is for a part outline and part detailed planning permission for the following proposed development:_x000a_(a) Phased demolition of all existing buildings;_x000a_(b) Mixed use phased development comprising residential up to 2550 units (mix tenure including social rent, affordable rent, intermediate, private rented and private sale) ranging from 3 - 31 storeys above ground level including leisure centre, health, flexible commercial uses (retail, financial and professional services, café / restaurants, drinking establishments, hot-food takeaways, business, non-residential institutions and assembly and leisure), park, landscaping, public realm, energy centres, car/cycle parking and new vehicle accesses. All matters reserved except for phased construction of Block 1 (two residential towers comprising 239 private sale units and new leisure/community centre of 12,400sqm GIA including a gym, swimming pool and library, commercial uses of 2191sqm GIA), Block 5 (comprising 136 affordable units and commercial units of 393sqm GIA) and Block 6 (64 private sale units and 63 affordable units) together with a new Park (2.49ha) and associated works; and_x000a_(c) Site clearance and enabling works including works to Winstanley Road, as well as temporary works necessary to enable the approved development._x000a_An Environmental Statement has been submitted with the application under the Town and Country Planning (Environmental Impact Assessment) Regulations 2017."/>
    <s v="PFLA"/>
    <d v="2019-01-18T00:00:00"/>
    <d v="2021-01-29T00:00:00"/>
    <x v="0"/>
    <s v="Nil"/>
    <m/>
    <s v="BF"/>
    <s v="NB"/>
    <x v="1"/>
    <x v="0"/>
    <n v="0.154"/>
    <m/>
    <x v="0"/>
    <m/>
    <x v="2"/>
    <s v="AA"/>
    <s v=""/>
    <m/>
    <m/>
    <n v="90"/>
    <m/>
    <n v="10"/>
    <n v="0"/>
    <n v="0"/>
    <n v="0"/>
    <n v="0"/>
    <n v="0"/>
    <n v="0"/>
    <n v="100"/>
    <n v="0"/>
    <n v="0"/>
    <n v="0"/>
    <n v="0"/>
    <n v="0"/>
    <n v="0"/>
    <n v="100"/>
    <n v="0"/>
    <n v="0"/>
    <n v="0"/>
    <n v="0"/>
    <n v="0"/>
    <n v="0"/>
    <n v="0"/>
    <n v="0"/>
    <n v="0"/>
    <n v="0"/>
    <n v="0"/>
    <n v="0"/>
    <n v="0"/>
    <n v="0"/>
    <x v="1"/>
    <x v="0"/>
    <x v="3"/>
    <n v="10"/>
    <m/>
    <m/>
    <m/>
    <m/>
    <n v="33.333333333333336"/>
    <n v="33.333333333333336"/>
    <n v="33.333333333333336"/>
    <m/>
    <m/>
    <m/>
    <m/>
    <m/>
    <m/>
    <m/>
    <m/>
    <m/>
    <m/>
    <m/>
    <m/>
    <m/>
    <n v="66.666666666666671"/>
    <n v="100"/>
  </r>
  <r>
    <n v="7101"/>
    <x v="2"/>
    <s v="2019/0024"/>
    <s v="Site of York Road, Winstanley Road (Part of Estate, York Gardens and Winstanley Estate)"/>
    <s v="Blocks A-S"/>
    <n v="526922"/>
    <n v="175807"/>
    <x v="21"/>
    <d v="2022-02-17T00:00:00"/>
    <m/>
    <n v="218"/>
    <x v="6"/>
    <x v="110"/>
    <n v="2550"/>
    <n v="1791"/>
    <x v="0"/>
    <s v="The application is for a part outline and part detailed planning permission for the following proposed development:_x000a_(a) Phased demolition of all existing buildings;_x000a_(b) Mixed use phased development comprising residential up to 2550 units (mix tenure including social rent, affordable rent, intermediate, private rented and private sale) ranging from 3 - 31 storeys above ground level including leisure centre, health, flexible commercial uses (retail, financial and professional services, café / restaurants, drinking establishments, hot-food takeaways, business, non-residential institutions and assembly and leisure), park, landscaping, public realm, energy centres, car/cycle parking and new vehicle accesses. All matters reserved except for phased construction of Block 1 (two residential towers comprising 239 private sale units and new leisure/community centre of 12,400sqm GIA including a gym, swimming pool and library, commercial uses of 2191sqm GIA), Block 5 (comprising 136 affordable units and commercial units of 393sqm GIA) and Block 6 (64 private sale units and 63 affordable units) together with a new Park (2.49ha) and associated works; and_x000a_(c) Site clearance and enabling works including works to Winstanley Road, as well as temporary works necessary to enable the approved development._x000a_An Environmental Statement has been submitted with the application under the Town and Country Planning (Environmental Impact Assessment) Regulations 2017."/>
    <s v="PFLA"/>
    <d v="2019-01-18T00:00:00"/>
    <d v="2021-01-29T00:00:00"/>
    <x v="0"/>
    <s v="Nil"/>
    <m/>
    <s v="BF"/>
    <s v="NB"/>
    <x v="1"/>
    <x v="0"/>
    <n v="0"/>
    <m/>
    <x v="0"/>
    <m/>
    <x v="1"/>
    <s v="M"/>
    <s v=""/>
    <m/>
    <m/>
    <m/>
    <m/>
    <m/>
    <n v="-12"/>
    <n v="-54"/>
    <n v="-89"/>
    <n v="-33"/>
    <n v="-30"/>
    <n v="0"/>
    <n v="0"/>
    <n v="-12"/>
    <n v="-54"/>
    <n v="-89"/>
    <n v="-33"/>
    <n v="-30"/>
    <n v="0"/>
    <n v="0"/>
    <n v="0"/>
    <n v="0"/>
    <n v="0"/>
    <n v="0"/>
    <n v="0"/>
    <n v="0"/>
    <n v="0"/>
    <n v="0"/>
    <n v="0"/>
    <n v="0"/>
    <n v="0"/>
    <n v="0"/>
    <n v="0"/>
    <n v="0"/>
    <x v="1"/>
    <x v="0"/>
    <x v="3"/>
    <n v="10"/>
    <m/>
    <m/>
    <m/>
    <m/>
    <n v="-72.666666666666671"/>
    <n v="-72.666666666666671"/>
    <n v="-72.666666666666671"/>
    <m/>
    <m/>
    <m/>
    <m/>
    <m/>
    <m/>
    <m/>
    <m/>
    <m/>
    <m/>
    <m/>
    <m/>
    <m/>
    <n v="-145.33333333333334"/>
    <n v="-218"/>
  </r>
  <r>
    <n v="7101"/>
    <x v="2"/>
    <s v="2019/0024"/>
    <s v="Site of York Road, Winstanley Road (Part of Estate, York Gardens and Winstanley Estate)"/>
    <s v="Blocks A-S"/>
    <n v="526922"/>
    <n v="175807"/>
    <x v="21"/>
    <d v="2022-02-17T00:00:00"/>
    <m/>
    <n v="527"/>
    <x v="6"/>
    <x v="111"/>
    <n v="2550"/>
    <n v="1791"/>
    <x v="0"/>
    <s v="The application is for a part outline and part detailed planning permission for the following proposed development:_x000a_(a) Phased demolition of all existing buildings;_x000a_(b) Mixed use phased development comprising residential up to 2550 units (mix tenure including social rent, affordable rent, intermediate, private rented and private sale) ranging from 3 - 31 storeys above ground level including leisure centre, health, flexible commercial uses (retail, financial and professional services, café / restaurants, drinking establishments, hot-food takeaways, business, non-residential institutions and assembly and leisure), park, landscaping, public realm, energy centres, car/cycle parking and new vehicle accesses. All matters reserved except for phased construction of Block 1 (two residential towers comprising 239 private sale units and new leisure/community centre of 12,400sqm GIA including a gym, swimming pool and library, commercial uses of 2191sqm GIA), Block 5 (comprising 136 affordable units and commercial units of 393sqm GIA) and Block 6 (64 private sale units and 63 affordable units) together with a new Park (2.49ha) and associated works; and_x000a_(c) Site clearance and enabling works including works to Winstanley Road, as well as temporary works necessary to enable the approved development._x000a_An Environmental Statement has been submitted with the application under the Town and Country Planning (Environmental Impact Assessment) Regulations 2017."/>
    <s v="PFLA"/>
    <d v="2019-01-18T00:00:00"/>
    <d v="2021-01-29T00:00:00"/>
    <x v="0"/>
    <s v="Nil"/>
    <m/>
    <s v="BF"/>
    <s v="NB"/>
    <x v="1"/>
    <x v="0"/>
    <n v="0"/>
    <m/>
    <x v="0"/>
    <m/>
    <x v="2"/>
    <s v="AC"/>
    <s v=""/>
    <m/>
    <m/>
    <m/>
    <m/>
    <m/>
    <n v="-79"/>
    <n v="-120"/>
    <n v="-256"/>
    <n v="-47"/>
    <n v="-25"/>
    <n v="0"/>
    <n v="0"/>
    <n v="-79"/>
    <n v="-120"/>
    <n v="-256"/>
    <n v="-47"/>
    <n v="-25"/>
    <n v="0"/>
    <n v="0"/>
    <n v="0"/>
    <n v="0"/>
    <n v="0"/>
    <n v="0"/>
    <n v="0"/>
    <n v="0"/>
    <n v="0"/>
    <n v="0"/>
    <n v="0"/>
    <n v="0"/>
    <n v="0"/>
    <n v="0"/>
    <n v="0"/>
    <n v="0"/>
    <x v="1"/>
    <x v="0"/>
    <x v="3"/>
    <n v="10"/>
    <m/>
    <m/>
    <m/>
    <m/>
    <n v="-175.66666666666666"/>
    <n v="-175.66666666666666"/>
    <n v="-175.66666666666666"/>
    <m/>
    <m/>
    <m/>
    <m/>
    <m/>
    <m/>
    <m/>
    <m/>
    <m/>
    <m/>
    <m/>
    <m/>
    <m/>
    <n v="-351.33333333333331"/>
    <n v="-527"/>
  </r>
  <r>
    <n v="7101"/>
    <x v="2"/>
    <s v="2019/0024"/>
    <s v="Site of York Road, Winstanley Road (Part of Estate, York Gardens and Winstanley Estate)"/>
    <s v="Blocks A-S"/>
    <n v="526922"/>
    <n v="175807"/>
    <x v="21"/>
    <d v="2022-02-17T00:00:00"/>
    <m/>
    <n v="14"/>
    <x v="6"/>
    <x v="112"/>
    <n v="2550"/>
    <n v="1791"/>
    <x v="0"/>
    <s v="The application is for a part outline and part detailed planning permission for the following proposed development:_x000a_(a) Phased demolition of all existing buildings;_x000a_(b) Mixed use phased development comprising residential up to 2550 units (mix tenure including social rent, affordable rent, intermediate, private rented and private sale) ranging from 3 - 31 storeys above ground level including leisure centre, health, flexible commercial uses (retail, financial and professional services, café / restaurants, drinking establishments, hot-food takeaways, business, non-residential institutions and assembly and leisure), park, landscaping, public realm, energy centres, car/cycle parking and new vehicle accesses. All matters reserved except for phased construction of Block 1 (two residential towers comprising 239 private sale units and new leisure/community centre of 12,400sqm GIA including a gym, swimming pool and library, commercial uses of 2191sqm GIA), Block 5 (comprising 136 affordable units and commercial units of 393sqm GIA) and Block 6 (64 private sale units and 63 affordable units) together with a new Park (2.49ha) and associated works; and_x000a_(c) Site clearance and enabling works including works to Winstanley Road, as well as temporary works necessary to enable the approved development._x000a_An Environmental Statement has been submitted with the application under the Town and Country Planning (Environmental Impact Assessment) Regulations 2017."/>
    <s v="PFLA"/>
    <d v="2019-01-18T00:00:00"/>
    <d v="2021-01-29T00:00:00"/>
    <x v="0"/>
    <s v="Nil"/>
    <m/>
    <s v="BF"/>
    <s v="NB"/>
    <x v="1"/>
    <x v="0"/>
    <n v="0"/>
    <m/>
    <x v="0"/>
    <m/>
    <x v="0"/>
    <s v="IU"/>
    <s v=""/>
    <m/>
    <m/>
    <m/>
    <m/>
    <m/>
    <n v="0"/>
    <n v="-2"/>
    <n v="-11"/>
    <n v="-1"/>
    <n v="0"/>
    <n v="0"/>
    <n v="0"/>
    <n v="0"/>
    <n v="-2"/>
    <n v="-11"/>
    <n v="-1"/>
    <n v="0"/>
    <n v="0"/>
    <n v="0"/>
    <n v="0"/>
    <n v="0"/>
    <n v="0"/>
    <n v="0"/>
    <n v="0"/>
    <n v="0"/>
    <n v="0"/>
    <n v="0"/>
    <n v="0"/>
    <n v="0"/>
    <n v="0"/>
    <n v="0"/>
    <n v="0"/>
    <n v="0"/>
    <x v="1"/>
    <x v="0"/>
    <x v="3"/>
    <n v="10"/>
    <m/>
    <m/>
    <m/>
    <m/>
    <n v="-4.666666666666667"/>
    <n v="-4.666666666666667"/>
    <n v="-4.666666666666667"/>
    <m/>
    <m/>
    <m/>
    <m/>
    <m/>
    <m/>
    <m/>
    <m/>
    <m/>
    <m/>
    <m/>
    <m/>
    <m/>
    <n v="-9.3333333333333339"/>
    <n v="-14"/>
  </r>
  <r>
    <n v="1627"/>
    <x v="2"/>
    <s v="2019/0517"/>
    <s v="57 Gilbey Road"/>
    <s v=""/>
    <n v="527243"/>
    <n v="171511"/>
    <x v="0"/>
    <m/>
    <m/>
    <n v="2"/>
    <x v="3"/>
    <x v="3"/>
    <n v="1"/>
    <n v="-1"/>
    <x v="1"/>
    <s v="Alterations in connection with conversion of two flats into a single dwellinghouse."/>
    <s v="PF"/>
    <d v="2019-02-05T00:00:00"/>
    <d v="2019-04-02T00:00:00"/>
    <x v="0"/>
    <s v="Nil"/>
    <m/>
    <s v="BF"/>
    <s v="CON"/>
    <x v="2"/>
    <x v="11"/>
    <n v="1.0999999999999999E-2"/>
    <m/>
    <x v="0"/>
    <m/>
    <x v="1"/>
    <s v="M"/>
    <s v=""/>
    <m/>
    <m/>
    <m/>
    <m/>
    <m/>
    <n v="0"/>
    <n v="0"/>
    <n v="-1"/>
    <n v="-1"/>
    <n v="0"/>
    <n v="1"/>
    <n v="0"/>
    <n v="0"/>
    <n v="0"/>
    <n v="-1"/>
    <n v="-1"/>
    <n v="0"/>
    <n v="0"/>
    <n v="0"/>
    <n v="0"/>
    <n v="0"/>
    <n v="0"/>
    <n v="0"/>
    <n v="0"/>
    <n v="1"/>
    <n v="0"/>
    <n v="0"/>
    <n v="0"/>
    <n v="0"/>
    <n v="0"/>
    <n v="0"/>
    <n v="0"/>
    <n v="0"/>
    <x v="1"/>
    <x v="0"/>
    <x v="0"/>
    <n v="15"/>
    <m/>
    <n v="-0.25"/>
    <n v="-0.25"/>
    <n v="-0.25"/>
    <n v="-0.25"/>
    <m/>
    <m/>
    <m/>
    <m/>
    <m/>
    <m/>
    <m/>
    <m/>
    <m/>
    <m/>
    <m/>
    <m/>
    <m/>
    <m/>
    <m/>
    <n v="-1"/>
    <n v="-1"/>
  </r>
  <r>
    <n v="7130"/>
    <x v="2"/>
    <s v="2019/0899"/>
    <s v="55 Gayville Road"/>
    <s v=""/>
    <n v="527830"/>
    <n v="174273"/>
    <x v="11"/>
    <m/>
    <m/>
    <n v="0"/>
    <x v="3"/>
    <x v="5"/>
    <n v="2"/>
    <n v="1"/>
    <x v="1"/>
    <s v="Alterations including erection of a mansard roof extension to main rear roof, installation of glazed doors (with safety railing) at first floor level and erection of a single storey rear/side extension in connection with conversion to 1 x 2-bed and 1 x 3-bed flats."/>
    <s v="PF"/>
    <d v="2019-07-30T00:00:00"/>
    <d v="2019-09-17T00:00:00"/>
    <x v="0"/>
    <s v="Nil"/>
    <m/>
    <s v="BF"/>
    <s v="MIX"/>
    <x v="2"/>
    <x v="7"/>
    <n v="7.0000000000000001E-3"/>
    <m/>
    <x v="0"/>
    <m/>
    <x v="1"/>
    <s v="M"/>
    <s v=""/>
    <m/>
    <m/>
    <m/>
    <m/>
    <m/>
    <n v="0"/>
    <n v="0"/>
    <n v="1"/>
    <n v="0"/>
    <n v="0"/>
    <n v="0"/>
    <n v="0"/>
    <n v="0"/>
    <n v="0"/>
    <n v="1"/>
    <n v="0"/>
    <n v="0"/>
    <n v="0"/>
    <n v="0"/>
    <n v="0"/>
    <n v="0"/>
    <n v="0"/>
    <n v="0"/>
    <n v="0"/>
    <n v="0"/>
    <n v="0"/>
    <n v="0"/>
    <n v="0"/>
    <n v="0"/>
    <n v="0"/>
    <n v="0"/>
    <n v="0"/>
    <n v="0"/>
    <x v="1"/>
    <x v="0"/>
    <x v="2"/>
    <n v="15"/>
    <m/>
    <n v="0.25"/>
    <n v="0.25"/>
    <n v="0.25"/>
    <n v="0.25"/>
    <m/>
    <m/>
    <m/>
    <m/>
    <m/>
    <m/>
    <m/>
    <m/>
    <m/>
    <m/>
    <m/>
    <m/>
    <m/>
    <m/>
    <m/>
    <n v="1"/>
    <n v="1"/>
  </r>
  <r>
    <n v="7130"/>
    <x v="2"/>
    <s v="2019/0899"/>
    <s v="55 Gayville Road"/>
    <s v=""/>
    <n v="527830"/>
    <n v="174273"/>
    <x v="11"/>
    <m/>
    <m/>
    <n v="1"/>
    <x v="3"/>
    <x v="6"/>
    <n v="2"/>
    <n v="1"/>
    <x v="1"/>
    <s v="Alterations including erection of a mansard roof extension to main rear roof, installation of glazed doors (with safety railing) at first floor level and erection of a single storey rear/side extension in connection with conversion to 1 x 2-bed and 1 x 3-bed flats."/>
    <s v="PF"/>
    <d v="2019-07-30T00:00:00"/>
    <d v="2019-09-17T00:00:00"/>
    <x v="0"/>
    <s v="Nil"/>
    <m/>
    <s v="BF"/>
    <s v="MIX"/>
    <x v="2"/>
    <x v="10"/>
    <n v="7.0000000000000001E-3"/>
    <m/>
    <x v="0"/>
    <m/>
    <x v="1"/>
    <s v="M"/>
    <s v=""/>
    <m/>
    <m/>
    <m/>
    <m/>
    <m/>
    <n v="0"/>
    <n v="0"/>
    <n v="0"/>
    <n v="1"/>
    <n v="-1"/>
    <n v="0"/>
    <n v="0"/>
    <n v="0"/>
    <n v="0"/>
    <n v="0"/>
    <n v="1"/>
    <n v="0"/>
    <n v="0"/>
    <n v="0"/>
    <n v="0"/>
    <n v="0"/>
    <n v="0"/>
    <n v="0"/>
    <n v="-1"/>
    <n v="0"/>
    <n v="0"/>
    <n v="0"/>
    <n v="0"/>
    <n v="0"/>
    <n v="0"/>
    <n v="0"/>
    <n v="0"/>
    <n v="0"/>
    <x v="1"/>
    <x v="0"/>
    <x v="2"/>
    <n v="15"/>
    <m/>
    <n v="0"/>
    <n v="0"/>
    <n v="0"/>
    <n v="0"/>
    <m/>
    <m/>
    <m/>
    <m/>
    <m/>
    <m/>
    <m/>
    <m/>
    <m/>
    <m/>
    <m/>
    <m/>
    <m/>
    <m/>
    <m/>
    <n v="0"/>
    <n v="0"/>
  </r>
  <r>
    <n v="5147"/>
    <x v="2"/>
    <s v="2019/1181"/>
    <s v="60 Fairfield Street"/>
    <s v=""/>
    <n v="525825"/>
    <n v="174893"/>
    <x v="14"/>
    <m/>
    <m/>
    <n v="0"/>
    <x v="3"/>
    <x v="5"/>
    <n v="1"/>
    <n v="1"/>
    <x v="1"/>
    <s v="Alterations to ground floor front, rear and side elevation in connection with change of use from cafe (Class A3) to two bedroom flat (Class C3) ."/>
    <s v="PF"/>
    <d v="2019-03-15T00:00:00"/>
    <d v="2019-07-16T00:00:00"/>
    <x v="0"/>
    <s v="Nil"/>
    <m/>
    <s v="BF"/>
    <s v="COU"/>
    <x v="2"/>
    <x v="8"/>
    <n v="6.0000000000000001E-3"/>
    <m/>
    <x v="0"/>
    <m/>
    <x v="1"/>
    <s v="M"/>
    <s v=""/>
    <m/>
    <m/>
    <m/>
    <m/>
    <m/>
    <n v="0"/>
    <n v="1"/>
    <n v="0"/>
    <n v="0"/>
    <n v="0"/>
    <n v="0"/>
    <n v="0"/>
    <n v="0"/>
    <n v="1"/>
    <n v="0"/>
    <n v="0"/>
    <n v="0"/>
    <n v="0"/>
    <n v="0"/>
    <n v="0"/>
    <n v="0"/>
    <n v="0"/>
    <n v="0"/>
    <n v="0"/>
    <n v="0"/>
    <n v="0"/>
    <n v="0"/>
    <n v="0"/>
    <n v="0"/>
    <n v="0"/>
    <n v="0"/>
    <n v="0"/>
    <n v="0"/>
    <x v="1"/>
    <x v="0"/>
    <x v="7"/>
    <n v="15"/>
    <m/>
    <n v="0.25"/>
    <n v="0.25"/>
    <n v="0.25"/>
    <n v="0.25"/>
    <m/>
    <m/>
    <m/>
    <m/>
    <m/>
    <m/>
    <m/>
    <m/>
    <m/>
    <m/>
    <m/>
    <m/>
    <m/>
    <m/>
    <m/>
    <n v="1"/>
    <n v="1"/>
  </r>
  <r>
    <n v="7076"/>
    <x v="2"/>
    <s v="2019/1697"/>
    <s v="57-63 Tooting High Street"/>
    <s v="conversion"/>
    <n v="527497"/>
    <n v="171501"/>
    <x v="0"/>
    <m/>
    <m/>
    <n v="7"/>
    <x v="10"/>
    <x v="6"/>
    <n v="11"/>
    <n v="4"/>
    <x v="0"/>
    <s v="Alterations and extensions including erection of four storey rear extension (with three balconies); two storey side extension over the flat roof of the existing two storey back addition (with second floor roof terrace); conversions and changes to the layouts of the existing 7 flats (1 x 4 bedroom, 4 x 3 bedroom, 1 x 2 bedroom, 1 x 1 bedroom) in order to create 11 flats (8 x 2 bedroom, 1 x 1 bedroom and 2 x studio flats (net increase of 4 flats)); and associated waste and cycle storage."/>
    <s v="PF"/>
    <d v="2019-04-15T00:00:00"/>
    <d v="2019-06-10T00:00:00"/>
    <x v="0"/>
    <s v="Nil"/>
    <m/>
    <s v="BF"/>
    <s v="MIX"/>
    <x v="5"/>
    <x v="0"/>
    <n v="2.3E-2"/>
    <m/>
    <x v="0"/>
    <m/>
    <x v="1"/>
    <s v="M"/>
    <s v="5.2"/>
    <m/>
    <m/>
    <m/>
    <m/>
    <m/>
    <n v="2"/>
    <n v="0"/>
    <n v="3"/>
    <n v="-4"/>
    <n v="-1"/>
    <n v="0"/>
    <n v="0"/>
    <n v="2"/>
    <n v="0"/>
    <n v="3"/>
    <n v="-4"/>
    <n v="-1"/>
    <n v="0"/>
    <n v="0"/>
    <n v="0"/>
    <n v="0"/>
    <n v="0"/>
    <n v="0"/>
    <n v="0"/>
    <n v="0"/>
    <n v="0"/>
    <n v="0"/>
    <n v="0"/>
    <n v="0"/>
    <n v="0"/>
    <n v="0"/>
    <n v="0"/>
    <n v="0"/>
    <x v="0"/>
    <x v="0"/>
    <x v="0"/>
    <n v="18"/>
    <m/>
    <n v="0"/>
    <n v="0"/>
    <n v="0"/>
    <n v="0"/>
    <m/>
    <m/>
    <m/>
    <m/>
    <m/>
    <m/>
    <m/>
    <m/>
    <m/>
    <m/>
    <m/>
    <m/>
    <m/>
    <m/>
    <m/>
    <n v="0"/>
    <n v="0"/>
  </r>
  <r>
    <n v="7076"/>
    <x v="2"/>
    <s v="2019/1697"/>
    <s v="57-63 Tooting High Street"/>
    <s v="extn"/>
    <n v="527497"/>
    <n v="171501"/>
    <x v="0"/>
    <m/>
    <m/>
    <n v="0"/>
    <x v="12"/>
    <x v="15"/>
    <n v="11"/>
    <n v="4"/>
    <x v="0"/>
    <s v="Alterations and extensions including erection of four storey rear extension (with three balconies); two storey side extension over the flat roof of the existing two storey back addition (with second floor roof terrace); conversions and changes to the layouts of the existing 7 flats (1 x 4 bedroom, 4 x 3 bedroom, 1 x 2 bedroom, 1 x 1 bedroom) in order to create 11 flats (8 x 2 bedroom, 1 x 1 bedroom and 2 x studio flats (net increase of 4 flats)); and associated waste and cycle storage."/>
    <s v="PF"/>
    <d v="2019-04-15T00:00:00"/>
    <d v="2019-06-10T00:00:00"/>
    <x v="0"/>
    <s v="Nil"/>
    <m/>
    <s v="BF"/>
    <s v="MIX"/>
    <x v="6"/>
    <x v="0"/>
    <n v="8.9999999999999993E-3"/>
    <m/>
    <x v="0"/>
    <m/>
    <x v="1"/>
    <s v="M"/>
    <s v="5.2"/>
    <m/>
    <m/>
    <m/>
    <m/>
    <m/>
    <n v="0"/>
    <n v="0"/>
    <n v="4"/>
    <n v="0"/>
    <n v="0"/>
    <n v="0"/>
    <n v="0"/>
    <n v="0"/>
    <n v="0"/>
    <n v="4"/>
    <n v="0"/>
    <n v="0"/>
    <n v="0"/>
    <n v="0"/>
    <n v="0"/>
    <n v="0"/>
    <n v="0"/>
    <n v="0"/>
    <n v="0"/>
    <n v="0"/>
    <n v="0"/>
    <n v="0"/>
    <n v="0"/>
    <n v="0"/>
    <n v="0"/>
    <n v="0"/>
    <n v="0"/>
    <n v="0"/>
    <x v="0"/>
    <x v="0"/>
    <x v="0"/>
    <n v="18"/>
    <m/>
    <n v="1"/>
    <n v="1"/>
    <n v="1"/>
    <n v="1"/>
    <m/>
    <m/>
    <m/>
    <m/>
    <m/>
    <m/>
    <m/>
    <m/>
    <m/>
    <m/>
    <m/>
    <m/>
    <m/>
    <m/>
    <m/>
    <n v="4"/>
    <n v="4"/>
  </r>
  <r>
    <n v="7163"/>
    <x v="2"/>
    <s v="2019/1706"/>
    <s v="148 Earlsfield Road"/>
    <s v=""/>
    <n v="526291"/>
    <n v="173671"/>
    <x v="13"/>
    <m/>
    <m/>
    <n v="0"/>
    <x v="3"/>
    <x v="5"/>
    <n v="1"/>
    <n v="1"/>
    <x v="1"/>
    <s v="Alterations including excavation to create basement in connection with creation of 1 x 1-bedroom flat."/>
    <s v="PF"/>
    <d v="2019-04-16T00:00:00"/>
    <d v="2019-07-16T00:00:00"/>
    <x v="0"/>
    <s v="Nil"/>
    <m/>
    <s v="BF"/>
    <s v="EXT"/>
    <x v="2"/>
    <x v="7"/>
    <n v="5.0000000000000001E-3"/>
    <m/>
    <x v="0"/>
    <m/>
    <x v="1"/>
    <s v="M"/>
    <s v=""/>
    <m/>
    <m/>
    <m/>
    <m/>
    <m/>
    <n v="0"/>
    <n v="1"/>
    <n v="0"/>
    <n v="0"/>
    <n v="0"/>
    <n v="0"/>
    <n v="0"/>
    <n v="0"/>
    <n v="1"/>
    <n v="0"/>
    <n v="0"/>
    <n v="0"/>
    <n v="0"/>
    <n v="0"/>
    <n v="0"/>
    <n v="0"/>
    <n v="0"/>
    <n v="0"/>
    <n v="0"/>
    <n v="0"/>
    <n v="0"/>
    <n v="0"/>
    <n v="0"/>
    <n v="0"/>
    <n v="0"/>
    <n v="0"/>
    <n v="0"/>
    <n v="0"/>
    <x v="1"/>
    <x v="0"/>
    <x v="2"/>
    <n v="15"/>
    <m/>
    <n v="0.25"/>
    <n v="0.25"/>
    <n v="0.25"/>
    <n v="0.25"/>
    <m/>
    <m/>
    <m/>
    <m/>
    <m/>
    <m/>
    <m/>
    <m/>
    <m/>
    <m/>
    <m/>
    <m/>
    <m/>
    <m/>
    <m/>
    <n v="1"/>
    <n v="1"/>
  </r>
  <r>
    <n v="7188"/>
    <x v="2"/>
    <s v="2019/1757"/>
    <s v="Terrapin Court, Terrapin Road"/>
    <s v=""/>
    <n v="528902"/>
    <n v="172500"/>
    <x v="18"/>
    <m/>
    <m/>
    <n v="0"/>
    <x v="5"/>
    <x v="7"/>
    <n v="2"/>
    <n v="2"/>
    <x v="1"/>
    <s v="Alterations including erection of roof extension and roof terraces to provide 2 x 2-bedroom flats within extended roof. Provision of associated refuse and cycle storage for existing and proposed dwellings."/>
    <s v="PF"/>
    <d v="2019-06-17T00:00:00"/>
    <d v="2019-08-30T00:00:00"/>
    <x v="0"/>
    <s v="Nil"/>
    <m/>
    <s v="BF"/>
    <s v="EXT"/>
    <x v="2"/>
    <x v="7"/>
    <n v="1.2999999999999999E-2"/>
    <m/>
    <x v="0"/>
    <m/>
    <x v="1"/>
    <s v="M"/>
    <s v=""/>
    <m/>
    <m/>
    <m/>
    <m/>
    <m/>
    <n v="0"/>
    <n v="0"/>
    <n v="2"/>
    <n v="0"/>
    <n v="0"/>
    <n v="0"/>
    <n v="0"/>
    <n v="0"/>
    <n v="0"/>
    <n v="2"/>
    <n v="0"/>
    <n v="0"/>
    <n v="0"/>
    <n v="0"/>
    <n v="0"/>
    <n v="0"/>
    <n v="0"/>
    <n v="0"/>
    <n v="0"/>
    <n v="0"/>
    <n v="0"/>
    <n v="0"/>
    <n v="0"/>
    <n v="0"/>
    <n v="0"/>
    <n v="0"/>
    <n v="0"/>
    <n v="0"/>
    <x v="1"/>
    <x v="0"/>
    <x v="2"/>
    <n v="15"/>
    <m/>
    <n v="0.5"/>
    <n v="0.5"/>
    <n v="0.5"/>
    <n v="0.5"/>
    <m/>
    <m/>
    <m/>
    <m/>
    <m/>
    <m/>
    <m/>
    <m/>
    <m/>
    <m/>
    <m/>
    <m/>
    <m/>
    <m/>
    <m/>
    <n v="2"/>
    <n v="2"/>
  </r>
  <r>
    <n v="5607"/>
    <x v="2"/>
    <s v="2019/1825"/>
    <s v="Rayne House, Sudbrooke Road"/>
    <s v=""/>
    <n v="528038"/>
    <n v="174028"/>
    <x v="6"/>
    <m/>
    <m/>
    <n v="1"/>
    <x v="5"/>
    <x v="5"/>
    <n v="2"/>
    <n v="-1"/>
    <x v="1"/>
    <s v="Erection of replacement single storey rear extension to create 7 classrooms and staff room (use Class D1 (school)) in association with Broomwood Hall School. Use of part of basement to enlarge existing flat and roof extension with terrace to create a one-bedroom flat. Alterations and enlargement of rear lightwell and balustrade to roof."/>
    <s v="PF"/>
    <d v="2019-04-25T00:00:00"/>
    <d v="2019-10-29T00:00:00"/>
    <x v="0"/>
    <s v="Nil"/>
    <m/>
    <s v="BF"/>
    <s v="MIX"/>
    <x v="2"/>
    <x v="7"/>
    <n v="1.03E-2"/>
    <m/>
    <x v="0"/>
    <m/>
    <x v="1"/>
    <s v="M"/>
    <s v=""/>
    <m/>
    <m/>
    <m/>
    <m/>
    <m/>
    <n v="0"/>
    <n v="0"/>
    <n v="1"/>
    <n v="0"/>
    <n v="0"/>
    <n v="0"/>
    <n v="0"/>
    <n v="0"/>
    <n v="0"/>
    <n v="1"/>
    <n v="0"/>
    <n v="0"/>
    <n v="0"/>
    <n v="0"/>
    <n v="0"/>
    <n v="0"/>
    <n v="0"/>
    <n v="0"/>
    <n v="0"/>
    <n v="0"/>
    <n v="0"/>
    <n v="0"/>
    <n v="0"/>
    <n v="0"/>
    <n v="0"/>
    <n v="0"/>
    <n v="0"/>
    <n v="0"/>
    <x v="1"/>
    <x v="0"/>
    <x v="2"/>
    <n v="15"/>
    <m/>
    <n v="0.25"/>
    <n v="0.25"/>
    <n v="0.25"/>
    <n v="0.25"/>
    <m/>
    <m/>
    <m/>
    <m/>
    <m/>
    <m/>
    <m/>
    <m/>
    <m/>
    <m/>
    <m/>
    <m/>
    <m/>
    <m/>
    <m/>
    <n v="1"/>
    <n v="1"/>
  </r>
  <r>
    <n v="5607"/>
    <x v="2"/>
    <s v="2019/1825"/>
    <s v="Rayne House, Sudbrooke Road"/>
    <s v=""/>
    <n v="528038"/>
    <n v="174028"/>
    <x v="6"/>
    <m/>
    <m/>
    <n v="2"/>
    <x v="6"/>
    <x v="13"/>
    <n v="2"/>
    <n v="-1"/>
    <x v="1"/>
    <s v="Erection of replacement single storey rear extension to create 7 classrooms and staff room (use Class D1 (school)) in association with Broomwood Hall School. Use of part of basement to enlarge existing flat and roof extension with terrace to create a one-bedroom flat. Alterations and enlargement of rear lightwell and balustrade to roof."/>
    <s v="PF"/>
    <d v="2019-04-25T00:00:00"/>
    <d v="2019-10-29T00:00:00"/>
    <x v="0"/>
    <s v="Nil"/>
    <m/>
    <s v="BF"/>
    <s v="MIX"/>
    <x v="2"/>
    <x v="9"/>
    <n v="0"/>
    <m/>
    <x v="0"/>
    <m/>
    <x v="1"/>
    <s v="M"/>
    <s v=""/>
    <m/>
    <m/>
    <m/>
    <m/>
    <m/>
    <n v="0"/>
    <n v="-1"/>
    <n v="0"/>
    <n v="-1"/>
    <n v="0"/>
    <n v="0"/>
    <n v="0"/>
    <n v="0"/>
    <n v="-1"/>
    <n v="0"/>
    <n v="-1"/>
    <n v="0"/>
    <n v="0"/>
    <n v="0"/>
    <n v="0"/>
    <n v="0"/>
    <n v="0"/>
    <n v="0"/>
    <n v="0"/>
    <n v="0"/>
    <n v="0"/>
    <n v="0"/>
    <n v="0"/>
    <n v="0"/>
    <n v="0"/>
    <n v="0"/>
    <n v="0"/>
    <n v="0"/>
    <x v="1"/>
    <x v="0"/>
    <x v="2"/>
    <n v="15"/>
    <m/>
    <n v="-0.5"/>
    <n v="-0.5"/>
    <n v="-0.5"/>
    <n v="-0.5"/>
    <m/>
    <m/>
    <m/>
    <m/>
    <m/>
    <m/>
    <m/>
    <m/>
    <m/>
    <m/>
    <m/>
    <m/>
    <m/>
    <m/>
    <m/>
    <n v="-2"/>
    <n v="-2"/>
  </r>
  <r>
    <n v="7182"/>
    <x v="2"/>
    <s v="2019/1945"/>
    <s v="Burdwood Court, 46 Putney Hill"/>
    <s v=""/>
    <n v="523838"/>
    <n v="174742"/>
    <x v="16"/>
    <m/>
    <m/>
    <n v="0"/>
    <x v="12"/>
    <x v="15"/>
    <n v="4"/>
    <n v="4"/>
    <x v="1"/>
    <s v="Erection of additional storey of at fourth floor level to provide 4 x 1-bedroom flats including two roof terraces;  installation of replacement fenestration to all elevations."/>
    <s v="PF"/>
    <d v="2019-05-03T00:00:00"/>
    <d v="2019-11-28T00:00:00"/>
    <x v="0"/>
    <s v="Nil"/>
    <m/>
    <s v="BF"/>
    <s v="MIX"/>
    <x v="2"/>
    <x v="8"/>
    <n v="1.7999999999999999E-2"/>
    <m/>
    <x v="0"/>
    <m/>
    <x v="1"/>
    <s v="M"/>
    <s v=""/>
    <m/>
    <m/>
    <m/>
    <m/>
    <m/>
    <n v="0"/>
    <n v="4"/>
    <n v="0"/>
    <n v="0"/>
    <n v="0"/>
    <n v="0"/>
    <n v="0"/>
    <n v="0"/>
    <n v="4"/>
    <n v="0"/>
    <n v="0"/>
    <n v="0"/>
    <n v="0"/>
    <n v="0"/>
    <n v="0"/>
    <n v="0"/>
    <n v="0"/>
    <n v="0"/>
    <n v="0"/>
    <n v="0"/>
    <n v="0"/>
    <n v="0"/>
    <n v="0"/>
    <n v="0"/>
    <n v="0"/>
    <n v="0"/>
    <n v="0"/>
    <n v="0"/>
    <x v="1"/>
    <x v="0"/>
    <x v="2"/>
    <n v="15"/>
    <m/>
    <n v="1"/>
    <n v="1"/>
    <n v="1"/>
    <n v="1"/>
    <m/>
    <m/>
    <m/>
    <m/>
    <m/>
    <m/>
    <m/>
    <m/>
    <m/>
    <m/>
    <m/>
    <m/>
    <m/>
    <m/>
    <m/>
    <n v="4"/>
    <n v="4"/>
  </r>
  <r>
    <n v="7167"/>
    <x v="2"/>
    <s v="2019/2033"/>
    <s v="11 Barmouth Road"/>
    <s v=""/>
    <n v="526267"/>
    <n v="174208"/>
    <x v="13"/>
    <m/>
    <m/>
    <n v="0"/>
    <x v="3"/>
    <x v="5"/>
    <n v="1"/>
    <n v="1"/>
    <x v="1"/>
    <s v="Alterations including changes to front elevation fenestration and erection of single-storey rear/side extension in connection with change of use from office (Class B1) to residential (Class C3) to create 1 x 2-bedroom flat."/>
    <s v="PF"/>
    <d v="2019-05-10T00:00:00"/>
    <d v="2019-10-03T00:00:00"/>
    <x v="0"/>
    <s v="Nil"/>
    <m/>
    <s v="BF"/>
    <s v="MIX"/>
    <x v="2"/>
    <x v="6"/>
    <n v="5.0000000000000001E-3"/>
    <m/>
    <x v="0"/>
    <m/>
    <x v="1"/>
    <s v="M"/>
    <s v=""/>
    <m/>
    <m/>
    <m/>
    <m/>
    <m/>
    <n v="0"/>
    <n v="0"/>
    <n v="1"/>
    <n v="0"/>
    <n v="0"/>
    <n v="0"/>
    <n v="0"/>
    <n v="0"/>
    <n v="0"/>
    <n v="1"/>
    <n v="0"/>
    <n v="0"/>
    <n v="0"/>
    <n v="0"/>
    <n v="0"/>
    <n v="0"/>
    <n v="0"/>
    <n v="0"/>
    <n v="0"/>
    <n v="0"/>
    <n v="0"/>
    <n v="0"/>
    <n v="0"/>
    <n v="0"/>
    <n v="0"/>
    <n v="0"/>
    <n v="0"/>
    <n v="0"/>
    <x v="1"/>
    <x v="0"/>
    <x v="2"/>
    <n v="15"/>
    <m/>
    <n v="0.25"/>
    <n v="0.25"/>
    <n v="0.25"/>
    <n v="0.25"/>
    <m/>
    <m/>
    <m/>
    <m/>
    <m/>
    <m/>
    <m/>
    <m/>
    <m/>
    <m/>
    <m/>
    <m/>
    <m/>
    <m/>
    <m/>
    <n v="1"/>
    <n v="1"/>
  </r>
  <r>
    <n v="6088"/>
    <x v="2"/>
    <s v="2019/2116"/>
    <s v="118 Upper Tooting Road"/>
    <s v=""/>
    <n v="527736"/>
    <n v="172067"/>
    <x v="19"/>
    <m/>
    <m/>
    <n v="0"/>
    <x v="3"/>
    <x v="5"/>
    <n v="1"/>
    <n v="1"/>
    <x v="1"/>
    <s v="Alterations in connection with change of use of part of ground floor from retail (Class A1) to residential (Class C3) to provide 1 x studio flat with associated cycle and refuse storage."/>
    <s v="PF"/>
    <d v="2019-05-15T00:00:00"/>
    <d v="2019-11-19T00:00:00"/>
    <x v="0"/>
    <s v="Nil"/>
    <m/>
    <s v="BF"/>
    <s v="COU"/>
    <x v="2"/>
    <x v="4"/>
    <n v="3.0000000000000001E-3"/>
    <m/>
    <x v="0"/>
    <m/>
    <x v="1"/>
    <s v="M"/>
    <s v=""/>
    <m/>
    <m/>
    <m/>
    <m/>
    <m/>
    <n v="1"/>
    <n v="0"/>
    <n v="0"/>
    <n v="0"/>
    <n v="0"/>
    <n v="0"/>
    <n v="0"/>
    <n v="1"/>
    <n v="0"/>
    <n v="0"/>
    <n v="0"/>
    <n v="0"/>
    <n v="0"/>
    <n v="0"/>
    <n v="0"/>
    <n v="0"/>
    <n v="0"/>
    <n v="0"/>
    <n v="0"/>
    <n v="0"/>
    <n v="0"/>
    <n v="0"/>
    <n v="0"/>
    <n v="0"/>
    <n v="0"/>
    <n v="0"/>
    <n v="0"/>
    <n v="0"/>
    <x v="1"/>
    <x v="0"/>
    <x v="2"/>
    <n v="15"/>
    <m/>
    <n v="0.25"/>
    <n v="0.25"/>
    <n v="0.25"/>
    <n v="0.25"/>
    <m/>
    <m/>
    <m/>
    <m/>
    <m/>
    <m/>
    <m/>
    <m/>
    <m/>
    <m/>
    <m/>
    <m/>
    <m/>
    <m/>
    <m/>
    <n v="1"/>
    <n v="1"/>
  </r>
  <r>
    <n v="3518"/>
    <x v="2"/>
    <s v="2012/5286"/>
    <s v="Ram Brewery, Capital Studios &amp; Duvall Works, Ram Street/Armoury Way/Wandsworth High Street (The Ram Quarter)"/>
    <s v="Building 05"/>
    <n v="525666"/>
    <n v="174804"/>
    <x v="14"/>
    <d v="2015-04-01T00:00:00"/>
    <m/>
    <n v="0"/>
    <x v="84"/>
    <x v="95"/>
    <n v="663"/>
    <n v="662"/>
    <x v="0"/>
    <s v="A mixed use development comprising alterations and change of use of retained former brewery buildings, demolition of non-Listed Buildings and the construction of new buildings 2-12 storeys in height and a tower of 36 storeys in height. Provision of 10114sqm of retail (Class A1-A4), 661 residential units, continued small scale brewery use (Class B2), museum (Class D1), ancillary gym. The creation of public areas and river walkway; new and repositioned vehicular and pedestrian access points and provision of servicing areas, energy centre and basement car and cycle parking."/>
    <s v="POLA"/>
    <d v="2012-11-21T00:00:00"/>
    <d v="2013-12-06T00:00:00"/>
    <x v="0"/>
    <s v="Nil"/>
    <m/>
    <s v="BF"/>
    <s v="NB"/>
    <x v="1"/>
    <x v="0"/>
    <n v="4.4396999999999999E-2"/>
    <m/>
    <x v="0"/>
    <m/>
    <x v="1"/>
    <s v="M"/>
    <s v="3.1.2"/>
    <m/>
    <m/>
    <m/>
    <n v="10"/>
    <m/>
    <n v="23"/>
    <n v="23"/>
    <n v="70"/>
    <n v="44"/>
    <n v="6"/>
    <n v="0"/>
    <n v="0"/>
    <n v="23"/>
    <n v="23"/>
    <n v="70"/>
    <n v="44"/>
    <n v="6"/>
    <n v="0"/>
    <n v="0"/>
    <n v="0"/>
    <n v="0"/>
    <n v="0"/>
    <n v="0"/>
    <n v="0"/>
    <n v="0"/>
    <n v="0"/>
    <n v="0"/>
    <n v="0"/>
    <n v="0"/>
    <n v="0"/>
    <n v="0"/>
    <n v="0"/>
    <n v="0"/>
    <x v="4"/>
    <x v="0"/>
    <x v="7"/>
    <n v="8"/>
    <m/>
    <m/>
    <m/>
    <m/>
    <n v="166"/>
    <m/>
    <m/>
    <m/>
    <m/>
    <m/>
    <m/>
    <m/>
    <m/>
    <m/>
    <m/>
    <m/>
    <m/>
    <m/>
    <m/>
    <m/>
    <n v="166"/>
    <n v="166"/>
  </r>
  <r>
    <n v="2274"/>
    <x v="2"/>
    <s v="2019/2196"/>
    <s v="Land adj. 206, 206 Franciscan Road (204)"/>
    <s v=""/>
    <n v="527891"/>
    <n v="171427"/>
    <x v="19"/>
    <m/>
    <m/>
    <n v="0"/>
    <x v="3"/>
    <x v="5"/>
    <n v="1"/>
    <n v="1"/>
    <x v="1"/>
    <s v="Erection of two-storey dwellinghouse with roof level accommodation."/>
    <s v="PF"/>
    <d v="2019-05-21T00:00:00"/>
    <d v="2019-07-16T00:00:00"/>
    <x v="0"/>
    <s v="Nil"/>
    <m/>
    <s v="BF"/>
    <s v="NB"/>
    <x v="2"/>
    <x v="3"/>
    <n v="1.7999999999999999E-2"/>
    <m/>
    <x v="0"/>
    <m/>
    <x v="1"/>
    <s v="M"/>
    <s v=""/>
    <m/>
    <m/>
    <m/>
    <m/>
    <m/>
    <n v="0"/>
    <n v="0"/>
    <n v="0"/>
    <n v="1"/>
    <n v="0"/>
    <n v="0"/>
    <n v="0"/>
    <n v="0"/>
    <n v="0"/>
    <n v="0"/>
    <n v="0"/>
    <n v="0"/>
    <n v="0"/>
    <n v="0"/>
    <n v="0"/>
    <n v="0"/>
    <n v="0"/>
    <n v="1"/>
    <n v="0"/>
    <n v="0"/>
    <n v="0"/>
    <n v="0"/>
    <n v="0"/>
    <n v="0"/>
    <n v="0"/>
    <n v="0"/>
    <n v="0"/>
    <n v="0"/>
    <x v="1"/>
    <x v="0"/>
    <x v="2"/>
    <n v="7"/>
    <m/>
    <m/>
    <n v="0.25"/>
    <n v="0.25"/>
    <n v="0.25"/>
    <n v="0.25"/>
    <m/>
    <m/>
    <m/>
    <m/>
    <m/>
    <m/>
    <m/>
    <m/>
    <m/>
    <m/>
    <m/>
    <m/>
    <m/>
    <m/>
    <n v="1"/>
    <n v="1"/>
  </r>
  <r>
    <n v="7161"/>
    <x v="2"/>
    <s v="2019/2233"/>
    <s v="43 Sisters Avenue"/>
    <s v=""/>
    <n v="528016"/>
    <n v="175405"/>
    <x v="8"/>
    <m/>
    <m/>
    <n v="1"/>
    <x v="12"/>
    <x v="36"/>
    <n v="4"/>
    <n v="3"/>
    <x v="1"/>
    <s v="Creation of a rear courtyard in connection with conversion from a single dwelling to 3 x 3-bed and 1 x 1-bed flats, with associated cycle and refuse storage to front garden"/>
    <s v="PF"/>
    <d v="2019-05-22T00:00:00"/>
    <d v="2019-07-17T00:00:00"/>
    <x v="0"/>
    <s v="Nil"/>
    <m/>
    <s v="BF"/>
    <s v="CON"/>
    <x v="2"/>
    <x v="10"/>
    <n v="2.5000000000000001E-2"/>
    <m/>
    <x v="0"/>
    <m/>
    <x v="1"/>
    <s v="M"/>
    <s v=""/>
    <m/>
    <m/>
    <m/>
    <m/>
    <m/>
    <n v="0"/>
    <n v="1"/>
    <n v="0"/>
    <n v="3"/>
    <n v="-1"/>
    <n v="0"/>
    <n v="0"/>
    <n v="0"/>
    <n v="1"/>
    <n v="0"/>
    <n v="3"/>
    <n v="0"/>
    <n v="0"/>
    <n v="0"/>
    <n v="0"/>
    <n v="0"/>
    <n v="0"/>
    <n v="0"/>
    <n v="-1"/>
    <n v="0"/>
    <n v="0"/>
    <n v="0"/>
    <n v="0"/>
    <n v="0"/>
    <n v="0"/>
    <n v="0"/>
    <n v="0"/>
    <n v="0"/>
    <x v="1"/>
    <x v="0"/>
    <x v="2"/>
    <n v="15"/>
    <m/>
    <n v="0.75"/>
    <n v="0.75"/>
    <n v="0.75"/>
    <n v="0.75"/>
    <m/>
    <m/>
    <m/>
    <m/>
    <m/>
    <m/>
    <m/>
    <m/>
    <m/>
    <m/>
    <m/>
    <m/>
    <m/>
    <m/>
    <m/>
    <n v="3"/>
    <n v="3"/>
  </r>
  <r>
    <n v="7213"/>
    <x v="2"/>
    <s v="2019/2315"/>
    <s v="94 Balham High Road"/>
    <s v=""/>
    <n v="528646"/>
    <n v="173527"/>
    <x v="6"/>
    <m/>
    <m/>
    <n v="0"/>
    <x v="3"/>
    <x v="5"/>
    <n v="2"/>
    <n v="2"/>
    <x v="1"/>
    <s v="Alterations including erection of mansard roof extension to main rear roof; excavation works to enlarge lower ground floor and part single, part two, part three storey rear and side extensions; formation of rear roof terrace at second floor level with 1.7m high obscured glazed screening in connection with reconfiguration and enlargement of social club (Class D1) and change of use of second floor from D1 to C3 in connection with creation of 2 x 1-bedroom and 1 x studio flats."/>
    <s v="PF"/>
    <d v="2019-08-02T00:00:00"/>
    <d v="2019-10-18T00:00:00"/>
    <x v="0"/>
    <s v="Nil"/>
    <m/>
    <s v="BF"/>
    <s v="MIX"/>
    <x v="2"/>
    <x v="8"/>
    <n v="2E-3"/>
    <m/>
    <x v="0"/>
    <m/>
    <x v="1"/>
    <s v="M"/>
    <s v=""/>
    <m/>
    <m/>
    <m/>
    <m/>
    <m/>
    <n v="0"/>
    <n v="1"/>
    <n v="0"/>
    <n v="0"/>
    <n v="0"/>
    <n v="0"/>
    <n v="0"/>
    <n v="0"/>
    <n v="1"/>
    <n v="0"/>
    <n v="0"/>
    <n v="0"/>
    <n v="0"/>
    <n v="0"/>
    <n v="0"/>
    <n v="0"/>
    <n v="0"/>
    <n v="0"/>
    <n v="0"/>
    <n v="0"/>
    <n v="0"/>
    <n v="0"/>
    <n v="0"/>
    <n v="0"/>
    <n v="0"/>
    <n v="0"/>
    <n v="0"/>
    <n v="0"/>
    <x v="5"/>
    <x v="0"/>
    <x v="9"/>
    <n v="15"/>
    <m/>
    <n v="0.25"/>
    <n v="0.25"/>
    <n v="0.25"/>
    <n v="0.25"/>
    <m/>
    <m/>
    <m/>
    <m/>
    <m/>
    <m/>
    <m/>
    <m/>
    <m/>
    <m/>
    <m/>
    <m/>
    <m/>
    <m/>
    <m/>
    <n v="1"/>
    <n v="1"/>
  </r>
  <r>
    <n v="7213"/>
    <x v="2"/>
    <s v="2019/2315"/>
    <s v="94 Balham High Road"/>
    <s v=""/>
    <n v="528646"/>
    <n v="173527"/>
    <x v="6"/>
    <m/>
    <m/>
    <n v="0"/>
    <x v="3"/>
    <x v="5"/>
    <n v="2"/>
    <n v="2"/>
    <x v="1"/>
    <s v="Alterations including erection of mansard roof extension to main rear roof; excavation works to enlarge lower ground floor and part single, part two, part three storey rear and side extensions; formation of rear roof terrace at second floor level with 1.7m high obscured glazed screening in connection with reconfiguration and enlargement of social club (Class D1) and change of use of second floor from D1 to C3 in connection with creation of 2 x 1-bedroom and 1 x studio flats."/>
    <s v="PF"/>
    <d v="2019-08-02T00:00:00"/>
    <d v="2019-10-18T00:00:00"/>
    <x v="0"/>
    <s v="Nil"/>
    <m/>
    <s v="BF"/>
    <s v="MIX"/>
    <x v="2"/>
    <x v="7"/>
    <n v="1E-3"/>
    <m/>
    <x v="0"/>
    <m/>
    <x v="1"/>
    <s v="M"/>
    <s v=""/>
    <m/>
    <m/>
    <m/>
    <m/>
    <m/>
    <n v="1"/>
    <n v="0"/>
    <n v="0"/>
    <n v="0"/>
    <n v="0"/>
    <n v="0"/>
    <n v="0"/>
    <n v="1"/>
    <n v="0"/>
    <n v="0"/>
    <n v="0"/>
    <n v="0"/>
    <n v="0"/>
    <n v="0"/>
    <n v="0"/>
    <n v="0"/>
    <n v="0"/>
    <n v="0"/>
    <n v="0"/>
    <n v="0"/>
    <n v="0"/>
    <n v="0"/>
    <n v="0"/>
    <n v="0"/>
    <n v="0"/>
    <n v="0"/>
    <n v="0"/>
    <n v="0"/>
    <x v="5"/>
    <x v="0"/>
    <x v="9"/>
    <n v="15"/>
    <m/>
    <n v="0.25"/>
    <n v="0.25"/>
    <n v="0.25"/>
    <n v="0.25"/>
    <m/>
    <m/>
    <m/>
    <m/>
    <m/>
    <m/>
    <m/>
    <m/>
    <m/>
    <m/>
    <m/>
    <m/>
    <m/>
    <m/>
    <m/>
    <n v="1"/>
    <n v="1"/>
  </r>
  <r>
    <n v="3518"/>
    <x v="2"/>
    <s v="2016/6029"/>
    <s v="Ram Brewery, Capital Studios &amp; Duvall Works, Ram Street/Armoury Way/Wandsworth High Street (The Ram Quarter)"/>
    <s v="Building 09"/>
    <n v="525666"/>
    <n v="174804"/>
    <x v="14"/>
    <d v="2015-04-01T00:00:00"/>
    <m/>
    <n v="0"/>
    <x v="98"/>
    <x v="113"/>
    <n v="66"/>
    <n v="66"/>
    <x v="0"/>
    <s v="Non-material amendment to planning permission dated 06/12/82013 ref 2012/5286 [A mixed use development comprising alterations and change of use of retained former brewery buildings, demolition of non-Listed Buildings and the construction of new buildings 2-12 storeys in height and a tower of 36 storeys in height. Provision of 10114sqm of retail (Class A1-A4), 661 residential units, continued small scale brewery use (Class B2), museum (Class D1), ancillary gym. The creation of public areas and river walkway; new and repositioned vehicular and pedestrian access points and provision of servicing areas, energy centre and basement car and cycle parking.] to allow addition of substation with louvred façade access to ground floor, second residential entrance under residential balcony facing Armoury Way removed, plantroom introduced to façade facing ramp, waste store moved to external façade adjacent to residential entrance, apartment layouts revised and mix changed from:_x000a_36 x 1bed, 12 x 2bed and 18 x 3bed to 36 x 1bed, 24 x 2bed and 6 x 3bed, Unit sizes have been reduced to better relate to London Plan guidelines, Private amenity: Recessed balconies &amp; winter gardens added, minor adjustment of window positions to allow removal of transfer structure by introducing continuous facade columns, plant room added to west side of level 01,  roof plant incorporated to one half of level and screening added and consented balconies changed to metal railings on levels 1-4."/>
    <s v="S73"/>
    <d v="2016-10-28T00:00:00"/>
    <d v="2016-12-02T00:00:00"/>
    <x v="0"/>
    <s v="Nil"/>
    <m/>
    <s v="BF"/>
    <s v="NB"/>
    <x v="1"/>
    <x v="0"/>
    <n v="4.5183300000000003E-2"/>
    <m/>
    <x v="0"/>
    <m/>
    <x v="0"/>
    <s v="ISO"/>
    <s v="3.1.2"/>
    <m/>
    <n v="10"/>
    <m/>
    <n v="10"/>
    <m/>
    <n v="0"/>
    <n v="36"/>
    <n v="24"/>
    <n v="6"/>
    <n v="0"/>
    <n v="0"/>
    <n v="0"/>
    <n v="0"/>
    <n v="36"/>
    <n v="24"/>
    <n v="6"/>
    <n v="0"/>
    <n v="0"/>
    <n v="0"/>
    <n v="0"/>
    <n v="0"/>
    <n v="0"/>
    <n v="0"/>
    <n v="0"/>
    <n v="0"/>
    <n v="0"/>
    <n v="0"/>
    <n v="0"/>
    <n v="0"/>
    <n v="0"/>
    <n v="0"/>
    <n v="0"/>
    <n v="0"/>
    <x v="4"/>
    <x v="0"/>
    <x v="7"/>
    <n v="8"/>
    <m/>
    <m/>
    <m/>
    <m/>
    <n v="66"/>
    <m/>
    <m/>
    <m/>
    <m/>
    <m/>
    <m/>
    <m/>
    <m/>
    <m/>
    <m/>
    <m/>
    <m/>
    <m/>
    <m/>
    <m/>
    <n v="66"/>
    <n v="66"/>
  </r>
  <r>
    <n v="4775"/>
    <x v="2"/>
    <s v="2019/2498"/>
    <s v="Templeton, 118 Priory Lane"/>
    <s v=""/>
    <n v="521333"/>
    <n v="174425"/>
    <x v="4"/>
    <m/>
    <m/>
    <n v="0"/>
    <x v="11"/>
    <x v="36"/>
    <n v="3"/>
    <n v="3"/>
    <x v="1"/>
    <s v="Alterations in connection with conversion of part ground and first floor of garage building to 3 x 1 bedroom  flats ancilliary to the main house."/>
    <s v="PF"/>
    <d v="2019-06-27T00:00:00"/>
    <d v="2019-07-31T00:00:00"/>
    <x v="0"/>
    <s v="Nil"/>
    <m/>
    <s v="BF"/>
    <s v="COU"/>
    <x v="2"/>
    <x v="8"/>
    <n v="1.4999999999999999E-2"/>
    <m/>
    <x v="0"/>
    <m/>
    <x v="1"/>
    <s v="M"/>
    <s v=""/>
    <m/>
    <m/>
    <m/>
    <m/>
    <m/>
    <n v="0"/>
    <n v="3"/>
    <n v="0"/>
    <n v="0"/>
    <n v="0"/>
    <n v="0"/>
    <n v="0"/>
    <n v="0"/>
    <n v="3"/>
    <n v="0"/>
    <n v="0"/>
    <n v="0"/>
    <n v="0"/>
    <n v="0"/>
    <n v="0"/>
    <n v="0"/>
    <n v="0"/>
    <n v="0"/>
    <n v="0"/>
    <n v="0"/>
    <n v="0"/>
    <n v="0"/>
    <n v="0"/>
    <n v="0"/>
    <n v="0"/>
    <n v="0"/>
    <n v="0"/>
    <n v="0"/>
    <x v="1"/>
    <x v="0"/>
    <x v="2"/>
    <n v="15"/>
    <m/>
    <n v="0.75"/>
    <n v="0.75"/>
    <n v="0.75"/>
    <n v="0.75"/>
    <m/>
    <m/>
    <m/>
    <m/>
    <m/>
    <m/>
    <m/>
    <m/>
    <m/>
    <m/>
    <m/>
    <m/>
    <m/>
    <m/>
    <m/>
    <n v="3"/>
    <n v="3"/>
  </r>
  <r>
    <n v="7148"/>
    <x v="2"/>
    <s v="2019/2504"/>
    <s v="91 St Johns Road"/>
    <s v=""/>
    <n v="527437"/>
    <n v="175150"/>
    <x v="8"/>
    <m/>
    <m/>
    <n v="0"/>
    <x v="3"/>
    <x v="5"/>
    <n v="1"/>
    <n v="1"/>
    <x v="1"/>
    <s v="Alterations including erection of a two storey extension (top floor mansard roof); new shopfront; in connection with the change of use of part of the ground floor and the whole of the first floor from retail (Class A1) to create a 1 x 1-bedroom flat (Class C3)."/>
    <s v="PF"/>
    <d v="2019-07-02T00:00:00"/>
    <d v="2019-08-02T00:00:00"/>
    <x v="0"/>
    <s v="Nil"/>
    <m/>
    <s v="BF"/>
    <s v="MIX"/>
    <x v="2"/>
    <x v="7"/>
    <n v="1E-3"/>
    <m/>
    <x v="0"/>
    <m/>
    <x v="1"/>
    <s v="M"/>
    <s v=""/>
    <m/>
    <m/>
    <m/>
    <m/>
    <m/>
    <n v="0"/>
    <n v="1"/>
    <n v="0"/>
    <n v="0"/>
    <n v="0"/>
    <n v="0"/>
    <n v="0"/>
    <n v="0"/>
    <n v="1"/>
    <n v="0"/>
    <n v="0"/>
    <n v="0"/>
    <n v="0"/>
    <n v="0"/>
    <n v="0"/>
    <n v="0"/>
    <n v="0"/>
    <n v="0"/>
    <n v="0"/>
    <n v="0"/>
    <n v="0"/>
    <n v="0"/>
    <n v="0"/>
    <n v="0"/>
    <n v="0"/>
    <n v="0"/>
    <n v="0"/>
    <n v="0"/>
    <x v="3"/>
    <x v="0"/>
    <x v="3"/>
    <n v="15"/>
    <m/>
    <n v="0.25"/>
    <n v="0.25"/>
    <n v="0.25"/>
    <n v="0.25"/>
    <m/>
    <m/>
    <m/>
    <m/>
    <m/>
    <m/>
    <m/>
    <m/>
    <m/>
    <m/>
    <m/>
    <m/>
    <m/>
    <m/>
    <m/>
    <n v="1"/>
    <n v="1"/>
  </r>
  <r>
    <n v="7304"/>
    <x v="2"/>
    <s v="2019/2516"/>
    <s v="Development Site of Alton Estate, Danebury Avenue (Alton Estate)"/>
    <s v="Block K"/>
    <n v="522152"/>
    <n v="173834"/>
    <x v="4"/>
    <m/>
    <m/>
    <n v="0"/>
    <x v="99"/>
    <x v="114"/>
    <n v="1068"/>
    <n v="780"/>
    <x v="0"/>
    <s v="The application is for a part outline and a part detailed planning permission for the following proposed development._x000a__x000a_(a) Phased demolition of existing buildings and structures (except Alton Activity Centre community building);_x000a_(b) Mixed-use phased development ranging from 1-9 storeys above ground level comprising 1,103 residential units and up to 9,572 sqm (GIA) of non-residential uses comprising new and replacement community facilities (including library and healthcare facilities, youth facilities, community hall, children's nursery &amp; children's centre) (Class D1); flexible commercial floorspace (comprising retail (Class A1), financial and professional services (Class A2), café/restaurants (Class A3), hot-food takeaways (Class A5), business (Class B1), and community uses (Class D1); landscaping; removal and replacement of trees; public realm improvements; access improvements; relocation of bus turnaround area; improvements to children's play facilities; provision of energy centre; car &amp; cycle parking; and other highway works incidental to the development. All matters reserved except for Blocks A, K, M, N, O, Q, Portswood Place Nursery and Community Centre and highway/landscape/public realm improvements_x000a__x000a_An Environmental Statement has been submitted with the application under the Town and Country Planning (Environmental Impact Assessment) Regulations 2017."/>
    <s v="PFLA"/>
    <d v="2019-06-07T00:00:00"/>
    <d v="2022-03-23T00:00:00"/>
    <x v="0"/>
    <s v="Nil"/>
    <m/>
    <s v="BF"/>
    <s v="NB"/>
    <x v="1"/>
    <x v="0"/>
    <n v="0.83599999999999997"/>
    <m/>
    <x v="0"/>
    <m/>
    <x v="1"/>
    <s v="M"/>
    <s v="8.1.1"/>
    <m/>
    <m/>
    <n v="207"/>
    <m/>
    <n v="23"/>
    <n v="0"/>
    <n v="57"/>
    <n v="159"/>
    <n v="14"/>
    <n v="0"/>
    <n v="0"/>
    <n v="0"/>
    <n v="0"/>
    <n v="57"/>
    <n v="159"/>
    <n v="14"/>
    <n v="0"/>
    <n v="0"/>
    <n v="0"/>
    <n v="0"/>
    <n v="0"/>
    <n v="0"/>
    <n v="0"/>
    <n v="0"/>
    <n v="0"/>
    <n v="0"/>
    <n v="0"/>
    <n v="0"/>
    <n v="0"/>
    <n v="0"/>
    <n v="0"/>
    <n v="0"/>
    <n v="0"/>
    <x v="1"/>
    <x v="0"/>
    <x v="8"/>
    <n v="10"/>
    <m/>
    <m/>
    <m/>
    <m/>
    <n v="76.666666666666671"/>
    <n v="76.666666666666671"/>
    <n v="76.666666666666671"/>
    <m/>
    <m/>
    <m/>
    <m/>
    <m/>
    <m/>
    <m/>
    <m/>
    <m/>
    <m/>
    <m/>
    <m/>
    <m/>
    <n v="153.33333333333334"/>
    <n v="230"/>
  </r>
  <r>
    <n v="7304"/>
    <x v="2"/>
    <s v="2019/2516"/>
    <s v="Development Site of Alton Estate, Danebury Avenue (Alton Estate)"/>
    <s v="Block M"/>
    <n v="522152"/>
    <n v="173834"/>
    <x v="4"/>
    <m/>
    <m/>
    <n v="0"/>
    <x v="100"/>
    <x v="115"/>
    <n v="1068"/>
    <n v="780"/>
    <x v="0"/>
    <s v="The application is for a part outline and a part detailed planning permission for the following proposed development._x000a__x000a_(a) Phased demolition of existing buildings and structures (except Alton Activity Centre community building);_x000a_(b) Mixed-use phased development ranging from 1-9 storeys above ground level comprising 1,103 residential units and up to 9,572 sqm (GIA) of non-residential uses comprising new and replacement community facilities (including library and healthcare facilities, youth facilities, community hall, children's nursery &amp; children's centre) (Class D1); flexible commercial floorspace (comprising retail (Class A1), financial and professional services (Class A2), café/restaurants (Class A3), hot-food takeaways (Class A5), business (Class B1), and community uses (Class D1); landscaping; removal and replacement of trees; public realm improvements; access improvements; relocation of bus turnaround area; improvements to children's play facilities; provision of energy centre; car &amp; cycle parking; and other highway works incidental to the development. All matters reserved except for Blocks A, K, M, N, O, Q, Portswood Place Nursery and Community Centre and highway/landscape/public realm improvements_x000a__x000a_An Environmental Statement has been submitted with the application under the Town and Country Planning (Environmental Impact Assessment) Regulations 2017."/>
    <s v="PFLA"/>
    <d v="2019-06-07T00:00:00"/>
    <d v="2022-03-23T00:00:00"/>
    <x v="0"/>
    <s v="Nil"/>
    <m/>
    <s v="BF"/>
    <s v="NB"/>
    <x v="1"/>
    <x v="0"/>
    <n v="0.38900000000000001"/>
    <m/>
    <x v="0"/>
    <m/>
    <x v="1"/>
    <s v="M"/>
    <s v="8.1.1"/>
    <m/>
    <m/>
    <n v="96"/>
    <m/>
    <n v="11"/>
    <n v="0"/>
    <n v="33"/>
    <n v="74"/>
    <n v="0"/>
    <n v="0"/>
    <n v="0"/>
    <n v="0"/>
    <n v="0"/>
    <n v="33"/>
    <n v="74"/>
    <n v="0"/>
    <n v="0"/>
    <n v="0"/>
    <n v="0"/>
    <n v="0"/>
    <n v="0"/>
    <n v="0"/>
    <n v="0"/>
    <n v="0"/>
    <n v="0"/>
    <n v="0"/>
    <n v="0"/>
    <n v="0"/>
    <n v="0"/>
    <n v="0"/>
    <n v="0"/>
    <n v="0"/>
    <n v="0"/>
    <x v="1"/>
    <x v="0"/>
    <x v="8"/>
    <n v="10"/>
    <m/>
    <m/>
    <m/>
    <m/>
    <n v="35.666666666666664"/>
    <n v="35.666666666666664"/>
    <n v="35.666666666666664"/>
    <m/>
    <m/>
    <m/>
    <m/>
    <m/>
    <m/>
    <m/>
    <m/>
    <m/>
    <m/>
    <m/>
    <m/>
    <m/>
    <n v="71.333333333333329"/>
    <n v="107"/>
  </r>
  <r>
    <n v="7304"/>
    <x v="2"/>
    <s v="2019/2516"/>
    <s v="Development Site of Alton Estate, Danebury Avenue (Alton Estate)"/>
    <s v="Block N"/>
    <n v="522152"/>
    <n v="173834"/>
    <x v="4"/>
    <m/>
    <m/>
    <n v="0"/>
    <x v="101"/>
    <x v="116"/>
    <n v="1068"/>
    <n v="780"/>
    <x v="0"/>
    <s v="The application is for a part outline and a part detailed planning permission for the following proposed development._x000a__x000a_(a) Phased demolition of existing buildings and structures (except Alton Activity Centre community building);_x000a_(b) Mixed-use phased development ranging from 1-9 storeys above ground level comprising 1,103 residential units and up to 9,572 sqm (GIA) of non-residential uses comprising new and replacement community facilities (including library and healthcare facilities, youth facilities, community hall, children's nursery &amp; children's centre) (Class D1); flexible commercial floorspace (comprising retail (Class A1), financial and professional services (Class A2), café/restaurants (Class A3), hot-food takeaways (Class A5), business (Class B1), and community uses (Class D1); landscaping; removal and replacement of trees; public realm improvements; access improvements; relocation of bus turnaround area; improvements to children's play facilities; provision of energy centre; car &amp; cycle parking; and other highway works incidental to the development. All matters reserved except for Blocks A, K, M, N, O, Q, Portswood Place Nursery and Community Centre and highway/landscape/public realm improvements_x000a__x000a_An Environmental Statement has been submitted with the application under the Town and Country Planning (Environmental Impact Assessment) Regulations 2017."/>
    <s v="PFLA"/>
    <d v="2019-06-07T00:00:00"/>
    <d v="2022-03-23T00:00:00"/>
    <x v="0"/>
    <s v="Nil"/>
    <m/>
    <s v="BF"/>
    <s v="NB"/>
    <x v="1"/>
    <x v="0"/>
    <n v="0.44"/>
    <m/>
    <x v="0"/>
    <m/>
    <x v="1"/>
    <s v="M"/>
    <s v="8.1.1"/>
    <m/>
    <m/>
    <n v="110"/>
    <m/>
    <n v="11"/>
    <n v="0"/>
    <n v="38"/>
    <n v="83"/>
    <n v="0"/>
    <n v="0"/>
    <n v="0"/>
    <n v="0"/>
    <n v="0"/>
    <n v="38"/>
    <n v="83"/>
    <n v="0"/>
    <n v="0"/>
    <n v="0"/>
    <n v="0"/>
    <n v="0"/>
    <n v="0"/>
    <n v="0"/>
    <n v="0"/>
    <n v="0"/>
    <n v="0"/>
    <n v="0"/>
    <n v="0"/>
    <n v="0"/>
    <n v="0"/>
    <n v="0"/>
    <n v="0"/>
    <n v="0"/>
    <n v="0"/>
    <x v="1"/>
    <x v="0"/>
    <x v="8"/>
    <n v="10"/>
    <m/>
    <m/>
    <m/>
    <m/>
    <n v="40.333333333333336"/>
    <n v="40.333333333333336"/>
    <n v="40.333333333333336"/>
    <m/>
    <m/>
    <m/>
    <m/>
    <m/>
    <m/>
    <m/>
    <m/>
    <m/>
    <m/>
    <m/>
    <m/>
    <m/>
    <n v="80.666666666666671"/>
    <n v="121"/>
  </r>
  <r>
    <n v="7304"/>
    <x v="2"/>
    <s v="2019/2516"/>
    <s v="Development Site of Alton Estate, Danebury Avenue (Alton Estate)"/>
    <s v="Block O"/>
    <n v="522152"/>
    <n v="173834"/>
    <x v="4"/>
    <m/>
    <m/>
    <n v="0"/>
    <x v="0"/>
    <x v="0"/>
    <n v="1068"/>
    <n v="780"/>
    <x v="0"/>
    <s v="The application is for a part outline and a part detailed planning permission for the following proposed development._x000a__x000a_(a) Phased demolition of existing buildings and structures (except Alton Activity Centre community building);_x000a_(b) Mixed-use phased development ranging from 1-9 storeys above ground level comprising 1,103 residential units and up to 9,572 sqm (GIA) of non-residential uses comprising new and replacement community facilities (including library and healthcare facilities, youth facilities, community hall, children's nursery &amp; children's centre) (Class D1); flexible commercial floorspace (comprising retail (Class A1), financial and professional services (Class A2), café/restaurants (Class A3), hot-food takeaways (Class A5), business (Class B1), and community uses (Class D1); landscaping; removal and replacement of trees; public realm improvements; access improvements; relocation of bus turnaround area; improvements to children's play facilities; provision of energy centre; car &amp; cycle parking; and other highway works incidental to the development. All matters reserved except for Blocks A, K, M, N, O, Q, Portswood Place Nursery and Community Centre and highway/landscape/public realm improvements_x000a__x000a_An Environmental Statement has been submitted with the application under the Town and Country Planning (Environmental Impact Assessment) Regulations 2017."/>
    <s v="PFLA"/>
    <d v="2019-06-07T00:00:00"/>
    <d v="2022-03-23T00:00:00"/>
    <x v="0"/>
    <s v="Nil"/>
    <m/>
    <s v="BF"/>
    <s v="NB"/>
    <x v="1"/>
    <x v="0"/>
    <n v="2.1780000000000001E-2"/>
    <m/>
    <x v="0"/>
    <m/>
    <x v="0"/>
    <s v="ISE"/>
    <s v="8.1.1"/>
    <m/>
    <m/>
    <n v="5"/>
    <m/>
    <n v="1"/>
    <n v="0"/>
    <n v="0"/>
    <n v="2"/>
    <n v="2"/>
    <n v="2"/>
    <n v="0"/>
    <n v="0"/>
    <n v="0"/>
    <n v="0"/>
    <n v="2"/>
    <n v="2"/>
    <n v="2"/>
    <n v="0"/>
    <n v="0"/>
    <n v="0"/>
    <n v="0"/>
    <n v="0"/>
    <n v="0"/>
    <n v="0"/>
    <n v="0"/>
    <n v="0"/>
    <n v="0"/>
    <n v="0"/>
    <n v="0"/>
    <n v="0"/>
    <n v="0"/>
    <n v="0"/>
    <n v="0"/>
    <x v="1"/>
    <x v="0"/>
    <x v="8"/>
    <n v="10"/>
    <m/>
    <m/>
    <m/>
    <m/>
    <n v="2"/>
    <n v="2"/>
    <n v="2"/>
    <m/>
    <m/>
    <m/>
    <m/>
    <m/>
    <m/>
    <m/>
    <m/>
    <m/>
    <m/>
    <m/>
    <m/>
    <m/>
    <n v="4"/>
    <n v="6"/>
  </r>
  <r>
    <n v="7304"/>
    <x v="2"/>
    <s v="2019/2516"/>
    <s v="Development Site of Alton Estate, Danebury Avenue (Alton Estate)"/>
    <s v="Block O"/>
    <n v="522152"/>
    <n v="173834"/>
    <x v="4"/>
    <m/>
    <m/>
    <n v="0"/>
    <x v="27"/>
    <x v="31"/>
    <n v="1068"/>
    <n v="780"/>
    <x v="0"/>
    <s v="The application is for a part outline and a part detailed planning permission for the following proposed development._x000a__x000a_(a) Phased demolition of existing buildings and structures (except Alton Activity Centre community building);_x000a_(b) Mixed-use phased development ranging from 1-9 storeys above ground level comprising 1,103 residential units and up to 9,572 sqm (GIA) of non-residential uses comprising new and replacement community facilities (including library and healthcare facilities, youth facilities, community hall, children's nursery &amp; children's centre) (Class D1); flexible commercial floorspace (comprising retail (Class A1), financial and professional services (Class A2), café/restaurants (Class A3), hot-food takeaways (Class A5), business (Class B1), and community uses (Class D1); landscaping; removal and replacement of trees; public realm improvements; access improvements; relocation of bus turnaround area; improvements to children's play facilities; provision of energy centre; car &amp; cycle parking; and other highway works incidental to the development. All matters reserved except for Blocks A, K, M, N, O, Q, Portswood Place Nursery and Community Centre and highway/landscape/public realm improvements_x000a__x000a_An Environmental Statement has been submitted with the application under the Town and Country Planning (Environmental Impact Assessment) Regulations 2017."/>
    <s v="PFLA"/>
    <d v="2019-06-07T00:00:00"/>
    <d v="2022-03-23T00:00:00"/>
    <x v="0"/>
    <s v="Nil"/>
    <m/>
    <s v="BF"/>
    <s v="NB"/>
    <x v="1"/>
    <x v="0"/>
    <n v="0.14499999999999999"/>
    <m/>
    <x v="0"/>
    <m/>
    <x v="2"/>
    <s v="AS"/>
    <s v="8.1.1"/>
    <m/>
    <m/>
    <n v="26"/>
    <m/>
    <n v="3"/>
    <n v="0"/>
    <n v="12"/>
    <n v="14"/>
    <n v="3"/>
    <n v="0"/>
    <n v="0"/>
    <n v="0"/>
    <n v="0"/>
    <n v="12"/>
    <n v="14"/>
    <n v="3"/>
    <n v="0"/>
    <n v="0"/>
    <n v="0"/>
    <n v="0"/>
    <n v="0"/>
    <n v="0"/>
    <n v="0"/>
    <n v="0"/>
    <n v="0"/>
    <n v="0"/>
    <n v="0"/>
    <n v="0"/>
    <n v="0"/>
    <n v="0"/>
    <n v="0"/>
    <n v="0"/>
    <n v="0"/>
    <x v="1"/>
    <x v="0"/>
    <x v="8"/>
    <n v="10"/>
    <m/>
    <m/>
    <m/>
    <m/>
    <n v="9.6666666666666661"/>
    <n v="9.6666666666666661"/>
    <n v="9.6666666666666661"/>
    <m/>
    <m/>
    <m/>
    <m/>
    <m/>
    <m/>
    <m/>
    <m/>
    <m/>
    <m/>
    <m/>
    <m/>
    <m/>
    <n v="19.333333333333332"/>
    <n v="29"/>
  </r>
  <r>
    <n v="7304"/>
    <x v="2"/>
    <s v="2019/2516"/>
    <s v="Development Site of Alton Estate, Danebury Avenue (Alton Estate)"/>
    <s v="Block Q"/>
    <n v="522152"/>
    <n v="173834"/>
    <x v="4"/>
    <m/>
    <m/>
    <n v="0"/>
    <x v="102"/>
    <x v="117"/>
    <n v="1068"/>
    <n v="780"/>
    <x v="0"/>
    <s v="The application is for a part outline and a part detailed planning permission for the following proposed development._x000a__x000a_(a) Phased demolition of existing buildings and structures (except Alton Activity Centre community building);_x000a_(b) Mixed-use phased development ranging from 1-9 storeys above ground level comprising 1,103 residential units and up to 9,572 sqm (GIA) of non-residential uses comprising new and replacement community facilities (including library and healthcare facilities, youth facilities, community hall, children's nursery &amp; children's centre) (Class D1); flexible commercial floorspace (comprising retail (Class A1), financial and professional services (Class A2), café/restaurants (Class A3), hot-food takeaways (Class A5), business (Class B1), and community uses (Class D1); landscaping; removal and replacement of trees; public realm improvements; access improvements; relocation of bus turnaround area; improvements to children's play facilities; provision of energy centre; car &amp; cycle parking; and other highway works incidental to the development. All matters reserved except for Blocks A, K, M, N, O, Q, Portswood Place Nursery and Community Centre and highway/landscape/public realm improvements_x000a__x000a_An Environmental Statement has been submitted with the application under the Town and Country Planning (Environmental Impact Assessment) Regulations 2017."/>
    <s v="PFLA"/>
    <d v="2019-06-07T00:00:00"/>
    <d v="2022-03-23T00:00:00"/>
    <x v="0"/>
    <s v="Nil"/>
    <m/>
    <s v="BF"/>
    <s v="NB"/>
    <x v="1"/>
    <x v="0"/>
    <n v="0.11253000000000001"/>
    <m/>
    <x v="0"/>
    <m/>
    <x v="0"/>
    <s v="ISL"/>
    <s v="8.1.1"/>
    <m/>
    <m/>
    <n v="28"/>
    <m/>
    <n v="3"/>
    <n v="0"/>
    <n v="12"/>
    <n v="14"/>
    <n v="5"/>
    <n v="0"/>
    <n v="0"/>
    <n v="0"/>
    <n v="0"/>
    <n v="12"/>
    <n v="14"/>
    <n v="5"/>
    <n v="0"/>
    <n v="0"/>
    <n v="0"/>
    <n v="0"/>
    <n v="0"/>
    <n v="0"/>
    <n v="0"/>
    <n v="0"/>
    <n v="0"/>
    <n v="0"/>
    <n v="0"/>
    <n v="0"/>
    <n v="0"/>
    <n v="0"/>
    <n v="0"/>
    <n v="0"/>
    <n v="0"/>
    <x v="1"/>
    <x v="0"/>
    <x v="8"/>
    <n v="10"/>
    <m/>
    <m/>
    <m/>
    <m/>
    <n v="10.333333333333334"/>
    <n v="10.333333333333334"/>
    <n v="10.333333333333334"/>
    <m/>
    <m/>
    <m/>
    <m/>
    <m/>
    <m/>
    <m/>
    <m/>
    <m/>
    <m/>
    <m/>
    <m/>
    <m/>
    <n v="20.666666666666668"/>
    <n v="31"/>
  </r>
  <r>
    <n v="7304"/>
    <x v="2"/>
    <s v="2019/2516"/>
    <s v="Development Site of Alton Estate, Danebury Avenue (Alton Estate)"/>
    <s v="Blocks A and Q"/>
    <n v="522152"/>
    <n v="173834"/>
    <x v="4"/>
    <m/>
    <m/>
    <n v="0"/>
    <x v="100"/>
    <x v="115"/>
    <n v="1068"/>
    <n v="780"/>
    <x v="0"/>
    <s v="The application is for a part outline and a part detailed planning permission for the following proposed development._x000a__x000a_(a) Phased demolition of existing buildings and structures (except Alton Activity Centre community building);_x000a_(b) Mixed-use phased development ranging from 1-9 storeys above ground level comprising 1,103 residential units and up to 9,572 sqm (GIA) of non-residential uses comprising new and replacement community facilities (including library and healthcare facilities, youth facilities, community hall, children's nursery &amp; children's centre) (Class D1); flexible commercial floorspace (comprising retail (Class A1), financial and professional services (Class A2), café/restaurants (Class A3), hot-food takeaways (Class A5), business (Class B1), and community uses (Class D1); landscaping; removal and replacement of trees; public realm improvements; access improvements; relocation of bus turnaround area; improvements to children's play facilities; provision of energy centre; car &amp; cycle parking; and other highway works incidental to the development. All matters reserved except for Blocks A, K, M, N, O, Q, Portswood Place Nursery and Community Centre and highway/landscape/public realm improvements_x000a__x000a_An Environmental Statement has been submitted with the application under the Town and Country Planning (Environmental Impact Assessment) Regulations 2017."/>
    <s v="PFLA"/>
    <d v="2019-06-07T00:00:00"/>
    <d v="2022-03-23T00:00:00"/>
    <x v="0"/>
    <s v="Nil"/>
    <m/>
    <s v="BF"/>
    <s v="NB"/>
    <x v="1"/>
    <x v="0"/>
    <n v="0.40300000000000002"/>
    <m/>
    <x v="0"/>
    <m/>
    <x v="2"/>
    <s v="AS"/>
    <s v="8.1.1"/>
    <m/>
    <m/>
    <n v="96"/>
    <m/>
    <n v="11"/>
    <n v="0"/>
    <n v="21"/>
    <n v="27"/>
    <n v="40"/>
    <n v="19"/>
    <n v="0"/>
    <n v="0"/>
    <n v="0"/>
    <n v="21"/>
    <n v="27"/>
    <n v="40"/>
    <n v="19"/>
    <n v="0"/>
    <n v="0"/>
    <n v="0"/>
    <n v="0"/>
    <n v="0"/>
    <n v="0"/>
    <n v="0"/>
    <n v="0"/>
    <n v="0"/>
    <n v="0"/>
    <n v="0"/>
    <n v="0"/>
    <n v="0"/>
    <n v="0"/>
    <n v="0"/>
    <n v="0"/>
    <x v="1"/>
    <x v="0"/>
    <x v="8"/>
    <n v="10"/>
    <m/>
    <m/>
    <m/>
    <m/>
    <n v="35.666666666666664"/>
    <n v="35.666666666666664"/>
    <n v="35.666666666666664"/>
    <m/>
    <m/>
    <m/>
    <m/>
    <m/>
    <m/>
    <m/>
    <m/>
    <m/>
    <m/>
    <m/>
    <m/>
    <m/>
    <n v="71.333333333333329"/>
    <n v="107"/>
  </r>
  <r>
    <n v="7304"/>
    <x v="2"/>
    <s v="2019/2516"/>
    <s v="Development Site of Alton Estate, Danebury Avenue (Alton Estate)"/>
    <s v="Blocks A and Q"/>
    <n v="522152"/>
    <n v="173834"/>
    <x v="4"/>
    <m/>
    <m/>
    <n v="0"/>
    <x v="67"/>
    <x v="76"/>
    <n v="1068"/>
    <n v="780"/>
    <x v="0"/>
    <s v="The application is for a part outline and a part detailed planning permission for the following proposed development._x000a__x000a_(a) Phased demolition of existing buildings and structures (except Alton Activity Centre community building);_x000a_(b) Mixed-use phased development ranging from 1-9 storeys above ground level comprising 1,103 residential units and up to 9,572 sqm (GIA) of non-residential uses comprising new and replacement community facilities (including library and healthcare facilities, youth facilities, community hall, children's nursery &amp; children's centre) (Class D1); flexible commercial floorspace (comprising retail (Class A1), financial and professional services (Class A2), café/restaurants (Class A3), hot-food takeaways (Class A5), business (Class B1), and community uses (Class D1); landscaping; removal and replacement of trees; public realm improvements; access improvements; relocation of bus turnaround area; improvements to children's play facilities; provision of energy centre; car &amp; cycle parking; and other highway works incidental to the development. All matters reserved except for Blocks A, K, M, N, O, Q, Portswood Place Nursery and Community Centre and highway/landscape/public realm improvements_x000a__x000a_An Environmental Statement has been submitted with the application under the Town and Country Planning (Environmental Impact Assessment) Regulations 2017."/>
    <s v="PFLA"/>
    <d v="2019-06-07T00:00:00"/>
    <d v="2022-03-23T00:00:00"/>
    <x v="0"/>
    <s v="Nil"/>
    <m/>
    <s v="BF"/>
    <s v="NB"/>
    <x v="1"/>
    <x v="0"/>
    <n v="0.16400000000000001"/>
    <m/>
    <x v="0"/>
    <m/>
    <x v="0"/>
    <s v="ISE"/>
    <s v="8.1.1"/>
    <m/>
    <m/>
    <n v="21"/>
    <m/>
    <n v="2"/>
    <n v="0"/>
    <n v="0"/>
    <n v="3"/>
    <n v="20"/>
    <n v="0"/>
    <n v="0"/>
    <n v="0"/>
    <n v="0"/>
    <n v="0"/>
    <n v="3"/>
    <n v="20"/>
    <n v="0"/>
    <n v="0"/>
    <n v="0"/>
    <n v="0"/>
    <n v="0"/>
    <n v="0"/>
    <n v="0"/>
    <n v="0"/>
    <n v="0"/>
    <n v="0"/>
    <n v="0"/>
    <n v="0"/>
    <n v="0"/>
    <n v="0"/>
    <n v="0"/>
    <n v="0"/>
    <n v="0"/>
    <x v="1"/>
    <x v="0"/>
    <x v="8"/>
    <n v="10"/>
    <m/>
    <m/>
    <m/>
    <m/>
    <n v="7.666666666666667"/>
    <n v="7.666666666666667"/>
    <n v="7.666666666666667"/>
    <m/>
    <m/>
    <m/>
    <m/>
    <m/>
    <m/>
    <m/>
    <m/>
    <m/>
    <m/>
    <m/>
    <m/>
    <m/>
    <n v="15.333333333333334"/>
    <n v="23"/>
  </r>
  <r>
    <n v="7304"/>
    <x v="2"/>
    <s v="2019/2516"/>
    <s v="Development Site of Alton Estate, Danebury Avenue (Alton Estate)"/>
    <s v="Blocks D-J"/>
    <n v="522152"/>
    <n v="173834"/>
    <x v="4"/>
    <m/>
    <m/>
    <n v="0"/>
    <x v="103"/>
    <x v="118"/>
    <n v="1068"/>
    <n v="780"/>
    <x v="0"/>
    <s v="The application is for a part outline and a part detailed planning permission for the following proposed development._x000a__x000a_(a) Phased demolition of existing buildings and structures (except Alton Activity Centre community building);_x000a_(b) Mixed-use phased development ranging from 1-9 storeys above ground level comprising 1,103 residential units and up to 9,572 sqm (GIA) of non-residential uses comprising new and replacement community facilities (including library and healthcare facilities, youth facilities, community hall, children's nursery &amp; children's centre) (Class D1); flexible commercial floorspace (comprising retail (Class A1), financial and professional services (Class A2), café/restaurants (Class A3), hot-food takeaways (Class A5), business (Class B1), and community uses (Class D1); landscaping; removal and replacement of trees; public realm improvements; access improvements; relocation of bus turnaround area; improvements to children's play facilities; provision of energy centre; car &amp; cycle parking; and other highway works incidental to the development. All matters reserved except for Blocks A, K, M, N, O, Q, Portswood Place Nursery and Community Centre and highway/landscape/public realm improvements_x000a__x000a_An Environmental Statement has been submitted with the application under the Town and Country Planning (Environmental Impact Assessment) Regulations 2017."/>
    <s v="PFLA"/>
    <d v="2019-06-07T00:00:00"/>
    <d v="2022-03-23T00:00:00"/>
    <x v="0"/>
    <s v="Nil"/>
    <m/>
    <s v="BF"/>
    <s v="NB"/>
    <x v="1"/>
    <x v="0"/>
    <n v="1.268"/>
    <m/>
    <x v="0"/>
    <m/>
    <x v="1"/>
    <s v="M"/>
    <s v="8.1.1"/>
    <m/>
    <m/>
    <n v="314"/>
    <m/>
    <n v="35"/>
    <n v="0"/>
    <n v="0"/>
    <n v="0"/>
    <n v="0"/>
    <n v="0"/>
    <n v="0"/>
    <n v="349"/>
    <n v="0"/>
    <n v="0"/>
    <n v="0"/>
    <n v="0"/>
    <n v="0"/>
    <n v="0"/>
    <n v="349"/>
    <n v="0"/>
    <n v="0"/>
    <n v="0"/>
    <n v="0"/>
    <n v="0"/>
    <n v="0"/>
    <n v="0"/>
    <n v="0"/>
    <n v="0"/>
    <n v="0"/>
    <n v="0"/>
    <n v="0"/>
    <n v="0"/>
    <n v="0"/>
    <x v="1"/>
    <x v="0"/>
    <x v="8"/>
    <n v="10"/>
    <m/>
    <m/>
    <m/>
    <m/>
    <n v="116.33333333333333"/>
    <n v="116.33333333333333"/>
    <n v="116.33333333333333"/>
    <m/>
    <m/>
    <m/>
    <m/>
    <m/>
    <m/>
    <m/>
    <m/>
    <m/>
    <m/>
    <m/>
    <m/>
    <m/>
    <n v="232.66666666666666"/>
    <n v="349"/>
  </r>
  <r>
    <n v="7304"/>
    <x v="2"/>
    <s v="2019/2516"/>
    <s v="Development Site of Alton Estate, Danebury Avenue (Alton Estate)"/>
    <s v="Existing"/>
    <n v="522152"/>
    <n v="173834"/>
    <x v="4"/>
    <m/>
    <m/>
    <n v="130"/>
    <x v="6"/>
    <x v="119"/>
    <n v="1068"/>
    <n v="780"/>
    <x v="0"/>
    <s v="The application is for a part outline and a part detailed planning permission for the following proposed development._x000a__x000a_(a) Phased demolition of existing buildings and structures (except Alton Activity Centre community building);_x000a_(b) Mixed-use phased development ranging from 1-9 storeys above ground level comprising 1,103 residential units and up to 9,572 sqm (GIA) of non-residential uses comprising new and replacement community facilities (including library and healthcare facilities, youth facilities, community hall, children's nursery &amp; children's centre) (Class D1); flexible commercial floorspace (comprising retail (Class A1), financial and professional services (Class A2), café/restaurants (Class A3), hot-food takeaways (Class A5), business (Class B1), and community uses (Class D1); landscaping; removal and replacement of trees; public realm improvements; access improvements; relocation of bus turnaround area; improvements to children's play facilities; provision of energy centre; car &amp; cycle parking; and other highway works incidental to the development. All matters reserved except for Blocks A, K, M, N, O, Q, Portswood Place Nursery and Community Centre and highway/landscape/public realm improvements_x000a__x000a_An Environmental Statement has been submitted with the application under the Town and Country Planning (Environmental Impact Assessment) Regulations 2017."/>
    <s v="PFLA"/>
    <d v="2019-06-07T00:00:00"/>
    <d v="2022-03-23T00:00:00"/>
    <x v="0"/>
    <s v="Nil"/>
    <m/>
    <s v="BF"/>
    <s v="NB"/>
    <x v="1"/>
    <x v="0"/>
    <n v="0"/>
    <m/>
    <x v="0"/>
    <m/>
    <x v="1"/>
    <s v="M"/>
    <s v="8.1.1"/>
    <m/>
    <m/>
    <m/>
    <m/>
    <m/>
    <n v="0"/>
    <n v="-4"/>
    <n v="-8"/>
    <n v="-118"/>
    <n v="0"/>
    <n v="0"/>
    <n v="0"/>
    <n v="0"/>
    <n v="-4"/>
    <n v="-8"/>
    <n v="-118"/>
    <n v="0"/>
    <n v="0"/>
    <n v="0"/>
    <n v="0"/>
    <n v="0"/>
    <n v="0"/>
    <n v="0"/>
    <n v="0"/>
    <n v="0"/>
    <n v="0"/>
    <n v="0"/>
    <n v="0"/>
    <n v="0"/>
    <n v="0"/>
    <n v="0"/>
    <n v="0"/>
    <n v="0"/>
    <x v="1"/>
    <x v="0"/>
    <x v="8"/>
    <n v="10"/>
    <m/>
    <m/>
    <m/>
    <m/>
    <n v="-43.333333333333336"/>
    <n v="-43.333333333333336"/>
    <n v="-43.333333333333336"/>
    <m/>
    <m/>
    <m/>
    <m/>
    <m/>
    <m/>
    <m/>
    <m/>
    <m/>
    <m/>
    <m/>
    <m/>
    <m/>
    <n v="-86.666666666666671"/>
    <n v="-130"/>
  </r>
  <r>
    <n v="7304"/>
    <x v="2"/>
    <s v="2019/2516"/>
    <s v="Development Site of Alton Estate, Danebury Avenue (Alton Estate)"/>
    <s v="Existing"/>
    <n v="522152"/>
    <n v="173834"/>
    <x v="4"/>
    <m/>
    <m/>
    <n v="158"/>
    <x v="6"/>
    <x v="120"/>
    <n v="1068"/>
    <n v="780"/>
    <x v="0"/>
    <s v="The application is for a part outline and a part detailed planning permission for the following proposed development._x000a__x000a_(a) Phased demolition of existing buildings and structures (except Alton Activity Centre community building);_x000a_(b) Mixed-use phased development ranging from 1-9 storeys above ground level comprising 1,103 residential units and up to 9,572 sqm (GIA) of non-residential uses comprising new and replacement community facilities (including library and healthcare facilities, youth facilities, community hall, children's nursery &amp; children's centre) (Class D1); flexible commercial floorspace (comprising retail (Class A1), financial and professional services (Class A2), café/restaurants (Class A3), hot-food takeaways (Class A5), business (Class B1), and community uses (Class D1); landscaping; removal and replacement of trees; public realm improvements; access improvements; relocation of bus turnaround area; improvements to children's play facilities; provision of energy centre; car &amp; cycle parking; and other highway works incidental to the development. All matters reserved except for Blocks A, K, M, N, O, Q, Portswood Place Nursery and Community Centre and highway/landscape/public realm improvements_x000a__x000a_An Environmental Statement has been submitted with the application under the Town and Country Planning (Environmental Impact Assessment) Regulations 2017."/>
    <s v="PFLA"/>
    <d v="2019-06-07T00:00:00"/>
    <d v="2022-03-23T00:00:00"/>
    <x v="0"/>
    <s v="Nil"/>
    <m/>
    <s v="BF"/>
    <s v="NB"/>
    <x v="1"/>
    <x v="0"/>
    <n v="0"/>
    <m/>
    <x v="0"/>
    <m/>
    <x v="2"/>
    <s v="AC"/>
    <s v="8.1.1"/>
    <m/>
    <m/>
    <m/>
    <m/>
    <m/>
    <n v="0"/>
    <n v="-20"/>
    <n v="-34"/>
    <n v="-103"/>
    <n v="0"/>
    <n v="-1"/>
    <n v="0"/>
    <n v="0"/>
    <n v="-20"/>
    <n v="-34"/>
    <n v="-103"/>
    <n v="0"/>
    <n v="-1"/>
    <n v="0"/>
    <n v="0"/>
    <n v="0"/>
    <n v="0"/>
    <n v="0"/>
    <n v="0"/>
    <n v="0"/>
    <n v="0"/>
    <n v="0"/>
    <n v="0"/>
    <n v="0"/>
    <n v="0"/>
    <n v="0"/>
    <n v="0"/>
    <n v="0"/>
    <x v="1"/>
    <x v="0"/>
    <x v="8"/>
    <n v="10"/>
    <m/>
    <m/>
    <m/>
    <m/>
    <n v="-52.666666666666664"/>
    <n v="-52.666666666666664"/>
    <n v="-52.666666666666664"/>
    <m/>
    <m/>
    <m/>
    <m/>
    <m/>
    <m/>
    <m/>
    <m/>
    <m/>
    <m/>
    <m/>
    <m/>
    <m/>
    <n v="-105.33333333333333"/>
    <n v="-158"/>
  </r>
  <r>
    <n v="7304"/>
    <x v="2"/>
    <s v="2019/2516"/>
    <s v="Development Site of Alton Estate, Danebury Avenue (Alton Estate)"/>
    <s v="Outline Affordable Housing Units (65 Units)"/>
    <n v="522152"/>
    <n v="173834"/>
    <x v="4"/>
    <m/>
    <m/>
    <n v="0"/>
    <x v="104"/>
    <x v="121"/>
    <n v="1068"/>
    <n v="780"/>
    <x v="0"/>
    <s v="The application is for a part outline and a part detailed planning permission for the following proposed development._x000a__x000a_(a) Phased demolition of existing buildings and structures (except Alton Activity Centre community building);_x000a_(b) Mixed-use phased development ranging from 1-9 storeys above ground level comprising 1,103 residential units and up to 9,572 sqm (GIA) of non-residential uses comprising new and replacement community facilities (including library and healthcare facilities, youth facilities, community hall, children's nursery &amp; children's centre) (Class D1); flexible commercial floorspace (comprising retail (Class A1), financial and professional services (Class A2), café/restaurants (Class A3), hot-food takeaways (Class A5), business (Class B1), and community uses (Class D1); landscaping; removal and replacement of trees; public realm improvements; access improvements; relocation of bus turnaround area; improvements to children's play facilities; provision of energy centre; car &amp; cycle parking; and other highway works incidental to the development. All matters reserved except for Blocks A, K, M, N, O, Q, Portswood Place Nursery and Community Centre and highway/landscape/public realm improvements_x000a__x000a_An Environmental Statement has been submitted with the application under the Town and Country Planning (Environmental Impact Assessment) Regulations 2017."/>
    <s v="PFLA"/>
    <d v="2019-06-07T00:00:00"/>
    <d v="2022-03-23T00:00:00"/>
    <x v="0"/>
    <s v="Nil"/>
    <m/>
    <s v="BF"/>
    <s v="NB"/>
    <x v="1"/>
    <x v="0"/>
    <n v="0.23594999999999999"/>
    <m/>
    <x v="0"/>
    <m/>
    <x v="2"/>
    <s v="AA"/>
    <s v="8.1.1"/>
    <m/>
    <m/>
    <n v="59"/>
    <m/>
    <n v="6"/>
    <n v="0"/>
    <n v="0"/>
    <n v="0"/>
    <n v="0"/>
    <n v="0"/>
    <n v="0"/>
    <n v="65"/>
    <n v="0"/>
    <n v="0"/>
    <n v="0"/>
    <n v="0"/>
    <n v="0"/>
    <n v="0"/>
    <n v="65"/>
    <n v="0"/>
    <n v="0"/>
    <n v="0"/>
    <n v="0"/>
    <n v="0"/>
    <n v="0"/>
    <n v="0"/>
    <n v="0"/>
    <n v="0"/>
    <n v="0"/>
    <n v="0"/>
    <n v="0"/>
    <n v="0"/>
    <n v="0"/>
    <x v="1"/>
    <x v="0"/>
    <x v="8"/>
    <n v="10"/>
    <m/>
    <m/>
    <m/>
    <m/>
    <n v="21.666666666666668"/>
    <n v="21.666666666666668"/>
    <n v="21.666666666666668"/>
    <m/>
    <m/>
    <m/>
    <m/>
    <m/>
    <m/>
    <m/>
    <m/>
    <m/>
    <m/>
    <m/>
    <m/>
    <m/>
    <n v="43.333333333333336"/>
    <n v="65"/>
  </r>
  <r>
    <n v="7191"/>
    <x v="2"/>
    <s v="2019/2583"/>
    <s v="245a Wimbledon Park Road"/>
    <s v=""/>
    <n v="524767"/>
    <n v="173302"/>
    <x v="12"/>
    <m/>
    <m/>
    <n v="0"/>
    <x v="3"/>
    <x v="5"/>
    <n v="1"/>
    <n v="1"/>
    <x v="1"/>
    <s v="Determination as to whether prior approval is required for change of use of lower ground floor from Estate agents(Class A2) to 1 x 1-bedroom flat (Class C3)."/>
    <s v="PANR"/>
    <d v="2019-06-27T00:00:00"/>
    <d v="2019-08-16T00:00:00"/>
    <x v="0"/>
    <s v="Nil"/>
    <m/>
    <s v="BF"/>
    <s v="COU"/>
    <x v="2"/>
    <x v="6"/>
    <n v="2E-3"/>
    <m/>
    <x v="0"/>
    <m/>
    <x v="1"/>
    <s v="M"/>
    <s v=""/>
    <m/>
    <m/>
    <m/>
    <m/>
    <m/>
    <n v="0"/>
    <n v="1"/>
    <n v="0"/>
    <n v="0"/>
    <n v="0"/>
    <n v="0"/>
    <n v="0"/>
    <n v="0"/>
    <n v="1"/>
    <n v="0"/>
    <n v="0"/>
    <n v="0"/>
    <n v="0"/>
    <n v="0"/>
    <n v="0"/>
    <n v="0"/>
    <n v="0"/>
    <n v="0"/>
    <n v="0"/>
    <n v="0"/>
    <n v="0"/>
    <n v="0"/>
    <n v="0"/>
    <n v="0"/>
    <n v="0"/>
    <n v="0"/>
    <n v="0"/>
    <n v="0"/>
    <x v="1"/>
    <x v="0"/>
    <x v="2"/>
    <n v="15"/>
    <m/>
    <n v="0.25"/>
    <n v="0.25"/>
    <n v="0.25"/>
    <n v="0.25"/>
    <m/>
    <m/>
    <m/>
    <m/>
    <m/>
    <m/>
    <m/>
    <m/>
    <m/>
    <m/>
    <m/>
    <m/>
    <m/>
    <m/>
    <m/>
    <n v="1"/>
    <n v="1"/>
  </r>
  <r>
    <n v="7190"/>
    <x v="2"/>
    <s v="2019/2585"/>
    <s v="Wildcroft Manor, Wildcroft Road"/>
    <s v=""/>
    <n v="523349"/>
    <n v="173599"/>
    <x v="16"/>
    <m/>
    <m/>
    <n v="0"/>
    <x v="29"/>
    <x v="33"/>
    <n v="9"/>
    <n v="9"/>
    <x v="1"/>
    <s v="Alterations including erection of front and rear dormer roof extensions to all blocks to provide to 6 x 2-bedroom and 3 x 3-bedroom flats; 18 cycle storage spaces ."/>
    <s v="PF"/>
    <d v="2019-06-27T00:00:00"/>
    <d v="2019-09-18T00:00:00"/>
    <x v="0"/>
    <s v="Nil"/>
    <m/>
    <s v="BF"/>
    <s v="EXT"/>
    <x v="2"/>
    <x v="7"/>
    <n v="3.5999999999999997E-2"/>
    <m/>
    <x v="0"/>
    <m/>
    <x v="1"/>
    <s v="M"/>
    <s v=""/>
    <m/>
    <m/>
    <m/>
    <m/>
    <m/>
    <n v="0"/>
    <n v="0"/>
    <n v="6"/>
    <n v="3"/>
    <n v="0"/>
    <n v="0"/>
    <n v="0"/>
    <n v="0"/>
    <n v="0"/>
    <n v="6"/>
    <n v="3"/>
    <n v="0"/>
    <n v="0"/>
    <n v="0"/>
    <n v="0"/>
    <n v="0"/>
    <n v="0"/>
    <n v="0"/>
    <n v="0"/>
    <n v="0"/>
    <n v="0"/>
    <n v="0"/>
    <n v="0"/>
    <n v="0"/>
    <n v="0"/>
    <n v="0"/>
    <n v="0"/>
    <n v="0"/>
    <x v="1"/>
    <x v="0"/>
    <x v="2"/>
    <n v="18"/>
    <m/>
    <n v="2.25"/>
    <n v="2.25"/>
    <n v="2.25"/>
    <n v="2.25"/>
    <m/>
    <m/>
    <m/>
    <m/>
    <m/>
    <m/>
    <m/>
    <m/>
    <m/>
    <m/>
    <m/>
    <m/>
    <m/>
    <m/>
    <m/>
    <n v="9"/>
    <n v="9"/>
  </r>
  <r>
    <n v="340"/>
    <x v="2"/>
    <s v="2019/2689"/>
    <s v="76 a &amp; b, 76 Moyser Road"/>
    <s v=""/>
    <n v="528898"/>
    <n v="171088"/>
    <x v="9"/>
    <m/>
    <m/>
    <n v="0"/>
    <x v="5"/>
    <x v="7"/>
    <n v="2"/>
    <n v="2"/>
    <x v="1"/>
    <s v="Determination as to whether prior approval is required for change of use from business (Class B1) to 2 x 1-bedroom flat (Class C3)."/>
    <s v="PAG"/>
    <d v="2019-07-05T00:00:00"/>
    <d v="2019-08-16T00:00:00"/>
    <x v="0"/>
    <s v="Nil"/>
    <m/>
    <s v="BF"/>
    <s v="COU"/>
    <x v="2"/>
    <x v="6"/>
    <n v="5.0000000000000001E-3"/>
    <m/>
    <x v="0"/>
    <m/>
    <x v="1"/>
    <s v="M"/>
    <s v=""/>
    <m/>
    <m/>
    <m/>
    <m/>
    <m/>
    <n v="0"/>
    <n v="2"/>
    <n v="0"/>
    <n v="0"/>
    <n v="0"/>
    <n v="0"/>
    <n v="0"/>
    <n v="0"/>
    <n v="2"/>
    <n v="0"/>
    <n v="0"/>
    <n v="0"/>
    <n v="0"/>
    <n v="0"/>
    <n v="0"/>
    <n v="0"/>
    <n v="0"/>
    <n v="0"/>
    <n v="0"/>
    <n v="0"/>
    <n v="0"/>
    <n v="0"/>
    <n v="0"/>
    <n v="0"/>
    <n v="0"/>
    <n v="0"/>
    <n v="0"/>
    <n v="0"/>
    <x v="1"/>
    <x v="0"/>
    <x v="2"/>
    <n v="15"/>
    <m/>
    <n v="0.5"/>
    <n v="0.5"/>
    <n v="0.5"/>
    <n v="0.5"/>
    <m/>
    <m/>
    <m/>
    <m/>
    <m/>
    <m/>
    <m/>
    <m/>
    <m/>
    <m/>
    <m/>
    <m/>
    <m/>
    <m/>
    <m/>
    <n v="2"/>
    <n v="2"/>
  </r>
  <r>
    <n v="5699"/>
    <x v="2"/>
    <s v="2019/2929"/>
    <s v="Land Adjacent, 33 Vandyke Close"/>
    <s v=""/>
    <n v="523902"/>
    <n v="174030"/>
    <x v="7"/>
    <m/>
    <m/>
    <n v="0"/>
    <x v="3"/>
    <x v="5"/>
    <n v="1"/>
    <n v="1"/>
    <x v="1"/>
    <s v="Erection of two storey 2-bedroom house with first floor level rear terrace, associated cycle and bin storage."/>
    <s v="PF"/>
    <d v="2019-07-17T00:00:00"/>
    <d v="2019-10-04T00:00:00"/>
    <x v="0"/>
    <s v="Nil"/>
    <m/>
    <s v="BF"/>
    <s v="NB"/>
    <x v="2"/>
    <x v="3"/>
    <n v="1.0999999999999999E-2"/>
    <m/>
    <x v="0"/>
    <m/>
    <x v="1"/>
    <s v="M"/>
    <s v=""/>
    <m/>
    <m/>
    <m/>
    <m/>
    <m/>
    <n v="0"/>
    <n v="0"/>
    <n v="1"/>
    <n v="0"/>
    <n v="0"/>
    <n v="0"/>
    <n v="0"/>
    <n v="0"/>
    <n v="0"/>
    <n v="0"/>
    <n v="0"/>
    <n v="0"/>
    <n v="0"/>
    <n v="0"/>
    <n v="0"/>
    <n v="0"/>
    <n v="1"/>
    <n v="0"/>
    <n v="0"/>
    <n v="0"/>
    <n v="0"/>
    <n v="0"/>
    <n v="0"/>
    <n v="0"/>
    <n v="0"/>
    <n v="0"/>
    <n v="0"/>
    <n v="0"/>
    <x v="1"/>
    <x v="0"/>
    <x v="2"/>
    <n v="7"/>
    <m/>
    <m/>
    <n v="0.25"/>
    <n v="0.25"/>
    <n v="0.25"/>
    <n v="0.25"/>
    <m/>
    <m/>
    <m/>
    <m/>
    <m/>
    <m/>
    <m/>
    <m/>
    <m/>
    <m/>
    <m/>
    <m/>
    <m/>
    <m/>
    <n v="1"/>
    <n v="1"/>
  </r>
  <r>
    <n v="7232"/>
    <x v="2"/>
    <s v="2019/3241"/>
    <s v="87 Nightingale Lane"/>
    <s v=""/>
    <n v="528139"/>
    <n v="173962"/>
    <x v="6"/>
    <m/>
    <m/>
    <n v="1"/>
    <x v="5"/>
    <x v="5"/>
    <n v="2"/>
    <n v="1"/>
    <x v="1"/>
    <s v="Conversion of first and second floors to 2 x 1-bedroom flats."/>
    <s v="PF"/>
    <d v="2019-08-20T00:00:00"/>
    <d v="2019-10-02T00:00:00"/>
    <x v="0"/>
    <s v="Nil"/>
    <m/>
    <s v="BF"/>
    <s v="CON"/>
    <x v="2"/>
    <x v="5"/>
    <n v="8.9999999999999993E-3"/>
    <m/>
    <x v="0"/>
    <m/>
    <x v="1"/>
    <s v="M"/>
    <s v=""/>
    <m/>
    <m/>
    <m/>
    <m/>
    <m/>
    <n v="0"/>
    <n v="2"/>
    <n v="0"/>
    <n v="-1"/>
    <n v="0"/>
    <n v="0"/>
    <n v="0"/>
    <n v="0"/>
    <n v="2"/>
    <n v="0"/>
    <n v="-1"/>
    <n v="0"/>
    <n v="0"/>
    <n v="0"/>
    <n v="0"/>
    <n v="0"/>
    <n v="0"/>
    <n v="0"/>
    <n v="0"/>
    <n v="0"/>
    <n v="0"/>
    <n v="0"/>
    <n v="0"/>
    <n v="0"/>
    <n v="0"/>
    <n v="0"/>
    <n v="0"/>
    <n v="0"/>
    <x v="1"/>
    <x v="0"/>
    <x v="2"/>
    <n v="15"/>
    <m/>
    <n v="0.25"/>
    <n v="0.25"/>
    <n v="0.25"/>
    <n v="0.25"/>
    <m/>
    <m/>
    <m/>
    <m/>
    <m/>
    <m/>
    <m/>
    <m/>
    <m/>
    <m/>
    <m/>
    <m/>
    <m/>
    <m/>
    <m/>
    <n v="1"/>
    <n v="1"/>
  </r>
  <r>
    <n v="7248"/>
    <x v="2"/>
    <s v="2019/3459"/>
    <s v="Flat First Floor, 36a Putney High Street"/>
    <s v=""/>
    <n v="524095"/>
    <n v="175524"/>
    <x v="3"/>
    <m/>
    <m/>
    <n v="1"/>
    <x v="5"/>
    <x v="5"/>
    <n v="2"/>
    <n v="1"/>
    <x v="1"/>
    <s v="Alterations in connection with conversion of flat into 2 x 1-bedroom flats. (description incorrect as per email confirmation)"/>
    <s v="PF"/>
    <d v="2019-09-12T00:00:00"/>
    <d v="2020-06-01T00:00:00"/>
    <x v="0"/>
    <s v="Nil"/>
    <m/>
    <s v="BF"/>
    <s v="CON"/>
    <x v="2"/>
    <x v="7"/>
    <n v="7.0000000000000001E-3"/>
    <m/>
    <x v="0"/>
    <m/>
    <x v="1"/>
    <s v="M"/>
    <s v=""/>
    <m/>
    <m/>
    <m/>
    <m/>
    <m/>
    <n v="0"/>
    <n v="1"/>
    <n v="0"/>
    <n v="0"/>
    <n v="0"/>
    <n v="0"/>
    <n v="0"/>
    <n v="0"/>
    <n v="1"/>
    <n v="0"/>
    <n v="0"/>
    <n v="0"/>
    <n v="0"/>
    <n v="0"/>
    <n v="0"/>
    <n v="0"/>
    <n v="0"/>
    <n v="0"/>
    <n v="0"/>
    <n v="0"/>
    <n v="0"/>
    <n v="0"/>
    <n v="0"/>
    <n v="0"/>
    <n v="0"/>
    <n v="0"/>
    <n v="0"/>
    <n v="0"/>
    <x v="2"/>
    <x v="0"/>
    <x v="6"/>
    <n v="15"/>
    <m/>
    <n v="0.25"/>
    <n v="0.25"/>
    <n v="0.25"/>
    <n v="0.25"/>
    <m/>
    <m/>
    <m/>
    <m/>
    <m/>
    <m/>
    <m/>
    <m/>
    <m/>
    <m/>
    <m/>
    <m/>
    <m/>
    <m/>
    <m/>
    <n v="1"/>
    <n v="1"/>
  </r>
  <r>
    <n v="7294"/>
    <x v="2"/>
    <s v="2019/3492"/>
    <s v="9-11 Delia Street"/>
    <s v=""/>
    <n v="525948"/>
    <n v="173961"/>
    <x v="13"/>
    <m/>
    <m/>
    <n v="0"/>
    <x v="5"/>
    <x v="7"/>
    <n v="2"/>
    <n v="2"/>
    <x v="1"/>
    <s v="Alterations including erection of mansard roof extensions to main rear roofs and extension above part of two-storey back additions; including raising the ridges by 230mm  Formation of roof terraces above two-storey back additions with 1.7m high screen surrounds in connection with creation of 2 x 2 bed flats with associated cycle and refuse storage."/>
    <s v="PF"/>
    <d v="2019-10-25T00:00:00"/>
    <d v="2020-02-21T00:00:00"/>
    <x v="0"/>
    <s v="Nil"/>
    <m/>
    <s v="BF"/>
    <s v="EXT"/>
    <x v="2"/>
    <x v="7"/>
    <n v="4.0000000000000001E-3"/>
    <m/>
    <x v="0"/>
    <m/>
    <x v="1"/>
    <s v="M"/>
    <s v=""/>
    <m/>
    <m/>
    <m/>
    <m/>
    <m/>
    <n v="0"/>
    <n v="0"/>
    <n v="2"/>
    <n v="0"/>
    <n v="0"/>
    <n v="0"/>
    <n v="0"/>
    <n v="0"/>
    <n v="0"/>
    <n v="2"/>
    <n v="0"/>
    <n v="0"/>
    <n v="0"/>
    <n v="0"/>
    <n v="0"/>
    <n v="0"/>
    <n v="0"/>
    <n v="0"/>
    <n v="0"/>
    <n v="0"/>
    <n v="0"/>
    <n v="0"/>
    <n v="0"/>
    <n v="0"/>
    <n v="0"/>
    <n v="0"/>
    <n v="0"/>
    <n v="0"/>
    <x v="1"/>
    <x v="0"/>
    <x v="2"/>
    <n v="15"/>
    <m/>
    <n v="0.5"/>
    <n v="0.5"/>
    <n v="0.5"/>
    <n v="0.5"/>
    <m/>
    <m/>
    <m/>
    <m/>
    <m/>
    <m/>
    <m/>
    <m/>
    <m/>
    <m/>
    <m/>
    <m/>
    <m/>
    <m/>
    <m/>
    <n v="2"/>
    <n v="2"/>
  </r>
  <r>
    <n v="7245"/>
    <x v="2"/>
    <s v="2019/3563"/>
    <s v="58a Gosberton Road"/>
    <s v=""/>
    <n v="528090"/>
    <n v="173486"/>
    <x v="6"/>
    <m/>
    <m/>
    <n v="0"/>
    <x v="5"/>
    <x v="7"/>
    <n v="2"/>
    <n v="2"/>
    <x v="1"/>
    <s v="Determination as to whether prior approval is required for change of use from retail (Class A1) to 2 x studio flats (Class C3) with associated external alterations to front and side elevations."/>
    <s v="PANR"/>
    <d v="2019-09-12T00:00:00"/>
    <d v="2019-11-04T00:00:00"/>
    <x v="0"/>
    <s v="Nil"/>
    <m/>
    <s v="BF"/>
    <s v="COU"/>
    <x v="2"/>
    <x v="4"/>
    <n v="7.0000000000000001E-3"/>
    <m/>
    <x v="0"/>
    <m/>
    <x v="1"/>
    <s v="M"/>
    <s v=""/>
    <m/>
    <m/>
    <m/>
    <m/>
    <m/>
    <n v="2"/>
    <n v="0"/>
    <n v="0"/>
    <n v="0"/>
    <n v="0"/>
    <n v="0"/>
    <n v="0"/>
    <n v="2"/>
    <n v="0"/>
    <n v="0"/>
    <n v="0"/>
    <n v="0"/>
    <n v="0"/>
    <n v="0"/>
    <n v="0"/>
    <n v="0"/>
    <n v="0"/>
    <n v="0"/>
    <n v="0"/>
    <n v="0"/>
    <n v="0"/>
    <n v="0"/>
    <n v="0"/>
    <n v="0"/>
    <n v="0"/>
    <n v="0"/>
    <n v="0"/>
    <n v="0"/>
    <x v="1"/>
    <x v="0"/>
    <x v="2"/>
    <n v="15"/>
    <m/>
    <n v="0.5"/>
    <n v="0.5"/>
    <n v="0.5"/>
    <n v="0.5"/>
    <m/>
    <m/>
    <m/>
    <m/>
    <m/>
    <m/>
    <m/>
    <m/>
    <m/>
    <m/>
    <m/>
    <m/>
    <m/>
    <m/>
    <m/>
    <n v="2"/>
    <n v="2"/>
  </r>
  <r>
    <n v="7266"/>
    <x v="2"/>
    <s v="2019/3870"/>
    <s v="32 Latchmere Road"/>
    <s v=""/>
    <n v="527567"/>
    <n v="176185"/>
    <x v="20"/>
    <m/>
    <m/>
    <n v="0"/>
    <x v="3"/>
    <x v="5"/>
    <n v="3"/>
    <n v="2"/>
    <x v="1"/>
    <s v="Alterations including erection of extension to provide an additional floor of accomodation, including formation of rear roof terrace; Rebuilding existing front bay window and insertion of two additional bay windows and formation of two balconies at first and second floor levels; Installation of rear access stair with screening to first and second floors; Erection of first floor rear extension in connection with conversion to 1 x 2-bedroom and 2 x 3-bedroom flats, with associated refuse and cycle storage."/>
    <s v="PF"/>
    <d v="2019-10-04T00:00:00"/>
    <d v="2020-01-07T00:00:00"/>
    <x v="0"/>
    <s v="Nil"/>
    <m/>
    <s v="BF"/>
    <s v="MIX"/>
    <x v="2"/>
    <x v="7"/>
    <n v="8.0000000000000002E-3"/>
    <m/>
    <x v="0"/>
    <m/>
    <x v="1"/>
    <s v="M"/>
    <s v=""/>
    <m/>
    <m/>
    <m/>
    <m/>
    <m/>
    <n v="0"/>
    <n v="0"/>
    <n v="0"/>
    <n v="1"/>
    <n v="0"/>
    <n v="0"/>
    <n v="0"/>
    <n v="0"/>
    <n v="0"/>
    <n v="0"/>
    <n v="1"/>
    <n v="0"/>
    <n v="0"/>
    <n v="0"/>
    <n v="0"/>
    <n v="0"/>
    <n v="0"/>
    <n v="0"/>
    <n v="0"/>
    <n v="0"/>
    <n v="0"/>
    <n v="0"/>
    <n v="0"/>
    <n v="0"/>
    <n v="0"/>
    <n v="0"/>
    <n v="0"/>
    <n v="0"/>
    <x v="1"/>
    <x v="0"/>
    <x v="2"/>
    <n v="15"/>
    <m/>
    <n v="0.25"/>
    <n v="0.25"/>
    <n v="0.25"/>
    <n v="0.25"/>
    <m/>
    <m/>
    <m/>
    <m/>
    <m/>
    <m/>
    <m/>
    <m/>
    <m/>
    <m/>
    <m/>
    <m/>
    <m/>
    <m/>
    <m/>
    <n v="1"/>
    <n v="1"/>
  </r>
  <r>
    <n v="7266"/>
    <x v="2"/>
    <s v="2019/3870"/>
    <s v="32 Latchmere Road"/>
    <s v=""/>
    <n v="527567"/>
    <n v="176185"/>
    <x v="20"/>
    <m/>
    <m/>
    <n v="1"/>
    <x v="5"/>
    <x v="5"/>
    <n v="3"/>
    <n v="2"/>
    <x v="1"/>
    <s v="Alterations including erection of extension to provide an additional floor of accomodation, including formation of rear roof terrace; Rebuilding existing front bay window and insertion of two additional bay windows and formation of two balconies at first and second floor levels; Installation of rear access stair with screening to first and second floors; Erection of first floor rear extension in connection with conversion to 1 x 2-bedroom and 2 x 3-bedroom flats, with associated refuse and cycle storage."/>
    <s v="PF"/>
    <d v="2019-10-04T00:00:00"/>
    <d v="2020-01-07T00:00:00"/>
    <x v="0"/>
    <s v="Nil"/>
    <m/>
    <s v="BF"/>
    <s v="MIX"/>
    <x v="2"/>
    <x v="10"/>
    <n v="1.4E-2"/>
    <m/>
    <x v="0"/>
    <m/>
    <x v="1"/>
    <s v="M"/>
    <s v=""/>
    <m/>
    <m/>
    <m/>
    <m/>
    <m/>
    <n v="0"/>
    <n v="0"/>
    <n v="1"/>
    <n v="0"/>
    <n v="0"/>
    <n v="0"/>
    <n v="0"/>
    <n v="0"/>
    <n v="0"/>
    <n v="1"/>
    <n v="1"/>
    <n v="0"/>
    <n v="0"/>
    <n v="0"/>
    <n v="0"/>
    <n v="0"/>
    <n v="0"/>
    <n v="-1"/>
    <n v="0"/>
    <n v="0"/>
    <n v="0"/>
    <n v="0"/>
    <n v="0"/>
    <n v="0"/>
    <n v="0"/>
    <n v="0"/>
    <n v="0"/>
    <n v="0"/>
    <x v="1"/>
    <x v="0"/>
    <x v="2"/>
    <n v="15"/>
    <m/>
    <n v="0.25"/>
    <n v="0.25"/>
    <n v="0.25"/>
    <n v="0.25"/>
    <m/>
    <m/>
    <m/>
    <m/>
    <m/>
    <m/>
    <m/>
    <m/>
    <m/>
    <m/>
    <m/>
    <m/>
    <m/>
    <m/>
    <m/>
    <n v="1"/>
    <n v="1"/>
  </r>
  <r>
    <n v="7245"/>
    <x v="2"/>
    <s v="2019/4316"/>
    <s v="58a Gosberton Road"/>
    <s v=""/>
    <n v="528090"/>
    <n v="173486"/>
    <x v="6"/>
    <m/>
    <m/>
    <n v="0"/>
    <x v="3"/>
    <x v="5"/>
    <n v="1"/>
    <n v="1"/>
    <x v="1"/>
    <s v="Alterations including dormer extension to main rear roof and erection of part-single, part-two storey rear/side extension in connection with conversion to 1 x 2-bed and 1 x studio flat."/>
    <s v="PF"/>
    <d v="2019-12-10T00:00:00"/>
    <d v="2020-08-19T00:00:00"/>
    <x v="0"/>
    <s v="Nil"/>
    <m/>
    <s v="BF"/>
    <s v="EXT"/>
    <x v="2"/>
    <x v="7"/>
    <n v="4.0000000000000001E-3"/>
    <m/>
    <x v="0"/>
    <m/>
    <x v="1"/>
    <s v="M"/>
    <s v=""/>
    <m/>
    <m/>
    <m/>
    <m/>
    <m/>
    <n v="1"/>
    <n v="0"/>
    <n v="0"/>
    <n v="0"/>
    <n v="0"/>
    <n v="0"/>
    <n v="0"/>
    <n v="1"/>
    <n v="0"/>
    <n v="0"/>
    <n v="0"/>
    <n v="0"/>
    <n v="0"/>
    <n v="0"/>
    <n v="0"/>
    <n v="0"/>
    <n v="0"/>
    <n v="0"/>
    <n v="0"/>
    <n v="0"/>
    <n v="0"/>
    <n v="0"/>
    <n v="0"/>
    <n v="0"/>
    <n v="0"/>
    <n v="0"/>
    <n v="0"/>
    <n v="0"/>
    <x v="1"/>
    <x v="0"/>
    <x v="2"/>
    <n v="15"/>
    <m/>
    <n v="0.25"/>
    <n v="0.25"/>
    <n v="0.25"/>
    <n v="0.25"/>
    <m/>
    <m/>
    <m/>
    <m/>
    <m/>
    <m/>
    <m/>
    <m/>
    <m/>
    <m/>
    <m/>
    <m/>
    <m/>
    <m/>
    <m/>
    <n v="1"/>
    <n v="1"/>
  </r>
  <r>
    <n v="6979"/>
    <x v="2"/>
    <s v="2019/4409"/>
    <s v="99-105 Moyser Road"/>
    <s v=""/>
    <n v="528847"/>
    <n v="171190"/>
    <x v="9"/>
    <m/>
    <m/>
    <n v="0"/>
    <x v="12"/>
    <x v="15"/>
    <n v="4"/>
    <n v="4"/>
    <x v="1"/>
    <s v="Alterations including erection of roof extension to provide additional floor of accommodation and creation of 3 x 1-bedroom and a studio flats."/>
    <s v="PF"/>
    <d v="2019-10-31T00:00:00"/>
    <d v="2020-07-07T00:00:00"/>
    <x v="0"/>
    <s v="Nil"/>
    <m/>
    <s v="BF"/>
    <s v="EXT"/>
    <x v="2"/>
    <x v="7"/>
    <n v="7.0000000000000001E-3"/>
    <m/>
    <x v="0"/>
    <m/>
    <x v="1"/>
    <s v="M"/>
    <s v=""/>
    <m/>
    <m/>
    <m/>
    <m/>
    <m/>
    <n v="1"/>
    <n v="3"/>
    <n v="0"/>
    <n v="0"/>
    <n v="0"/>
    <n v="0"/>
    <n v="0"/>
    <n v="1"/>
    <n v="3"/>
    <n v="0"/>
    <n v="0"/>
    <n v="0"/>
    <n v="0"/>
    <n v="0"/>
    <n v="0"/>
    <n v="0"/>
    <n v="0"/>
    <n v="0"/>
    <n v="0"/>
    <n v="0"/>
    <n v="0"/>
    <n v="0"/>
    <n v="0"/>
    <n v="0"/>
    <n v="0"/>
    <n v="0"/>
    <n v="0"/>
    <n v="0"/>
    <x v="1"/>
    <x v="0"/>
    <x v="2"/>
    <n v="15"/>
    <m/>
    <n v="1"/>
    <n v="1"/>
    <n v="1"/>
    <n v="1"/>
    <m/>
    <m/>
    <m/>
    <m/>
    <m/>
    <m/>
    <m/>
    <m/>
    <m/>
    <m/>
    <m/>
    <m/>
    <m/>
    <m/>
    <m/>
    <n v="4"/>
    <n v="4"/>
  </r>
  <r>
    <n v="7298"/>
    <x v="2"/>
    <s v="2019/4666"/>
    <s v="206 Mitcham Road"/>
    <s v="Flats x 8"/>
    <n v="527967"/>
    <n v="170922"/>
    <x v="0"/>
    <m/>
    <m/>
    <n v="4"/>
    <x v="9"/>
    <x v="15"/>
    <n v="9"/>
    <n v="5"/>
    <x v="1"/>
    <s v="Demolition of the existing building and the erection of a four-storey building (plus basement) to provide 8 No. flats 1 x studio, 3 x 1-bedroom; 2 x 2-bedroom and 2 x 3-bedroom) and the erection of a single-storey building (plus basement) to provide a 1 x 3-bedroom dwellinghhouse in the rear courtyard with associated cycle parking, refuse storage and landscaping."/>
    <s v="PF"/>
    <d v="2019-11-19T00:00:00"/>
    <d v="2020-12-22T00:00:00"/>
    <x v="0"/>
    <s v="Nil"/>
    <m/>
    <s v="BF"/>
    <s v="NB"/>
    <x v="2"/>
    <x v="3"/>
    <n v="4.2999999999999997E-2"/>
    <m/>
    <x v="0"/>
    <m/>
    <x v="1"/>
    <s v="M"/>
    <s v=""/>
    <m/>
    <m/>
    <m/>
    <m/>
    <m/>
    <n v="-3"/>
    <n v="3"/>
    <n v="2"/>
    <n v="2"/>
    <n v="0"/>
    <n v="0"/>
    <n v="0"/>
    <n v="-3"/>
    <n v="3"/>
    <n v="2"/>
    <n v="2"/>
    <n v="0"/>
    <n v="0"/>
    <n v="0"/>
    <n v="0"/>
    <n v="0"/>
    <n v="0"/>
    <n v="0"/>
    <n v="0"/>
    <n v="0"/>
    <n v="0"/>
    <n v="0"/>
    <n v="0"/>
    <n v="0"/>
    <n v="0"/>
    <n v="0"/>
    <n v="0"/>
    <n v="0"/>
    <x v="1"/>
    <x v="0"/>
    <x v="2"/>
    <n v="10"/>
    <m/>
    <m/>
    <m/>
    <m/>
    <n v="1.3333333333333333"/>
    <n v="1.3333333333333333"/>
    <n v="1.3333333333333333"/>
    <m/>
    <m/>
    <m/>
    <m/>
    <m/>
    <m/>
    <m/>
    <m/>
    <m/>
    <m/>
    <m/>
    <m/>
    <m/>
    <n v="2.6666666666666665"/>
    <n v="4"/>
  </r>
  <r>
    <n v="7298"/>
    <x v="2"/>
    <s v="2019/4666"/>
    <s v="206 Mitcham Road"/>
    <s v="House"/>
    <n v="527967"/>
    <n v="170922"/>
    <x v="0"/>
    <m/>
    <m/>
    <n v="0"/>
    <x v="3"/>
    <x v="5"/>
    <n v="9"/>
    <n v="5"/>
    <x v="1"/>
    <s v="Demolition of the existing building and the erection of a four-storey building (plus basement) to provide 8 No. flats 1 x studio, 3 x 1-bedroom; 2 x 2-bedroom and 2 x 3-bedroom) and the erection of a single-storey building (plus basement) to provide a 1 x 3-bedroom dwellinghhouse in the rear courtyard with associated cycle parking, refuse storage and landscaping."/>
    <s v="PF"/>
    <d v="2019-11-19T00:00:00"/>
    <d v="2020-12-22T00:00:00"/>
    <x v="0"/>
    <s v="Nil"/>
    <m/>
    <s v="BF"/>
    <s v="NB"/>
    <x v="2"/>
    <x v="3"/>
    <n v="1.0999999999999999E-2"/>
    <m/>
    <x v="0"/>
    <m/>
    <x v="1"/>
    <s v="M"/>
    <s v=""/>
    <m/>
    <m/>
    <m/>
    <m/>
    <m/>
    <n v="0"/>
    <n v="0"/>
    <n v="0"/>
    <n v="1"/>
    <n v="0"/>
    <n v="0"/>
    <n v="0"/>
    <n v="0"/>
    <n v="0"/>
    <n v="0"/>
    <n v="0"/>
    <n v="0"/>
    <n v="0"/>
    <n v="0"/>
    <n v="0"/>
    <n v="0"/>
    <n v="0"/>
    <n v="1"/>
    <n v="0"/>
    <n v="0"/>
    <n v="0"/>
    <n v="0"/>
    <n v="0"/>
    <n v="0"/>
    <n v="0"/>
    <n v="0"/>
    <n v="0"/>
    <n v="0"/>
    <x v="1"/>
    <x v="0"/>
    <x v="2"/>
    <n v="10"/>
    <m/>
    <m/>
    <m/>
    <m/>
    <n v="0.33333333333333331"/>
    <n v="0.33333333333333331"/>
    <n v="0.33333333333333331"/>
    <m/>
    <m/>
    <m/>
    <m/>
    <m/>
    <m/>
    <m/>
    <m/>
    <m/>
    <m/>
    <m/>
    <m/>
    <m/>
    <n v="0.66666666666666663"/>
    <n v="1"/>
  </r>
  <r>
    <n v="6709"/>
    <x v="2"/>
    <s v="2019/4846"/>
    <s v="21 Lavender Hill"/>
    <s v=""/>
    <n v="528478"/>
    <n v="175737"/>
    <x v="8"/>
    <m/>
    <m/>
    <n v="0"/>
    <x v="5"/>
    <x v="7"/>
    <n v="2"/>
    <n v="2"/>
    <x v="1"/>
    <s v="Determination as to whether prior approval is required for change of use from hot food takeaway (Class A5) to residential (Class C3) to provide 2 x 1-bedroom flats with associated external alteration side elevation."/>
    <s v="PAG"/>
    <d v="2019-11-15T00:00:00"/>
    <d v="2020-01-02T00:00:00"/>
    <x v="0"/>
    <s v="Nil"/>
    <m/>
    <s v="BF"/>
    <s v="COU"/>
    <x v="2"/>
    <x v="8"/>
    <n v="7.0000000000000001E-3"/>
    <m/>
    <x v="0"/>
    <m/>
    <x v="1"/>
    <s v="M"/>
    <s v=""/>
    <m/>
    <m/>
    <m/>
    <m/>
    <m/>
    <n v="0"/>
    <n v="2"/>
    <n v="0"/>
    <n v="0"/>
    <n v="0"/>
    <n v="0"/>
    <n v="0"/>
    <n v="0"/>
    <n v="2"/>
    <n v="0"/>
    <n v="0"/>
    <n v="0"/>
    <n v="0"/>
    <n v="0"/>
    <n v="0"/>
    <n v="0"/>
    <n v="0"/>
    <n v="0"/>
    <n v="0"/>
    <n v="0"/>
    <n v="0"/>
    <n v="0"/>
    <n v="0"/>
    <n v="0"/>
    <n v="0"/>
    <n v="0"/>
    <n v="0"/>
    <n v="0"/>
    <x v="1"/>
    <x v="0"/>
    <x v="2"/>
    <n v="15"/>
    <m/>
    <n v="0.5"/>
    <n v="0.5"/>
    <n v="0.5"/>
    <n v="0.5"/>
    <m/>
    <m/>
    <m/>
    <m/>
    <m/>
    <m/>
    <m/>
    <m/>
    <m/>
    <m/>
    <m/>
    <m/>
    <m/>
    <m/>
    <m/>
    <n v="2"/>
    <n v="2"/>
  </r>
  <r>
    <n v="6953"/>
    <x v="2"/>
    <s v="2019/4849"/>
    <s v="890 Garratt Lane"/>
    <s v="CoU"/>
    <n v="527131"/>
    <n v="171625"/>
    <x v="0"/>
    <d v="2019-03-31T00:00:00"/>
    <m/>
    <n v="0"/>
    <x v="3"/>
    <x v="5"/>
    <n v="3"/>
    <n v="2"/>
    <x v="1"/>
    <s v="Change of use part ground floor form Financial and Professional Services (Class A2) to residential (Class C3). Alterations including erection of single-storey side/rear extension in connection with provision of one self-contained 1 bedroom flat. Erection of first floor rear extension. Erection of mansard roof extension to main rear roof (raising the ridge by 200mm) and erection of extension above part of two-storey rear addition with formation of roof terrace including 1.7m high obscured glazing in connection with the conversion of the first floor flat into 2 x 1 bedroom flats."/>
    <s v="PF"/>
    <d v="2019-12-04T00:00:00"/>
    <d v="2020-03-15T00:00:00"/>
    <x v="0"/>
    <s v="Nil"/>
    <m/>
    <s v="BF"/>
    <s v="MIX"/>
    <x v="2"/>
    <x v="6"/>
    <n v="5.0000000000000001E-3"/>
    <m/>
    <x v="0"/>
    <m/>
    <x v="1"/>
    <s v="M"/>
    <s v=""/>
    <m/>
    <m/>
    <m/>
    <m/>
    <m/>
    <n v="0"/>
    <n v="1"/>
    <n v="0"/>
    <n v="0"/>
    <n v="0"/>
    <n v="0"/>
    <n v="0"/>
    <n v="0"/>
    <n v="1"/>
    <n v="0"/>
    <n v="0"/>
    <n v="0"/>
    <n v="0"/>
    <n v="0"/>
    <n v="0"/>
    <n v="0"/>
    <n v="0"/>
    <n v="0"/>
    <n v="0"/>
    <n v="0"/>
    <n v="0"/>
    <n v="0"/>
    <n v="0"/>
    <n v="0"/>
    <n v="0"/>
    <n v="0"/>
    <n v="0"/>
    <n v="0"/>
    <x v="1"/>
    <x v="0"/>
    <x v="2"/>
    <n v="15"/>
    <m/>
    <n v="0.25"/>
    <n v="0.25"/>
    <n v="0.25"/>
    <n v="0.25"/>
    <m/>
    <m/>
    <m/>
    <m/>
    <m/>
    <m/>
    <m/>
    <m/>
    <m/>
    <m/>
    <m/>
    <m/>
    <m/>
    <m/>
    <m/>
    <n v="1"/>
    <n v="1"/>
  </r>
  <r>
    <n v="7118"/>
    <x v="2"/>
    <s v="2019/4906"/>
    <s v="36 Graveney Road"/>
    <s v=""/>
    <n v="527344"/>
    <n v="171674"/>
    <x v="0"/>
    <m/>
    <m/>
    <n v="1"/>
    <x v="6"/>
    <x v="3"/>
    <n v="0"/>
    <n v="-1"/>
    <x v="1"/>
    <s v="Alterations in connection with change of use from House in Multiple Occupation (Class C4) to a large House in Multiple Occupation (Sui Generis) for 7 persons."/>
    <s v="PF"/>
    <d v="2019-02-20T00:00:00"/>
    <d v="2020-10-28T00:00:00"/>
    <x v="0"/>
    <s v="Nil"/>
    <m/>
    <s v="BF"/>
    <s v="COU"/>
    <x v="2"/>
    <x v="9"/>
    <n v="6.4000000000000001E-2"/>
    <m/>
    <x v="0"/>
    <m/>
    <x v="1"/>
    <s v="M"/>
    <s v=""/>
    <m/>
    <m/>
    <m/>
    <m/>
    <m/>
    <n v="0"/>
    <n v="0"/>
    <n v="0"/>
    <n v="0"/>
    <n v="0"/>
    <n v="-1"/>
    <n v="0"/>
    <n v="0"/>
    <n v="0"/>
    <n v="0"/>
    <n v="0"/>
    <n v="0"/>
    <n v="-1"/>
    <n v="0"/>
    <n v="0"/>
    <n v="0"/>
    <n v="0"/>
    <n v="0"/>
    <n v="0"/>
    <n v="0"/>
    <n v="0"/>
    <n v="0"/>
    <n v="0"/>
    <n v="0"/>
    <n v="0"/>
    <n v="0"/>
    <n v="0"/>
    <n v="0"/>
    <x v="1"/>
    <x v="0"/>
    <x v="2"/>
    <n v="15"/>
    <m/>
    <n v="-0.25"/>
    <n v="-0.25"/>
    <n v="-0.25"/>
    <n v="-0.25"/>
    <m/>
    <m/>
    <m/>
    <m/>
    <m/>
    <m/>
    <m/>
    <m/>
    <m/>
    <m/>
    <m/>
    <m/>
    <m/>
    <m/>
    <m/>
    <n v="-1"/>
    <n v="-1"/>
  </r>
  <r>
    <n v="211"/>
    <x v="2"/>
    <s v="2019/4916"/>
    <s v="Land front of, 1-3 Candahar Road"/>
    <s v=""/>
    <n v="527282"/>
    <n v="176235"/>
    <x v="21"/>
    <m/>
    <m/>
    <n v="0"/>
    <x v="3"/>
    <x v="5"/>
    <n v="1"/>
    <n v="1"/>
    <x v="1"/>
    <s v="Erection of three-storey three bedroom house with associated bin and cycle storage."/>
    <s v="PF"/>
    <d v="2019-12-05T00:00:00"/>
    <d v="2020-01-07T00:00:00"/>
    <x v="0"/>
    <s v="Nil"/>
    <m/>
    <s v="BF"/>
    <s v="NB"/>
    <x v="2"/>
    <x v="3"/>
    <n v="0.107"/>
    <m/>
    <x v="0"/>
    <m/>
    <x v="1"/>
    <s v="M"/>
    <s v=""/>
    <m/>
    <m/>
    <m/>
    <m/>
    <m/>
    <n v="0"/>
    <n v="0"/>
    <n v="0"/>
    <n v="1"/>
    <n v="0"/>
    <n v="0"/>
    <n v="0"/>
    <n v="0"/>
    <n v="0"/>
    <n v="0"/>
    <n v="0"/>
    <n v="0"/>
    <n v="0"/>
    <n v="0"/>
    <n v="0"/>
    <n v="0"/>
    <n v="0"/>
    <n v="1"/>
    <n v="0"/>
    <n v="0"/>
    <n v="0"/>
    <n v="0"/>
    <n v="0"/>
    <n v="0"/>
    <n v="0"/>
    <n v="0"/>
    <n v="0"/>
    <n v="0"/>
    <x v="1"/>
    <x v="0"/>
    <x v="2"/>
    <n v="7"/>
    <m/>
    <m/>
    <n v="0.25"/>
    <n v="0.25"/>
    <n v="0.25"/>
    <n v="0.25"/>
    <m/>
    <m/>
    <m/>
    <m/>
    <m/>
    <m/>
    <m/>
    <m/>
    <m/>
    <m/>
    <m/>
    <m/>
    <m/>
    <m/>
    <n v="1"/>
    <n v="1"/>
  </r>
  <r>
    <n v="6280"/>
    <x v="2"/>
    <s v="2019/5092"/>
    <s v="Belvedere Court, 372-374 Upper Richmond Road"/>
    <s v=""/>
    <n v="523210"/>
    <n v="175380"/>
    <x v="16"/>
    <m/>
    <m/>
    <n v="0"/>
    <x v="29"/>
    <x v="33"/>
    <n v="9"/>
    <n v="9"/>
    <x v="1"/>
    <s v="Alterations including extension to main roof for the creation of 6 X 2 bedroom, 2 X 1 bedroom and 1 X 3 bedroom flats at 6th and 7th floor level.. Associated landscaping and refuse provision. Formation of additional 9 parking spaces."/>
    <s v="PF"/>
    <d v="2019-12-16T00:00:00"/>
    <d v="2020-06-18T00:00:00"/>
    <x v="0"/>
    <s v="Nil"/>
    <m/>
    <s v="BF"/>
    <s v="EXT"/>
    <x v="2"/>
    <x v="7"/>
    <n v="3.9E-2"/>
    <m/>
    <x v="0"/>
    <m/>
    <x v="1"/>
    <s v="M"/>
    <s v=""/>
    <m/>
    <m/>
    <m/>
    <m/>
    <m/>
    <n v="0"/>
    <n v="2"/>
    <n v="6"/>
    <n v="1"/>
    <n v="0"/>
    <n v="0"/>
    <n v="0"/>
    <n v="0"/>
    <n v="2"/>
    <n v="6"/>
    <n v="1"/>
    <n v="0"/>
    <n v="0"/>
    <n v="0"/>
    <n v="0"/>
    <n v="0"/>
    <n v="0"/>
    <n v="0"/>
    <n v="0"/>
    <n v="0"/>
    <n v="0"/>
    <n v="0"/>
    <n v="0"/>
    <n v="0"/>
    <n v="0"/>
    <n v="0"/>
    <n v="0"/>
    <n v="0"/>
    <x v="1"/>
    <x v="0"/>
    <x v="2"/>
    <n v="18"/>
    <m/>
    <n v="2.25"/>
    <n v="2.25"/>
    <n v="2.25"/>
    <n v="2.25"/>
    <m/>
    <m/>
    <m/>
    <m/>
    <m/>
    <m/>
    <m/>
    <m/>
    <m/>
    <m/>
    <m/>
    <m/>
    <m/>
    <m/>
    <m/>
    <n v="9"/>
    <n v="9"/>
  </r>
  <r>
    <n v="7036"/>
    <x v="2"/>
    <s v="2019/5259"/>
    <s v="2 Worcester Gardens"/>
    <s v=""/>
    <n v="527828"/>
    <n v="175000"/>
    <x v="11"/>
    <m/>
    <m/>
    <n v="1"/>
    <x v="11"/>
    <x v="7"/>
    <n v="3"/>
    <n v="2"/>
    <x v="1"/>
    <s v="Alterations including erection of a rear roof extension and extension above part of  back addition; formation of a roof terrace with screen surround; erection first and second floor rear extensions; erection of a ground floor rear/side extension; excavation to enlarge existing basement and formation of front and rear lightwells, in connection with conversion to 1 x 2 bed and 2 x 3 bed self-contained flats."/>
    <s v="PF"/>
    <d v="2020-01-09T00:00:00"/>
    <d v="2020-04-28T00:00:00"/>
    <x v="0"/>
    <s v="Nil"/>
    <m/>
    <s v="BF"/>
    <s v="MIX"/>
    <x v="2"/>
    <x v="10"/>
    <n v="1.4E-2"/>
    <m/>
    <x v="0"/>
    <m/>
    <x v="1"/>
    <s v="M"/>
    <s v=""/>
    <m/>
    <m/>
    <m/>
    <m/>
    <m/>
    <n v="0"/>
    <n v="0"/>
    <n v="1"/>
    <n v="2"/>
    <n v="-1"/>
    <n v="0"/>
    <n v="0"/>
    <n v="0"/>
    <n v="0"/>
    <n v="1"/>
    <n v="2"/>
    <n v="0"/>
    <n v="0"/>
    <n v="0"/>
    <n v="0"/>
    <n v="0"/>
    <n v="0"/>
    <n v="0"/>
    <n v="-1"/>
    <n v="0"/>
    <n v="0"/>
    <n v="0"/>
    <n v="0"/>
    <n v="0"/>
    <n v="0"/>
    <n v="0"/>
    <n v="0"/>
    <n v="0"/>
    <x v="1"/>
    <x v="0"/>
    <x v="2"/>
    <n v="15"/>
    <m/>
    <n v="0.5"/>
    <n v="0.5"/>
    <n v="0.5"/>
    <n v="0.5"/>
    <m/>
    <m/>
    <m/>
    <m/>
    <m/>
    <m/>
    <m/>
    <m/>
    <m/>
    <m/>
    <m/>
    <m/>
    <m/>
    <m/>
    <m/>
    <n v="2"/>
    <n v="2"/>
  </r>
  <r>
    <n v="1813"/>
    <x v="2"/>
    <s v="2019/5337"/>
    <s v="Electricity substation, Tilford Gardens"/>
    <s v="Dwelling 1 (2-storey)"/>
    <n v="523804"/>
    <n v="173079"/>
    <x v="5"/>
    <m/>
    <m/>
    <n v="0"/>
    <x v="3"/>
    <x v="5"/>
    <n v="2"/>
    <n v="2"/>
    <x v="1"/>
    <s v="Alterations including relocation of electricity substation in connection with erection of 1 x two storey 3-bedroom and 1 x three-storey 3-bedroom houses with first floor level terrace, associated parking and refuse/cycle storage."/>
    <s v="PF"/>
    <d v="2020-01-14T00:00:00"/>
    <d v="2020-04-02T00:00:00"/>
    <x v="0"/>
    <s v="Nil"/>
    <m/>
    <s v="BF"/>
    <s v="NB"/>
    <x v="2"/>
    <x v="3"/>
    <n v="3.7999999999999999E-2"/>
    <m/>
    <x v="0"/>
    <m/>
    <x v="1"/>
    <s v="M"/>
    <s v=""/>
    <m/>
    <m/>
    <m/>
    <m/>
    <m/>
    <n v="0"/>
    <n v="0"/>
    <n v="0"/>
    <n v="1"/>
    <n v="0"/>
    <n v="0"/>
    <n v="0"/>
    <n v="0"/>
    <n v="0"/>
    <n v="0"/>
    <n v="0"/>
    <n v="0"/>
    <n v="0"/>
    <n v="0"/>
    <n v="0"/>
    <n v="0"/>
    <n v="0"/>
    <n v="1"/>
    <n v="0"/>
    <n v="0"/>
    <n v="0"/>
    <n v="0"/>
    <n v="0"/>
    <n v="0"/>
    <n v="0"/>
    <n v="0"/>
    <n v="0"/>
    <n v="0"/>
    <x v="1"/>
    <x v="0"/>
    <x v="2"/>
    <n v="7"/>
    <m/>
    <m/>
    <n v="0.25"/>
    <n v="0.25"/>
    <n v="0.25"/>
    <n v="0.25"/>
    <m/>
    <m/>
    <m/>
    <m/>
    <m/>
    <m/>
    <m/>
    <m/>
    <m/>
    <m/>
    <m/>
    <m/>
    <m/>
    <m/>
    <n v="1"/>
    <n v="1"/>
  </r>
  <r>
    <n v="1813"/>
    <x v="2"/>
    <s v="2019/5337"/>
    <s v="Electricity substation, Tilford Gardens"/>
    <s v="Dwelling 2 (3-storey)"/>
    <n v="523804"/>
    <n v="173079"/>
    <x v="5"/>
    <m/>
    <m/>
    <n v="0"/>
    <x v="3"/>
    <x v="5"/>
    <n v="2"/>
    <n v="2"/>
    <x v="1"/>
    <s v="Alterations including relocation of electricity substation in connection with erection of 1 x two storey 3-bedroom and 1 x three-storey 3-bedroom houses with first floor level terrace, associated parking and refuse/cycle storage."/>
    <s v="PF"/>
    <d v="2020-01-14T00:00:00"/>
    <d v="2020-04-02T00:00:00"/>
    <x v="0"/>
    <s v="Nil"/>
    <m/>
    <s v="BF"/>
    <s v="NB"/>
    <x v="2"/>
    <x v="3"/>
    <n v="3.2000000000000001E-2"/>
    <m/>
    <x v="0"/>
    <m/>
    <x v="1"/>
    <s v="M"/>
    <s v=""/>
    <m/>
    <m/>
    <m/>
    <m/>
    <m/>
    <n v="0"/>
    <n v="0"/>
    <n v="0"/>
    <n v="1"/>
    <n v="0"/>
    <n v="0"/>
    <n v="0"/>
    <n v="0"/>
    <n v="0"/>
    <n v="0"/>
    <n v="0"/>
    <n v="0"/>
    <n v="0"/>
    <n v="0"/>
    <n v="0"/>
    <n v="0"/>
    <n v="0"/>
    <n v="1"/>
    <n v="0"/>
    <n v="0"/>
    <n v="0"/>
    <n v="0"/>
    <n v="0"/>
    <n v="0"/>
    <n v="0"/>
    <n v="0"/>
    <n v="0"/>
    <n v="0"/>
    <x v="1"/>
    <x v="0"/>
    <x v="2"/>
    <n v="7"/>
    <m/>
    <m/>
    <n v="0.25"/>
    <n v="0.25"/>
    <n v="0.25"/>
    <n v="0.25"/>
    <m/>
    <m/>
    <m/>
    <m/>
    <m/>
    <m/>
    <m/>
    <m/>
    <m/>
    <m/>
    <m/>
    <m/>
    <m/>
    <m/>
    <n v="1"/>
    <n v="1"/>
  </r>
  <r>
    <n v="3268"/>
    <x v="2"/>
    <s v="2019/5429"/>
    <s v="Land adjoining 37, Gracedale Road"/>
    <s v=""/>
    <n v="528819"/>
    <n v="171232"/>
    <x v="9"/>
    <m/>
    <m/>
    <n v="0"/>
    <x v="3"/>
    <x v="5"/>
    <n v="1"/>
    <n v="1"/>
    <x v="1"/>
    <s v="Erection of a single-storey 2-bedroom dwelling house with basement."/>
    <s v="PF"/>
    <d v="2020-01-15T00:00:00"/>
    <d v="2020-02-10T00:00:00"/>
    <x v="0"/>
    <s v="Nil"/>
    <m/>
    <s v="BF"/>
    <s v="NB"/>
    <x v="2"/>
    <x v="3"/>
    <n v="8.0000000000000002E-3"/>
    <m/>
    <x v="0"/>
    <m/>
    <x v="1"/>
    <s v="M"/>
    <s v=""/>
    <m/>
    <m/>
    <m/>
    <m/>
    <m/>
    <n v="0"/>
    <n v="0"/>
    <n v="1"/>
    <n v="0"/>
    <n v="0"/>
    <n v="0"/>
    <n v="0"/>
    <n v="0"/>
    <n v="0"/>
    <n v="0"/>
    <n v="0"/>
    <n v="0"/>
    <n v="0"/>
    <n v="0"/>
    <n v="0"/>
    <n v="0"/>
    <n v="1"/>
    <n v="0"/>
    <n v="0"/>
    <n v="0"/>
    <n v="0"/>
    <n v="0"/>
    <n v="0"/>
    <n v="0"/>
    <n v="0"/>
    <n v="0"/>
    <n v="0"/>
    <n v="0"/>
    <x v="1"/>
    <x v="0"/>
    <x v="2"/>
    <n v="7"/>
    <m/>
    <m/>
    <n v="0.25"/>
    <n v="0.25"/>
    <n v="0.25"/>
    <n v="0.25"/>
    <m/>
    <m/>
    <m/>
    <m/>
    <m/>
    <m/>
    <m/>
    <m/>
    <m/>
    <m/>
    <m/>
    <m/>
    <m/>
    <m/>
    <n v="1"/>
    <n v="1"/>
  </r>
  <r>
    <n v="5684"/>
    <x v="2"/>
    <s v="2019/5524"/>
    <s v="20 Routh Road"/>
    <s v=""/>
    <n v="527218"/>
    <n v="173669"/>
    <x v="17"/>
    <m/>
    <m/>
    <n v="1"/>
    <x v="3"/>
    <x v="6"/>
    <n v="1"/>
    <n v="0"/>
    <x v="1"/>
    <s v="Demolition of existing property; erection of replacement two-storey house with accommodation at roof level."/>
    <s v="PF"/>
    <d v="2020-01-21T00:00:00"/>
    <d v="2020-02-27T00:00:00"/>
    <x v="0"/>
    <s v="Nil"/>
    <m/>
    <s v="BF"/>
    <s v="NB"/>
    <x v="2"/>
    <x v="3"/>
    <n v="4.7E-2"/>
    <m/>
    <x v="0"/>
    <m/>
    <x v="1"/>
    <s v="M"/>
    <s v=""/>
    <m/>
    <m/>
    <m/>
    <m/>
    <m/>
    <n v="0"/>
    <n v="0"/>
    <n v="0"/>
    <n v="-1"/>
    <n v="1"/>
    <n v="0"/>
    <n v="0"/>
    <n v="0"/>
    <n v="0"/>
    <n v="0"/>
    <n v="0"/>
    <n v="0"/>
    <n v="0"/>
    <n v="0"/>
    <n v="0"/>
    <n v="0"/>
    <n v="0"/>
    <n v="-1"/>
    <n v="1"/>
    <n v="0"/>
    <n v="0"/>
    <n v="0"/>
    <n v="0"/>
    <n v="0"/>
    <n v="0"/>
    <n v="0"/>
    <n v="0"/>
    <n v="0"/>
    <x v="1"/>
    <x v="0"/>
    <x v="2"/>
    <n v="7"/>
    <m/>
    <m/>
    <n v="0"/>
    <n v="0"/>
    <n v="0"/>
    <n v="0"/>
    <m/>
    <m/>
    <m/>
    <m/>
    <m/>
    <m/>
    <m/>
    <m/>
    <m/>
    <m/>
    <m/>
    <m/>
    <m/>
    <m/>
    <n v="0"/>
    <n v="0"/>
  </r>
  <r>
    <n v="2552"/>
    <x v="2"/>
    <s v="2020/0107"/>
    <s v="14-16 Tooting High Street (Flats 1-9 &amp; 12-15)"/>
    <s v=""/>
    <n v="527504"/>
    <n v="171615"/>
    <x v="0"/>
    <m/>
    <m/>
    <n v="0"/>
    <x v="3"/>
    <x v="5"/>
    <n v="1"/>
    <n v="1"/>
    <x v="1"/>
    <s v="Alterations including erection of rear roof extension and formation of roof terrace with 1.8m high screen surround in connection with creation of studio flat on third floor."/>
    <s v="PF"/>
    <d v="2020-02-20T00:00:00"/>
    <d v="2020-04-13T00:00:00"/>
    <x v="0"/>
    <s v="Nil"/>
    <m/>
    <s v="BF"/>
    <s v="EXT"/>
    <x v="2"/>
    <x v="7"/>
    <n v="1E-3"/>
    <m/>
    <x v="0"/>
    <m/>
    <x v="1"/>
    <s v="M"/>
    <s v=""/>
    <m/>
    <m/>
    <m/>
    <m/>
    <m/>
    <n v="1"/>
    <n v="0"/>
    <n v="0"/>
    <n v="0"/>
    <n v="0"/>
    <n v="0"/>
    <n v="0"/>
    <n v="1"/>
    <n v="0"/>
    <n v="0"/>
    <n v="0"/>
    <n v="0"/>
    <n v="0"/>
    <n v="0"/>
    <n v="0"/>
    <n v="0"/>
    <n v="0"/>
    <n v="0"/>
    <n v="0"/>
    <n v="0"/>
    <n v="0"/>
    <n v="0"/>
    <n v="0"/>
    <n v="0"/>
    <n v="0"/>
    <n v="0"/>
    <n v="0"/>
    <n v="0"/>
    <x v="0"/>
    <x v="0"/>
    <x v="0"/>
    <n v="15"/>
    <m/>
    <n v="0.25"/>
    <n v="0.25"/>
    <n v="0.25"/>
    <n v="0.25"/>
    <m/>
    <m/>
    <m/>
    <m/>
    <m/>
    <m/>
    <m/>
    <m/>
    <m/>
    <m/>
    <m/>
    <m/>
    <m/>
    <m/>
    <m/>
    <n v="1"/>
    <n v="1"/>
  </r>
  <r>
    <n v="5123"/>
    <x v="2"/>
    <s v="2020/0258"/>
    <s v="48 Disraeli Road"/>
    <s v=""/>
    <n v="524195"/>
    <n v="175062"/>
    <x v="3"/>
    <m/>
    <m/>
    <n v="2"/>
    <x v="3"/>
    <x v="3"/>
    <n v="1"/>
    <n v="-1"/>
    <x v="1"/>
    <s v="Alterations including erection of a mansard roof extension above part of rear two-storey addition, single-storey rear extension and installation of front and rear rooflights to main roof; associated with the conversion to one dwelling from two flats."/>
    <s v="PF"/>
    <d v="2020-02-04T00:00:00"/>
    <d v="2020-03-26T00:00:00"/>
    <x v="0"/>
    <s v="Nil"/>
    <m/>
    <s v="BF"/>
    <s v="CON"/>
    <x v="2"/>
    <x v="11"/>
    <n v="1.9E-2"/>
    <m/>
    <x v="0"/>
    <m/>
    <x v="1"/>
    <s v="M"/>
    <s v=""/>
    <m/>
    <m/>
    <m/>
    <m/>
    <m/>
    <n v="0"/>
    <n v="-1"/>
    <n v="0"/>
    <n v="-1"/>
    <n v="0"/>
    <n v="1"/>
    <n v="0"/>
    <n v="0"/>
    <n v="-1"/>
    <n v="0"/>
    <n v="-1"/>
    <n v="0"/>
    <n v="0"/>
    <n v="0"/>
    <n v="0"/>
    <n v="0"/>
    <n v="0"/>
    <n v="0"/>
    <n v="0"/>
    <n v="1"/>
    <n v="0"/>
    <n v="0"/>
    <n v="0"/>
    <n v="0"/>
    <n v="0"/>
    <n v="0"/>
    <n v="0"/>
    <n v="0"/>
    <x v="1"/>
    <x v="0"/>
    <x v="6"/>
    <n v="15"/>
    <m/>
    <n v="-0.25"/>
    <n v="-0.25"/>
    <n v="-0.25"/>
    <n v="-0.25"/>
    <m/>
    <m/>
    <m/>
    <m/>
    <m/>
    <m/>
    <m/>
    <m/>
    <m/>
    <m/>
    <m/>
    <m/>
    <m/>
    <m/>
    <m/>
    <n v="-1"/>
    <n v="-1"/>
  </r>
  <r>
    <n v="7342"/>
    <x v="2"/>
    <s v="2020/0301"/>
    <s v="Unit 1, Ivory House, Clove Hitch Quay (Plantation Wharf)"/>
    <s v=""/>
    <n v="526368"/>
    <n v="175721"/>
    <x v="15"/>
    <m/>
    <m/>
    <n v="0"/>
    <x v="11"/>
    <x v="36"/>
    <n v="3"/>
    <n v="3"/>
    <x v="1"/>
    <s v="Determination as to whether prior approval is required for change of use of office at ground floor level from (Class B1a) to residential (Class C3) to provide 1 x 2-bedroom flat and 2 x 1bedroom flats."/>
    <s v="PAG"/>
    <d v="2020-02-12T00:00:00"/>
    <d v="2020-03-16T00:00:00"/>
    <x v="0"/>
    <s v="Nil"/>
    <m/>
    <s v="BF"/>
    <s v="COU"/>
    <x v="2"/>
    <x v="6"/>
    <n v="8.0000000000000002E-3"/>
    <m/>
    <x v="0"/>
    <m/>
    <x v="1"/>
    <s v="M"/>
    <s v=""/>
    <m/>
    <m/>
    <m/>
    <m/>
    <m/>
    <n v="0"/>
    <n v="2"/>
    <n v="1"/>
    <n v="0"/>
    <n v="0"/>
    <n v="0"/>
    <n v="0"/>
    <n v="0"/>
    <n v="2"/>
    <n v="1"/>
    <n v="0"/>
    <n v="0"/>
    <n v="0"/>
    <n v="0"/>
    <n v="0"/>
    <n v="0"/>
    <n v="0"/>
    <n v="0"/>
    <n v="0"/>
    <n v="0"/>
    <n v="0"/>
    <n v="0"/>
    <n v="0"/>
    <n v="0"/>
    <n v="0"/>
    <n v="0"/>
    <n v="0"/>
    <n v="0"/>
    <x v="1"/>
    <x v="0"/>
    <x v="4"/>
    <n v="15"/>
    <m/>
    <n v="0.75"/>
    <n v="0.75"/>
    <n v="0.75"/>
    <n v="0.75"/>
    <m/>
    <m/>
    <m/>
    <m/>
    <m/>
    <m/>
    <m/>
    <m/>
    <m/>
    <m/>
    <m/>
    <m/>
    <m/>
    <m/>
    <m/>
    <n v="3"/>
    <n v="3"/>
  </r>
  <r>
    <n v="7340"/>
    <x v="2"/>
    <s v="2020/0412"/>
    <s v="62 Lavender Hill"/>
    <s v=""/>
    <n v="528330"/>
    <n v="175742"/>
    <x v="20"/>
    <m/>
    <m/>
    <n v="0"/>
    <x v="3"/>
    <x v="5"/>
    <n v="1"/>
    <n v="1"/>
    <x v="1"/>
    <s v="Alterations including part change of use of exisitng restaurant (Class A3) at ground and lower ground levels to create a one-bedroom flat (Class C3). Erection of dwarf wall and glass pavement lenses to front forecourt. Alteration to shop front entrance"/>
    <s v="PF"/>
    <d v="2020-02-13T00:00:00"/>
    <d v="2020-04-23T00:00:00"/>
    <x v="0"/>
    <s v="Nil"/>
    <m/>
    <s v="BF"/>
    <s v="MIX"/>
    <x v="2"/>
    <x v="8"/>
    <n v="7.0000000000000001E-3"/>
    <m/>
    <x v="0"/>
    <m/>
    <x v="1"/>
    <s v="M"/>
    <s v=""/>
    <m/>
    <m/>
    <m/>
    <m/>
    <m/>
    <n v="0"/>
    <n v="1"/>
    <n v="0"/>
    <n v="0"/>
    <n v="0"/>
    <n v="0"/>
    <n v="0"/>
    <n v="0"/>
    <n v="1"/>
    <n v="0"/>
    <n v="0"/>
    <n v="0"/>
    <n v="0"/>
    <n v="0"/>
    <n v="0"/>
    <n v="0"/>
    <n v="0"/>
    <n v="0"/>
    <n v="0"/>
    <n v="0"/>
    <n v="0"/>
    <n v="0"/>
    <n v="0"/>
    <n v="0"/>
    <n v="0"/>
    <n v="0"/>
    <n v="0"/>
    <n v="0"/>
    <x v="1"/>
    <x v="0"/>
    <x v="2"/>
    <n v="15"/>
    <m/>
    <n v="0.25"/>
    <n v="0.25"/>
    <n v="0.25"/>
    <n v="0.25"/>
    <m/>
    <m/>
    <m/>
    <m/>
    <m/>
    <m/>
    <m/>
    <m/>
    <m/>
    <m/>
    <m/>
    <m/>
    <m/>
    <m/>
    <m/>
    <n v="1"/>
    <n v="1"/>
  </r>
  <r>
    <n v="7367"/>
    <x v="2"/>
    <s v="2020/0530"/>
    <s v="Coleman Court, Kimber Road"/>
    <s v="Extension"/>
    <n v="525438"/>
    <n v="173644"/>
    <x v="12"/>
    <m/>
    <m/>
    <n v="0"/>
    <x v="30"/>
    <x v="34"/>
    <n v="23"/>
    <n v="22"/>
    <x v="0"/>
    <s v="Erection of a fourth floor level  roof extension to provide 20 x 1-bedroomed flats; demolition of an existing single-storey courtyard dwelling and the erection of a replacement 3-storey block of 3 x 2 bedroomed flats.  Provision of associated bicycle and bin stores."/>
    <s v="PFLA"/>
    <d v="2020-03-25T00:00:00"/>
    <d v="2022-02-11T00:00:00"/>
    <x v="0"/>
    <s v="Nil"/>
    <m/>
    <s v="BF"/>
    <s v="MIX"/>
    <x v="6"/>
    <x v="0"/>
    <n v="0.11799999999999999"/>
    <m/>
    <x v="0"/>
    <m/>
    <x v="1"/>
    <s v="M"/>
    <s v=""/>
    <m/>
    <m/>
    <m/>
    <m/>
    <m/>
    <n v="5"/>
    <n v="15"/>
    <n v="0"/>
    <n v="0"/>
    <n v="0"/>
    <n v="0"/>
    <n v="0"/>
    <n v="5"/>
    <n v="15"/>
    <n v="0"/>
    <n v="0"/>
    <n v="0"/>
    <n v="0"/>
    <n v="0"/>
    <n v="0"/>
    <n v="0"/>
    <n v="0"/>
    <n v="0"/>
    <n v="0"/>
    <n v="0"/>
    <n v="0"/>
    <n v="0"/>
    <n v="0"/>
    <n v="0"/>
    <n v="0"/>
    <n v="0"/>
    <n v="0"/>
    <n v="0"/>
    <x v="1"/>
    <x v="0"/>
    <x v="5"/>
    <n v="18"/>
    <m/>
    <n v="5"/>
    <n v="5"/>
    <n v="5"/>
    <n v="5"/>
    <m/>
    <m/>
    <m/>
    <m/>
    <m/>
    <m/>
    <m/>
    <m/>
    <m/>
    <m/>
    <m/>
    <m/>
    <m/>
    <m/>
    <m/>
    <n v="20"/>
    <n v="20"/>
  </r>
  <r>
    <n v="7367"/>
    <x v="2"/>
    <s v="2020/0530"/>
    <s v="Coleman Court, Kimber Road"/>
    <s v="New build"/>
    <n v="525438"/>
    <n v="173644"/>
    <x v="12"/>
    <m/>
    <m/>
    <n v="1"/>
    <x v="11"/>
    <x v="7"/>
    <n v="23"/>
    <n v="22"/>
    <x v="0"/>
    <s v="Erection of a fourth floor level  roof extension to provide 20 x 1-bedroomed flats; demolition of an existing single-storey courtyard dwelling and the erection of a replacement 3-storey block of 3 x 2 bedroomed flats.  Provision of associated bicycle and bin stores."/>
    <s v="PFLA"/>
    <d v="2020-03-25T00:00:00"/>
    <d v="2022-02-11T00:00:00"/>
    <x v="0"/>
    <s v="Nil"/>
    <m/>
    <s v="BF"/>
    <s v="MIX"/>
    <x v="1"/>
    <x v="0"/>
    <n v="2.1999999999999999E-2"/>
    <m/>
    <x v="0"/>
    <m/>
    <x v="1"/>
    <s v="M"/>
    <s v=""/>
    <m/>
    <m/>
    <n v="3"/>
    <m/>
    <m/>
    <n v="0"/>
    <n v="0"/>
    <n v="2"/>
    <n v="0"/>
    <n v="0"/>
    <n v="0"/>
    <n v="0"/>
    <n v="0"/>
    <n v="0"/>
    <n v="3"/>
    <n v="0"/>
    <n v="0"/>
    <n v="0"/>
    <n v="0"/>
    <n v="0"/>
    <n v="0"/>
    <n v="-1"/>
    <n v="0"/>
    <n v="0"/>
    <n v="0"/>
    <n v="0"/>
    <n v="0"/>
    <n v="0"/>
    <n v="0"/>
    <n v="0"/>
    <n v="0"/>
    <n v="0"/>
    <n v="0"/>
    <x v="1"/>
    <x v="0"/>
    <x v="5"/>
    <n v="18"/>
    <m/>
    <n v="0.5"/>
    <n v="0.5"/>
    <n v="0.5"/>
    <n v="0.5"/>
    <m/>
    <m/>
    <m/>
    <m/>
    <m/>
    <m/>
    <m/>
    <m/>
    <m/>
    <m/>
    <m/>
    <m/>
    <m/>
    <m/>
    <m/>
    <n v="2"/>
    <n v="2"/>
  </r>
  <r>
    <n v="4043"/>
    <x v="2"/>
    <s v="2020/0599"/>
    <s v="184 Northcote Road"/>
    <s v=""/>
    <n v="527663"/>
    <n v="174334"/>
    <x v="11"/>
    <m/>
    <m/>
    <n v="0"/>
    <x v="3"/>
    <x v="5"/>
    <n v="1"/>
    <n v="1"/>
    <x v="1"/>
    <s v="Determination as to whether prior approval is required for change of use of rear part of ground and first floors from retail (Class A1) to 1 x 2-bedroom flat (Class C3), with associated external alterations including installation of windows."/>
    <s v="PANR"/>
    <d v="2020-02-26T00:00:00"/>
    <d v="2020-04-09T00:00:00"/>
    <x v="0"/>
    <s v="Nil"/>
    <m/>
    <s v="BF"/>
    <s v="COU"/>
    <x v="2"/>
    <x v="4"/>
    <n v="4.0000000000000001E-3"/>
    <m/>
    <x v="0"/>
    <m/>
    <x v="1"/>
    <s v="M"/>
    <s v=""/>
    <m/>
    <m/>
    <m/>
    <m/>
    <m/>
    <n v="0"/>
    <n v="0"/>
    <n v="1"/>
    <n v="0"/>
    <n v="0"/>
    <n v="0"/>
    <n v="0"/>
    <n v="0"/>
    <n v="0"/>
    <n v="1"/>
    <n v="0"/>
    <n v="0"/>
    <n v="0"/>
    <n v="0"/>
    <n v="0"/>
    <n v="0"/>
    <n v="0"/>
    <n v="0"/>
    <n v="0"/>
    <n v="0"/>
    <n v="0"/>
    <n v="0"/>
    <n v="0"/>
    <n v="0"/>
    <n v="0"/>
    <n v="0"/>
    <n v="0"/>
    <n v="0"/>
    <x v="1"/>
    <x v="0"/>
    <x v="2"/>
    <n v="15"/>
    <m/>
    <n v="0.25"/>
    <n v="0.25"/>
    <n v="0.25"/>
    <n v="0.25"/>
    <m/>
    <m/>
    <m/>
    <m/>
    <m/>
    <m/>
    <m/>
    <m/>
    <m/>
    <m/>
    <m/>
    <m/>
    <m/>
    <m/>
    <m/>
    <n v="1"/>
    <n v="1"/>
  </r>
  <r>
    <n v="7358"/>
    <x v="2"/>
    <s v="2020/0679"/>
    <s v="Units 3 to 8 Windward House, Square Rigger Row"/>
    <s v=""/>
    <n v="526467"/>
    <n v="175725"/>
    <x v="15"/>
    <m/>
    <m/>
    <n v="0"/>
    <x v="0"/>
    <x v="0"/>
    <n v="6"/>
    <n v="6"/>
    <x v="1"/>
    <s v="Determination as to whether prior approval is required for change of use from office (Class B1a) to 3 x 2-bedroom flats and 3 x 1-bedroom flats (Class C3)."/>
    <s v="PAG"/>
    <d v="2020-03-05T00:00:00"/>
    <d v="2020-04-17T00:00:00"/>
    <x v="0"/>
    <s v="Nil"/>
    <m/>
    <s v="BF"/>
    <s v="COU"/>
    <x v="2"/>
    <x v="6"/>
    <n v="1.4999999999999999E-2"/>
    <m/>
    <x v="0"/>
    <m/>
    <x v="1"/>
    <s v="M"/>
    <s v=""/>
    <m/>
    <m/>
    <m/>
    <m/>
    <m/>
    <n v="0"/>
    <n v="3"/>
    <n v="3"/>
    <n v="0"/>
    <n v="0"/>
    <n v="0"/>
    <n v="0"/>
    <n v="0"/>
    <n v="3"/>
    <n v="3"/>
    <n v="0"/>
    <n v="0"/>
    <n v="0"/>
    <n v="0"/>
    <n v="0"/>
    <n v="0"/>
    <n v="0"/>
    <n v="0"/>
    <n v="0"/>
    <n v="0"/>
    <n v="0"/>
    <n v="0"/>
    <n v="0"/>
    <n v="0"/>
    <n v="0"/>
    <n v="0"/>
    <n v="0"/>
    <n v="0"/>
    <x v="1"/>
    <x v="0"/>
    <x v="4"/>
    <n v="18"/>
    <m/>
    <n v="1.5"/>
    <n v="1.5"/>
    <n v="1.5"/>
    <n v="1.5"/>
    <m/>
    <m/>
    <m/>
    <m/>
    <m/>
    <m/>
    <m/>
    <m/>
    <m/>
    <m/>
    <m/>
    <m/>
    <m/>
    <m/>
    <m/>
    <n v="6"/>
    <n v="6"/>
  </r>
  <r>
    <n v="5802"/>
    <x v="2"/>
    <s v="2020/0680"/>
    <s v="Units 2-8 &amp; 11-14 Port House, Square Rigger Row (Plantation Wharf)"/>
    <s v=""/>
    <n v="526505"/>
    <n v="175773"/>
    <x v="15"/>
    <m/>
    <m/>
    <n v="0"/>
    <x v="31"/>
    <x v="35"/>
    <n v="11"/>
    <n v="11"/>
    <x v="0"/>
    <s v="Determination as to whether prior approval is required for change of use of office at ground to first floor from (Class B1) to residential (Class C3) to provide 7 x 1-bedroom flats and 4 x 2-bedroom flats."/>
    <s v="PAG"/>
    <d v="2020-02-26T00:00:00"/>
    <d v="2020-04-17T00:00:00"/>
    <x v="0"/>
    <s v="Nil"/>
    <m/>
    <s v="BF"/>
    <s v="COU"/>
    <x v="4"/>
    <x v="0"/>
    <n v="1.2999999999999999E-2"/>
    <m/>
    <x v="0"/>
    <m/>
    <x v="1"/>
    <s v="M"/>
    <s v="10.15"/>
    <m/>
    <m/>
    <m/>
    <m/>
    <m/>
    <n v="0"/>
    <n v="7"/>
    <n v="4"/>
    <n v="0"/>
    <n v="0"/>
    <n v="0"/>
    <n v="0"/>
    <n v="0"/>
    <n v="7"/>
    <n v="4"/>
    <n v="0"/>
    <n v="0"/>
    <n v="0"/>
    <n v="0"/>
    <n v="0"/>
    <n v="0"/>
    <n v="0"/>
    <n v="0"/>
    <n v="0"/>
    <n v="0"/>
    <n v="0"/>
    <n v="0"/>
    <n v="0"/>
    <n v="0"/>
    <n v="0"/>
    <n v="0"/>
    <n v="0"/>
    <n v="0"/>
    <x v="1"/>
    <x v="0"/>
    <x v="4"/>
    <n v="18"/>
    <m/>
    <n v="2.75"/>
    <n v="2.75"/>
    <n v="2.75"/>
    <n v="2.75"/>
    <m/>
    <m/>
    <m/>
    <m/>
    <m/>
    <m/>
    <m/>
    <m/>
    <m/>
    <m/>
    <m/>
    <m/>
    <m/>
    <m/>
    <m/>
    <n v="11"/>
    <n v="11"/>
  </r>
  <r>
    <n v="5801"/>
    <x v="2"/>
    <s v="2020/0682"/>
    <s v="1 Leeward House, Square Rigger Row (Plantation Wharf)"/>
    <s v=""/>
    <n v="526534"/>
    <n v="175822"/>
    <x v="15"/>
    <m/>
    <m/>
    <n v="0"/>
    <x v="3"/>
    <x v="5"/>
    <n v="1"/>
    <n v="1"/>
    <x v="1"/>
    <s v="Determination as to whether prior approval is required for change of use from Office (Class B1) to 1 x 1-bedroom flat (Class C3)."/>
    <s v="PAG"/>
    <d v="2020-03-02T00:00:00"/>
    <d v="2020-04-17T00:00:00"/>
    <x v="0"/>
    <s v="Nil"/>
    <m/>
    <s v="BF"/>
    <s v="COU"/>
    <x v="2"/>
    <x v="6"/>
    <n v="4.0000000000000001E-3"/>
    <m/>
    <x v="0"/>
    <m/>
    <x v="0"/>
    <s v="IU"/>
    <s v="10.15"/>
    <m/>
    <m/>
    <m/>
    <m/>
    <m/>
    <n v="0"/>
    <n v="1"/>
    <n v="0"/>
    <n v="0"/>
    <n v="0"/>
    <n v="0"/>
    <n v="0"/>
    <n v="0"/>
    <n v="1"/>
    <n v="0"/>
    <n v="0"/>
    <n v="0"/>
    <n v="0"/>
    <n v="0"/>
    <n v="0"/>
    <n v="0"/>
    <n v="0"/>
    <n v="0"/>
    <n v="0"/>
    <n v="0"/>
    <n v="0"/>
    <n v="0"/>
    <n v="0"/>
    <n v="0"/>
    <n v="0"/>
    <n v="0"/>
    <n v="0"/>
    <n v="0"/>
    <x v="1"/>
    <x v="0"/>
    <x v="4"/>
    <n v="15"/>
    <m/>
    <n v="0.25"/>
    <n v="0.25"/>
    <n v="0.25"/>
    <n v="0.25"/>
    <m/>
    <m/>
    <m/>
    <m/>
    <m/>
    <m/>
    <m/>
    <m/>
    <m/>
    <m/>
    <m/>
    <m/>
    <m/>
    <m/>
    <m/>
    <n v="1"/>
    <n v="1"/>
  </r>
  <r>
    <n v="5605"/>
    <x v="2"/>
    <s v="2020/0683"/>
    <s v="Unit 2 Windward House, Square Rigger Row (Plantation Wharf)"/>
    <s v=""/>
    <n v="526468"/>
    <n v="175725"/>
    <x v="15"/>
    <m/>
    <m/>
    <n v="0"/>
    <x v="3"/>
    <x v="5"/>
    <n v="1"/>
    <n v="1"/>
    <x v="1"/>
    <s v="Determination as to whether prior approval is required for change of use from Office (Class B1a) to 1 x 2-bedroom flat (Class C3)."/>
    <s v="PAG"/>
    <d v="2020-03-05T00:00:00"/>
    <d v="2020-04-17T00:00:00"/>
    <x v="0"/>
    <s v="Nil"/>
    <m/>
    <s v="BF"/>
    <s v="COU"/>
    <x v="2"/>
    <x v="6"/>
    <n v="6.0000000000000001E-3"/>
    <m/>
    <x v="0"/>
    <m/>
    <x v="1"/>
    <s v="M"/>
    <s v="10.15"/>
    <m/>
    <m/>
    <m/>
    <m/>
    <m/>
    <n v="0"/>
    <n v="0"/>
    <n v="1"/>
    <n v="0"/>
    <n v="0"/>
    <n v="0"/>
    <n v="0"/>
    <n v="0"/>
    <n v="0"/>
    <n v="1"/>
    <n v="0"/>
    <n v="0"/>
    <n v="0"/>
    <n v="0"/>
    <n v="0"/>
    <n v="0"/>
    <n v="0"/>
    <n v="0"/>
    <n v="0"/>
    <n v="0"/>
    <n v="0"/>
    <n v="0"/>
    <n v="0"/>
    <n v="0"/>
    <n v="0"/>
    <n v="0"/>
    <n v="0"/>
    <n v="0"/>
    <x v="1"/>
    <x v="0"/>
    <x v="4"/>
    <n v="15"/>
    <m/>
    <n v="0.25"/>
    <n v="0.25"/>
    <n v="0.25"/>
    <n v="0.25"/>
    <m/>
    <m/>
    <m/>
    <m/>
    <m/>
    <m/>
    <m/>
    <m/>
    <m/>
    <m/>
    <m/>
    <m/>
    <m/>
    <m/>
    <m/>
    <n v="1"/>
    <n v="1"/>
  </r>
  <r>
    <n v="5800"/>
    <x v="2"/>
    <s v="2020/0684"/>
    <s v="Units 1, 9 &amp; 10 Port House, Square Rigger Row (Plantation Wharf)"/>
    <s v=""/>
    <n v="526505"/>
    <n v="175773"/>
    <x v="15"/>
    <m/>
    <m/>
    <n v="0"/>
    <x v="11"/>
    <x v="36"/>
    <n v="3"/>
    <n v="3"/>
    <x v="1"/>
    <s v="Determination as to whether prior approval is required for change of use from office (Class B1a) to 3 x 1-bedroom flats (Class C3)."/>
    <s v="PAG"/>
    <d v="2020-03-05T00:00:00"/>
    <d v="2020-04-17T00:00:00"/>
    <x v="0"/>
    <s v="Nil"/>
    <m/>
    <s v="BF"/>
    <s v="COU"/>
    <x v="2"/>
    <x v="6"/>
    <n v="1.2999999999999999E-2"/>
    <m/>
    <x v="0"/>
    <m/>
    <x v="1"/>
    <s v="M"/>
    <s v="10.15"/>
    <m/>
    <m/>
    <m/>
    <m/>
    <m/>
    <n v="0"/>
    <n v="3"/>
    <n v="0"/>
    <n v="0"/>
    <n v="0"/>
    <n v="0"/>
    <n v="0"/>
    <n v="0"/>
    <n v="3"/>
    <n v="0"/>
    <n v="0"/>
    <n v="0"/>
    <n v="0"/>
    <n v="0"/>
    <n v="0"/>
    <n v="0"/>
    <n v="0"/>
    <n v="0"/>
    <n v="0"/>
    <n v="0"/>
    <n v="0"/>
    <n v="0"/>
    <n v="0"/>
    <n v="0"/>
    <n v="0"/>
    <n v="0"/>
    <n v="0"/>
    <n v="0"/>
    <x v="1"/>
    <x v="0"/>
    <x v="4"/>
    <n v="15"/>
    <m/>
    <n v="0.75"/>
    <n v="0.75"/>
    <n v="0.75"/>
    <n v="0.75"/>
    <m/>
    <m/>
    <m/>
    <m/>
    <m/>
    <m/>
    <m/>
    <m/>
    <m/>
    <m/>
    <m/>
    <m/>
    <m/>
    <m/>
    <m/>
    <n v="3"/>
    <n v="3"/>
  </r>
  <r>
    <n v="5803"/>
    <x v="2"/>
    <s v="2020/0685"/>
    <s v="Units 2, 3, 4, 5, 6, &amp; 7 Leeward House, Square Rigger Row (Plantation Wharf)"/>
    <s v=""/>
    <n v="526534"/>
    <n v="175822"/>
    <x v="15"/>
    <m/>
    <m/>
    <n v="0"/>
    <x v="0"/>
    <x v="0"/>
    <n v="6"/>
    <n v="6"/>
    <x v="1"/>
    <s v="Determination as to whether prior approval is required for change of use from office (Class B1) to 6 x 1-bedroom flats (Class C3)."/>
    <s v="PAG"/>
    <d v="2020-03-02T00:00:00"/>
    <d v="2020-04-17T00:00:00"/>
    <x v="0"/>
    <s v="Nil"/>
    <m/>
    <s v="BF"/>
    <s v="COU"/>
    <x v="2"/>
    <x v="6"/>
    <n v="8.0000000000000002E-3"/>
    <m/>
    <x v="0"/>
    <m/>
    <x v="1"/>
    <s v="M"/>
    <s v="10.15"/>
    <m/>
    <m/>
    <m/>
    <m/>
    <m/>
    <n v="0"/>
    <n v="6"/>
    <n v="0"/>
    <n v="0"/>
    <n v="0"/>
    <n v="0"/>
    <n v="0"/>
    <n v="0"/>
    <n v="6"/>
    <n v="0"/>
    <n v="0"/>
    <n v="0"/>
    <n v="0"/>
    <n v="0"/>
    <n v="0"/>
    <n v="0"/>
    <n v="0"/>
    <n v="0"/>
    <n v="0"/>
    <n v="0"/>
    <n v="0"/>
    <n v="0"/>
    <n v="0"/>
    <n v="0"/>
    <n v="0"/>
    <n v="0"/>
    <n v="0"/>
    <n v="0"/>
    <x v="1"/>
    <x v="0"/>
    <x v="4"/>
    <n v="18"/>
    <m/>
    <n v="1.5"/>
    <n v="1.5"/>
    <n v="1.5"/>
    <n v="1.5"/>
    <m/>
    <m/>
    <m/>
    <m/>
    <m/>
    <m/>
    <m/>
    <m/>
    <m/>
    <m/>
    <m/>
    <m/>
    <m/>
    <m/>
    <m/>
    <n v="6"/>
    <n v="6"/>
  </r>
  <r>
    <n v="5804"/>
    <x v="2"/>
    <s v="2020/0686"/>
    <s v="East &amp; West 1,2,3,4, &amp; 8, Square Rigger Row (Plantation Wharf)"/>
    <s v=""/>
    <n v="526485"/>
    <n v="175743"/>
    <x v="15"/>
    <m/>
    <m/>
    <n v="0"/>
    <x v="24"/>
    <x v="28"/>
    <n v="5"/>
    <n v="5"/>
    <x v="1"/>
    <s v="Determination as to whether prior approval is required for change of use from office (Class B1a) to 5 x 3-bedroom flats (Class C3)."/>
    <s v="PAG"/>
    <d v="2020-03-05T00:00:00"/>
    <d v="2020-04-17T00:00:00"/>
    <x v="0"/>
    <s v="Nil"/>
    <m/>
    <s v="BF"/>
    <s v="COU"/>
    <x v="2"/>
    <x v="6"/>
    <n v="3.5999999999999997E-2"/>
    <m/>
    <x v="0"/>
    <m/>
    <x v="1"/>
    <s v="M"/>
    <s v="10.15"/>
    <m/>
    <m/>
    <m/>
    <m/>
    <m/>
    <n v="0"/>
    <n v="0"/>
    <n v="0"/>
    <n v="5"/>
    <n v="0"/>
    <n v="0"/>
    <n v="0"/>
    <n v="0"/>
    <n v="0"/>
    <n v="0"/>
    <n v="5"/>
    <n v="0"/>
    <n v="0"/>
    <n v="0"/>
    <n v="0"/>
    <n v="0"/>
    <n v="0"/>
    <n v="0"/>
    <n v="0"/>
    <n v="0"/>
    <n v="0"/>
    <n v="0"/>
    <n v="0"/>
    <n v="0"/>
    <n v="0"/>
    <n v="0"/>
    <n v="0"/>
    <n v="0"/>
    <x v="1"/>
    <x v="0"/>
    <x v="4"/>
    <n v="15"/>
    <m/>
    <n v="1.25"/>
    <n v="1.25"/>
    <n v="1.25"/>
    <n v="1.25"/>
    <m/>
    <m/>
    <m/>
    <m/>
    <m/>
    <m/>
    <m/>
    <m/>
    <m/>
    <m/>
    <m/>
    <m/>
    <m/>
    <m/>
    <m/>
    <n v="5"/>
    <n v="5"/>
  </r>
  <r>
    <n v="518"/>
    <x v="2"/>
    <s v="2020/0877"/>
    <s v="6-10 Mitcham Road"/>
    <s v="Block A"/>
    <n v="527485"/>
    <n v="171424"/>
    <x v="0"/>
    <m/>
    <m/>
    <n v="4"/>
    <x v="24"/>
    <x v="5"/>
    <n v="9"/>
    <n v="5"/>
    <x v="1"/>
    <s v="Extension of the ground floor area for retail use. Extension of existing residential block of four dwellings at front of site to create additional storey (for 1 x 3-bed flat), with alterations to frontage and replacement shopfront. Construction of 4 x 2-bed flats to the rear of the site in a two-storey extension set above the extended ground floor retail unit, with associated roof terraces/balconies, communal courtyard, cycle storage and refuse storage."/>
    <s v="PF"/>
    <d v="2020-03-06T00:00:00"/>
    <d v="2020-07-01T00:00:00"/>
    <x v="0"/>
    <s v="Nil"/>
    <m/>
    <s v="BF"/>
    <s v="MIX"/>
    <x v="2"/>
    <x v="5"/>
    <n v="1.2E-2"/>
    <m/>
    <x v="0"/>
    <m/>
    <x v="1"/>
    <s v="M"/>
    <s v=""/>
    <m/>
    <m/>
    <m/>
    <m/>
    <m/>
    <n v="0"/>
    <n v="2"/>
    <n v="-2"/>
    <n v="1"/>
    <n v="0"/>
    <n v="0"/>
    <n v="0"/>
    <n v="0"/>
    <n v="2"/>
    <n v="-2"/>
    <n v="1"/>
    <n v="0"/>
    <n v="0"/>
    <n v="0"/>
    <n v="0"/>
    <n v="0"/>
    <n v="0"/>
    <n v="0"/>
    <n v="0"/>
    <n v="0"/>
    <n v="0"/>
    <n v="0"/>
    <n v="0"/>
    <n v="0"/>
    <n v="0"/>
    <n v="0"/>
    <n v="0"/>
    <n v="0"/>
    <x v="0"/>
    <x v="0"/>
    <x v="0"/>
    <n v="18"/>
    <m/>
    <n v="0.25"/>
    <n v="0.25"/>
    <n v="0.25"/>
    <n v="0.25"/>
    <m/>
    <m/>
    <m/>
    <m/>
    <m/>
    <m/>
    <m/>
    <m/>
    <m/>
    <m/>
    <m/>
    <m/>
    <m/>
    <m/>
    <m/>
    <n v="1"/>
    <n v="1"/>
  </r>
  <r>
    <n v="518"/>
    <x v="2"/>
    <s v="2020/0877"/>
    <s v="6-10 Mitcham Road"/>
    <s v="Block B"/>
    <n v="527485"/>
    <n v="171424"/>
    <x v="0"/>
    <m/>
    <m/>
    <n v="0"/>
    <x v="12"/>
    <x v="15"/>
    <n v="9"/>
    <n v="5"/>
    <x v="1"/>
    <s v="Extension of the ground floor area for retail use. Extension of existing residential block of four dwellings at front of site to create additional storey (for 1 x 3-bed flat), with alterations to frontage and replacement shopfront. Construction of 4 x 2-bed flats to the rear of the site in a two-storey extension set above the extended ground floor retail unit, with associated roof terraces/balconies, communal courtyard, cycle storage and refuse storage."/>
    <s v="PF"/>
    <d v="2020-03-06T00:00:00"/>
    <d v="2020-07-01T00:00:00"/>
    <x v="0"/>
    <s v="Nil"/>
    <m/>
    <s v="BF"/>
    <s v="MIX"/>
    <x v="2"/>
    <x v="7"/>
    <n v="8.9999999999999993E-3"/>
    <m/>
    <x v="0"/>
    <m/>
    <x v="1"/>
    <s v="M"/>
    <s v=""/>
    <m/>
    <m/>
    <m/>
    <m/>
    <m/>
    <n v="0"/>
    <n v="0"/>
    <n v="4"/>
    <n v="0"/>
    <n v="0"/>
    <n v="0"/>
    <n v="0"/>
    <n v="0"/>
    <n v="0"/>
    <n v="4"/>
    <n v="0"/>
    <n v="0"/>
    <n v="0"/>
    <n v="0"/>
    <n v="0"/>
    <n v="0"/>
    <n v="0"/>
    <n v="0"/>
    <n v="0"/>
    <n v="0"/>
    <n v="0"/>
    <n v="0"/>
    <n v="0"/>
    <n v="0"/>
    <n v="0"/>
    <n v="0"/>
    <n v="0"/>
    <n v="0"/>
    <x v="0"/>
    <x v="0"/>
    <x v="0"/>
    <n v="18"/>
    <m/>
    <n v="1"/>
    <n v="1"/>
    <n v="1"/>
    <n v="1"/>
    <m/>
    <m/>
    <m/>
    <m/>
    <m/>
    <m/>
    <m/>
    <m/>
    <m/>
    <m/>
    <m/>
    <m/>
    <m/>
    <m/>
    <m/>
    <n v="4"/>
    <n v="4"/>
  </r>
  <r>
    <n v="6022"/>
    <x v="2"/>
    <s v="2020/1076"/>
    <s v="Land rear of 240, 240 Battersea Bridge Road"/>
    <s v=""/>
    <n v="527477"/>
    <n v="176443"/>
    <x v="15"/>
    <m/>
    <m/>
    <n v="0"/>
    <x v="3"/>
    <x v="5"/>
    <n v="1"/>
    <n v="1"/>
    <x v="1"/>
    <s v="Demolition of single storey garage and erection of a two storey (with basement) 1 x 1 bed house. Re-consultation- updated drawings and reports received."/>
    <s v="PF"/>
    <d v="2020-04-09T00:00:00"/>
    <d v="2021-05-28T00:00:00"/>
    <x v="0"/>
    <s v="Nil"/>
    <m/>
    <s v="BF"/>
    <s v="NB"/>
    <x v="2"/>
    <x v="3"/>
    <n v="1.4E-2"/>
    <m/>
    <x v="0"/>
    <m/>
    <x v="1"/>
    <s v="M"/>
    <s v=""/>
    <m/>
    <m/>
    <m/>
    <m/>
    <m/>
    <n v="0"/>
    <n v="1"/>
    <n v="0"/>
    <n v="0"/>
    <n v="0"/>
    <n v="0"/>
    <n v="0"/>
    <n v="0"/>
    <n v="0"/>
    <n v="0"/>
    <n v="0"/>
    <n v="0"/>
    <n v="0"/>
    <n v="0"/>
    <n v="0"/>
    <n v="1"/>
    <n v="0"/>
    <n v="0"/>
    <n v="0"/>
    <n v="0"/>
    <n v="0"/>
    <n v="0"/>
    <n v="0"/>
    <n v="0"/>
    <n v="0"/>
    <n v="0"/>
    <n v="0"/>
    <n v="0"/>
    <x v="1"/>
    <x v="0"/>
    <x v="2"/>
    <n v="7"/>
    <m/>
    <m/>
    <n v="0.25"/>
    <n v="0.25"/>
    <n v="0.25"/>
    <n v="0.25"/>
    <m/>
    <m/>
    <m/>
    <m/>
    <m/>
    <m/>
    <m/>
    <m/>
    <m/>
    <m/>
    <m/>
    <m/>
    <m/>
    <m/>
    <n v="1"/>
    <n v="1"/>
  </r>
  <r>
    <n v="7143"/>
    <x v="2"/>
    <s v="2020/1262"/>
    <s v="Land rear of, 94 Bolingbroke Grove"/>
    <s v=""/>
    <n v="527274"/>
    <n v="174744"/>
    <x v="11"/>
    <m/>
    <m/>
    <n v="0"/>
    <x v="3"/>
    <x v="5"/>
    <n v="1"/>
    <n v="1"/>
    <x v="1"/>
    <s v="Demolition of existing garage and erection of two-storey (plus basement) 1-bedroom dwellinghouse."/>
    <s v="PF"/>
    <d v="2020-04-03T00:00:00"/>
    <d v="2020-08-13T00:00:00"/>
    <x v="0"/>
    <s v="Nil"/>
    <m/>
    <s v="BF"/>
    <s v="NB"/>
    <x v="2"/>
    <x v="3"/>
    <n v="2.8000000000000001E-2"/>
    <m/>
    <x v="0"/>
    <m/>
    <x v="1"/>
    <s v="M"/>
    <s v=""/>
    <m/>
    <m/>
    <m/>
    <m/>
    <m/>
    <n v="0"/>
    <n v="1"/>
    <n v="0"/>
    <n v="0"/>
    <n v="0"/>
    <n v="0"/>
    <n v="0"/>
    <n v="0"/>
    <n v="0"/>
    <n v="0"/>
    <n v="0"/>
    <n v="0"/>
    <n v="0"/>
    <n v="0"/>
    <n v="0"/>
    <n v="1"/>
    <n v="0"/>
    <n v="0"/>
    <n v="0"/>
    <n v="0"/>
    <n v="0"/>
    <n v="0"/>
    <n v="0"/>
    <n v="0"/>
    <n v="0"/>
    <n v="0"/>
    <n v="0"/>
    <n v="0"/>
    <x v="1"/>
    <x v="0"/>
    <x v="2"/>
    <n v="7"/>
    <m/>
    <m/>
    <n v="0.25"/>
    <n v="0.25"/>
    <n v="0.25"/>
    <n v="0.25"/>
    <m/>
    <m/>
    <m/>
    <m/>
    <m/>
    <m/>
    <m/>
    <m/>
    <m/>
    <m/>
    <m/>
    <m/>
    <m/>
    <m/>
    <n v="1"/>
    <n v="1"/>
  </r>
  <r>
    <n v="3246"/>
    <x v="2"/>
    <s v="2020/1286"/>
    <s v="157 Lower Richmond Road"/>
    <s v=""/>
    <n v="523446"/>
    <n v="175860"/>
    <x v="3"/>
    <m/>
    <m/>
    <n v="0"/>
    <x v="3"/>
    <x v="5"/>
    <n v="2"/>
    <n v="1"/>
    <x v="1"/>
    <s v="Alterations in connection with conversion of existing mansard roof extension to main rear roof and roof extension above part of two storey back addition into 1 x 1-bedroom flat."/>
    <s v="PF"/>
    <d v="2020-04-07T00:00:00"/>
    <d v="2020-06-01T00:00:00"/>
    <x v="0"/>
    <s v="Nil"/>
    <m/>
    <s v="BF"/>
    <s v="MIX"/>
    <x v="2"/>
    <x v="7"/>
    <n v="5.0000000000000001E-3"/>
    <m/>
    <x v="0"/>
    <m/>
    <x v="1"/>
    <s v="M"/>
    <s v=""/>
    <m/>
    <m/>
    <m/>
    <m/>
    <m/>
    <n v="0"/>
    <n v="1"/>
    <n v="0"/>
    <n v="0"/>
    <n v="0"/>
    <n v="0"/>
    <n v="0"/>
    <n v="0"/>
    <n v="1"/>
    <n v="0"/>
    <n v="0"/>
    <n v="0"/>
    <n v="0"/>
    <n v="0"/>
    <n v="0"/>
    <n v="0"/>
    <n v="0"/>
    <n v="0"/>
    <n v="0"/>
    <n v="0"/>
    <n v="0"/>
    <n v="0"/>
    <n v="0"/>
    <n v="0"/>
    <n v="0"/>
    <n v="0"/>
    <n v="0"/>
    <n v="0"/>
    <x v="1"/>
    <x v="0"/>
    <x v="2"/>
    <n v="15"/>
    <m/>
    <n v="0.25"/>
    <n v="0.25"/>
    <n v="0.25"/>
    <n v="0.25"/>
    <m/>
    <m/>
    <m/>
    <m/>
    <m/>
    <m/>
    <m/>
    <m/>
    <m/>
    <m/>
    <m/>
    <m/>
    <m/>
    <m/>
    <m/>
    <n v="1"/>
    <n v="1"/>
  </r>
  <r>
    <n v="3246"/>
    <x v="2"/>
    <s v="2020/1286"/>
    <s v="157 Lower Richmond Road"/>
    <s v=""/>
    <n v="523446"/>
    <n v="175860"/>
    <x v="3"/>
    <m/>
    <m/>
    <n v="1"/>
    <x v="3"/>
    <x v="6"/>
    <n v="2"/>
    <n v="1"/>
    <x v="1"/>
    <s v="Alterations in connection with conversion of existing mansard roof extension to main rear roof and roof extension above part of two storey back addition into 1 x 1-bedroom flat."/>
    <s v="PF"/>
    <d v="2020-04-07T00:00:00"/>
    <d v="2020-06-01T00:00:00"/>
    <x v="0"/>
    <s v="Nil"/>
    <m/>
    <s v="BF"/>
    <s v="MIX"/>
    <x v="2"/>
    <x v="1"/>
    <n v="4.0000000000000001E-3"/>
    <m/>
    <x v="0"/>
    <m/>
    <x v="1"/>
    <s v="M"/>
    <s v=""/>
    <m/>
    <m/>
    <m/>
    <m/>
    <m/>
    <n v="0"/>
    <n v="1"/>
    <n v="-1"/>
    <n v="0"/>
    <n v="0"/>
    <n v="0"/>
    <n v="0"/>
    <n v="0"/>
    <n v="1"/>
    <n v="-1"/>
    <n v="0"/>
    <n v="0"/>
    <n v="0"/>
    <n v="0"/>
    <n v="0"/>
    <n v="0"/>
    <n v="0"/>
    <n v="0"/>
    <n v="0"/>
    <n v="0"/>
    <n v="0"/>
    <n v="0"/>
    <n v="0"/>
    <n v="0"/>
    <n v="0"/>
    <n v="0"/>
    <n v="0"/>
    <n v="0"/>
    <x v="1"/>
    <x v="0"/>
    <x v="2"/>
    <n v="15"/>
    <m/>
    <n v="0"/>
    <n v="0"/>
    <n v="0"/>
    <n v="0"/>
    <m/>
    <m/>
    <m/>
    <m/>
    <m/>
    <m/>
    <m/>
    <m/>
    <m/>
    <m/>
    <m/>
    <m/>
    <m/>
    <m/>
    <m/>
    <n v="0"/>
    <n v="0"/>
  </r>
  <r>
    <n v="5044"/>
    <x v="2"/>
    <s v="2020/1615"/>
    <s v="329-339 &amp; 45-53 Putney Bridge Road &amp; Putney High Street, Putney Bridge Road (The Blades)"/>
    <s v="Levellers Court (ISO)"/>
    <n v="524136"/>
    <n v="175435"/>
    <x v="3"/>
    <d v="2022-07-06T00:00:00"/>
    <m/>
    <n v="0"/>
    <x v="105"/>
    <x v="122"/>
    <n v="123"/>
    <n v="121"/>
    <x v="0"/>
    <s v="Variation of conditions 2 (In Accordance With Approved Drawings), 9 (External Plant) and 26 (Energy Statement) pursuant to planning permission dated 29/07/2019 ref 2017/1874 (Demolition of existing buildings and redevelopment of the site to provide a mixed use development in buildings ranging in height between 2 and 10 storeys plus basement, to provide 1158 sq.m. of retail use (Class A1), 64 sq.m. of cafe/restaurant use (Class A3), 1519 sq.m. of office use (Class B1), and 146 sq.m. of community floorspace (Class D1) use, together with 123 residential units of private and affordable tenure, comprising 115 flats and 8 mews houses, with 27 associated parking spaces (21 residential and 6 commercial) with access from Putney Bridge Road, cycle parking spaces, associated amenity space including balconies, terraces and first floor publicly accessible courtyard amenity area; landscaping and other associated works.) to allow a revised location for car lift, fire escape stairs and UKPN substations; increase in height to the central public square and first floor level of the main building; reconfiguration of retail units fronting Putney Bridge Road and relocation of residential entrance courtyard stair and public square access; minor adjustment to footprint of main building, and alterations to the location of NE and NW cores; alterations to flat layouts; revision to plan as part of revised energy strategy and associated elevational changes."/>
    <s v="S73"/>
    <d v="2020-05-11T00:00:00"/>
    <d v="2020-10-27T00:00:00"/>
    <x v="0"/>
    <s v="Nil"/>
    <m/>
    <s v="BF"/>
    <s v="NB"/>
    <x v="1"/>
    <x v="0"/>
    <n v="8.1000000000000003E-2"/>
    <m/>
    <x v="0"/>
    <m/>
    <x v="0"/>
    <s v="ISO"/>
    <s v="6.1.3"/>
    <m/>
    <m/>
    <m/>
    <m/>
    <n v="4"/>
    <n v="0"/>
    <n v="13"/>
    <n v="20"/>
    <n v="0"/>
    <n v="0"/>
    <n v="0"/>
    <n v="0"/>
    <n v="0"/>
    <n v="13"/>
    <n v="20"/>
    <n v="0"/>
    <n v="0"/>
    <n v="0"/>
    <n v="0"/>
    <n v="0"/>
    <n v="0"/>
    <n v="0"/>
    <n v="0"/>
    <n v="0"/>
    <n v="0"/>
    <n v="0"/>
    <n v="0"/>
    <n v="0"/>
    <n v="0"/>
    <n v="0"/>
    <n v="0"/>
    <n v="0"/>
    <n v="0"/>
    <x v="2"/>
    <x v="0"/>
    <x v="6"/>
    <n v="10"/>
    <m/>
    <m/>
    <m/>
    <m/>
    <n v="11"/>
    <n v="11"/>
    <n v="11"/>
    <m/>
    <m/>
    <m/>
    <m/>
    <m/>
    <m/>
    <m/>
    <m/>
    <m/>
    <m/>
    <m/>
    <m/>
    <m/>
    <n v="22"/>
    <n v="33"/>
  </r>
  <r>
    <n v="5044"/>
    <x v="2"/>
    <s v="2020/1615"/>
    <s v="329-339 &amp; 45-53 Putney Bridge Road &amp; Putney High Street, Putney Bridge Road (The Blades)"/>
    <s v="Levellers Court (private)"/>
    <n v="524136"/>
    <n v="175435"/>
    <x v="3"/>
    <d v="2022-07-06T00:00:00"/>
    <m/>
    <n v="2"/>
    <x v="38"/>
    <x v="123"/>
    <n v="123"/>
    <n v="121"/>
    <x v="0"/>
    <s v="Variation of conditions 2 (In Accordance With Approved Drawings), 9 (External Plant) and 26 (Energy Statement) pursuant to planning permission dated 29/07/2019 ref 2017/1874 (Demolition of existing buildings and redevelopment of the site to provide a mixed use development in buildings ranging in height between 2 and 10 storeys plus basement, to provide 1158 sq.m. of retail use (Class A1), 64 sq.m. of cafe/restaurant use (Class A3), 1519 sq.m. of office use (Class B1), and 146 sq.m. of community floorspace (Class D1) use, together with 123 residential units of private and affordable tenure, comprising 115 flats and 8 mews houses, with 27 associated parking spaces (21 residential and 6 commercial) with access from Putney Bridge Road, cycle parking spaces, associated amenity space including balconies, terraces and first floor publicly accessible courtyard amenity area; landscaping and other associated works.) to allow a revised location for car lift, fire escape stairs and UKPN substations; increase in height to the central public square and first floor level of the main building; reconfiguration of retail units fronting Putney Bridge Road and relocation of residential entrance courtyard stair and public square access; minor adjustment to footprint of main building, and alterations to the location of NE and NW cores; alterations to flat layouts; revision to plan as part of revised energy strategy and associated elevational changes."/>
    <s v="S73"/>
    <d v="2020-05-11T00:00:00"/>
    <d v="2020-10-27T00:00:00"/>
    <x v="0"/>
    <s v="Nil"/>
    <m/>
    <s v="BF"/>
    <s v="NB"/>
    <x v="1"/>
    <x v="0"/>
    <n v="0.19600000000000001"/>
    <m/>
    <x v="0"/>
    <m/>
    <x v="1"/>
    <s v="M"/>
    <s v="6.1.3"/>
    <m/>
    <m/>
    <m/>
    <m/>
    <n v="8"/>
    <n v="0"/>
    <n v="23"/>
    <n v="29"/>
    <n v="28"/>
    <n v="0"/>
    <n v="0"/>
    <n v="0"/>
    <n v="0"/>
    <n v="23"/>
    <n v="29"/>
    <n v="28"/>
    <n v="0"/>
    <n v="0"/>
    <n v="0"/>
    <n v="0"/>
    <n v="0"/>
    <n v="0"/>
    <n v="0"/>
    <n v="0"/>
    <n v="0"/>
    <n v="0"/>
    <n v="0"/>
    <n v="0"/>
    <n v="0"/>
    <n v="0"/>
    <n v="0"/>
    <n v="0"/>
    <n v="0"/>
    <x v="2"/>
    <x v="0"/>
    <x v="6"/>
    <n v="10"/>
    <m/>
    <m/>
    <m/>
    <m/>
    <n v="26.666666666666668"/>
    <n v="26.666666666666668"/>
    <n v="26.666666666666668"/>
    <m/>
    <m/>
    <m/>
    <m/>
    <m/>
    <m/>
    <m/>
    <m/>
    <m/>
    <m/>
    <m/>
    <m/>
    <m/>
    <n v="53.333333333333336"/>
    <n v="80"/>
  </r>
  <r>
    <n v="5044"/>
    <x v="2"/>
    <s v="2020/1615"/>
    <s v="329-339 &amp; 45-53 Putney Bridge Road &amp; Putney High Street, Putney Bridge Road (The Blades)"/>
    <s v="Levellers Mews"/>
    <n v="524136"/>
    <n v="175435"/>
    <x v="3"/>
    <d v="2022-07-06T00:00:00"/>
    <m/>
    <n v="0"/>
    <x v="9"/>
    <x v="12"/>
    <n v="123"/>
    <n v="121"/>
    <x v="0"/>
    <s v="Variation of conditions 2 (In Accordance With Approved Drawings), 9 (External Plant) and 26 (Energy Statement) pursuant to planning permission dated 29/07/2019 ref 2017/1874 (Demolition of existing buildings and redevelopment of the site to provide a mixed use development in buildings ranging in height between 2 and 10 storeys plus basement, to provide 1158 sq.m. of retail use (Class A1), 64 sq.m. of cafe/restaurant use (Class A3), 1519 sq.m. of office use (Class B1), and 146 sq.m. of community floorspace (Class D1) use, together with 123 residential units of private and affordable tenure, comprising 115 flats and 8 mews houses, with 27 associated parking spaces (21 residential and 6 commercial) with access from Putney Bridge Road, cycle parking spaces, associated amenity space including balconies, terraces and first floor publicly accessible courtyard amenity area; landscaping and other associated works.) to allow a revised location for car lift, fire escape stairs and UKPN substations; increase in height to the central public square and first floor level of the main building; reconfiguration of retail units fronting Putney Bridge Road and relocation of residential entrance courtyard stair and public square access; minor adjustment to footprint of main building, and alterations to the location of NE and NW cores; alterations to flat layouts; revision to plan as part of revised energy strategy and associated elevational changes."/>
    <s v="S73"/>
    <d v="2020-05-11T00:00:00"/>
    <d v="2020-10-27T00:00:00"/>
    <x v="0"/>
    <s v="Nil"/>
    <m/>
    <s v="BF"/>
    <s v="NB"/>
    <x v="1"/>
    <x v="0"/>
    <n v="6.6000000000000003E-2"/>
    <m/>
    <x v="0"/>
    <m/>
    <x v="1"/>
    <s v="M"/>
    <s v="6.1.3"/>
    <m/>
    <m/>
    <m/>
    <m/>
    <m/>
    <n v="0"/>
    <n v="0"/>
    <n v="8"/>
    <n v="0"/>
    <n v="0"/>
    <n v="0"/>
    <n v="0"/>
    <n v="0"/>
    <n v="0"/>
    <n v="0"/>
    <n v="0"/>
    <n v="0"/>
    <n v="0"/>
    <n v="0"/>
    <n v="0"/>
    <n v="0"/>
    <n v="8"/>
    <n v="0"/>
    <n v="0"/>
    <n v="0"/>
    <n v="0"/>
    <n v="0"/>
    <n v="0"/>
    <n v="0"/>
    <n v="0"/>
    <n v="0"/>
    <n v="0"/>
    <n v="0"/>
    <x v="2"/>
    <x v="0"/>
    <x v="6"/>
    <n v="10"/>
    <m/>
    <m/>
    <m/>
    <m/>
    <n v="2.6666666666666665"/>
    <n v="2.6666666666666665"/>
    <n v="2.6666666666666665"/>
    <m/>
    <m/>
    <m/>
    <m/>
    <m/>
    <m/>
    <m/>
    <m/>
    <m/>
    <m/>
    <m/>
    <m/>
    <m/>
    <n v="5.333333333333333"/>
    <n v="8"/>
  </r>
  <r>
    <n v="7396"/>
    <x v="2"/>
    <s v="2020/1910"/>
    <s v="161 Battersea High Street"/>
    <s v=""/>
    <n v="527053"/>
    <n v="176220"/>
    <x v="15"/>
    <m/>
    <m/>
    <n v="1"/>
    <x v="3"/>
    <x v="6"/>
    <n v="1"/>
    <n v="0"/>
    <x v="1"/>
    <s v="Erection of ground and first floor rear extensions following demolition of existing. Change of use of rear of ground floor from (Class A1) to (Class C3) to form an enlarged 4-bedroom maisonette. Including new communal access to residential flats and bike store along with a new shopfront for the retained A1 unit onto Battersea High Street."/>
    <s v="PF"/>
    <d v="2020-06-15T00:00:00"/>
    <d v="2020-08-19T00:00:00"/>
    <x v="0"/>
    <s v="Nil"/>
    <m/>
    <s v="BF"/>
    <s v="EXT"/>
    <x v="2"/>
    <x v="4"/>
    <n v="5.0000000000000001E-3"/>
    <m/>
    <x v="0"/>
    <m/>
    <x v="1"/>
    <s v="M"/>
    <s v=""/>
    <m/>
    <m/>
    <m/>
    <m/>
    <m/>
    <n v="0"/>
    <n v="0"/>
    <n v="-1"/>
    <n v="0"/>
    <n v="1"/>
    <n v="0"/>
    <n v="0"/>
    <n v="0"/>
    <n v="0"/>
    <n v="-1"/>
    <n v="0"/>
    <n v="1"/>
    <n v="0"/>
    <n v="0"/>
    <n v="0"/>
    <n v="0"/>
    <n v="0"/>
    <n v="0"/>
    <n v="0"/>
    <n v="0"/>
    <n v="0"/>
    <n v="0"/>
    <n v="0"/>
    <n v="0"/>
    <n v="0"/>
    <n v="0"/>
    <n v="0"/>
    <n v="0"/>
    <x v="1"/>
    <x v="0"/>
    <x v="2"/>
    <n v="15"/>
    <m/>
    <n v="0"/>
    <n v="0"/>
    <n v="0"/>
    <n v="0"/>
    <m/>
    <m/>
    <m/>
    <m/>
    <m/>
    <m/>
    <m/>
    <m/>
    <m/>
    <m/>
    <m/>
    <m/>
    <m/>
    <m/>
    <m/>
    <n v="0"/>
    <n v="0"/>
  </r>
  <r>
    <n v="7396"/>
    <x v="2"/>
    <s v="2020/1999"/>
    <s v="161 Battersea High Street"/>
    <s v=""/>
    <n v="527053"/>
    <n v="176220"/>
    <x v="15"/>
    <m/>
    <m/>
    <n v="0"/>
    <x v="3"/>
    <x v="5"/>
    <n v="1"/>
    <n v="1"/>
    <x v="1"/>
    <s v="Alterations including extension to main rear roof to create additional storey of accommodation to provide a 1 x 1-bedroom flat."/>
    <s v="PF"/>
    <d v="2020-06-08T00:00:00"/>
    <d v="2020-07-30T00:00:00"/>
    <x v="0"/>
    <s v="Nil"/>
    <m/>
    <s v="BF"/>
    <s v="EXT"/>
    <x v="2"/>
    <x v="7"/>
    <n v="5.0000000000000001E-3"/>
    <m/>
    <x v="0"/>
    <m/>
    <x v="1"/>
    <s v="M"/>
    <s v=""/>
    <m/>
    <m/>
    <m/>
    <m/>
    <m/>
    <n v="0"/>
    <n v="1"/>
    <n v="0"/>
    <n v="0"/>
    <n v="0"/>
    <n v="0"/>
    <n v="0"/>
    <n v="0"/>
    <n v="1"/>
    <n v="0"/>
    <n v="0"/>
    <n v="0"/>
    <n v="0"/>
    <n v="0"/>
    <n v="0"/>
    <n v="0"/>
    <n v="0"/>
    <n v="0"/>
    <n v="0"/>
    <n v="0"/>
    <n v="0"/>
    <n v="0"/>
    <n v="0"/>
    <n v="0"/>
    <n v="0"/>
    <n v="0"/>
    <n v="0"/>
    <n v="0"/>
    <x v="1"/>
    <x v="0"/>
    <x v="2"/>
    <n v="15"/>
    <m/>
    <n v="0.25"/>
    <n v="0.25"/>
    <n v="0.25"/>
    <n v="0.25"/>
    <m/>
    <m/>
    <m/>
    <m/>
    <m/>
    <m/>
    <m/>
    <m/>
    <m/>
    <m/>
    <m/>
    <m/>
    <m/>
    <m/>
    <m/>
    <n v="1"/>
    <n v="1"/>
  </r>
  <r>
    <n v="7055"/>
    <x v="2"/>
    <s v="2020/2038"/>
    <s v="89 Ramsden Road"/>
    <s v=""/>
    <n v="528371"/>
    <n v="173680"/>
    <x v="6"/>
    <m/>
    <m/>
    <n v="5"/>
    <x v="12"/>
    <x v="3"/>
    <n v="5"/>
    <n v="0"/>
    <x v="1"/>
    <s v="Alterations including erection of dormer roof extension to main rear roof; erection of single-storey rear extension; enlargement of existing basement and formation of side and rear lightwells in connection with conversion of property from 5 x 1-bedroom flats to 1 x studio, 2 x 1-bedroom, 1 x 2-bedroom and 1 x 3-bedroom flats."/>
    <s v="PF"/>
    <d v="2020-08-21T00:00:00"/>
    <d v="2020-10-16T00:00:00"/>
    <x v="0"/>
    <s v="Nil"/>
    <m/>
    <s v="BF"/>
    <s v="MIX"/>
    <x v="2"/>
    <x v="5"/>
    <n v="3.6999999999999998E-2"/>
    <m/>
    <x v="0"/>
    <m/>
    <x v="1"/>
    <s v="M"/>
    <s v=""/>
    <m/>
    <m/>
    <m/>
    <m/>
    <m/>
    <n v="-2"/>
    <n v="-1"/>
    <n v="1"/>
    <n v="1"/>
    <n v="0"/>
    <n v="0"/>
    <n v="0"/>
    <n v="-2"/>
    <n v="-1"/>
    <n v="1"/>
    <n v="1"/>
    <n v="0"/>
    <n v="0"/>
    <n v="0"/>
    <n v="0"/>
    <n v="0"/>
    <n v="0"/>
    <n v="0"/>
    <n v="0"/>
    <n v="0"/>
    <n v="0"/>
    <n v="0"/>
    <n v="0"/>
    <n v="0"/>
    <n v="0"/>
    <n v="0"/>
    <n v="0"/>
    <n v="0"/>
    <x v="1"/>
    <x v="0"/>
    <x v="2"/>
    <n v="15"/>
    <m/>
    <n v="-0.25"/>
    <n v="-0.25"/>
    <n v="-0.25"/>
    <n v="-0.25"/>
    <m/>
    <m/>
    <m/>
    <m/>
    <m/>
    <m/>
    <m/>
    <m/>
    <m/>
    <m/>
    <m/>
    <m/>
    <m/>
    <m/>
    <m/>
    <n v="-1"/>
    <n v="-1"/>
  </r>
  <r>
    <n v="7055"/>
    <x v="2"/>
    <s v="2020/2038"/>
    <s v="89 Ramsden Road"/>
    <s v=""/>
    <n v="528371"/>
    <n v="173680"/>
    <x v="6"/>
    <m/>
    <m/>
    <n v="0"/>
    <x v="3"/>
    <x v="5"/>
    <n v="5"/>
    <n v="0"/>
    <x v="1"/>
    <s v="Alterations including erection of dormer roof extension to main rear roof; erection of single-storey rear extension; enlargement of existing basement and formation of side and rear lightwells in connection with conversion of property from 5 x 1-bedroom flats to 1 x studio, 2 x 1-bedroom, 1 x 2-bedroom and 1 x 3-bedroom flats."/>
    <s v="PF"/>
    <d v="2020-08-21T00:00:00"/>
    <d v="2020-10-16T00:00:00"/>
    <x v="0"/>
    <s v="Nil"/>
    <m/>
    <s v="BF"/>
    <s v="MIX"/>
    <x v="2"/>
    <x v="7"/>
    <n v="4.0000000000000001E-3"/>
    <m/>
    <x v="0"/>
    <m/>
    <x v="1"/>
    <s v="M"/>
    <s v=""/>
    <m/>
    <m/>
    <m/>
    <m/>
    <m/>
    <n v="1"/>
    <n v="0"/>
    <n v="0"/>
    <n v="0"/>
    <n v="0"/>
    <n v="0"/>
    <n v="0"/>
    <n v="1"/>
    <n v="0"/>
    <n v="0"/>
    <n v="0"/>
    <n v="0"/>
    <n v="0"/>
    <n v="0"/>
    <n v="0"/>
    <n v="0"/>
    <n v="0"/>
    <n v="0"/>
    <n v="0"/>
    <n v="0"/>
    <n v="0"/>
    <n v="0"/>
    <n v="0"/>
    <n v="0"/>
    <n v="0"/>
    <n v="0"/>
    <n v="0"/>
    <n v="0"/>
    <x v="1"/>
    <x v="0"/>
    <x v="2"/>
    <n v="15"/>
    <m/>
    <n v="0.25"/>
    <n v="0.25"/>
    <n v="0.25"/>
    <n v="0.25"/>
    <m/>
    <m/>
    <m/>
    <m/>
    <m/>
    <m/>
    <m/>
    <m/>
    <m/>
    <m/>
    <m/>
    <m/>
    <m/>
    <m/>
    <m/>
    <n v="1"/>
    <n v="1"/>
  </r>
  <r>
    <n v="4386"/>
    <x v="2"/>
    <s v="2020/2048"/>
    <s v="317 Battersea Park Road"/>
    <s v=""/>
    <n v="528177"/>
    <n v="176638"/>
    <x v="2"/>
    <m/>
    <m/>
    <n v="0"/>
    <x v="3"/>
    <x v="5"/>
    <n v="1"/>
    <n v="1"/>
    <x v="1"/>
    <s v="Alterations including erection of roof extension to create an additional floor of accomodation in connection with creation of 1 x 1-bed flat."/>
    <s v="PF"/>
    <d v="2020-06-10T00:00:00"/>
    <d v="2020-09-28T00:00:00"/>
    <x v="0"/>
    <s v="Nil"/>
    <m/>
    <s v="BF"/>
    <s v="EXT"/>
    <x v="2"/>
    <x v="7"/>
    <n v="3.0000000000000001E-3"/>
    <m/>
    <x v="0"/>
    <m/>
    <x v="1"/>
    <s v="M"/>
    <s v=""/>
    <m/>
    <m/>
    <m/>
    <m/>
    <m/>
    <n v="0"/>
    <n v="1"/>
    <n v="0"/>
    <n v="0"/>
    <n v="0"/>
    <n v="0"/>
    <n v="0"/>
    <n v="0"/>
    <n v="1"/>
    <n v="0"/>
    <n v="0"/>
    <n v="0"/>
    <n v="0"/>
    <n v="0"/>
    <n v="0"/>
    <n v="0"/>
    <n v="0"/>
    <n v="0"/>
    <n v="0"/>
    <n v="0"/>
    <n v="0"/>
    <n v="0"/>
    <n v="0"/>
    <n v="0"/>
    <n v="0"/>
    <n v="0"/>
    <n v="0"/>
    <n v="0"/>
    <x v="1"/>
    <x v="0"/>
    <x v="2"/>
    <n v="15"/>
    <m/>
    <n v="0.25"/>
    <n v="0.25"/>
    <n v="0.25"/>
    <n v="0.25"/>
    <m/>
    <m/>
    <m/>
    <m/>
    <m/>
    <m/>
    <m/>
    <m/>
    <m/>
    <m/>
    <m/>
    <m/>
    <m/>
    <m/>
    <m/>
    <n v="1"/>
    <n v="1"/>
  </r>
  <r>
    <n v="4316"/>
    <x v="2"/>
    <s v="2020/0457"/>
    <s v="25-29 Tooting High Street"/>
    <s v=""/>
    <n v="527567"/>
    <n v="171576"/>
    <x v="0"/>
    <d v="2024-03-31T00:00:00"/>
    <m/>
    <n v="0"/>
    <x v="67"/>
    <x v="76"/>
    <n v="29"/>
    <n v="29"/>
    <x v="0"/>
    <s v="Alterations and erection of extensions to front and side of building at first and second floor levels with the creation of additional third floor level; erection of a rear part four, part five storey extension to provide retail unit (Class A1) on ground floor and 29 residential units (Class C3) above with private balconies and communal roof terrace. Provision of waste and cycle storage and landscaping."/>
    <s v="PFLA"/>
    <d v="2020-04-02T00:00:00"/>
    <d v="2022-01-05T00:00:00"/>
    <x v="0"/>
    <s v="Nil"/>
    <m/>
    <s v="BF"/>
    <s v="MIX"/>
    <x v="1"/>
    <x v="0"/>
    <n v="0.08"/>
    <m/>
    <x v="0"/>
    <m/>
    <x v="1"/>
    <s v="M"/>
    <s v="5.2"/>
    <m/>
    <m/>
    <n v="2"/>
    <m/>
    <m/>
    <n v="0"/>
    <n v="10"/>
    <n v="8"/>
    <n v="5"/>
    <n v="0"/>
    <n v="0"/>
    <n v="0"/>
    <n v="0"/>
    <n v="10"/>
    <n v="8"/>
    <n v="5"/>
    <n v="0"/>
    <n v="0"/>
    <n v="0"/>
    <n v="0"/>
    <n v="0"/>
    <n v="0"/>
    <n v="0"/>
    <n v="0"/>
    <n v="0"/>
    <n v="0"/>
    <n v="0"/>
    <n v="0"/>
    <n v="0"/>
    <n v="0"/>
    <n v="0"/>
    <n v="0"/>
    <n v="0"/>
    <x v="0"/>
    <x v="0"/>
    <x v="0"/>
    <n v="16"/>
    <m/>
    <n v="5.75"/>
    <n v="5.75"/>
    <n v="5.75"/>
    <n v="5.75"/>
    <m/>
    <m/>
    <m/>
    <m/>
    <m/>
    <m/>
    <m/>
    <m/>
    <m/>
    <m/>
    <m/>
    <m/>
    <m/>
    <m/>
    <m/>
    <n v="23"/>
    <n v="23"/>
  </r>
  <r>
    <n v="3577"/>
    <x v="2"/>
    <s v="2020/2249"/>
    <s v="74 St Rule Street"/>
    <s v=""/>
    <n v="529035"/>
    <n v="176328"/>
    <x v="20"/>
    <m/>
    <m/>
    <n v="0"/>
    <x v="5"/>
    <x v="7"/>
    <n v="2"/>
    <n v="2"/>
    <x v="1"/>
    <s v="Change of use of ground floor from 2 x Class A1 and 1 x Class A3 units to C3 residential, and internal reconfiguration and fenestration alterations to ground and first floor to create a total of 2 no. additional dwellings."/>
    <s v="PF"/>
    <d v="2020-06-25T00:00:00"/>
    <d v="2020-09-23T00:00:00"/>
    <x v="0"/>
    <s v="Nil"/>
    <m/>
    <s v="BF"/>
    <s v="COU"/>
    <x v="2"/>
    <x v="4"/>
    <n v="1.7000000000000001E-2"/>
    <m/>
    <x v="0"/>
    <m/>
    <x v="1"/>
    <s v="M"/>
    <s v=""/>
    <m/>
    <m/>
    <m/>
    <m/>
    <m/>
    <n v="0"/>
    <n v="2"/>
    <n v="0"/>
    <n v="0"/>
    <n v="0"/>
    <n v="0"/>
    <n v="0"/>
    <n v="0"/>
    <n v="2"/>
    <n v="0"/>
    <n v="0"/>
    <n v="0"/>
    <n v="0"/>
    <n v="0"/>
    <n v="0"/>
    <n v="0"/>
    <n v="0"/>
    <n v="0"/>
    <n v="0"/>
    <n v="0"/>
    <n v="0"/>
    <n v="0"/>
    <n v="0"/>
    <n v="0"/>
    <n v="0"/>
    <n v="0"/>
    <n v="0"/>
    <n v="0"/>
    <x v="1"/>
    <x v="1"/>
    <x v="1"/>
    <n v="15"/>
    <m/>
    <n v="0.5"/>
    <n v="0.5"/>
    <n v="0.5"/>
    <n v="0.5"/>
    <m/>
    <m/>
    <m/>
    <m/>
    <m/>
    <m/>
    <m/>
    <m/>
    <m/>
    <m/>
    <m/>
    <m/>
    <m/>
    <m/>
    <m/>
    <n v="2"/>
    <n v="2"/>
  </r>
  <r>
    <n v="7399"/>
    <x v="2"/>
    <s v="2020/2360"/>
    <s v="69 Webbs Road"/>
    <s v=""/>
    <n v="527815"/>
    <n v="174573"/>
    <x v="11"/>
    <m/>
    <m/>
    <n v="0"/>
    <x v="3"/>
    <x v="5"/>
    <n v="1"/>
    <n v="1"/>
    <x v="1"/>
    <s v="Determination as to whether prior approval is required for change of use from Ground Floor Shop (Class A1) to 1 x 1-bedroom flat (Class C3) with associated external alterations to front elevation."/>
    <s v="PAG"/>
    <d v="2020-07-03T00:00:00"/>
    <d v="2020-08-28T00:00:00"/>
    <x v="0"/>
    <s v="Nil"/>
    <m/>
    <s v="BF"/>
    <s v="COU"/>
    <x v="2"/>
    <x v="4"/>
    <n v="5.0000000000000001E-3"/>
    <m/>
    <x v="0"/>
    <m/>
    <x v="1"/>
    <s v="M"/>
    <s v=""/>
    <m/>
    <m/>
    <m/>
    <m/>
    <m/>
    <n v="0"/>
    <n v="1"/>
    <n v="0"/>
    <n v="0"/>
    <n v="0"/>
    <n v="0"/>
    <n v="0"/>
    <n v="0"/>
    <n v="1"/>
    <n v="0"/>
    <n v="0"/>
    <n v="0"/>
    <n v="0"/>
    <n v="0"/>
    <n v="0"/>
    <n v="0"/>
    <n v="0"/>
    <n v="0"/>
    <n v="0"/>
    <n v="0"/>
    <n v="0"/>
    <n v="0"/>
    <n v="0"/>
    <n v="0"/>
    <n v="0"/>
    <n v="0"/>
    <n v="0"/>
    <n v="0"/>
    <x v="1"/>
    <x v="0"/>
    <x v="2"/>
    <n v="15"/>
    <m/>
    <n v="0.25"/>
    <n v="0.25"/>
    <n v="0.25"/>
    <n v="0.25"/>
    <m/>
    <m/>
    <m/>
    <m/>
    <m/>
    <m/>
    <m/>
    <m/>
    <m/>
    <m/>
    <m/>
    <m/>
    <m/>
    <m/>
    <m/>
    <n v="1"/>
    <n v="1"/>
  </r>
  <r>
    <n v="7455"/>
    <x v="2"/>
    <s v="2020/2945"/>
    <s v="First and Second Floor, 162 Battersea Park Road"/>
    <s v=""/>
    <n v="527895"/>
    <n v="176598"/>
    <x v="2"/>
    <m/>
    <m/>
    <n v="1"/>
    <x v="5"/>
    <x v="5"/>
    <n v="2"/>
    <n v="1"/>
    <x v="1"/>
    <s v="Alterations including erection of mansard roof extension to main rear roof and erection of infill to first floor extension in connection with the conversion of 1 x 4 bedroom flat into 2 x 1 bedroom flats."/>
    <s v="PF"/>
    <d v="2020-08-10T00:00:00"/>
    <d v="2021-03-16T00:00:00"/>
    <x v="0"/>
    <s v="Nil"/>
    <m/>
    <s v="BF"/>
    <s v="CON"/>
    <x v="2"/>
    <x v="5"/>
    <n v="7.0000000000000001E-3"/>
    <m/>
    <x v="0"/>
    <m/>
    <x v="1"/>
    <s v="M"/>
    <s v=""/>
    <m/>
    <m/>
    <m/>
    <m/>
    <m/>
    <n v="0"/>
    <n v="2"/>
    <n v="0"/>
    <n v="0"/>
    <n v="-1"/>
    <n v="0"/>
    <n v="0"/>
    <n v="0"/>
    <n v="2"/>
    <n v="0"/>
    <n v="0"/>
    <n v="-1"/>
    <n v="0"/>
    <n v="0"/>
    <n v="0"/>
    <n v="0"/>
    <n v="0"/>
    <n v="0"/>
    <n v="0"/>
    <n v="0"/>
    <n v="0"/>
    <n v="0"/>
    <n v="0"/>
    <n v="0"/>
    <n v="0"/>
    <n v="0"/>
    <n v="0"/>
    <n v="0"/>
    <x v="1"/>
    <x v="0"/>
    <x v="2"/>
    <n v="15"/>
    <m/>
    <n v="0.25"/>
    <n v="0.25"/>
    <n v="0.25"/>
    <n v="0.25"/>
    <m/>
    <m/>
    <m/>
    <m/>
    <m/>
    <m/>
    <m/>
    <m/>
    <m/>
    <m/>
    <m/>
    <m/>
    <m/>
    <m/>
    <m/>
    <n v="1"/>
    <n v="1"/>
  </r>
  <r>
    <n v="7437"/>
    <x v="2"/>
    <s v="2020/2954"/>
    <s v="133 Wandsworth High Street"/>
    <s v=""/>
    <n v="525471"/>
    <n v="174681"/>
    <x v="14"/>
    <m/>
    <m/>
    <n v="0"/>
    <x v="5"/>
    <x v="7"/>
    <n v="2"/>
    <n v="2"/>
    <x v="1"/>
    <s v="Change of use of ground floor to use class A2 and alterations including erection of roof extension to main rear roof, erection of first storey rear extension and excavation of rear lightwells in connection with the creation of 1 x 1 -bedroom and 1 x 2-bedroom flat"/>
    <s v="PF"/>
    <d v="2020-08-11T00:00:00"/>
    <d v="2021-03-17T00:00:00"/>
    <x v="0"/>
    <s v="Nil"/>
    <m/>
    <s v="BF"/>
    <s v="MIX"/>
    <x v="2"/>
    <x v="7"/>
    <n v="2E-3"/>
    <m/>
    <x v="0"/>
    <m/>
    <x v="1"/>
    <s v="M"/>
    <s v=""/>
    <m/>
    <m/>
    <m/>
    <m/>
    <m/>
    <n v="0"/>
    <n v="1"/>
    <n v="1"/>
    <n v="0"/>
    <n v="0"/>
    <n v="0"/>
    <n v="0"/>
    <n v="0"/>
    <n v="1"/>
    <n v="1"/>
    <n v="0"/>
    <n v="0"/>
    <n v="0"/>
    <n v="0"/>
    <n v="0"/>
    <n v="0"/>
    <n v="0"/>
    <n v="0"/>
    <n v="0"/>
    <n v="0"/>
    <n v="0"/>
    <n v="0"/>
    <n v="0"/>
    <n v="0"/>
    <n v="0"/>
    <n v="0"/>
    <n v="0"/>
    <n v="0"/>
    <x v="4"/>
    <x v="0"/>
    <x v="7"/>
    <n v="15"/>
    <m/>
    <n v="0.5"/>
    <n v="0.5"/>
    <n v="0.5"/>
    <n v="0.5"/>
    <m/>
    <m/>
    <m/>
    <m/>
    <m/>
    <m/>
    <m/>
    <m/>
    <m/>
    <m/>
    <m/>
    <m/>
    <m/>
    <m/>
    <m/>
    <n v="2"/>
    <n v="2"/>
  </r>
  <r>
    <n v="6634"/>
    <x v="2"/>
    <s v="2020/3029"/>
    <s v="321 Merton Road"/>
    <s v=""/>
    <n v="525319"/>
    <n v="173419"/>
    <x v="12"/>
    <m/>
    <m/>
    <n v="1"/>
    <x v="5"/>
    <x v="5"/>
    <n v="2"/>
    <n v="1"/>
    <x v="1"/>
    <s v="Erection of roof extension to provide second floor to front part of building; three-storey rear/side extension; insertion of windows and doors in side elevation in connection with conversion of upper floors into 1x 1 bedroom flat and 1 x studio flats with cycle and refuse stores at ground floor level.(amendments to planning application 2018/3983)"/>
    <s v="PF"/>
    <d v="2020-10-13T00:00:00"/>
    <d v="2020-10-14T00:00:00"/>
    <x v="0"/>
    <s v="Nil"/>
    <m/>
    <s v="BF"/>
    <s v="CON"/>
    <x v="2"/>
    <x v="5"/>
    <n v="8.0000000000000002E-3"/>
    <m/>
    <x v="0"/>
    <m/>
    <x v="1"/>
    <s v="M"/>
    <s v=""/>
    <m/>
    <m/>
    <m/>
    <m/>
    <m/>
    <n v="1"/>
    <n v="1"/>
    <n v="-1"/>
    <n v="0"/>
    <n v="0"/>
    <n v="0"/>
    <n v="0"/>
    <n v="1"/>
    <n v="1"/>
    <n v="-1"/>
    <n v="0"/>
    <n v="0"/>
    <n v="0"/>
    <n v="0"/>
    <n v="0"/>
    <n v="0"/>
    <n v="0"/>
    <n v="0"/>
    <n v="0"/>
    <n v="0"/>
    <n v="0"/>
    <n v="0"/>
    <n v="0"/>
    <n v="0"/>
    <n v="0"/>
    <n v="0"/>
    <n v="0"/>
    <n v="0"/>
    <x v="1"/>
    <x v="0"/>
    <x v="5"/>
    <n v="15"/>
    <m/>
    <n v="0.25"/>
    <n v="0.25"/>
    <n v="0.25"/>
    <n v="0.25"/>
    <m/>
    <m/>
    <m/>
    <m/>
    <m/>
    <m/>
    <m/>
    <m/>
    <m/>
    <m/>
    <m/>
    <m/>
    <m/>
    <m/>
    <m/>
    <n v="1"/>
    <n v="1"/>
  </r>
  <r>
    <n v="6277"/>
    <x v="2"/>
    <s v="2020/3102"/>
    <s v="130 Longley Road"/>
    <s v=""/>
    <n v="527645"/>
    <n v="170659"/>
    <x v="0"/>
    <m/>
    <m/>
    <n v="1"/>
    <x v="11"/>
    <x v="7"/>
    <n v="4"/>
    <n v="3"/>
    <x v="1"/>
    <s v="Alterations including excavation to create basement including formation of front and rear lightwells will grille over; erection of part single/part two storey rear extension in connection with conversion of property into 2 x 3-bedroom, 1 x 2-bedroom and 1 x studio flats."/>
    <s v="PF"/>
    <d v="2020-08-20T00:00:00"/>
    <d v="2020-12-22T00:00:00"/>
    <x v="0"/>
    <s v="Nil"/>
    <m/>
    <s v="BF"/>
    <s v="MIX"/>
    <x v="2"/>
    <x v="10"/>
    <n v="8.9999999999999993E-3"/>
    <m/>
    <x v="0"/>
    <m/>
    <x v="1"/>
    <s v="M"/>
    <s v=""/>
    <m/>
    <m/>
    <m/>
    <m/>
    <m/>
    <n v="0"/>
    <n v="0"/>
    <n v="1"/>
    <n v="2"/>
    <n v="0"/>
    <n v="-1"/>
    <n v="0"/>
    <n v="0"/>
    <n v="0"/>
    <n v="1"/>
    <n v="2"/>
    <n v="0"/>
    <n v="0"/>
    <n v="0"/>
    <n v="0"/>
    <n v="0"/>
    <n v="0"/>
    <n v="0"/>
    <n v="0"/>
    <n v="-1"/>
    <n v="0"/>
    <n v="0"/>
    <n v="0"/>
    <n v="0"/>
    <n v="0"/>
    <n v="0"/>
    <n v="0"/>
    <n v="0"/>
    <x v="1"/>
    <x v="0"/>
    <x v="2"/>
    <n v="15"/>
    <m/>
    <n v="0.5"/>
    <n v="0.5"/>
    <n v="0.5"/>
    <n v="0.5"/>
    <m/>
    <m/>
    <m/>
    <m/>
    <m/>
    <m/>
    <m/>
    <m/>
    <m/>
    <m/>
    <m/>
    <m/>
    <m/>
    <m/>
    <m/>
    <n v="2"/>
    <n v="2"/>
  </r>
  <r>
    <n v="6277"/>
    <x v="2"/>
    <s v="2020/3102"/>
    <s v="130 Longley Road"/>
    <s v=""/>
    <n v="527645"/>
    <n v="170659"/>
    <x v="0"/>
    <m/>
    <m/>
    <n v="0"/>
    <x v="3"/>
    <x v="5"/>
    <n v="4"/>
    <n v="3"/>
    <x v="1"/>
    <s v="Alterations including excavation to create basement including formation of front and rear lightwells will grille over; erection of part single/part two storey rear extension in connection with conversion of property into 2 x 3-bedroom, 1 x 2-bedroom and 1 x studio flats."/>
    <s v="PF"/>
    <d v="2020-08-20T00:00:00"/>
    <d v="2020-12-22T00:00:00"/>
    <x v="0"/>
    <s v="Nil"/>
    <m/>
    <s v="BF"/>
    <s v="MIX"/>
    <x v="2"/>
    <x v="7"/>
    <n v="2.7E-2"/>
    <m/>
    <x v="0"/>
    <m/>
    <x v="1"/>
    <s v="M"/>
    <s v=""/>
    <m/>
    <m/>
    <m/>
    <m/>
    <m/>
    <n v="1"/>
    <n v="0"/>
    <n v="0"/>
    <n v="0"/>
    <n v="0"/>
    <n v="0"/>
    <n v="0"/>
    <n v="1"/>
    <n v="0"/>
    <n v="0"/>
    <n v="0"/>
    <n v="0"/>
    <n v="0"/>
    <n v="0"/>
    <n v="0"/>
    <n v="0"/>
    <n v="0"/>
    <n v="0"/>
    <n v="0"/>
    <n v="0"/>
    <n v="0"/>
    <n v="0"/>
    <n v="0"/>
    <n v="0"/>
    <n v="0"/>
    <n v="0"/>
    <n v="0"/>
    <n v="0"/>
    <x v="1"/>
    <x v="0"/>
    <x v="2"/>
    <n v="15"/>
    <m/>
    <n v="0.25"/>
    <n v="0.25"/>
    <n v="0.25"/>
    <n v="0.25"/>
    <m/>
    <m/>
    <m/>
    <m/>
    <m/>
    <m/>
    <m/>
    <m/>
    <m/>
    <m/>
    <m/>
    <m/>
    <m/>
    <m/>
    <m/>
    <n v="1"/>
    <n v="1"/>
  </r>
  <r>
    <n v="7468"/>
    <x v="2"/>
    <s v="2020/3111"/>
    <s v="Garages at, 169-183 Elsenham Street"/>
    <s v=""/>
    <n v="524935"/>
    <n v="172719"/>
    <x v="12"/>
    <d v="2022-07-01T00:00:00"/>
    <m/>
    <n v="0"/>
    <x v="3"/>
    <x v="5"/>
    <n v="1"/>
    <n v="1"/>
    <x v="1"/>
    <s v="Demolition of existing garages and erection of a two-storey (plus accommodation at roof level) 5-bedroom house."/>
    <s v="PF"/>
    <d v="2020-09-09T00:00:00"/>
    <d v="2020-12-16T00:00:00"/>
    <x v="0"/>
    <s v="Nil"/>
    <m/>
    <s v="BF"/>
    <s v="NB"/>
    <x v="2"/>
    <x v="3"/>
    <n v="1.7999999999999999E-2"/>
    <m/>
    <x v="0"/>
    <m/>
    <x v="1"/>
    <s v="M"/>
    <s v=""/>
    <m/>
    <m/>
    <m/>
    <m/>
    <m/>
    <n v="0"/>
    <n v="0"/>
    <n v="0"/>
    <n v="0"/>
    <n v="0"/>
    <n v="1"/>
    <n v="0"/>
    <n v="0"/>
    <n v="0"/>
    <n v="0"/>
    <n v="0"/>
    <n v="0"/>
    <n v="0"/>
    <n v="0"/>
    <n v="0"/>
    <n v="0"/>
    <n v="0"/>
    <n v="0"/>
    <n v="0"/>
    <n v="1"/>
    <n v="0"/>
    <n v="0"/>
    <n v="0"/>
    <n v="0"/>
    <n v="0"/>
    <n v="0"/>
    <n v="0"/>
    <n v="0"/>
    <x v="1"/>
    <x v="0"/>
    <x v="2"/>
    <n v="7"/>
    <m/>
    <m/>
    <n v="0.25"/>
    <n v="0.25"/>
    <n v="0.25"/>
    <n v="0.25"/>
    <m/>
    <m/>
    <m/>
    <m/>
    <m/>
    <m/>
    <m/>
    <m/>
    <m/>
    <m/>
    <m/>
    <m/>
    <m/>
    <m/>
    <n v="1"/>
    <n v="1"/>
  </r>
  <r>
    <n v="7471"/>
    <x v="2"/>
    <s v="2020/3193"/>
    <s v="175 Tooting High Street"/>
    <s v=""/>
    <n v="527285"/>
    <n v="171122"/>
    <x v="0"/>
    <m/>
    <m/>
    <n v="0"/>
    <x v="3"/>
    <x v="5"/>
    <n v="1"/>
    <n v="1"/>
    <x v="1"/>
    <s v="Alterations including erection of a single storey rear/side extension and change of use of part of the shop (Class A1) into a studio flat (Class C3), with associated refuse and cycle storage to rear."/>
    <s v="PF"/>
    <d v="2020-09-11T00:00:00"/>
    <d v="2020-11-06T00:00:00"/>
    <x v="0"/>
    <s v="Nil"/>
    <m/>
    <s v="BF"/>
    <s v="COU"/>
    <x v="2"/>
    <x v="4"/>
    <n v="4.0000000000000001E-3"/>
    <m/>
    <x v="0"/>
    <m/>
    <x v="1"/>
    <s v="M"/>
    <s v=""/>
    <m/>
    <m/>
    <m/>
    <m/>
    <m/>
    <n v="1"/>
    <n v="0"/>
    <n v="0"/>
    <n v="0"/>
    <n v="0"/>
    <n v="0"/>
    <n v="0"/>
    <n v="1"/>
    <n v="0"/>
    <n v="0"/>
    <n v="0"/>
    <n v="0"/>
    <n v="0"/>
    <n v="0"/>
    <n v="0"/>
    <n v="0"/>
    <n v="0"/>
    <n v="0"/>
    <n v="0"/>
    <n v="0"/>
    <n v="0"/>
    <n v="0"/>
    <n v="0"/>
    <n v="0"/>
    <n v="0"/>
    <n v="0"/>
    <n v="0"/>
    <n v="0"/>
    <x v="1"/>
    <x v="0"/>
    <x v="0"/>
    <n v="15"/>
    <m/>
    <n v="0.25"/>
    <n v="0.25"/>
    <n v="0.25"/>
    <n v="0.25"/>
    <m/>
    <m/>
    <m/>
    <m/>
    <m/>
    <m/>
    <m/>
    <m/>
    <m/>
    <m/>
    <m/>
    <m/>
    <m/>
    <m/>
    <m/>
    <n v="1"/>
    <n v="1"/>
  </r>
  <r>
    <n v="7531"/>
    <x v="2"/>
    <s v="2020/3741"/>
    <s v="253 Franciscan Road"/>
    <s v=""/>
    <n v="527917"/>
    <n v="171390"/>
    <x v="19"/>
    <m/>
    <m/>
    <n v="4"/>
    <x v="11"/>
    <x v="3"/>
    <n v="3"/>
    <n v="-1"/>
    <x v="1"/>
    <s v="Change of use of the ground floor shop from retail (Class E) to a 1-bedroom flat (Class C3) and alterations and replacement of existing flats, alterations including replacement shopfront and windows, erection of front and side boundary wall and associated landscaping and bin and bike storage to front."/>
    <s v="PF"/>
    <d v="2020-10-06T00:00:00"/>
    <d v="2020-12-01T00:00:00"/>
    <x v="0"/>
    <s v="Nil"/>
    <m/>
    <s v="BF"/>
    <s v="CON"/>
    <x v="2"/>
    <x v="4"/>
    <n v="1.2E-2"/>
    <m/>
    <x v="0"/>
    <m/>
    <x v="1"/>
    <s v="M"/>
    <s v=""/>
    <m/>
    <m/>
    <m/>
    <m/>
    <m/>
    <n v="-1"/>
    <n v="1"/>
    <n v="-1"/>
    <n v="0"/>
    <n v="0"/>
    <n v="0"/>
    <n v="0"/>
    <n v="-1"/>
    <n v="1"/>
    <n v="-1"/>
    <n v="0"/>
    <n v="0"/>
    <n v="0"/>
    <n v="0"/>
    <n v="0"/>
    <n v="0"/>
    <n v="0"/>
    <n v="0"/>
    <n v="0"/>
    <n v="0"/>
    <n v="0"/>
    <n v="0"/>
    <n v="0"/>
    <n v="0"/>
    <n v="0"/>
    <n v="0"/>
    <n v="0"/>
    <n v="0"/>
    <x v="1"/>
    <x v="0"/>
    <x v="2"/>
    <n v="15"/>
    <m/>
    <n v="-0.25"/>
    <n v="-0.25"/>
    <n v="-0.25"/>
    <n v="-0.25"/>
    <m/>
    <m/>
    <m/>
    <m/>
    <m/>
    <m/>
    <m/>
    <m/>
    <m/>
    <m/>
    <m/>
    <m/>
    <m/>
    <m/>
    <m/>
    <n v="-1"/>
    <n v="-1"/>
  </r>
  <r>
    <n v="3722"/>
    <x v="2"/>
    <s v="2020/3876"/>
    <s v="178 Upper Tooting Road"/>
    <s v=""/>
    <n v="527697"/>
    <n v="171916"/>
    <x v="19"/>
    <m/>
    <m/>
    <n v="0"/>
    <x v="11"/>
    <x v="36"/>
    <n v="3"/>
    <n v="3"/>
    <x v="1"/>
    <s v="Alterations including erection of a three-storey rear extension and mansard roof extension to create an additional floor of accommodation to form three x 1-bedroom flats."/>
    <s v="PF"/>
    <d v="2020-10-14T00:00:00"/>
    <d v="2021-10-19T00:00:00"/>
    <x v="0"/>
    <s v="Nil"/>
    <m/>
    <s v="BF"/>
    <s v="EXT"/>
    <x v="2"/>
    <x v="7"/>
    <n v="7.0000000000000001E-3"/>
    <m/>
    <x v="0"/>
    <m/>
    <x v="1"/>
    <s v="M"/>
    <s v=""/>
    <m/>
    <m/>
    <m/>
    <m/>
    <m/>
    <n v="0"/>
    <n v="3"/>
    <n v="0"/>
    <n v="0"/>
    <n v="0"/>
    <n v="0"/>
    <n v="0"/>
    <n v="0"/>
    <n v="3"/>
    <n v="0"/>
    <n v="0"/>
    <n v="0"/>
    <n v="0"/>
    <n v="0"/>
    <n v="0"/>
    <n v="0"/>
    <n v="0"/>
    <n v="0"/>
    <n v="0"/>
    <n v="0"/>
    <n v="0"/>
    <n v="0"/>
    <n v="0"/>
    <n v="0"/>
    <n v="0"/>
    <n v="0"/>
    <n v="0"/>
    <n v="0"/>
    <x v="0"/>
    <x v="0"/>
    <x v="0"/>
    <n v="15"/>
    <m/>
    <n v="0.75"/>
    <n v="0.75"/>
    <n v="0.75"/>
    <n v="0.75"/>
    <m/>
    <m/>
    <m/>
    <m/>
    <m/>
    <m/>
    <m/>
    <m/>
    <m/>
    <m/>
    <m/>
    <m/>
    <m/>
    <m/>
    <m/>
    <n v="3"/>
    <n v="3"/>
  </r>
  <r>
    <n v="7494"/>
    <x v="2"/>
    <s v="2020/4047"/>
    <s v="140a and142a, Putney High Street"/>
    <s v=""/>
    <n v="523975"/>
    <n v="175188"/>
    <x v="3"/>
    <m/>
    <m/>
    <n v="2"/>
    <x v="0"/>
    <x v="15"/>
    <n v="6"/>
    <n v="4"/>
    <x v="1"/>
    <s v="Alterations including erection of roof extension to provide additional floor of accommodation, erection of part single/part three storey rear extensions in connection with creation of 2 x 2-bedroom and 4 x 1- bedroom flats."/>
    <s v="PF"/>
    <d v="2020-11-23T00:00:00"/>
    <d v="2021-04-22T00:00:00"/>
    <x v="0"/>
    <s v="Nil"/>
    <m/>
    <s v="BF"/>
    <s v="MIX"/>
    <x v="2"/>
    <x v="7"/>
    <n v="8.9999999999999993E-3"/>
    <m/>
    <x v="0"/>
    <m/>
    <x v="1"/>
    <s v="M"/>
    <s v=""/>
    <m/>
    <m/>
    <m/>
    <m/>
    <m/>
    <n v="0"/>
    <n v="4"/>
    <n v="1"/>
    <n v="-1"/>
    <n v="0"/>
    <n v="0"/>
    <n v="0"/>
    <n v="0"/>
    <n v="4"/>
    <n v="1"/>
    <n v="-1"/>
    <n v="0"/>
    <n v="0"/>
    <n v="0"/>
    <n v="0"/>
    <n v="0"/>
    <n v="0"/>
    <n v="0"/>
    <n v="0"/>
    <n v="0"/>
    <n v="0"/>
    <n v="0"/>
    <n v="0"/>
    <n v="0"/>
    <n v="0"/>
    <n v="0"/>
    <n v="0"/>
    <n v="0"/>
    <x v="2"/>
    <x v="0"/>
    <x v="6"/>
    <n v="18"/>
    <m/>
    <n v="1"/>
    <n v="1"/>
    <n v="1"/>
    <n v="1"/>
    <m/>
    <m/>
    <m/>
    <m/>
    <m/>
    <m/>
    <m/>
    <m/>
    <m/>
    <m/>
    <m/>
    <m/>
    <m/>
    <m/>
    <m/>
    <n v="4"/>
    <n v="4"/>
  </r>
  <r>
    <n v="7483"/>
    <x v="2"/>
    <s v="2020/4072"/>
    <s v="509 Merton Road"/>
    <s v=""/>
    <n v="525448"/>
    <n v="172822"/>
    <x v="12"/>
    <m/>
    <m/>
    <n v="0"/>
    <x v="3"/>
    <x v="5"/>
    <n v="1"/>
    <n v="1"/>
    <x v="1"/>
    <s v="Alterations including erection of hip to gable and rear mansard roof extensions including raising ridge by 210mm; erection of roof extension and creation of roof terrace with 1.7m glazed safety surround above two storey back addition; enlargement of window openings on rear elevation and installation of French doors with safety railing; works in connection with creation of 1 x 1-bedroom flat with associated refuse and cycle storage."/>
    <s v="PF"/>
    <d v="2020-10-27T00:00:00"/>
    <d v="2020-12-18T00:00:00"/>
    <x v="0"/>
    <s v="Nil"/>
    <m/>
    <s v="BF"/>
    <s v="EXT"/>
    <x v="2"/>
    <x v="7"/>
    <n v="3.0000000000000001E-3"/>
    <m/>
    <x v="0"/>
    <m/>
    <x v="1"/>
    <s v="M"/>
    <s v=""/>
    <m/>
    <m/>
    <m/>
    <m/>
    <m/>
    <n v="0"/>
    <n v="1"/>
    <n v="0"/>
    <n v="0"/>
    <n v="0"/>
    <n v="0"/>
    <n v="0"/>
    <n v="0"/>
    <n v="1"/>
    <n v="0"/>
    <n v="0"/>
    <n v="0"/>
    <n v="0"/>
    <n v="0"/>
    <n v="0"/>
    <n v="0"/>
    <n v="0"/>
    <n v="0"/>
    <n v="0"/>
    <n v="0"/>
    <n v="0"/>
    <n v="0"/>
    <n v="0"/>
    <n v="0"/>
    <n v="0"/>
    <n v="0"/>
    <n v="0"/>
    <n v="0"/>
    <x v="1"/>
    <x v="0"/>
    <x v="5"/>
    <n v="15"/>
    <m/>
    <n v="0.25"/>
    <n v="0.25"/>
    <n v="0.25"/>
    <n v="0.25"/>
    <m/>
    <m/>
    <m/>
    <m/>
    <m/>
    <m/>
    <m/>
    <m/>
    <m/>
    <m/>
    <m/>
    <m/>
    <m/>
    <m/>
    <m/>
    <n v="1"/>
    <n v="1"/>
  </r>
  <r>
    <n v="7484"/>
    <x v="2"/>
    <s v="2020/4074"/>
    <s v="St. Mary-Le-Park Court, 52 Parkgate Road"/>
    <s v=""/>
    <n v="527470"/>
    <n v="177172"/>
    <x v="2"/>
    <m/>
    <m/>
    <n v="0"/>
    <x v="3"/>
    <x v="5"/>
    <n v="1"/>
    <n v="1"/>
    <x v="1"/>
    <s v="Alterations including enlargement of 7th floor and erection of two-storey roof extension (to create 10-storey building) in connection with creation of 2 x 3-bedroom and 2 x 2-bedroom flats with terraces and associated car parking and cycle storage facilities. Replacement windows and panels and changes to ground floor doors and boundary."/>
    <s v="PF"/>
    <d v="2020-10-27T00:00:00"/>
    <d v="2021-08-06T00:00:00"/>
    <x v="0"/>
    <s v="Nil"/>
    <m/>
    <s v="BF"/>
    <s v="EXT"/>
    <x v="2"/>
    <x v="3"/>
    <n v="0.02"/>
    <m/>
    <x v="0"/>
    <m/>
    <x v="1"/>
    <s v="M"/>
    <s v=""/>
    <m/>
    <m/>
    <m/>
    <m/>
    <m/>
    <n v="0"/>
    <n v="0"/>
    <n v="0"/>
    <n v="1"/>
    <n v="0"/>
    <n v="0"/>
    <n v="0"/>
    <n v="0"/>
    <n v="0"/>
    <n v="0"/>
    <n v="1"/>
    <n v="0"/>
    <n v="0"/>
    <n v="0"/>
    <n v="0"/>
    <n v="0"/>
    <n v="0"/>
    <n v="0"/>
    <n v="0"/>
    <n v="0"/>
    <n v="0"/>
    <n v="0"/>
    <n v="0"/>
    <n v="0"/>
    <n v="0"/>
    <n v="0"/>
    <n v="0"/>
    <n v="0"/>
    <x v="1"/>
    <x v="0"/>
    <x v="4"/>
    <n v="15"/>
    <m/>
    <n v="0.25"/>
    <n v="0.25"/>
    <n v="0.25"/>
    <n v="0.25"/>
    <m/>
    <m/>
    <m/>
    <m/>
    <m/>
    <m/>
    <m/>
    <m/>
    <m/>
    <m/>
    <m/>
    <m/>
    <m/>
    <m/>
    <m/>
    <n v="1"/>
    <n v="1"/>
  </r>
  <r>
    <n v="7533"/>
    <x v="2"/>
    <s v="2020/4264"/>
    <s v="373 Upper Richmond Road"/>
    <s v=""/>
    <n v="522503"/>
    <n v="175408"/>
    <x v="16"/>
    <m/>
    <m/>
    <n v="1"/>
    <x v="3"/>
    <x v="6"/>
    <n v="1"/>
    <n v="0"/>
    <x v="1"/>
    <s v="Alterations including erection of dormer extension to main rear roof, Erection of single storey outbuilding for storage and office use. Relocation of external staircase."/>
    <s v="PF"/>
    <d v="2020-11-10T00:00:00"/>
    <d v="2021-01-04T00:00:00"/>
    <x v="0"/>
    <s v="Nil"/>
    <m/>
    <s v="BF"/>
    <s v="EXT"/>
    <x v="2"/>
    <x v="2"/>
    <n v="3.0000000000000001E-3"/>
    <m/>
    <x v="0"/>
    <m/>
    <x v="1"/>
    <s v="M"/>
    <s v=""/>
    <m/>
    <m/>
    <m/>
    <m/>
    <m/>
    <n v="0"/>
    <n v="-1"/>
    <n v="0"/>
    <n v="1"/>
    <n v="0"/>
    <n v="0"/>
    <n v="0"/>
    <n v="0"/>
    <n v="-1"/>
    <n v="0"/>
    <n v="1"/>
    <n v="0"/>
    <n v="0"/>
    <n v="0"/>
    <n v="0"/>
    <n v="0"/>
    <n v="0"/>
    <n v="0"/>
    <n v="0"/>
    <n v="0"/>
    <n v="0"/>
    <n v="0"/>
    <n v="0"/>
    <n v="0"/>
    <n v="0"/>
    <n v="0"/>
    <n v="0"/>
    <n v="0"/>
    <x v="1"/>
    <x v="0"/>
    <x v="2"/>
    <n v="15"/>
    <m/>
    <n v="0"/>
    <n v="0"/>
    <n v="0"/>
    <n v="0"/>
    <m/>
    <m/>
    <m/>
    <m/>
    <m/>
    <m/>
    <m/>
    <m/>
    <m/>
    <m/>
    <m/>
    <m/>
    <m/>
    <m/>
    <m/>
    <n v="0"/>
    <n v="0"/>
  </r>
  <r>
    <n v="886"/>
    <x v="2"/>
    <s v="2020/4390"/>
    <s v="39 Selkirk Road"/>
    <s v=""/>
    <n v="527401"/>
    <n v="171675"/>
    <x v="0"/>
    <m/>
    <m/>
    <n v="2"/>
    <x v="3"/>
    <x v="3"/>
    <n v="1"/>
    <n v="-1"/>
    <x v="1"/>
    <s v="Erection of single storey side/rear extension and installation of single front entrance door in connection with conversion of property from 2 x 2 bedroom flats to single dwelling."/>
    <s v="PF"/>
    <d v="2020-12-18T00:00:00"/>
    <d v="2021-02-12T00:00:00"/>
    <x v="0"/>
    <s v="Nil"/>
    <m/>
    <s v="BF"/>
    <s v="CON"/>
    <x v="2"/>
    <x v="11"/>
    <n v="0.06"/>
    <m/>
    <x v="0"/>
    <m/>
    <x v="1"/>
    <s v="M"/>
    <s v=""/>
    <m/>
    <m/>
    <m/>
    <m/>
    <m/>
    <n v="0"/>
    <n v="0"/>
    <n v="-2"/>
    <n v="1"/>
    <n v="0"/>
    <n v="0"/>
    <n v="0"/>
    <n v="0"/>
    <n v="0"/>
    <n v="-2"/>
    <n v="0"/>
    <n v="0"/>
    <n v="0"/>
    <n v="0"/>
    <n v="0"/>
    <n v="0"/>
    <n v="0"/>
    <n v="1"/>
    <n v="0"/>
    <n v="0"/>
    <n v="0"/>
    <n v="0"/>
    <n v="0"/>
    <n v="0"/>
    <n v="0"/>
    <n v="0"/>
    <n v="0"/>
    <n v="0"/>
    <x v="1"/>
    <x v="0"/>
    <x v="2"/>
    <n v="15"/>
    <m/>
    <n v="-0.25"/>
    <n v="-0.25"/>
    <n v="-0.25"/>
    <n v="-0.25"/>
    <m/>
    <m/>
    <m/>
    <m/>
    <m/>
    <m/>
    <m/>
    <m/>
    <m/>
    <m/>
    <m/>
    <m/>
    <m/>
    <m/>
    <m/>
    <n v="-1"/>
    <n v="-1"/>
  </r>
  <r>
    <n v="7487"/>
    <x v="2"/>
    <s v="2020/4441"/>
    <s v="54c Charlmont Road"/>
    <s v=""/>
    <n v="527564"/>
    <n v="170910"/>
    <x v="0"/>
    <m/>
    <m/>
    <n v="0"/>
    <x v="3"/>
    <x v="5"/>
    <n v="2"/>
    <n v="1"/>
    <x v="1"/>
    <s v="Alterations including erection of mansard roof extension to main rear roof (with 0.7m ridge raise, French doors and safety railings), alterations to front roof pitch and raising existing gable in connection with the creation of  1 x1 bedroom flat."/>
    <s v="PF"/>
    <d v="2020-11-20T00:00:00"/>
    <d v="2021-04-14T00:00:00"/>
    <x v="0"/>
    <s v="Nil"/>
    <m/>
    <s v="BF"/>
    <s v="MIX"/>
    <x v="2"/>
    <x v="7"/>
    <n v="5.0000000000000001E-3"/>
    <m/>
    <x v="0"/>
    <m/>
    <x v="1"/>
    <s v="M"/>
    <s v=""/>
    <m/>
    <m/>
    <m/>
    <m/>
    <m/>
    <n v="0"/>
    <n v="1"/>
    <n v="0"/>
    <n v="0"/>
    <n v="0"/>
    <n v="0"/>
    <n v="0"/>
    <n v="0"/>
    <n v="1"/>
    <n v="0"/>
    <n v="0"/>
    <n v="0"/>
    <n v="0"/>
    <n v="0"/>
    <n v="0"/>
    <n v="0"/>
    <n v="0"/>
    <n v="0"/>
    <n v="0"/>
    <n v="0"/>
    <n v="0"/>
    <n v="0"/>
    <n v="0"/>
    <n v="0"/>
    <n v="0"/>
    <n v="0"/>
    <n v="0"/>
    <n v="0"/>
    <x v="1"/>
    <x v="0"/>
    <x v="2"/>
    <n v="15"/>
    <m/>
    <n v="0.25"/>
    <n v="0.25"/>
    <n v="0.25"/>
    <n v="0.25"/>
    <m/>
    <m/>
    <m/>
    <m/>
    <m/>
    <m/>
    <m/>
    <m/>
    <m/>
    <m/>
    <m/>
    <m/>
    <m/>
    <m/>
    <m/>
    <n v="1"/>
    <n v="1"/>
  </r>
  <r>
    <n v="7487"/>
    <x v="2"/>
    <s v="2020/4441"/>
    <s v="54c Charlmont Road"/>
    <s v=""/>
    <n v="527564"/>
    <n v="170910"/>
    <x v="0"/>
    <m/>
    <m/>
    <n v="1"/>
    <x v="3"/>
    <x v="6"/>
    <n v="2"/>
    <n v="1"/>
    <x v="1"/>
    <s v="Alterations including erection of mansard roof extension to main rear roof (with 0.7m ridge raise, French doors and safety railings), alterations to front roof pitch and raising existing gable in connection with the creation of  1 x1 bedroom flat."/>
    <s v="PF"/>
    <d v="2020-11-20T00:00:00"/>
    <d v="2021-04-14T00:00:00"/>
    <x v="0"/>
    <s v="Nil"/>
    <m/>
    <s v="BF"/>
    <s v="MIX"/>
    <x v="2"/>
    <x v="5"/>
    <n v="8.0000000000000002E-3"/>
    <m/>
    <x v="0"/>
    <m/>
    <x v="1"/>
    <s v="M"/>
    <s v=""/>
    <m/>
    <m/>
    <m/>
    <m/>
    <m/>
    <n v="0"/>
    <n v="0"/>
    <n v="1"/>
    <n v="-1"/>
    <n v="0"/>
    <n v="0"/>
    <n v="0"/>
    <n v="0"/>
    <n v="0"/>
    <n v="1"/>
    <n v="-1"/>
    <n v="0"/>
    <n v="0"/>
    <n v="0"/>
    <n v="0"/>
    <n v="0"/>
    <n v="0"/>
    <n v="0"/>
    <n v="0"/>
    <n v="0"/>
    <n v="0"/>
    <n v="0"/>
    <n v="0"/>
    <n v="0"/>
    <n v="0"/>
    <n v="0"/>
    <n v="0"/>
    <n v="0"/>
    <x v="1"/>
    <x v="0"/>
    <x v="2"/>
    <n v="15"/>
    <m/>
    <n v="0"/>
    <n v="0"/>
    <n v="0"/>
    <n v="0"/>
    <m/>
    <m/>
    <m/>
    <m/>
    <m/>
    <m/>
    <m/>
    <m/>
    <m/>
    <m/>
    <m/>
    <m/>
    <m/>
    <m/>
    <m/>
    <n v="0"/>
    <n v="0"/>
  </r>
  <r>
    <n v="7802"/>
    <x v="2"/>
    <s v="2020/4574"/>
    <s v="199A Wandsworth High Street"/>
    <s v=""/>
    <n v="525309"/>
    <n v="174646"/>
    <x v="14"/>
    <m/>
    <m/>
    <n v="0"/>
    <x v="3"/>
    <x v="5"/>
    <n v="1"/>
    <n v="1"/>
    <x v="1"/>
    <s v="Alterations including erection of front and rear mansard roof extension to provide  1 x 1-bedroom flat (Class C3) at second floor level."/>
    <s v="PF"/>
    <d v="2020-11-27T00:00:00"/>
    <d v="2021-01-22T00:00:00"/>
    <x v="0"/>
    <s v="Nil"/>
    <m/>
    <s v="BF"/>
    <s v="EXT"/>
    <x v="2"/>
    <x v="7"/>
    <n v="5.4000000000000003E-3"/>
    <m/>
    <x v="0"/>
    <m/>
    <x v="1"/>
    <s v="M"/>
    <s v=""/>
    <m/>
    <m/>
    <m/>
    <m/>
    <m/>
    <n v="0"/>
    <n v="1"/>
    <n v="0"/>
    <n v="0"/>
    <n v="0"/>
    <n v="0"/>
    <n v="0"/>
    <n v="0"/>
    <n v="1"/>
    <n v="0"/>
    <n v="0"/>
    <n v="0"/>
    <n v="0"/>
    <n v="0"/>
    <n v="0"/>
    <n v="0"/>
    <n v="0"/>
    <n v="0"/>
    <n v="0"/>
    <n v="0"/>
    <n v="0"/>
    <n v="0"/>
    <n v="0"/>
    <n v="0"/>
    <n v="0"/>
    <n v="0"/>
    <n v="0"/>
    <n v="0"/>
    <x v="4"/>
    <x v="0"/>
    <x v="7"/>
    <n v="15"/>
    <m/>
    <n v="0.25"/>
    <n v="0.25"/>
    <n v="0.25"/>
    <n v="0.25"/>
    <m/>
    <m/>
    <m/>
    <m/>
    <m/>
    <m/>
    <m/>
    <m/>
    <m/>
    <m/>
    <m/>
    <m/>
    <m/>
    <m/>
    <m/>
    <n v="1"/>
    <n v="1"/>
  </r>
  <r>
    <n v="7501"/>
    <x v="2"/>
    <s v="2020/4875"/>
    <s v="40a Oakmead Road"/>
    <s v=""/>
    <n v="528574"/>
    <n v="173102"/>
    <x v="18"/>
    <m/>
    <m/>
    <n v="0"/>
    <x v="3"/>
    <x v="5"/>
    <n v="1"/>
    <n v="1"/>
    <x v="1"/>
    <s v="Alterations including erection of a mansard roof extension to main rear roof and extension above part of two-storey back addition; Formation of roof terrace with 1.7m high screen above two-storey back addition; Removal of 2 x chimney stacks; Installation of bi-fold doors to first floor rear roof terrace in connection with creation of 1 x 1-bed flat."/>
    <s v="PF"/>
    <d v="2020-12-15T00:00:00"/>
    <d v="2021-02-09T00:00:00"/>
    <x v="0"/>
    <s v="Nil"/>
    <m/>
    <s v="BF"/>
    <s v="EXT"/>
    <x v="2"/>
    <x v="7"/>
    <n v="2E-3"/>
    <m/>
    <x v="0"/>
    <m/>
    <x v="1"/>
    <s v="M"/>
    <s v=""/>
    <m/>
    <m/>
    <m/>
    <m/>
    <m/>
    <n v="0"/>
    <n v="1"/>
    <n v="0"/>
    <n v="0"/>
    <n v="0"/>
    <n v="0"/>
    <n v="0"/>
    <n v="0"/>
    <n v="1"/>
    <n v="0"/>
    <n v="0"/>
    <n v="0"/>
    <n v="0"/>
    <n v="0"/>
    <n v="0"/>
    <n v="0"/>
    <n v="0"/>
    <n v="0"/>
    <n v="0"/>
    <n v="0"/>
    <n v="0"/>
    <n v="0"/>
    <n v="0"/>
    <n v="0"/>
    <n v="0"/>
    <n v="0"/>
    <n v="0"/>
    <n v="0"/>
    <x v="1"/>
    <x v="0"/>
    <x v="9"/>
    <n v="15"/>
    <m/>
    <n v="0.25"/>
    <n v="0.25"/>
    <n v="0.25"/>
    <n v="0.25"/>
    <m/>
    <m/>
    <m/>
    <m/>
    <m/>
    <m/>
    <m/>
    <m/>
    <m/>
    <m/>
    <m/>
    <m/>
    <m/>
    <m/>
    <m/>
    <n v="1"/>
    <n v="1"/>
  </r>
  <r>
    <n v="4316"/>
    <x v="2"/>
    <s v="2020/0457"/>
    <s v="25-29 Tooting High Street"/>
    <s v=""/>
    <n v="527567"/>
    <n v="171576"/>
    <x v="0"/>
    <d v="2024-03-31T00:00:00"/>
    <m/>
    <n v="0"/>
    <x v="0"/>
    <x v="0"/>
    <n v="29"/>
    <n v="29"/>
    <x v="0"/>
    <s v="Alterations and erection of extensions to front and side of building at first and second floor levels with the creation of additional third floor level; erection of a rear part four, part five storey extension to provide retail unit (Class A1) on ground floor and 29 residential units (Class C3) above with private balconies and communal roof terrace. Provision of waste and cycle storage and landscaping."/>
    <s v="PFLA"/>
    <d v="2020-04-02T00:00:00"/>
    <d v="2022-01-05T00:00:00"/>
    <x v="0"/>
    <s v="Nil"/>
    <m/>
    <s v="BF"/>
    <s v="MIX"/>
    <x v="1"/>
    <x v="0"/>
    <n v="0.01"/>
    <m/>
    <x v="0"/>
    <m/>
    <x v="0"/>
    <s v="ISL"/>
    <s v="5.2"/>
    <m/>
    <m/>
    <n v="1"/>
    <m/>
    <m/>
    <n v="0"/>
    <n v="3"/>
    <n v="2"/>
    <n v="1"/>
    <n v="0"/>
    <n v="0"/>
    <n v="0"/>
    <n v="0"/>
    <n v="3"/>
    <n v="2"/>
    <n v="1"/>
    <n v="0"/>
    <n v="0"/>
    <n v="0"/>
    <n v="0"/>
    <n v="0"/>
    <n v="0"/>
    <n v="0"/>
    <n v="0"/>
    <n v="0"/>
    <n v="0"/>
    <n v="0"/>
    <n v="0"/>
    <n v="0"/>
    <n v="0"/>
    <n v="0"/>
    <n v="0"/>
    <n v="0"/>
    <x v="0"/>
    <x v="0"/>
    <x v="0"/>
    <n v="16"/>
    <m/>
    <n v="1.5"/>
    <n v="1.5"/>
    <n v="1.5"/>
    <n v="1.5"/>
    <m/>
    <m/>
    <m/>
    <m/>
    <m/>
    <m/>
    <m/>
    <m/>
    <m/>
    <m/>
    <m/>
    <m/>
    <m/>
    <m/>
    <m/>
    <n v="6"/>
    <n v="6"/>
  </r>
  <r>
    <n v="6284"/>
    <x v="2"/>
    <s v="2017/1458"/>
    <s v="1-9 Church Row (part of Phase 3 Ram Brewery), Wandsworth Plain (The Ram Quarter)"/>
    <s v=""/>
    <n v="525537"/>
    <n v="174739"/>
    <x v="14"/>
    <d v="2024-02-19T00:00:00"/>
    <m/>
    <n v="0"/>
    <x v="62"/>
    <x v="71"/>
    <n v="50"/>
    <n v="50"/>
    <x v="0"/>
    <s v="Demolition of existing warehouse buildings and erection of a 2 - 6 storey building comprising 34 x residential (Class C3) units, flexible commercial floorspace (Class A1/A2/A3/A4) and office space (Class B1a) at ground floor; restoration works, alterations and rear extensions to existing 1-9 Church Row Listed Buildings to enable the change of use from office (Class B1) to residential (Class C3) comprising 1 x dwellinghouse and 15 x flats; provision of associated landscaping, refuse storage and cycle parking; and public access to the River Wandle from Wandsworth Plain._x000a__x000a_For Listed Building Consent refer to planning application reference number: 2017/1847."/>
    <s v="PFLA"/>
    <d v="2017-03-10T00:00:00"/>
    <d v="2017-11-30T00:00:00"/>
    <x v="0"/>
    <s v="Nil"/>
    <m/>
    <s v="BF"/>
    <s v="NB"/>
    <x v="1"/>
    <x v="0"/>
    <n v="0.17499999999999999"/>
    <m/>
    <x v="0"/>
    <m/>
    <x v="1"/>
    <s v="M"/>
    <s v="3.1.2"/>
    <m/>
    <n v="50"/>
    <n v="27"/>
    <n v="5"/>
    <n v="5"/>
    <n v="8"/>
    <n v="26"/>
    <n v="0"/>
    <n v="0"/>
    <n v="0"/>
    <n v="0"/>
    <n v="0"/>
    <n v="6"/>
    <n v="26"/>
    <n v="0"/>
    <n v="0"/>
    <n v="0"/>
    <n v="0"/>
    <n v="0"/>
    <n v="0"/>
    <n v="0"/>
    <n v="0"/>
    <n v="0"/>
    <n v="0"/>
    <n v="0"/>
    <n v="0"/>
    <n v="2"/>
    <n v="0"/>
    <n v="0"/>
    <n v="0"/>
    <n v="0"/>
    <n v="0"/>
    <n v="0"/>
    <x v="4"/>
    <x v="0"/>
    <x v="7"/>
    <n v="8"/>
    <m/>
    <m/>
    <m/>
    <m/>
    <m/>
    <n v="34"/>
    <m/>
    <m/>
    <m/>
    <m/>
    <m/>
    <m/>
    <m/>
    <m/>
    <m/>
    <m/>
    <m/>
    <m/>
    <m/>
    <m/>
    <n v="34"/>
    <n v="34"/>
  </r>
  <r>
    <n v="7803"/>
    <x v="2"/>
    <s v="2020/5019"/>
    <s v="Mews House, 2A Chelverton Road"/>
    <s v=""/>
    <n v="523970"/>
    <n v="175247"/>
    <x v="3"/>
    <m/>
    <m/>
    <n v="0"/>
    <x v="3"/>
    <x v="5"/>
    <n v="1"/>
    <n v="1"/>
    <x v="1"/>
    <s v="Demolition of existing workshop and erection of a 3-bedroom single dwelling house."/>
    <s v="PF"/>
    <d v="2022-04-25T00:00:00"/>
    <d v="2022-06-20T00:00:00"/>
    <x v="0"/>
    <s v="Nil"/>
    <m/>
    <s v="BF"/>
    <s v="NB"/>
    <x v="2"/>
    <x v="8"/>
    <n v="5.0000000000000001E-3"/>
    <m/>
    <x v="0"/>
    <m/>
    <x v="1"/>
    <s v="M"/>
    <s v=""/>
    <m/>
    <m/>
    <m/>
    <m/>
    <m/>
    <n v="0"/>
    <n v="0"/>
    <n v="0"/>
    <n v="1"/>
    <n v="0"/>
    <n v="0"/>
    <n v="0"/>
    <n v="0"/>
    <n v="0"/>
    <n v="0"/>
    <n v="0"/>
    <n v="0"/>
    <n v="0"/>
    <n v="0"/>
    <n v="0"/>
    <n v="0"/>
    <n v="0"/>
    <n v="1"/>
    <n v="0"/>
    <n v="0"/>
    <n v="0"/>
    <n v="0"/>
    <n v="0"/>
    <n v="0"/>
    <n v="0"/>
    <n v="0"/>
    <n v="0"/>
    <n v="0"/>
    <x v="2"/>
    <x v="0"/>
    <x v="6"/>
    <n v="7"/>
    <m/>
    <m/>
    <n v="0.25"/>
    <n v="0.25"/>
    <n v="0.25"/>
    <n v="0.25"/>
    <m/>
    <m/>
    <m/>
    <m/>
    <m/>
    <m/>
    <m/>
    <m/>
    <m/>
    <m/>
    <m/>
    <m/>
    <m/>
    <m/>
    <n v="1"/>
    <n v="1"/>
  </r>
  <r>
    <n v="6284"/>
    <x v="2"/>
    <s v="2017/1458"/>
    <s v="1-9 Church Row (part of Phase 3 Ram Brewery), Wandsworth Plain (The Ram Quarter)"/>
    <s v=""/>
    <n v="525537"/>
    <n v="174739"/>
    <x v="14"/>
    <d v="2024-02-19T00:00:00"/>
    <m/>
    <n v="0"/>
    <x v="39"/>
    <x v="103"/>
    <n v="50"/>
    <n v="50"/>
    <x v="0"/>
    <s v="Demolition of existing warehouse buildings and erection of a 2 - 6 storey building comprising 34 x residential (Class C3) units, flexible commercial floorspace (Class A1/A2/A3/A4) and office space (Class B1a) at ground floor; restoration works, alterations and rear extensions to existing 1-9 Church Row Listed Buildings to enable the change of use from office (Class B1) to residential (Class C3) comprising 1 x dwellinghouse and 15 x flats; provision of associated landscaping, refuse storage and cycle parking; and public access to the River Wandle from Wandsworth Plain._x000a__x000a_For Listed Building Consent refer to planning application reference number: 2017/1847."/>
    <s v="PFLA"/>
    <d v="2017-03-10T00:00:00"/>
    <d v="2017-11-30T00:00:00"/>
    <x v="0"/>
    <s v="Nil"/>
    <m/>
    <s v="BF"/>
    <s v="NB"/>
    <x v="4"/>
    <x v="0"/>
    <n v="8.3000000000000004E-2"/>
    <m/>
    <x v="0"/>
    <m/>
    <x v="1"/>
    <s v="M"/>
    <s v="3.1.2"/>
    <m/>
    <m/>
    <n v="16"/>
    <m/>
    <m/>
    <n v="0"/>
    <n v="0"/>
    <n v="12"/>
    <n v="4"/>
    <n v="0"/>
    <n v="0"/>
    <n v="0"/>
    <n v="0"/>
    <n v="0"/>
    <n v="12"/>
    <n v="3"/>
    <n v="0"/>
    <n v="0"/>
    <n v="0"/>
    <n v="0"/>
    <n v="0"/>
    <n v="0"/>
    <n v="1"/>
    <n v="0"/>
    <n v="0"/>
    <n v="0"/>
    <n v="0"/>
    <n v="0"/>
    <n v="0"/>
    <n v="0"/>
    <n v="0"/>
    <n v="0"/>
    <n v="0"/>
    <x v="4"/>
    <x v="0"/>
    <x v="7"/>
    <n v="8"/>
    <m/>
    <m/>
    <m/>
    <m/>
    <m/>
    <n v="16"/>
    <m/>
    <m/>
    <m/>
    <m/>
    <m/>
    <m/>
    <m/>
    <m/>
    <m/>
    <m/>
    <m/>
    <m/>
    <m/>
    <m/>
    <n v="16"/>
    <n v="16"/>
  </r>
  <r>
    <n v="2411"/>
    <x v="2"/>
    <s v="2021/0138"/>
    <s v="South Lambeth Goods Depot, Cringle St./Battersea Park Rd., Kirtling Street (Battersea Power Station)"/>
    <s v="Phase 4 (RS-5)"/>
    <n v="528934"/>
    <n v="177496"/>
    <x v="1"/>
    <d v="2016-05-16T00:00:00"/>
    <m/>
    <n v="0"/>
    <x v="106"/>
    <x v="124"/>
    <n v="2027"/>
    <n v="2027"/>
    <x v="0"/>
    <s v="Application under Section 96a of the Town and Country Planning Act 1990 (as amended) for non-material amendments to planning permission 2014/2837 dated 05/12/2015 (&quot;Application for Amendments to the planning permission dated the 29/04/14 (ref: 2013/6639) for the restoration, extension, alterations and conversion of the Power Station building to provide retail, residential flats, business, cultural, hotel and conference facilities, event space and incidental accommodation; the demolition of other buildings and development of the land surrounding the Power Station and adjacent/nearby sites to provide retail, restaurants bars and cafes, offices, hotel, residential, community and cultural space, assembly and leisure space, student housing, serviced apartments, an energy centre and basement plant; parking for cars, coaches, motorcycles and bicycles; new access and internal road system and servicing; 'off-site' highway works; works to the jetty and riverwall to facilitate river transport and fuel delivery; provision of open space and landscaping.&quot;) The submitted details relate to the residential layouts of building O1 within phase 3A of the Battersea Power Station development."/>
    <s v="S96A"/>
    <d v="2021-01-14T00:00:00"/>
    <d v="2021-03-09T00:00:00"/>
    <x v="0"/>
    <s v="Nil"/>
    <m/>
    <s v="BF"/>
    <s v="NB"/>
    <x v="1"/>
    <x v="0"/>
    <n v="0.79500000000000004"/>
    <m/>
    <x v="0"/>
    <m/>
    <x v="1"/>
    <s v="M"/>
    <s v="2.1.1"/>
    <m/>
    <m/>
    <m/>
    <m/>
    <m/>
    <n v="20"/>
    <n v="390"/>
    <n v="307"/>
    <n v="129"/>
    <n v="11"/>
    <n v="26"/>
    <n v="0"/>
    <n v="20"/>
    <n v="390"/>
    <n v="307"/>
    <n v="129"/>
    <n v="11"/>
    <n v="26"/>
    <n v="0"/>
    <n v="0"/>
    <n v="0"/>
    <n v="0"/>
    <n v="0"/>
    <n v="0"/>
    <n v="0"/>
    <n v="0"/>
    <n v="0"/>
    <n v="0"/>
    <n v="0"/>
    <n v="0"/>
    <n v="0"/>
    <n v="0"/>
    <n v="0"/>
    <x v="1"/>
    <x v="1"/>
    <x v="1"/>
    <n v="10"/>
    <m/>
    <m/>
    <m/>
    <m/>
    <n v="294.33333333333331"/>
    <n v="294.33333333333331"/>
    <n v="294.33333333333331"/>
    <m/>
    <m/>
    <m/>
    <m/>
    <m/>
    <m/>
    <m/>
    <m/>
    <m/>
    <m/>
    <m/>
    <m/>
    <m/>
    <n v="588.66666666666663"/>
    <n v="883"/>
  </r>
  <r>
    <n v="6612"/>
    <x v="2"/>
    <s v="2021/0297"/>
    <s v="122 Upper Richmond Road"/>
    <s v=""/>
    <n v="524304"/>
    <n v="174961"/>
    <x v="7"/>
    <m/>
    <m/>
    <n v="1"/>
    <x v="5"/>
    <x v="5"/>
    <n v="2"/>
    <n v="1"/>
    <x v="1"/>
    <s v="Alterations including erection of front and rear main roof extension, two-storey rear extension at second and third floor levels with formation of rear balconies in connection with conversion of existing flat into 1 x 2-bedroom and 1 x 1-bedroom flats."/>
    <s v="PF"/>
    <d v="2021-01-25T00:00:00"/>
    <d v="2021-03-22T00:00:00"/>
    <x v="0"/>
    <s v="Nil"/>
    <m/>
    <s v="BF"/>
    <s v="CON"/>
    <x v="2"/>
    <x v="5"/>
    <n v="1.0999999999999999E-2"/>
    <m/>
    <x v="0"/>
    <m/>
    <x v="1"/>
    <s v="M"/>
    <s v=""/>
    <m/>
    <m/>
    <m/>
    <m/>
    <m/>
    <n v="0"/>
    <n v="1"/>
    <n v="1"/>
    <n v="0"/>
    <n v="-1"/>
    <n v="0"/>
    <n v="0"/>
    <n v="0"/>
    <n v="1"/>
    <n v="1"/>
    <n v="0"/>
    <n v="-1"/>
    <n v="0"/>
    <n v="0"/>
    <n v="0"/>
    <n v="0"/>
    <n v="0"/>
    <n v="0"/>
    <n v="0"/>
    <n v="0"/>
    <n v="0"/>
    <n v="0"/>
    <n v="0"/>
    <n v="0"/>
    <n v="0"/>
    <n v="0"/>
    <n v="0"/>
    <n v="0"/>
    <x v="2"/>
    <x v="0"/>
    <x v="6"/>
    <n v="15"/>
    <m/>
    <n v="0.25"/>
    <n v="0.25"/>
    <n v="0.25"/>
    <n v="0.25"/>
    <m/>
    <m/>
    <m/>
    <m/>
    <m/>
    <m/>
    <m/>
    <m/>
    <m/>
    <m/>
    <m/>
    <m/>
    <m/>
    <m/>
    <m/>
    <n v="1"/>
    <n v="1"/>
  </r>
  <r>
    <n v="4326"/>
    <x v="2"/>
    <s v="2021/0376"/>
    <s v="480 Garratt Lane"/>
    <s v=""/>
    <n v="526105"/>
    <n v="172589"/>
    <x v="17"/>
    <m/>
    <m/>
    <n v="1"/>
    <x v="11"/>
    <x v="7"/>
    <n v="3"/>
    <n v="2"/>
    <x v="1"/>
    <s v="Alterations including excavation to enlarge basement including formation of front lightwell; erection of replacement single storey extension at rear and erection of single-storey side extension in connection with conversion of lower ground and ground floors into 1 x 2-bedroom and 1 x 1-bedroom flats."/>
    <s v="PF"/>
    <d v="2021-01-28T00:00:00"/>
    <d v="2021-07-08T00:00:00"/>
    <x v="0"/>
    <s v="Nil"/>
    <m/>
    <s v="BF"/>
    <s v="NB"/>
    <x v="2"/>
    <x v="8"/>
    <n v="1.2999999999999999E-2"/>
    <m/>
    <x v="0"/>
    <m/>
    <x v="1"/>
    <s v="M"/>
    <s v=""/>
    <m/>
    <m/>
    <m/>
    <m/>
    <m/>
    <n v="0"/>
    <n v="0"/>
    <n v="2"/>
    <n v="0"/>
    <n v="0"/>
    <n v="0"/>
    <n v="0"/>
    <n v="0"/>
    <n v="0"/>
    <n v="2"/>
    <n v="0"/>
    <n v="0"/>
    <n v="0"/>
    <n v="0"/>
    <n v="0"/>
    <n v="0"/>
    <n v="0"/>
    <n v="0"/>
    <n v="0"/>
    <n v="0"/>
    <n v="0"/>
    <n v="0"/>
    <n v="0"/>
    <n v="0"/>
    <n v="0"/>
    <n v="0"/>
    <n v="0"/>
    <n v="0"/>
    <x v="1"/>
    <x v="0"/>
    <x v="5"/>
    <n v="7"/>
    <m/>
    <m/>
    <n v="0.5"/>
    <n v="0.5"/>
    <n v="0.5"/>
    <n v="0.5"/>
    <m/>
    <m/>
    <m/>
    <m/>
    <m/>
    <m/>
    <m/>
    <m/>
    <m/>
    <m/>
    <m/>
    <m/>
    <m/>
    <m/>
    <n v="2"/>
    <n v="2"/>
  </r>
  <r>
    <n v="6600"/>
    <x v="2"/>
    <s v="2021/0438"/>
    <s v="107 Allfarthing Lane"/>
    <s v=""/>
    <n v="525959"/>
    <n v="174033"/>
    <x v="13"/>
    <m/>
    <m/>
    <n v="0"/>
    <x v="5"/>
    <x v="7"/>
    <n v="2"/>
    <n v="2"/>
    <x v="1"/>
    <s v="Determination as to whether prior approval is required for change of use from retail (Class A1) to 1 x 1-bedroom flat and 1 studio flat (Class C3)."/>
    <s v="PANR"/>
    <d v="2021-01-26T00:00:00"/>
    <d v="2021-03-25T00:00:00"/>
    <x v="0"/>
    <s v="Nil"/>
    <m/>
    <s v="BF"/>
    <s v="COU"/>
    <x v="2"/>
    <x v="4"/>
    <n v="6.0000000000000001E-3"/>
    <m/>
    <x v="0"/>
    <m/>
    <x v="1"/>
    <s v="M"/>
    <s v=""/>
    <m/>
    <m/>
    <m/>
    <m/>
    <m/>
    <n v="1"/>
    <n v="1"/>
    <n v="0"/>
    <n v="0"/>
    <n v="0"/>
    <n v="0"/>
    <n v="0"/>
    <n v="1"/>
    <n v="1"/>
    <n v="0"/>
    <n v="0"/>
    <n v="0"/>
    <n v="0"/>
    <n v="0"/>
    <n v="0"/>
    <n v="0"/>
    <n v="0"/>
    <n v="0"/>
    <n v="0"/>
    <n v="0"/>
    <n v="0"/>
    <n v="0"/>
    <n v="0"/>
    <n v="0"/>
    <n v="0"/>
    <n v="0"/>
    <n v="0"/>
    <n v="0"/>
    <x v="1"/>
    <x v="0"/>
    <x v="2"/>
    <n v="15"/>
    <m/>
    <n v="0.5"/>
    <n v="0.5"/>
    <n v="0.5"/>
    <n v="0.5"/>
    <m/>
    <m/>
    <m/>
    <m/>
    <m/>
    <m/>
    <m/>
    <m/>
    <m/>
    <m/>
    <m/>
    <m/>
    <m/>
    <m/>
    <m/>
    <n v="2"/>
    <n v="2"/>
  </r>
  <r>
    <n v="5748"/>
    <x v="2"/>
    <s v="2021/0457"/>
    <s v="Oyster Wharf Inlet, Oyster Wharf, 18 Lombard Road"/>
    <s v=""/>
    <n v="526622"/>
    <n v="176212"/>
    <x v="15"/>
    <m/>
    <m/>
    <n v="0"/>
    <x v="3"/>
    <x v="5"/>
    <n v="1"/>
    <n v="1"/>
    <x v="1"/>
    <s v="Construction of a floating residential vessel in the dock known as Oyster Wharf inlet."/>
    <s v="PF"/>
    <d v="2021-02-03T00:00:00"/>
    <d v="2021-06-29T00:00:00"/>
    <x v="0"/>
    <s v="Nil"/>
    <m/>
    <s v="BF"/>
    <s v="NB"/>
    <x v="2"/>
    <x v="3"/>
    <n v="0.26300000000000001"/>
    <m/>
    <x v="0"/>
    <m/>
    <x v="1"/>
    <s v="M"/>
    <s v=""/>
    <m/>
    <m/>
    <m/>
    <m/>
    <m/>
    <n v="0"/>
    <n v="0"/>
    <n v="0"/>
    <n v="1"/>
    <n v="0"/>
    <n v="0"/>
    <n v="0"/>
    <n v="0"/>
    <n v="0"/>
    <n v="0"/>
    <n v="0"/>
    <n v="0"/>
    <n v="0"/>
    <n v="0"/>
    <n v="0"/>
    <n v="0"/>
    <n v="0"/>
    <n v="1"/>
    <n v="0"/>
    <n v="0"/>
    <n v="0"/>
    <n v="0"/>
    <n v="0"/>
    <n v="0"/>
    <n v="0"/>
    <n v="0"/>
    <n v="0"/>
    <n v="0"/>
    <x v="1"/>
    <x v="0"/>
    <x v="4"/>
    <n v="7"/>
    <m/>
    <m/>
    <n v="0.25"/>
    <n v="0.25"/>
    <n v="0.25"/>
    <n v="0.25"/>
    <m/>
    <m/>
    <m/>
    <m/>
    <m/>
    <m/>
    <m/>
    <m/>
    <m/>
    <m/>
    <m/>
    <m/>
    <m/>
    <m/>
    <n v="1"/>
    <n v="1"/>
  </r>
  <r>
    <n v="6789"/>
    <x v="2"/>
    <s v="2021/0546"/>
    <s v="47-51 Lavender Hill"/>
    <s v=""/>
    <n v="528385"/>
    <n v="175721"/>
    <x v="8"/>
    <m/>
    <m/>
    <n v="0"/>
    <x v="11"/>
    <x v="36"/>
    <n v="3"/>
    <n v="3"/>
    <x v="1"/>
    <s v="Erection of a new storey of accommodation to main roof, extensions above back additions, formation of roof terraces above back additions with obscured glazed screen surround, extension and re-configuration of internal staircase, in connection with creation of 2 x 1 bedroom flats and 1 studio flat."/>
    <s v="PF"/>
    <d v="2021-02-08T00:00:00"/>
    <d v="2021-04-22T00:00:00"/>
    <x v="0"/>
    <s v="Nil"/>
    <m/>
    <s v="BF"/>
    <s v="EXT"/>
    <x v="2"/>
    <x v="7"/>
    <n v="5.0000000000000001E-3"/>
    <m/>
    <x v="0"/>
    <m/>
    <x v="1"/>
    <s v="M"/>
    <s v=""/>
    <m/>
    <m/>
    <m/>
    <m/>
    <m/>
    <n v="1"/>
    <n v="2"/>
    <n v="0"/>
    <n v="0"/>
    <n v="0"/>
    <n v="0"/>
    <n v="0"/>
    <n v="1"/>
    <n v="2"/>
    <n v="0"/>
    <n v="0"/>
    <n v="0"/>
    <n v="0"/>
    <n v="0"/>
    <n v="0"/>
    <n v="0"/>
    <n v="0"/>
    <n v="0"/>
    <n v="0"/>
    <n v="0"/>
    <n v="0"/>
    <n v="0"/>
    <n v="0"/>
    <n v="0"/>
    <n v="0"/>
    <n v="0"/>
    <n v="0"/>
    <n v="0"/>
    <x v="1"/>
    <x v="0"/>
    <x v="2"/>
    <n v="15"/>
    <m/>
    <n v="0.75"/>
    <n v="0.75"/>
    <n v="0.75"/>
    <n v="0.75"/>
    <m/>
    <m/>
    <m/>
    <m/>
    <m/>
    <m/>
    <m/>
    <m/>
    <m/>
    <m/>
    <m/>
    <m/>
    <m/>
    <m/>
    <m/>
    <n v="3"/>
    <n v="3"/>
  </r>
  <r>
    <n v="2032"/>
    <x v="2"/>
    <s v="2021/0659"/>
    <s v="297-301 Balham High Road (1-9 Belgravia House, 301)"/>
    <s v=""/>
    <n v="528095"/>
    <n v="172380"/>
    <x v="18"/>
    <m/>
    <m/>
    <n v="0"/>
    <x v="5"/>
    <x v="7"/>
    <n v="2"/>
    <n v="2"/>
    <x v="1"/>
    <s v="Alterations including erection of front and rear roof extensions to main rear roof including raising the ridge, formation of roof terraces to the front and rear in connection with the creation of 2 x two-bedroom flats."/>
    <s v="PF"/>
    <d v="2021-02-12T00:00:00"/>
    <d v="2021-06-21T00:00:00"/>
    <x v="0"/>
    <s v="Nil"/>
    <m/>
    <s v="BF"/>
    <s v="EXT"/>
    <x v="2"/>
    <x v="7"/>
    <n v="8.9999999999999993E-3"/>
    <m/>
    <x v="0"/>
    <m/>
    <x v="1"/>
    <s v="M"/>
    <s v=""/>
    <m/>
    <m/>
    <m/>
    <m/>
    <m/>
    <n v="0"/>
    <n v="0"/>
    <n v="2"/>
    <n v="0"/>
    <n v="0"/>
    <n v="0"/>
    <n v="0"/>
    <n v="0"/>
    <n v="0"/>
    <n v="2"/>
    <n v="0"/>
    <n v="0"/>
    <n v="0"/>
    <n v="0"/>
    <n v="0"/>
    <n v="0"/>
    <n v="0"/>
    <n v="0"/>
    <n v="0"/>
    <n v="0"/>
    <n v="0"/>
    <n v="0"/>
    <n v="0"/>
    <n v="0"/>
    <n v="0"/>
    <n v="0"/>
    <n v="0"/>
    <n v="0"/>
    <x v="1"/>
    <x v="0"/>
    <x v="2"/>
    <n v="15"/>
    <m/>
    <n v="0.5"/>
    <n v="0.5"/>
    <n v="0.5"/>
    <n v="0.5"/>
    <m/>
    <m/>
    <m/>
    <m/>
    <m/>
    <m/>
    <m/>
    <m/>
    <m/>
    <m/>
    <m/>
    <m/>
    <m/>
    <m/>
    <m/>
    <n v="2"/>
    <n v="2"/>
  </r>
  <r>
    <n v="7511"/>
    <x v="2"/>
    <s v="2021/0663"/>
    <s v="16 Briar Walk"/>
    <s v=""/>
    <n v="522721"/>
    <n v="175237"/>
    <x v="16"/>
    <m/>
    <m/>
    <n v="0"/>
    <x v="3"/>
    <x v="5"/>
    <n v="1"/>
    <n v="1"/>
    <x v="1"/>
    <s v="Demolition of existing garage and erection of a 2-bedroom two-storey house with accommodation at basement level including off street parking, cycle and refuse storage."/>
    <s v="PF"/>
    <d v="2021-02-12T00:00:00"/>
    <d v="2021-07-14T00:00:00"/>
    <x v="0"/>
    <s v="Nil"/>
    <m/>
    <s v="BF"/>
    <s v="NB"/>
    <x v="2"/>
    <x v="3"/>
    <n v="5.3350000000000003E-3"/>
    <m/>
    <x v="0"/>
    <m/>
    <x v="1"/>
    <s v="M"/>
    <s v=""/>
    <m/>
    <m/>
    <m/>
    <m/>
    <m/>
    <n v="0"/>
    <n v="0"/>
    <n v="1"/>
    <n v="0"/>
    <n v="0"/>
    <n v="0"/>
    <n v="0"/>
    <n v="0"/>
    <n v="0"/>
    <n v="0"/>
    <n v="0"/>
    <n v="0"/>
    <n v="0"/>
    <n v="0"/>
    <n v="0"/>
    <n v="0"/>
    <n v="1"/>
    <n v="0"/>
    <n v="0"/>
    <n v="0"/>
    <n v="0"/>
    <n v="0"/>
    <n v="0"/>
    <n v="0"/>
    <n v="0"/>
    <n v="0"/>
    <n v="0"/>
    <n v="0"/>
    <x v="1"/>
    <x v="0"/>
    <x v="2"/>
    <n v="7"/>
    <m/>
    <m/>
    <n v="0.25"/>
    <n v="0.25"/>
    <n v="0.25"/>
    <n v="0.25"/>
    <m/>
    <m/>
    <m/>
    <m/>
    <m/>
    <m/>
    <m/>
    <m/>
    <m/>
    <m/>
    <m/>
    <m/>
    <m/>
    <m/>
    <n v="1"/>
    <n v="1"/>
  </r>
  <r>
    <n v="6499"/>
    <x v="2"/>
    <s v="2021/0888"/>
    <s v="Albany House, Portslade Road"/>
    <s v=""/>
    <n v="529152"/>
    <n v="176426"/>
    <x v="20"/>
    <m/>
    <m/>
    <n v="2"/>
    <x v="3"/>
    <x v="3"/>
    <n v="1"/>
    <n v="-1"/>
    <x v="1"/>
    <s v="Outline consent for the demolition of Albany House and erection of a five-storey plus basement building containing business suites (Use Class E(g)) on ground to second floors and a three-bedroom residential unit on third and fourth floors with a private roof terrace and associated cycle parking and refuse storage facilities at ground floor, with all matters reserved except access and scale."/>
    <s v="PO"/>
    <d v="2021-04-16T00:00:00"/>
    <d v="2021-08-24T00:00:00"/>
    <x v="0"/>
    <s v="Nil"/>
    <m/>
    <s v="BF"/>
    <s v="NB"/>
    <x v="2"/>
    <x v="3"/>
    <n v="2E-3"/>
    <m/>
    <x v="0"/>
    <m/>
    <x v="1"/>
    <s v="M"/>
    <s v=""/>
    <m/>
    <m/>
    <m/>
    <m/>
    <m/>
    <n v="-1"/>
    <n v="-1"/>
    <n v="0"/>
    <n v="1"/>
    <n v="0"/>
    <n v="0"/>
    <n v="0"/>
    <n v="-1"/>
    <n v="-1"/>
    <n v="0"/>
    <n v="1"/>
    <n v="0"/>
    <n v="0"/>
    <n v="0"/>
    <n v="0"/>
    <n v="0"/>
    <n v="0"/>
    <n v="0"/>
    <n v="0"/>
    <n v="0"/>
    <n v="0"/>
    <n v="0"/>
    <n v="0"/>
    <n v="0"/>
    <n v="0"/>
    <n v="0"/>
    <n v="0"/>
    <n v="0"/>
    <x v="1"/>
    <x v="1"/>
    <x v="1"/>
    <n v="7"/>
    <m/>
    <m/>
    <n v="-0.25"/>
    <n v="-0.25"/>
    <n v="-0.25"/>
    <n v="-0.25"/>
    <m/>
    <m/>
    <m/>
    <m/>
    <m/>
    <m/>
    <m/>
    <m/>
    <m/>
    <m/>
    <m/>
    <m/>
    <m/>
    <m/>
    <n v="-1"/>
    <n v="-1"/>
  </r>
  <r>
    <n v="4750"/>
    <x v="2"/>
    <s v="2021/0928"/>
    <s v="111-113 Wandsworth High Street"/>
    <s v=""/>
    <n v="525522"/>
    <n v="174660"/>
    <x v="14"/>
    <m/>
    <m/>
    <n v="0"/>
    <x v="0"/>
    <x v="0"/>
    <n v="6"/>
    <n v="6"/>
    <x v="1"/>
    <s v="Alterations including erection of two storey roof extension including front and rear mansard and excavation to create basement in connection with provision of retail at ground floor level with ancillary office and storage floorspace on the basement and first floor levels (Class E), and 4 x 2-bedroom, 1 x 1-bedroom and 1 x studio flats with front and rear roof terraces and associated refuse storage accessed from the rear"/>
    <s v="PF"/>
    <d v="2021-02-26T00:00:00"/>
    <d v="2021-07-27T00:00:00"/>
    <x v="0"/>
    <s v="Nil"/>
    <m/>
    <s v="BF"/>
    <s v="MIX"/>
    <x v="2"/>
    <x v="8"/>
    <n v="2.9000000000000001E-2"/>
    <m/>
    <x v="0"/>
    <m/>
    <x v="1"/>
    <s v="M"/>
    <s v=""/>
    <m/>
    <m/>
    <m/>
    <m/>
    <m/>
    <n v="1"/>
    <n v="1"/>
    <n v="4"/>
    <n v="0"/>
    <n v="0"/>
    <n v="0"/>
    <n v="0"/>
    <n v="1"/>
    <n v="1"/>
    <n v="4"/>
    <n v="0"/>
    <n v="0"/>
    <n v="0"/>
    <n v="0"/>
    <n v="0"/>
    <n v="0"/>
    <n v="0"/>
    <n v="0"/>
    <n v="0"/>
    <n v="0"/>
    <n v="0"/>
    <n v="0"/>
    <n v="0"/>
    <n v="0"/>
    <n v="0"/>
    <n v="0"/>
    <n v="0"/>
    <n v="0"/>
    <x v="4"/>
    <x v="0"/>
    <x v="7"/>
    <n v="18"/>
    <m/>
    <n v="1.5"/>
    <n v="1.5"/>
    <n v="1.5"/>
    <n v="1.5"/>
    <m/>
    <m/>
    <m/>
    <m/>
    <m/>
    <m/>
    <m/>
    <m/>
    <m/>
    <m/>
    <m/>
    <m/>
    <m/>
    <m/>
    <m/>
    <n v="6"/>
    <n v="6"/>
  </r>
  <r>
    <n v="7518"/>
    <x v="2"/>
    <s v="2021/0951"/>
    <s v="23 Elspeth Road"/>
    <s v=""/>
    <n v="527807"/>
    <n v="175455"/>
    <x v="8"/>
    <m/>
    <m/>
    <n v="1"/>
    <x v="6"/>
    <x v="3"/>
    <n v="0"/>
    <n v="-1"/>
    <x v="1"/>
    <s v="Alterations including erection of single-storey rear/side extension and rear roof extension in connection with of change of use from 5-bedroom House of Multiple Occupation (Class C4) to 7-bedroom House of Multiple Occupation (Sui Generis)."/>
    <s v="PF"/>
    <d v="2021-03-18T00:00:00"/>
    <d v="2022-06-27T00:00:00"/>
    <x v="0"/>
    <s v="Nil"/>
    <m/>
    <s v="BF"/>
    <s v="COU"/>
    <x v="2"/>
    <x v="12"/>
    <n v="0"/>
    <m/>
    <x v="0"/>
    <m/>
    <x v="1"/>
    <s v="MR"/>
    <s v=""/>
    <m/>
    <m/>
    <m/>
    <m/>
    <m/>
    <n v="0"/>
    <n v="0"/>
    <n v="0"/>
    <n v="0"/>
    <n v="0"/>
    <n v="-1"/>
    <n v="0"/>
    <n v="0"/>
    <n v="0"/>
    <n v="0"/>
    <n v="0"/>
    <n v="0"/>
    <n v="0"/>
    <n v="0"/>
    <n v="0"/>
    <n v="0"/>
    <n v="0"/>
    <n v="0"/>
    <n v="0"/>
    <n v="-1"/>
    <n v="0"/>
    <n v="0"/>
    <n v="0"/>
    <n v="0"/>
    <n v="0"/>
    <n v="0"/>
    <n v="0"/>
    <n v="0"/>
    <x v="1"/>
    <x v="0"/>
    <x v="3"/>
    <n v="15"/>
    <m/>
    <n v="-0.25"/>
    <n v="-0.25"/>
    <n v="-0.25"/>
    <n v="-0.25"/>
    <m/>
    <m/>
    <m/>
    <m/>
    <m/>
    <m/>
    <m/>
    <m/>
    <m/>
    <m/>
    <m/>
    <m/>
    <m/>
    <m/>
    <m/>
    <n v="-1"/>
    <n v="-1"/>
  </r>
  <r>
    <n v="7519"/>
    <x v="2"/>
    <s v="2021/0952"/>
    <s v="56 Elspeth Road"/>
    <s v=""/>
    <n v="527864"/>
    <n v="175385"/>
    <x v="8"/>
    <m/>
    <m/>
    <n v="1"/>
    <x v="6"/>
    <x v="3"/>
    <n v="0"/>
    <n v="-1"/>
    <x v="1"/>
    <s v="Alterations including erection of single-storey rear/side extension and rear roof extension in connection with of change of use from 5-bedroom House of Multiple Occupation (Class C4) to 7-bedroom House of Multiple Occupation (Sui Generis)."/>
    <s v="PF"/>
    <d v="2021-03-18T00:00:00"/>
    <d v="2022-06-27T00:00:00"/>
    <x v="0"/>
    <s v="Nil"/>
    <m/>
    <s v="BF"/>
    <s v="COU"/>
    <x v="2"/>
    <x v="12"/>
    <n v="0"/>
    <m/>
    <x v="0"/>
    <m/>
    <x v="1"/>
    <s v="MR"/>
    <s v=""/>
    <m/>
    <m/>
    <m/>
    <m/>
    <m/>
    <n v="0"/>
    <n v="0"/>
    <n v="0"/>
    <n v="0"/>
    <n v="0"/>
    <n v="-1"/>
    <n v="0"/>
    <n v="0"/>
    <n v="0"/>
    <n v="0"/>
    <n v="0"/>
    <n v="0"/>
    <n v="0"/>
    <n v="0"/>
    <n v="0"/>
    <n v="0"/>
    <n v="0"/>
    <n v="0"/>
    <n v="0"/>
    <n v="-1"/>
    <n v="0"/>
    <n v="0"/>
    <n v="0"/>
    <n v="0"/>
    <n v="0"/>
    <n v="0"/>
    <n v="0"/>
    <n v="0"/>
    <x v="1"/>
    <x v="0"/>
    <x v="3"/>
    <n v="15"/>
    <m/>
    <n v="-0.25"/>
    <n v="-0.25"/>
    <n v="-0.25"/>
    <n v="-0.25"/>
    <m/>
    <m/>
    <m/>
    <m/>
    <m/>
    <m/>
    <m/>
    <m/>
    <m/>
    <m/>
    <m/>
    <m/>
    <m/>
    <m/>
    <m/>
    <n v="-1"/>
    <n v="-1"/>
  </r>
  <r>
    <n v="5479"/>
    <x v="2"/>
    <s v="2021/0988"/>
    <s v="Land rear of, 76-77 Stanley Grove (Land adjacent to 76a Stanley Grove)"/>
    <s v="The Orpheus House"/>
    <n v="528475"/>
    <n v="176217"/>
    <x v="20"/>
    <m/>
    <m/>
    <n v="0"/>
    <x v="3"/>
    <x v="5"/>
    <n v="2"/>
    <n v="2"/>
    <x v="1"/>
    <s v="Erection of two-storey plus roof and basement three bedroom house adjoining no. 76 Stanley Grove and erection of two-storey four bedroom house to the rear of the terrace and associated cycle and refuse storage."/>
    <s v="PF"/>
    <d v="2021-03-03T00:00:00"/>
    <d v="2021-06-22T00:00:00"/>
    <x v="0"/>
    <s v="Nil"/>
    <m/>
    <s v="BF"/>
    <s v="NB"/>
    <x v="2"/>
    <x v="3"/>
    <n v="0.02"/>
    <m/>
    <x v="0"/>
    <m/>
    <x v="1"/>
    <s v="M"/>
    <s v=""/>
    <m/>
    <m/>
    <m/>
    <m/>
    <m/>
    <n v="0"/>
    <n v="0"/>
    <n v="0"/>
    <n v="0"/>
    <n v="1"/>
    <n v="0"/>
    <n v="0"/>
    <n v="0"/>
    <n v="0"/>
    <n v="0"/>
    <n v="0"/>
    <n v="0"/>
    <n v="0"/>
    <n v="0"/>
    <n v="0"/>
    <n v="0"/>
    <n v="0"/>
    <n v="0"/>
    <n v="1"/>
    <n v="0"/>
    <n v="0"/>
    <n v="0"/>
    <n v="0"/>
    <n v="0"/>
    <n v="0"/>
    <n v="0"/>
    <n v="0"/>
    <n v="0"/>
    <x v="1"/>
    <x v="0"/>
    <x v="2"/>
    <n v="7"/>
    <m/>
    <m/>
    <n v="0.25"/>
    <n v="0.25"/>
    <n v="0.25"/>
    <n v="0.25"/>
    <m/>
    <m/>
    <m/>
    <m/>
    <m/>
    <m/>
    <m/>
    <m/>
    <m/>
    <m/>
    <m/>
    <m/>
    <m/>
    <m/>
    <n v="1"/>
    <n v="1"/>
  </r>
  <r>
    <n v="5479"/>
    <x v="2"/>
    <s v="2021/0988"/>
    <s v="Land rear of, 76-77 Stanley Grove (Land adjacent to 76a Stanley Grove)"/>
    <s v="The Terraced House"/>
    <n v="528475"/>
    <n v="176217"/>
    <x v="20"/>
    <m/>
    <m/>
    <n v="0"/>
    <x v="3"/>
    <x v="5"/>
    <n v="2"/>
    <n v="2"/>
    <x v="1"/>
    <s v="Erection of two-storey plus roof and basement three bedroom house adjoining no. 76 Stanley Grove and erection of two-storey four bedroom house to the rear of the terrace and associated cycle and refuse storage."/>
    <s v="PF"/>
    <d v="2021-03-03T00:00:00"/>
    <d v="2021-06-22T00:00:00"/>
    <x v="0"/>
    <s v="Nil"/>
    <m/>
    <s v="BF"/>
    <s v="NB"/>
    <x v="2"/>
    <x v="3"/>
    <n v="1.2999999999999999E-2"/>
    <m/>
    <x v="0"/>
    <m/>
    <x v="1"/>
    <s v="M"/>
    <s v=""/>
    <m/>
    <m/>
    <m/>
    <m/>
    <m/>
    <n v="0"/>
    <n v="0"/>
    <n v="0"/>
    <n v="1"/>
    <n v="0"/>
    <n v="0"/>
    <n v="0"/>
    <n v="0"/>
    <n v="0"/>
    <n v="0"/>
    <n v="0"/>
    <n v="0"/>
    <n v="0"/>
    <n v="0"/>
    <n v="0"/>
    <n v="0"/>
    <n v="0"/>
    <n v="1"/>
    <n v="0"/>
    <n v="0"/>
    <n v="0"/>
    <n v="0"/>
    <n v="0"/>
    <n v="0"/>
    <n v="0"/>
    <n v="0"/>
    <n v="0"/>
    <n v="0"/>
    <x v="1"/>
    <x v="0"/>
    <x v="2"/>
    <n v="7"/>
    <m/>
    <m/>
    <n v="0.25"/>
    <n v="0.25"/>
    <n v="0.25"/>
    <n v="0.25"/>
    <m/>
    <m/>
    <m/>
    <m/>
    <m/>
    <m/>
    <m/>
    <m/>
    <m/>
    <m/>
    <m/>
    <m/>
    <m/>
    <m/>
    <n v="1"/>
    <n v="1"/>
  </r>
  <r>
    <n v="5333"/>
    <x v="2"/>
    <s v="2021/1184"/>
    <s v="54 Gilbey Road"/>
    <s v=""/>
    <n v="527255"/>
    <n v="171509"/>
    <x v="0"/>
    <m/>
    <m/>
    <n v="2"/>
    <x v="12"/>
    <x v="7"/>
    <n v="4"/>
    <n v="2"/>
    <x v="1"/>
    <s v="Alterations including erection of mansard roof extension to main rear roof (with french doors and safety railings) including raising ridge by 300mm and roof extension above two storey back addition, erection of single storey rear and side extension and formation of rear roof terrace with 1.7m glazed safety surround at second floor level in connection with creation of 1 x 3-bedroom, 1 x 2-bedroom and 2 x 1-bedroom flats"/>
    <s v="PF"/>
    <d v="2021-03-11T00:00:00"/>
    <d v="2021-06-10T00:00:00"/>
    <x v="0"/>
    <s v="Nil"/>
    <m/>
    <s v="BF"/>
    <s v="CON"/>
    <x v="2"/>
    <x v="5"/>
    <n v="1.4E-2"/>
    <m/>
    <x v="0"/>
    <m/>
    <x v="1"/>
    <s v="M"/>
    <s v=""/>
    <m/>
    <m/>
    <m/>
    <m/>
    <m/>
    <n v="0"/>
    <n v="2"/>
    <n v="0"/>
    <n v="0"/>
    <n v="0"/>
    <n v="0"/>
    <n v="0"/>
    <n v="0"/>
    <n v="2"/>
    <n v="0"/>
    <n v="0"/>
    <n v="0"/>
    <n v="0"/>
    <n v="0"/>
    <n v="0"/>
    <n v="0"/>
    <n v="0"/>
    <n v="0"/>
    <n v="0"/>
    <n v="0"/>
    <n v="0"/>
    <n v="0"/>
    <n v="0"/>
    <n v="0"/>
    <n v="0"/>
    <n v="0"/>
    <n v="0"/>
    <n v="0"/>
    <x v="1"/>
    <x v="0"/>
    <x v="0"/>
    <n v="15"/>
    <m/>
    <n v="0.5"/>
    <n v="0.5"/>
    <n v="0.5"/>
    <n v="0.5"/>
    <m/>
    <m/>
    <m/>
    <m/>
    <m/>
    <m/>
    <m/>
    <m/>
    <m/>
    <m/>
    <m/>
    <m/>
    <m/>
    <m/>
    <m/>
    <n v="2"/>
    <n v="2"/>
  </r>
  <r>
    <n v="7703"/>
    <x v="2"/>
    <s v="2021/1224"/>
    <s v="1A-1E Longley Road"/>
    <s v=""/>
    <n v="527214"/>
    <n v="170983"/>
    <x v="0"/>
    <m/>
    <m/>
    <n v="0"/>
    <x v="9"/>
    <x v="12"/>
    <n v="8"/>
    <n v="8"/>
    <x v="1"/>
    <s v="Demolition of existing buildings and erection of three-storey building comprising 8 x self-contained flats with associated car parking, landscaping, and bin and cycle storage."/>
    <s v="PF"/>
    <d v="2021-10-11T00:00:00"/>
    <d v="2023-06-19T00:00:00"/>
    <x v="1"/>
    <s v="Nil"/>
    <m/>
    <s v="BF"/>
    <s v="NB"/>
    <x v="2"/>
    <x v="3"/>
    <n v="1.7999999999999999E-2"/>
    <m/>
    <x v="0"/>
    <m/>
    <x v="1"/>
    <s v="M"/>
    <s v=""/>
    <m/>
    <m/>
    <m/>
    <m/>
    <m/>
    <n v="1"/>
    <n v="2"/>
    <n v="4"/>
    <n v="1"/>
    <n v="0"/>
    <n v="0"/>
    <n v="0"/>
    <n v="1"/>
    <n v="2"/>
    <n v="4"/>
    <n v="1"/>
    <n v="0"/>
    <n v="0"/>
    <n v="0"/>
    <n v="0"/>
    <n v="0"/>
    <n v="0"/>
    <n v="0"/>
    <n v="0"/>
    <n v="0"/>
    <n v="0"/>
    <n v="0"/>
    <n v="0"/>
    <n v="0"/>
    <n v="0"/>
    <n v="0"/>
    <n v="0"/>
    <n v="0"/>
    <x v="1"/>
    <x v="0"/>
    <x v="0"/>
    <n v="10"/>
    <m/>
    <m/>
    <m/>
    <m/>
    <n v="2.6666666666666665"/>
    <n v="2.6666666666666665"/>
    <n v="2.6666666666666665"/>
    <m/>
    <m/>
    <m/>
    <m/>
    <m/>
    <m/>
    <m/>
    <m/>
    <m/>
    <m/>
    <m/>
    <m/>
    <m/>
    <n v="5.333333333333333"/>
    <n v="8"/>
  </r>
  <r>
    <n v="5832"/>
    <x v="2"/>
    <s v="2021/1236"/>
    <s v="Garages in, Heathwall Street"/>
    <s v=""/>
    <n v="527798"/>
    <n v="175779"/>
    <x v="20"/>
    <m/>
    <m/>
    <n v="0"/>
    <x v="3"/>
    <x v="5"/>
    <n v="1"/>
    <n v="1"/>
    <x v="1"/>
    <s v="Demolition of existing garages erection of one-storey (plus basement) 2-bedroom house"/>
    <s v="PF"/>
    <d v="2021-03-16T00:00:00"/>
    <d v="2022-07-29T00:00:00"/>
    <x v="0"/>
    <s v="Nil"/>
    <m/>
    <s v="BF"/>
    <s v="NB"/>
    <x v="2"/>
    <x v="3"/>
    <n v="1.0999999999999999E-2"/>
    <m/>
    <x v="0"/>
    <m/>
    <x v="1"/>
    <s v="M"/>
    <s v=""/>
    <m/>
    <m/>
    <m/>
    <m/>
    <m/>
    <n v="0"/>
    <n v="0"/>
    <n v="1"/>
    <n v="0"/>
    <n v="0"/>
    <n v="0"/>
    <n v="0"/>
    <n v="0"/>
    <n v="0"/>
    <n v="0"/>
    <n v="0"/>
    <n v="0"/>
    <n v="0"/>
    <n v="0"/>
    <n v="0"/>
    <n v="0"/>
    <n v="1"/>
    <n v="0"/>
    <n v="0"/>
    <n v="0"/>
    <n v="0"/>
    <n v="0"/>
    <n v="0"/>
    <n v="0"/>
    <n v="0"/>
    <n v="0"/>
    <n v="0"/>
    <n v="0"/>
    <x v="1"/>
    <x v="0"/>
    <x v="2"/>
    <n v="7"/>
    <m/>
    <m/>
    <n v="0.25"/>
    <n v="0.25"/>
    <n v="0.25"/>
    <n v="0.25"/>
    <m/>
    <m/>
    <m/>
    <m/>
    <m/>
    <m/>
    <m/>
    <m/>
    <m/>
    <m/>
    <m/>
    <m/>
    <m/>
    <m/>
    <n v="1"/>
    <n v="1"/>
  </r>
  <r>
    <n v="7637"/>
    <x v="2"/>
    <s v="2021/1259"/>
    <s v="128 B Northcote Road"/>
    <s v=""/>
    <n v="527560"/>
    <n v="174587"/>
    <x v="11"/>
    <m/>
    <m/>
    <n v="1"/>
    <x v="5"/>
    <x v="5"/>
    <n v="2"/>
    <n v="1"/>
    <x v="1"/>
    <s v="Alterations including erection of dormer roof extensions to side and rear of main roof and formation of rear roof terraces at first and third floor level, in connection with the conversion of first and second floor into 1 x1 bedroom and 1 x 2-bedroom flats."/>
    <s v="PF"/>
    <d v="2021-03-17T00:00:00"/>
    <d v="2021-07-02T00:00:00"/>
    <x v="0"/>
    <s v="Nil"/>
    <m/>
    <s v="BF"/>
    <s v="MIX"/>
    <x v="2"/>
    <x v="10"/>
    <n v="5.0000000000000001E-3"/>
    <m/>
    <x v="0"/>
    <m/>
    <x v="1"/>
    <s v="M"/>
    <s v=""/>
    <m/>
    <m/>
    <m/>
    <m/>
    <m/>
    <n v="0"/>
    <n v="1"/>
    <n v="1"/>
    <n v="0"/>
    <n v="-1"/>
    <n v="0"/>
    <n v="0"/>
    <n v="0"/>
    <n v="1"/>
    <n v="1"/>
    <n v="0"/>
    <n v="0"/>
    <n v="0"/>
    <n v="0"/>
    <n v="0"/>
    <n v="0"/>
    <n v="0"/>
    <n v="0"/>
    <n v="-1"/>
    <n v="0"/>
    <n v="0"/>
    <n v="0"/>
    <n v="0"/>
    <n v="0"/>
    <n v="0"/>
    <n v="0"/>
    <n v="0"/>
    <n v="0"/>
    <x v="1"/>
    <x v="0"/>
    <x v="2"/>
    <n v="15"/>
    <m/>
    <n v="0.25"/>
    <n v="0.25"/>
    <n v="0.25"/>
    <n v="0.25"/>
    <m/>
    <m/>
    <m/>
    <m/>
    <m/>
    <m/>
    <m/>
    <m/>
    <m/>
    <m/>
    <m/>
    <m/>
    <m/>
    <m/>
    <m/>
    <n v="1"/>
    <n v="1"/>
  </r>
  <r>
    <n v="7704"/>
    <x v="2"/>
    <s v="2021/1285"/>
    <s v="153 Upper Tooting Road"/>
    <s v=""/>
    <n v="527741"/>
    <n v="171921"/>
    <x v="19"/>
    <m/>
    <m/>
    <n v="1"/>
    <x v="11"/>
    <x v="7"/>
    <n v="3"/>
    <n v="2"/>
    <x v="1"/>
    <s v="Alterations including erection of roof extension to main rear roof and two-storey rear extension above ground floor extension in connection with conversion of upper floor flat into 2 x 2 bedroom and 1 x studio flats."/>
    <s v="PF"/>
    <d v="2021-01-29T00:00:00"/>
    <d v="2022-03-09T00:00:00"/>
    <x v="0"/>
    <s v="Nil"/>
    <m/>
    <s v="BF"/>
    <s v="MIX"/>
    <x v="2"/>
    <x v="7"/>
    <n v="6.0000000000000001E-3"/>
    <m/>
    <x v="0"/>
    <m/>
    <x v="1"/>
    <s v="M"/>
    <s v=""/>
    <m/>
    <m/>
    <m/>
    <m/>
    <m/>
    <n v="1"/>
    <n v="1"/>
    <n v="1"/>
    <n v="0"/>
    <n v="0"/>
    <n v="-1"/>
    <n v="0"/>
    <n v="1"/>
    <n v="1"/>
    <n v="1"/>
    <n v="0"/>
    <n v="0"/>
    <n v="-1"/>
    <n v="0"/>
    <n v="0"/>
    <n v="0"/>
    <n v="0"/>
    <n v="0"/>
    <n v="0"/>
    <n v="0"/>
    <n v="0"/>
    <n v="0"/>
    <n v="0"/>
    <n v="0"/>
    <n v="0"/>
    <n v="0"/>
    <n v="0"/>
    <n v="0"/>
    <x v="0"/>
    <x v="0"/>
    <x v="0"/>
    <n v="15"/>
    <m/>
    <n v="0.5"/>
    <n v="0.5"/>
    <n v="0.5"/>
    <n v="0.5"/>
    <m/>
    <m/>
    <m/>
    <m/>
    <m/>
    <m/>
    <m/>
    <m/>
    <m/>
    <m/>
    <m/>
    <m/>
    <m/>
    <m/>
    <m/>
    <n v="2"/>
    <n v="2"/>
  </r>
  <r>
    <n v="7377"/>
    <x v="2"/>
    <s v="2021/1324"/>
    <s v="35 Garratt Terrace"/>
    <s v=""/>
    <n v="527306"/>
    <n v="171495"/>
    <x v="0"/>
    <m/>
    <m/>
    <n v="1"/>
    <x v="12"/>
    <x v="36"/>
    <n v="4"/>
    <n v="3"/>
    <x v="1"/>
    <s v="Erection of a mansard roof extension to rear roof slope and raising ridge 300mm. Erection of an extension above three-storey rear addition with French doors and safety railings. Erection of a single-storey rear/side extension at ground floor level. Alterations to include front fenestration and conversion of property into 4 self contained units ( 1 x 3-bedroom, 1 x 2-bedroom, 2 x 1-bedroom) with associated refuse and cycle storage"/>
    <s v="PF"/>
    <d v="2021-03-19T00:00:00"/>
    <d v="2021-05-12T00:00:00"/>
    <x v="0"/>
    <s v="Nil"/>
    <m/>
    <s v="BF"/>
    <s v="MIX"/>
    <x v="2"/>
    <x v="10"/>
    <n v="6.1749999999999999E-3"/>
    <m/>
    <x v="0"/>
    <m/>
    <x v="1"/>
    <s v="M"/>
    <s v=""/>
    <m/>
    <m/>
    <m/>
    <m/>
    <m/>
    <n v="0"/>
    <n v="2"/>
    <n v="1"/>
    <n v="1"/>
    <n v="0"/>
    <n v="-1"/>
    <n v="0"/>
    <n v="0"/>
    <n v="2"/>
    <n v="1"/>
    <n v="1"/>
    <n v="0"/>
    <n v="0"/>
    <n v="0"/>
    <n v="0"/>
    <n v="0"/>
    <n v="0"/>
    <n v="0"/>
    <n v="0"/>
    <n v="-1"/>
    <n v="0"/>
    <n v="0"/>
    <n v="0"/>
    <n v="0"/>
    <n v="0"/>
    <n v="0"/>
    <n v="0"/>
    <n v="0"/>
    <x v="1"/>
    <x v="0"/>
    <x v="0"/>
    <n v="15"/>
    <m/>
    <n v="0.75"/>
    <n v="0.75"/>
    <n v="0.75"/>
    <n v="0.75"/>
    <m/>
    <m/>
    <m/>
    <m/>
    <m/>
    <m/>
    <m/>
    <m/>
    <m/>
    <m/>
    <m/>
    <m/>
    <m/>
    <m/>
    <m/>
    <n v="3"/>
    <n v="3"/>
  </r>
  <r>
    <n v="7638"/>
    <x v="2"/>
    <s v="2021/1497"/>
    <s v="67 Putney Hill"/>
    <s v=""/>
    <n v="523723"/>
    <n v="174036"/>
    <x v="7"/>
    <m/>
    <m/>
    <n v="0"/>
    <x v="3"/>
    <x v="5"/>
    <n v="1"/>
    <n v="1"/>
    <x v="1"/>
    <s v="Conversion of existing ground floorspace to provide a 1 X 1 bedroom flat including the relocation of waste storage for whole building."/>
    <s v="PF"/>
    <d v="2021-03-23T00:00:00"/>
    <d v="2021-10-19T00:00:00"/>
    <x v="0"/>
    <s v="Nil"/>
    <m/>
    <s v="BF"/>
    <s v="COU"/>
    <x v="2"/>
    <x v="8"/>
    <n v="1E-3"/>
    <m/>
    <x v="0"/>
    <m/>
    <x v="1"/>
    <s v="M"/>
    <s v=""/>
    <m/>
    <m/>
    <m/>
    <m/>
    <m/>
    <n v="0"/>
    <n v="1"/>
    <n v="0"/>
    <n v="0"/>
    <n v="0"/>
    <n v="0"/>
    <n v="0"/>
    <n v="0"/>
    <n v="1"/>
    <n v="0"/>
    <n v="0"/>
    <n v="0"/>
    <n v="0"/>
    <n v="0"/>
    <n v="0"/>
    <n v="0"/>
    <n v="0"/>
    <n v="0"/>
    <n v="0"/>
    <n v="0"/>
    <n v="0"/>
    <n v="0"/>
    <n v="0"/>
    <n v="0"/>
    <n v="0"/>
    <n v="0"/>
    <n v="0"/>
    <n v="0"/>
    <x v="1"/>
    <x v="0"/>
    <x v="2"/>
    <n v="15"/>
    <m/>
    <n v="0.25"/>
    <n v="0.25"/>
    <n v="0.25"/>
    <n v="0.25"/>
    <m/>
    <m/>
    <m/>
    <m/>
    <m/>
    <m/>
    <m/>
    <m/>
    <m/>
    <m/>
    <m/>
    <m/>
    <m/>
    <m/>
    <m/>
    <n v="1"/>
    <n v="1"/>
  </r>
  <r>
    <n v="7610"/>
    <x v="2"/>
    <s v="2021/1858"/>
    <s v="172-174 Upper Richmond Road"/>
    <s v=""/>
    <n v="524107"/>
    <n v="175023"/>
    <x v="7"/>
    <m/>
    <m/>
    <n v="0"/>
    <x v="9"/>
    <x v="12"/>
    <n v="8"/>
    <n v="8"/>
    <x v="1"/>
    <s v="Alterations including erection of first floor rear extension; extension to form three additional floors of accommodation at second, third and fourth floor levels; formation of front roof terrace at fourth floor level; formation of balconies at rear first, second and third floor levels; alterations to ground floor frontage. Works in connection with provision of 8 flats (7 x 2-bedroom and 1 x 1-bedroom) on the upper floors of the extended building, with ground and basement floors retained in commercial use, with associated cycle parking and refuse storage facilities."/>
    <s v="PF"/>
    <d v="2021-04-19T00:00:00"/>
    <d v="2022-01-25T00:00:00"/>
    <x v="0"/>
    <s v="Nil"/>
    <m/>
    <s v="BF"/>
    <s v="EXT"/>
    <x v="2"/>
    <x v="7"/>
    <n v="8.9999999999999993E-3"/>
    <m/>
    <x v="0"/>
    <m/>
    <x v="1"/>
    <s v="M"/>
    <s v=""/>
    <m/>
    <m/>
    <m/>
    <m/>
    <m/>
    <n v="0"/>
    <n v="1"/>
    <n v="7"/>
    <n v="0"/>
    <n v="0"/>
    <n v="0"/>
    <n v="0"/>
    <n v="0"/>
    <n v="1"/>
    <n v="7"/>
    <n v="0"/>
    <n v="0"/>
    <n v="0"/>
    <n v="0"/>
    <n v="0"/>
    <n v="0"/>
    <n v="0"/>
    <n v="0"/>
    <n v="0"/>
    <n v="0"/>
    <n v="0"/>
    <n v="0"/>
    <n v="0"/>
    <n v="0"/>
    <n v="0"/>
    <n v="0"/>
    <n v="0"/>
    <n v="0"/>
    <x v="2"/>
    <x v="0"/>
    <x v="6"/>
    <n v="18"/>
    <m/>
    <n v="2"/>
    <n v="2"/>
    <n v="2"/>
    <n v="2"/>
    <m/>
    <m/>
    <m/>
    <m/>
    <m/>
    <m/>
    <m/>
    <m/>
    <m/>
    <m/>
    <m/>
    <m/>
    <m/>
    <m/>
    <m/>
    <n v="8"/>
    <n v="8"/>
  </r>
  <r>
    <n v="7633"/>
    <x v="2"/>
    <s v="2021/1938"/>
    <s v="34 Putney Hill"/>
    <s v=""/>
    <n v="523910"/>
    <n v="174891"/>
    <x v="16"/>
    <m/>
    <m/>
    <n v="2"/>
    <x v="0"/>
    <x v="15"/>
    <n v="6"/>
    <n v="4"/>
    <x v="1"/>
    <s v="Alterations including erection of a two storey (including basement) rear extension; Erection of a single storey outbuilding to rear garden; Alterations to front entrance stair; Alterations to side boundary wall, installation of a metal side access gate and removal of roller shutter door, in connection with conversion to 2 x 3-bed, 3 x 2-bed and 1 x 1- bed flats, with associated refuse and cycle storage."/>
    <s v="PF"/>
    <d v="2021-05-20T00:00:00"/>
    <d v="2021-07-28T00:00:00"/>
    <x v="0"/>
    <s v="Nil"/>
    <m/>
    <s v="BF"/>
    <s v="MIX"/>
    <x v="2"/>
    <x v="5"/>
    <n v="9.7000000000000003E-3"/>
    <m/>
    <x v="0"/>
    <m/>
    <x v="1"/>
    <s v="M"/>
    <s v=""/>
    <m/>
    <m/>
    <m/>
    <m/>
    <m/>
    <n v="0"/>
    <n v="1"/>
    <n v="2"/>
    <n v="2"/>
    <n v="0"/>
    <n v="-1"/>
    <n v="0"/>
    <n v="0"/>
    <n v="1"/>
    <n v="2"/>
    <n v="2"/>
    <n v="0"/>
    <n v="-1"/>
    <n v="0"/>
    <n v="0"/>
    <n v="0"/>
    <n v="0"/>
    <n v="0"/>
    <n v="0"/>
    <n v="0"/>
    <n v="0"/>
    <n v="0"/>
    <n v="0"/>
    <n v="0"/>
    <n v="0"/>
    <n v="0"/>
    <n v="0"/>
    <n v="0"/>
    <x v="1"/>
    <x v="0"/>
    <x v="2"/>
    <n v="18"/>
    <m/>
    <n v="1"/>
    <n v="1"/>
    <n v="1"/>
    <n v="1"/>
    <m/>
    <m/>
    <m/>
    <m/>
    <m/>
    <m/>
    <m/>
    <m/>
    <m/>
    <m/>
    <m/>
    <m/>
    <m/>
    <m/>
    <m/>
    <n v="4"/>
    <n v="4"/>
  </r>
  <r>
    <n v="7612"/>
    <x v="2"/>
    <s v="2021/1975"/>
    <s v="888 Garratt Lane"/>
    <s v=""/>
    <n v="527126"/>
    <n v="171628"/>
    <x v="0"/>
    <m/>
    <m/>
    <n v="2"/>
    <x v="11"/>
    <x v="5"/>
    <n v="3"/>
    <n v="1"/>
    <x v="1"/>
    <s v="Alterations erection of mansard roof extension to main rear roof and above existing two storey back addition, erection of part single, part two-storey side/rear extension and installation of first floor rear French doors and safety railings in connection with conversion of the property into 1 x 2 bedroom, 1 x 1-bedroom and 1 x studio flats."/>
    <s v="PF"/>
    <d v="2021-05-17T00:00:00"/>
    <d v="2021-07-12T00:00:00"/>
    <x v="0"/>
    <s v="Nil"/>
    <m/>
    <s v="BF"/>
    <s v="EXT"/>
    <x v="2"/>
    <x v="7"/>
    <n v="5.2166599999999997E-3"/>
    <m/>
    <x v="0"/>
    <m/>
    <x v="1"/>
    <s v="MR"/>
    <s v=""/>
    <m/>
    <m/>
    <m/>
    <m/>
    <m/>
    <n v="1"/>
    <n v="0"/>
    <n v="0"/>
    <n v="0"/>
    <n v="0"/>
    <n v="0"/>
    <n v="0"/>
    <n v="1"/>
    <n v="0"/>
    <n v="0"/>
    <n v="0"/>
    <n v="0"/>
    <n v="0"/>
    <n v="0"/>
    <n v="0"/>
    <n v="0"/>
    <n v="0"/>
    <n v="0"/>
    <n v="0"/>
    <n v="0"/>
    <n v="0"/>
    <n v="0"/>
    <n v="0"/>
    <n v="0"/>
    <n v="0"/>
    <n v="0"/>
    <n v="0"/>
    <n v="0"/>
    <x v="1"/>
    <x v="0"/>
    <x v="2"/>
    <n v="15"/>
    <m/>
    <n v="0.25"/>
    <n v="0.25"/>
    <n v="0.25"/>
    <n v="0.25"/>
    <m/>
    <m/>
    <m/>
    <m/>
    <m/>
    <m/>
    <m/>
    <m/>
    <m/>
    <m/>
    <m/>
    <m/>
    <m/>
    <m/>
    <m/>
    <n v="1"/>
    <n v="1"/>
  </r>
  <r>
    <n v="7101"/>
    <x v="1"/>
    <s v="2022/0354"/>
    <s v="Site of York Road, Winstanley Road (Part of Estate, York Gardens and Winstanley Estate)"/>
    <s v="Block 5A"/>
    <n v="526922"/>
    <n v="175807"/>
    <x v="21"/>
    <d v="2022-02-17T00:00:00"/>
    <m/>
    <n v="0"/>
    <x v="9"/>
    <x v="12"/>
    <n v="126"/>
    <n v="126"/>
    <x v="0"/>
    <s v="Non Material Amendment under Section 96a of the Town and County Planning Act (1990) to planning permission dated 29th January 2021 planning reference 2019/0024 for the &quot;a part outline and part detailed planning permission for the following proposed development: a) Phased demolition of all existing buildings; b) Mixed use phased development comprising residential up to 2550 units (mix tenure including social rent, affordable rent, intermediate, private rented and private sale) above ground level including leisure centre, health, flexible commercial uses (retail, financial and professional services, café / restaurants, drinking establishments, hot food takeaways, business, non residential institutions and assembly and leisure), park, landscaping, public realm, energy centres, car/cycle parking and new vehicle accesses. All matters reserved except for phased construction of Block 1 (two residential towers comprising private sale units and new leisure/community centre including a gym, swimming pool and library, commercial uses), Block 5 (comprising affordable units and commercial units) and Block 6 (private sale units and affordable units) together with a new Park and associated works. c) Site clearance and enabling works including works to Winstanley Road, as well as temporary works necessary to enable the approved development. An Environmental Statement has been submitted with the application under the Town and Country Planning (Environmental Impact Assessment) Regulations 2017.&quot;"/>
    <s v="S96A"/>
    <d v="2022-01-31T00:00:00"/>
    <d v="2022-04-22T00:00:00"/>
    <x v="0"/>
    <s v="Nil"/>
    <m/>
    <s v="BF"/>
    <s v="NB"/>
    <x v="1"/>
    <x v="0"/>
    <n v="0"/>
    <d v="2022-02-17T00:00:00"/>
    <x v="0"/>
    <m/>
    <x v="0"/>
    <s v="ISE"/>
    <s v=""/>
    <m/>
    <m/>
    <m/>
    <m/>
    <m/>
    <n v="0"/>
    <n v="1"/>
    <n v="7"/>
    <n v="0"/>
    <n v="0"/>
    <n v="0"/>
    <n v="0"/>
    <n v="0"/>
    <n v="1"/>
    <n v="7"/>
    <n v="0"/>
    <n v="0"/>
    <n v="0"/>
    <n v="0"/>
    <n v="0"/>
    <n v="0"/>
    <n v="0"/>
    <n v="0"/>
    <n v="0"/>
    <n v="0"/>
    <n v="0"/>
    <n v="0"/>
    <n v="0"/>
    <n v="0"/>
    <n v="0"/>
    <n v="0"/>
    <n v="0"/>
    <n v="0"/>
    <x v="1"/>
    <x v="0"/>
    <x v="3"/>
    <n v="5"/>
    <m/>
    <n v="8"/>
    <m/>
    <m/>
    <m/>
    <m/>
    <m/>
    <m/>
    <m/>
    <m/>
    <m/>
    <m/>
    <m/>
    <m/>
    <m/>
    <m/>
    <m/>
    <m/>
    <m/>
    <m/>
    <n v="8"/>
    <n v="8"/>
  </r>
  <r>
    <n v="7101"/>
    <x v="1"/>
    <s v="2022/0354"/>
    <s v="Site of York Road, Winstanley Road (Part of Estate, York Gardens and Winstanley Estate)"/>
    <s v="Block 5B"/>
    <n v="526922"/>
    <n v="175807"/>
    <x v="21"/>
    <d v="2022-02-17T00:00:00"/>
    <m/>
    <n v="0"/>
    <x v="0"/>
    <x v="0"/>
    <n v="126"/>
    <n v="126"/>
    <x v="0"/>
    <s v="Non Material Amendment under Section 96a of the Town and County Planning Act (1990) to planning permission dated 29th January 2021 planning reference 2019/0024 for the &quot;a part outline and part detailed planning permission for the following proposed development: a) Phased demolition of all existing buildings; b) Mixed use phased development comprising residential up to 2550 units (mix tenure including social rent, affordable rent, intermediate, private rented and private sale) above ground level including leisure centre, health, flexible commercial uses (retail, financial and professional services, café / restaurants, drinking establishments, hot food takeaways, business, non residential institutions and assembly and leisure), park, landscaping, public realm, energy centres, car/cycle parking and new vehicle accesses. All matters reserved except for phased construction of Block 1 (two residential towers comprising private sale units and new leisure/community centre including a gym, swimming pool and library, commercial uses), Block 5 (comprising affordable units and commercial units) and Block 6 (private sale units and affordable units) together with a new Park and associated works. c) Site clearance and enabling works including works to Winstanley Road, as well as temporary works necessary to enable the approved development. An Environmental Statement has been submitted with the application under the Town and Country Planning (Environmental Impact Assessment) Regulations 2017.&quot;"/>
    <s v="S96A"/>
    <d v="2022-01-31T00:00:00"/>
    <d v="2022-04-22T00:00:00"/>
    <x v="0"/>
    <s v="Nil"/>
    <m/>
    <s v="BF"/>
    <s v="NB"/>
    <x v="1"/>
    <x v="0"/>
    <n v="0"/>
    <d v="2022-02-17T00:00:00"/>
    <x v="0"/>
    <m/>
    <x v="0"/>
    <s v="ISE"/>
    <s v=""/>
    <m/>
    <m/>
    <m/>
    <m/>
    <m/>
    <n v="0"/>
    <n v="0"/>
    <n v="2"/>
    <n v="0"/>
    <n v="4"/>
    <n v="0"/>
    <n v="0"/>
    <n v="0"/>
    <n v="0"/>
    <n v="2"/>
    <n v="0"/>
    <n v="4"/>
    <n v="0"/>
    <n v="0"/>
    <n v="0"/>
    <n v="0"/>
    <n v="0"/>
    <n v="0"/>
    <n v="0"/>
    <n v="0"/>
    <n v="0"/>
    <n v="0"/>
    <n v="0"/>
    <n v="0"/>
    <n v="0"/>
    <n v="0"/>
    <n v="0"/>
    <n v="0"/>
    <x v="1"/>
    <x v="0"/>
    <x v="3"/>
    <n v="5"/>
    <m/>
    <n v="6"/>
    <m/>
    <m/>
    <m/>
    <m/>
    <m/>
    <m/>
    <m/>
    <m/>
    <m/>
    <m/>
    <m/>
    <m/>
    <m/>
    <m/>
    <m/>
    <m/>
    <m/>
    <m/>
    <n v="6"/>
    <n v="6"/>
  </r>
  <r>
    <n v="3307"/>
    <x v="2"/>
    <s v="2021/2079"/>
    <s v="St Augustine Vicarage, 99 Broadwater Road"/>
    <s v=""/>
    <n v="527098"/>
    <n v="171727"/>
    <x v="0"/>
    <m/>
    <m/>
    <n v="1"/>
    <x v="6"/>
    <x v="3"/>
    <n v="0"/>
    <n v="-1"/>
    <x v="1"/>
    <s v="Alterations in connection with change of use from residential dwelling (Class C3) to house of multiple occupation (Sui Generis)."/>
    <s v="PF"/>
    <d v="2021-06-14T00:00:00"/>
    <d v="2022-04-20T00:00:00"/>
    <x v="0"/>
    <s v="Nil"/>
    <m/>
    <s v="BF"/>
    <s v="COU"/>
    <x v="2"/>
    <x v="5"/>
    <n v="0"/>
    <m/>
    <x v="0"/>
    <m/>
    <x v="1"/>
    <s v="MR"/>
    <s v=""/>
    <m/>
    <m/>
    <m/>
    <m/>
    <m/>
    <n v="0"/>
    <n v="0"/>
    <n v="0"/>
    <n v="0"/>
    <n v="0"/>
    <n v="-1"/>
    <n v="0"/>
    <n v="0"/>
    <n v="0"/>
    <n v="0"/>
    <n v="0"/>
    <n v="0"/>
    <n v="0"/>
    <n v="0"/>
    <n v="0"/>
    <n v="0"/>
    <n v="0"/>
    <n v="0"/>
    <n v="0"/>
    <n v="-1"/>
    <n v="0"/>
    <n v="0"/>
    <n v="0"/>
    <n v="0"/>
    <n v="0"/>
    <n v="0"/>
    <n v="0"/>
    <n v="0"/>
    <x v="1"/>
    <x v="0"/>
    <x v="2"/>
    <n v="15"/>
    <m/>
    <n v="-0.25"/>
    <n v="-0.25"/>
    <n v="-0.25"/>
    <n v="-0.25"/>
    <m/>
    <m/>
    <m/>
    <m/>
    <m/>
    <m/>
    <m/>
    <m/>
    <m/>
    <m/>
    <m/>
    <m/>
    <m/>
    <m/>
    <m/>
    <n v="-1"/>
    <n v="-1"/>
  </r>
  <r>
    <n v="5903"/>
    <x v="2"/>
    <s v="2021/2182"/>
    <s v="493 Garratt Lane"/>
    <s v=""/>
    <n v="525997"/>
    <n v="173088"/>
    <x v="13"/>
    <m/>
    <m/>
    <n v="1"/>
    <x v="3"/>
    <x v="6"/>
    <n v="1"/>
    <n v="0"/>
    <x v="1"/>
    <s v="Alterations including change of use from residential (Class C3) to 4- bedroom HMO (Class C4)"/>
    <s v="LDC Prop"/>
    <d v="2021-05-21T00:00:00"/>
    <d v="2021-07-13T00:00:00"/>
    <x v="0"/>
    <s v="Nil"/>
    <m/>
    <s v="BF"/>
    <s v="COU"/>
    <x v="2"/>
    <x v="5"/>
    <n v="1.03E-2"/>
    <m/>
    <x v="0"/>
    <m/>
    <x v="1"/>
    <s v="MR"/>
    <s v=""/>
    <m/>
    <m/>
    <m/>
    <m/>
    <m/>
    <n v="0"/>
    <n v="0"/>
    <n v="0"/>
    <n v="-1"/>
    <n v="1"/>
    <n v="0"/>
    <n v="0"/>
    <n v="0"/>
    <n v="0"/>
    <n v="0"/>
    <n v="-1"/>
    <n v="1"/>
    <n v="0"/>
    <n v="0"/>
    <n v="0"/>
    <n v="0"/>
    <n v="0"/>
    <n v="0"/>
    <n v="0"/>
    <n v="0"/>
    <n v="0"/>
    <n v="0"/>
    <n v="0"/>
    <n v="0"/>
    <n v="0"/>
    <n v="0"/>
    <n v="0"/>
    <n v="0"/>
    <x v="1"/>
    <x v="0"/>
    <x v="5"/>
    <n v="15"/>
    <m/>
    <n v="0"/>
    <n v="0"/>
    <n v="0"/>
    <n v="0"/>
    <m/>
    <m/>
    <m/>
    <m/>
    <m/>
    <m/>
    <m/>
    <m/>
    <m/>
    <m/>
    <m/>
    <m/>
    <m/>
    <m/>
    <m/>
    <n v="0"/>
    <n v="0"/>
  </r>
  <r>
    <n v="2482"/>
    <x v="2"/>
    <s v="2021/2183"/>
    <s v="1 Wadham Road"/>
    <s v=""/>
    <n v="524517"/>
    <n v="175256"/>
    <x v="3"/>
    <m/>
    <m/>
    <n v="2"/>
    <x v="24"/>
    <x v="36"/>
    <n v="5"/>
    <n v="3"/>
    <x v="1"/>
    <s v="Alterations including erection of roof extension to provide an additional_x000a_floor of accommodation and side dormer (with French doors and safety_x000a_railings) and formation of roof terrace above three-storey addition in_x000a_connection change of use from retail (class A1) to residential (Class_x000a_C3) 3 x1 bedroom flats"/>
    <s v="PF"/>
    <d v="2021-05-27T00:00:00"/>
    <d v="2021-09-06T00:00:00"/>
    <x v="0"/>
    <s v="Nil"/>
    <m/>
    <s v="BF"/>
    <s v="MIX"/>
    <x v="2"/>
    <x v="4"/>
    <n v="7.7999999999999996E-3"/>
    <m/>
    <x v="0"/>
    <m/>
    <x v="1"/>
    <s v="MR"/>
    <s v=""/>
    <m/>
    <m/>
    <m/>
    <m/>
    <m/>
    <n v="1"/>
    <n v="3"/>
    <n v="-1"/>
    <n v="0"/>
    <n v="0"/>
    <n v="0"/>
    <n v="0"/>
    <n v="1"/>
    <n v="3"/>
    <n v="-1"/>
    <n v="0"/>
    <n v="0"/>
    <n v="0"/>
    <n v="0"/>
    <n v="0"/>
    <n v="0"/>
    <n v="0"/>
    <n v="0"/>
    <n v="0"/>
    <n v="0"/>
    <n v="0"/>
    <n v="0"/>
    <n v="0"/>
    <n v="0"/>
    <n v="0"/>
    <n v="0"/>
    <n v="0"/>
    <n v="0"/>
    <x v="1"/>
    <x v="0"/>
    <x v="2"/>
    <n v="15"/>
    <m/>
    <n v="0.75"/>
    <n v="0.75"/>
    <n v="0.75"/>
    <n v="0.75"/>
    <m/>
    <m/>
    <m/>
    <m/>
    <m/>
    <m/>
    <m/>
    <m/>
    <m/>
    <m/>
    <m/>
    <m/>
    <m/>
    <m/>
    <m/>
    <n v="3"/>
    <n v="3"/>
  </r>
  <r>
    <n v="1242"/>
    <x v="2"/>
    <s v="2021/2207"/>
    <s v="296 Earlsfield Road"/>
    <s v=""/>
    <n v="526084"/>
    <n v="173269"/>
    <x v="13"/>
    <m/>
    <m/>
    <n v="1"/>
    <x v="5"/>
    <x v="5"/>
    <n v="2"/>
    <n v="1"/>
    <x v="1"/>
    <s v="Determination as to whether prior approval is required for change of _x000a_use from retail (Class A1) to 1 x 1-bedroom flat (Class C3)."/>
    <s v="PAG"/>
    <d v="2021-07-05T00:00:00"/>
    <d v="2021-08-23T00:00:00"/>
    <x v="0"/>
    <s v="Nil"/>
    <m/>
    <s v="BF"/>
    <s v="COU"/>
    <x v="2"/>
    <x v="4"/>
    <n v="9.8665999999999997E-3"/>
    <m/>
    <x v="0"/>
    <m/>
    <x v="1"/>
    <s v="M"/>
    <s v=""/>
    <m/>
    <m/>
    <m/>
    <m/>
    <m/>
    <n v="0"/>
    <n v="1"/>
    <n v="0"/>
    <n v="0"/>
    <n v="0"/>
    <n v="0"/>
    <n v="0"/>
    <n v="0"/>
    <n v="1"/>
    <n v="0"/>
    <n v="0"/>
    <n v="0"/>
    <n v="0"/>
    <n v="0"/>
    <n v="0"/>
    <n v="0"/>
    <n v="0"/>
    <n v="0"/>
    <n v="0"/>
    <n v="0"/>
    <n v="0"/>
    <n v="0"/>
    <n v="0"/>
    <n v="0"/>
    <n v="0"/>
    <n v="0"/>
    <n v="0"/>
    <n v="0"/>
    <x v="1"/>
    <x v="0"/>
    <x v="2"/>
    <n v="15"/>
    <m/>
    <n v="0.25"/>
    <n v="0.25"/>
    <n v="0.25"/>
    <n v="0.25"/>
    <m/>
    <m/>
    <m/>
    <m/>
    <m/>
    <m/>
    <m/>
    <m/>
    <m/>
    <m/>
    <m/>
    <m/>
    <m/>
    <m/>
    <m/>
    <n v="1"/>
    <n v="1"/>
  </r>
  <r>
    <n v="6995"/>
    <x v="2"/>
    <s v="2021/2255"/>
    <s v="64 Tooting High Street"/>
    <s v=""/>
    <n v="527398"/>
    <n v="171432"/>
    <x v="0"/>
    <m/>
    <m/>
    <n v="1"/>
    <x v="12"/>
    <x v="36"/>
    <n v="4"/>
    <n v="3"/>
    <x v="1"/>
    <s v="Alterations including erection of an extension to provide an additional floor of accommodation, including a front roof terrace, and French doors with safety railing to rear; Erection of first and second floor rear extensions; Formation of rear roof terraces with 1.7m high screen surround at first and second floors; Change of use of part of ground floor commercial unit (Class E) to residential (Class C3) in connection with conversion into 1 x studio, 1 x 1-bedroom and 2 x 2-bedroom flats, with associated cycle and refuse storage"/>
    <s v="PF"/>
    <d v="2021-06-07T00:00:00"/>
    <d v="2021-09-24T00:00:00"/>
    <x v="0"/>
    <s v="Nil"/>
    <m/>
    <s v="BF"/>
    <s v="MIX"/>
    <x v="2"/>
    <x v="4"/>
    <n v="5.2750000000000002E-3"/>
    <m/>
    <x v="0"/>
    <m/>
    <x v="1"/>
    <s v="M"/>
    <s v=""/>
    <m/>
    <m/>
    <m/>
    <m/>
    <m/>
    <n v="1"/>
    <n v="1"/>
    <n v="1"/>
    <n v="0"/>
    <n v="0"/>
    <n v="0"/>
    <n v="0"/>
    <n v="1"/>
    <n v="1"/>
    <n v="1"/>
    <n v="0"/>
    <n v="0"/>
    <n v="0"/>
    <n v="0"/>
    <n v="0"/>
    <n v="0"/>
    <n v="0"/>
    <n v="0"/>
    <n v="0"/>
    <n v="0"/>
    <n v="0"/>
    <n v="0"/>
    <n v="0"/>
    <n v="0"/>
    <n v="0"/>
    <n v="0"/>
    <n v="0"/>
    <n v="0"/>
    <x v="0"/>
    <x v="0"/>
    <x v="0"/>
    <n v="15"/>
    <m/>
    <n v="0.75"/>
    <n v="0.75"/>
    <n v="0.75"/>
    <n v="0.75"/>
    <m/>
    <m/>
    <m/>
    <m/>
    <m/>
    <m/>
    <m/>
    <m/>
    <m/>
    <m/>
    <m/>
    <m/>
    <m/>
    <m/>
    <m/>
    <n v="3"/>
    <n v="3"/>
  </r>
  <r>
    <n v="7233"/>
    <x v="2"/>
    <s v="2021/2260"/>
    <s v="77 Broomwood Road"/>
    <s v=""/>
    <n v="527787"/>
    <n v="174343"/>
    <x v="11"/>
    <m/>
    <m/>
    <n v="0"/>
    <x v="3"/>
    <x v="5"/>
    <n v="1"/>
    <n v="1"/>
    <x v="1"/>
    <s v="Demolition of existing double garages and erection of a two storey plus basement two-bedroom dwelling house (Class C3)."/>
    <s v="PF"/>
    <d v="2021-06-03T00:00:00"/>
    <d v="2021-08-26T00:00:00"/>
    <x v="0"/>
    <s v="Nil"/>
    <m/>
    <s v="BF"/>
    <s v="NB"/>
    <x v="2"/>
    <x v="3"/>
    <n v="3.0000000000000001E-3"/>
    <m/>
    <x v="0"/>
    <m/>
    <x v="1"/>
    <s v="M"/>
    <s v=""/>
    <m/>
    <m/>
    <m/>
    <m/>
    <m/>
    <n v="0"/>
    <n v="0"/>
    <n v="0"/>
    <n v="1"/>
    <n v="0"/>
    <n v="0"/>
    <n v="0"/>
    <n v="0"/>
    <n v="0"/>
    <n v="0"/>
    <n v="0"/>
    <n v="0"/>
    <n v="0"/>
    <n v="0"/>
    <n v="0"/>
    <n v="0"/>
    <n v="0"/>
    <n v="1"/>
    <n v="0"/>
    <n v="0"/>
    <n v="0"/>
    <n v="0"/>
    <n v="0"/>
    <n v="0"/>
    <n v="0"/>
    <n v="0"/>
    <n v="0"/>
    <n v="0"/>
    <x v="1"/>
    <x v="0"/>
    <x v="2"/>
    <n v="7"/>
    <m/>
    <m/>
    <n v="0.25"/>
    <n v="0.25"/>
    <n v="0.25"/>
    <n v="0.25"/>
    <m/>
    <m/>
    <m/>
    <m/>
    <m/>
    <m/>
    <m/>
    <m/>
    <m/>
    <m/>
    <m/>
    <m/>
    <m/>
    <m/>
    <n v="1"/>
    <n v="1"/>
  </r>
  <r>
    <n v="7514"/>
    <x v="2"/>
    <s v="2021/2263"/>
    <s v="12 Oberstein Road"/>
    <s v=""/>
    <n v="526762"/>
    <n v="175172"/>
    <x v="14"/>
    <m/>
    <m/>
    <n v="0"/>
    <x v="3"/>
    <x v="5"/>
    <n v="1"/>
    <n v="1"/>
    <x v="1"/>
    <s v="Alterations including erection of front and rear mansard roof extension to main roof including front, rear and side dormers; formation of roof terrace at rear second floor level with 1.7m high screen surround; excavation to enlarge basement including formation of rear lightwell; in connection with the creation of 1 x 1- bedroom flat"/>
    <s v="PF"/>
    <d v="2021-06-04T00:00:00"/>
    <d v="2021-08-03T00:00:00"/>
    <x v="0"/>
    <s v="Nil"/>
    <m/>
    <s v="BF"/>
    <s v="EXT"/>
    <x v="2"/>
    <x v="7"/>
    <n v="6.0000000000000001E-3"/>
    <m/>
    <x v="0"/>
    <m/>
    <x v="1"/>
    <s v="M"/>
    <s v=""/>
    <m/>
    <m/>
    <m/>
    <m/>
    <m/>
    <n v="0"/>
    <n v="1"/>
    <n v="0"/>
    <n v="0"/>
    <n v="0"/>
    <n v="0"/>
    <n v="0"/>
    <n v="0"/>
    <n v="1"/>
    <n v="0"/>
    <n v="0"/>
    <n v="0"/>
    <n v="0"/>
    <n v="0"/>
    <n v="0"/>
    <n v="0"/>
    <n v="0"/>
    <n v="0"/>
    <n v="0"/>
    <n v="0"/>
    <n v="0"/>
    <n v="0"/>
    <n v="0"/>
    <n v="0"/>
    <n v="0"/>
    <n v="0"/>
    <n v="0"/>
    <n v="0"/>
    <x v="1"/>
    <x v="0"/>
    <x v="2"/>
    <n v="15"/>
    <m/>
    <n v="0.25"/>
    <n v="0.25"/>
    <n v="0.25"/>
    <n v="0.25"/>
    <m/>
    <m/>
    <m/>
    <m/>
    <m/>
    <m/>
    <m/>
    <m/>
    <m/>
    <m/>
    <m/>
    <m/>
    <m/>
    <m/>
    <m/>
    <n v="1"/>
    <n v="1"/>
  </r>
  <r>
    <n v="7641"/>
    <x v="2"/>
    <s v="2021/2393"/>
    <s v="8a Replingham Road"/>
    <s v=""/>
    <n v="524772"/>
    <n v="173253"/>
    <x v="12"/>
    <m/>
    <m/>
    <n v="0"/>
    <x v="3"/>
    <x v="5"/>
    <n v="1"/>
    <n v="1"/>
    <x v="1"/>
    <s v="Determination as to whether prior approval is required for change of use from office (Class B1) to 1 x 3 -bedroom house (Class C3)."/>
    <s v="PAG"/>
    <d v="2021-05-25T00:00:00"/>
    <d v="2021-07-15T00:00:00"/>
    <x v="0"/>
    <s v="Nil"/>
    <m/>
    <s v="BF"/>
    <s v="COU"/>
    <x v="2"/>
    <x v="6"/>
    <n v="5.0000000000000001E-3"/>
    <m/>
    <x v="0"/>
    <m/>
    <x v="1"/>
    <s v="M"/>
    <s v=""/>
    <m/>
    <m/>
    <m/>
    <m/>
    <m/>
    <n v="0"/>
    <n v="0"/>
    <n v="0"/>
    <n v="1"/>
    <n v="0"/>
    <n v="0"/>
    <n v="0"/>
    <n v="0"/>
    <n v="0"/>
    <n v="0"/>
    <n v="0"/>
    <n v="0"/>
    <n v="0"/>
    <n v="0"/>
    <n v="0"/>
    <n v="0"/>
    <n v="0"/>
    <n v="1"/>
    <n v="0"/>
    <n v="0"/>
    <n v="0"/>
    <n v="0"/>
    <n v="0"/>
    <n v="0"/>
    <n v="0"/>
    <n v="0"/>
    <n v="0"/>
    <n v="0"/>
    <x v="1"/>
    <x v="0"/>
    <x v="2"/>
    <n v="15"/>
    <m/>
    <n v="0.25"/>
    <n v="0.25"/>
    <n v="0.25"/>
    <n v="0.25"/>
    <m/>
    <m/>
    <m/>
    <m/>
    <m/>
    <m/>
    <m/>
    <m/>
    <m/>
    <m/>
    <m/>
    <m/>
    <m/>
    <m/>
    <m/>
    <n v="1"/>
    <n v="1"/>
  </r>
  <r>
    <n v="7399"/>
    <x v="2"/>
    <s v="2021/2447"/>
    <s v="69 Webbs Road"/>
    <s v=""/>
    <n v="527815"/>
    <n v="174573"/>
    <x v="11"/>
    <m/>
    <m/>
    <n v="1"/>
    <x v="5"/>
    <x v="5"/>
    <n v="2"/>
    <n v="1"/>
    <x v="1"/>
    <s v="Alterations including erection of roof extension and formation of roof terrace with 1.7m glazed safety screen surround above two storey back addition and erection of single storey rear extension in connection with conversion to 1 x 3-bedroom and 1 x 2-bedroom flats."/>
    <s v="PF"/>
    <d v="2021-06-23T00:00:00"/>
    <d v="2021-08-16T00:00:00"/>
    <x v="0"/>
    <s v="Nil"/>
    <m/>
    <s v="BF"/>
    <s v="MIX"/>
    <x v="2"/>
    <x v="7"/>
    <n v="4.0000000000000001E-3"/>
    <m/>
    <x v="0"/>
    <m/>
    <x v="1"/>
    <s v="M"/>
    <s v=""/>
    <m/>
    <m/>
    <m/>
    <m/>
    <m/>
    <n v="0"/>
    <n v="0"/>
    <n v="1"/>
    <n v="0"/>
    <n v="0"/>
    <n v="0"/>
    <n v="0"/>
    <n v="0"/>
    <n v="0"/>
    <n v="1"/>
    <n v="0"/>
    <n v="0"/>
    <n v="0"/>
    <n v="0"/>
    <n v="0"/>
    <n v="0"/>
    <n v="0"/>
    <n v="0"/>
    <n v="0"/>
    <n v="0"/>
    <n v="0"/>
    <n v="0"/>
    <n v="0"/>
    <n v="0"/>
    <n v="0"/>
    <n v="0"/>
    <n v="0"/>
    <n v="0"/>
    <x v="1"/>
    <x v="0"/>
    <x v="2"/>
    <n v="15"/>
    <m/>
    <n v="0.25"/>
    <n v="0.25"/>
    <n v="0.25"/>
    <n v="0.25"/>
    <m/>
    <m/>
    <m/>
    <m/>
    <m/>
    <m/>
    <m/>
    <m/>
    <m/>
    <m/>
    <m/>
    <m/>
    <m/>
    <m/>
    <m/>
    <n v="1"/>
    <n v="1"/>
  </r>
  <r>
    <n v="4944"/>
    <x v="2"/>
    <s v="2021/2720"/>
    <s v="1A Dinsmore Road"/>
    <s v=""/>
    <n v="528817"/>
    <n v="173818"/>
    <x v="6"/>
    <m/>
    <m/>
    <n v="1"/>
    <x v="3"/>
    <x v="6"/>
    <n v="1"/>
    <n v="0"/>
    <x v="1"/>
    <s v="Alterations in connection with conversion of shop (Class E) to residential (Class C3) and amalgamation with first floor flat to provide 1 x 2-bedroom house. Alteration to ground floor frontage."/>
    <s v="PF"/>
    <d v="2021-06-21T00:00:00"/>
    <d v="2021-08-16T00:00:00"/>
    <x v="0"/>
    <s v="Nil"/>
    <m/>
    <s v="BF"/>
    <s v="MIX"/>
    <x v="2"/>
    <x v="4"/>
    <n v="3.0000000000000001E-3"/>
    <m/>
    <x v="0"/>
    <m/>
    <x v="1"/>
    <s v="M"/>
    <s v=""/>
    <m/>
    <m/>
    <m/>
    <m/>
    <m/>
    <n v="0"/>
    <n v="-1"/>
    <n v="1"/>
    <n v="0"/>
    <n v="0"/>
    <n v="0"/>
    <n v="0"/>
    <n v="0"/>
    <n v="-1"/>
    <n v="1"/>
    <n v="0"/>
    <n v="0"/>
    <n v="0"/>
    <n v="0"/>
    <n v="0"/>
    <n v="0"/>
    <n v="0"/>
    <n v="0"/>
    <n v="0"/>
    <n v="0"/>
    <n v="0"/>
    <n v="0"/>
    <n v="0"/>
    <n v="0"/>
    <n v="0"/>
    <n v="0"/>
    <n v="0"/>
    <n v="0"/>
    <x v="1"/>
    <x v="0"/>
    <x v="2"/>
    <n v="15"/>
    <m/>
    <n v="0"/>
    <n v="0"/>
    <n v="0"/>
    <n v="0"/>
    <m/>
    <m/>
    <m/>
    <m/>
    <m/>
    <m/>
    <m/>
    <m/>
    <m/>
    <m/>
    <m/>
    <m/>
    <m/>
    <m/>
    <m/>
    <n v="0"/>
    <n v="0"/>
  </r>
  <r>
    <n v="7661"/>
    <x v="2"/>
    <s v="2021/3174"/>
    <s v="99 Lucien Road"/>
    <s v=""/>
    <n v="528399"/>
    <n v="171433"/>
    <x v="19"/>
    <m/>
    <m/>
    <n v="1"/>
    <x v="5"/>
    <x v="5"/>
    <n v="2"/>
    <n v="1"/>
    <x v="1"/>
    <s v="Alterations including erection of mansard roof extension to main rear roof (with French doors and safety railings) and extension above part of two-storey back addition; formation of roof terrace above two-storey back addition with 1.7m high screen surround to create 1x 1-bedroom flat"/>
    <s v="PF"/>
    <d v="2021-07-05T00:00:00"/>
    <d v="2021-09-03T00:00:00"/>
    <x v="0"/>
    <s v="Nil"/>
    <m/>
    <s v="BF"/>
    <s v="EXT"/>
    <x v="2"/>
    <x v="7"/>
    <n v="3.8333E-3"/>
    <m/>
    <x v="0"/>
    <m/>
    <x v="1"/>
    <s v="M"/>
    <s v=""/>
    <m/>
    <m/>
    <m/>
    <m/>
    <m/>
    <n v="0"/>
    <n v="1"/>
    <n v="0"/>
    <n v="0"/>
    <n v="0"/>
    <n v="0"/>
    <n v="0"/>
    <n v="0"/>
    <n v="1"/>
    <n v="0"/>
    <n v="0"/>
    <n v="0"/>
    <n v="0"/>
    <n v="0"/>
    <n v="0"/>
    <n v="0"/>
    <n v="0"/>
    <n v="0"/>
    <n v="0"/>
    <n v="0"/>
    <n v="0"/>
    <n v="0"/>
    <n v="0"/>
    <n v="0"/>
    <n v="0"/>
    <n v="0"/>
    <n v="0"/>
    <n v="0"/>
    <x v="1"/>
    <x v="0"/>
    <x v="2"/>
    <n v="15"/>
    <m/>
    <n v="0.25"/>
    <n v="0.25"/>
    <n v="0.25"/>
    <n v="0.25"/>
    <m/>
    <m/>
    <m/>
    <m/>
    <m/>
    <m/>
    <m/>
    <m/>
    <m/>
    <m/>
    <m/>
    <m/>
    <m/>
    <m/>
    <m/>
    <n v="1"/>
    <n v="1"/>
  </r>
  <r>
    <n v="7664"/>
    <x v="2"/>
    <s v="2021/3248"/>
    <s v="Ground Floor, 63 Broomwood Road"/>
    <s v=""/>
    <n v="527706"/>
    <n v="174318"/>
    <x v="11"/>
    <m/>
    <m/>
    <n v="0"/>
    <x v="3"/>
    <x v="5"/>
    <n v="1"/>
    <n v="1"/>
    <x v="1"/>
    <s v="Alterations including erection of replacement single-storey rear/side extensions, in connection with a change of use of the rear part of the ground floor from retail and  ancillary storage use (Class E) to a 1-bedroom residential flat (Class C3)."/>
    <s v="PF"/>
    <d v="2021-07-08T00:00:00"/>
    <d v="2021-11-23T00:00:00"/>
    <x v="0"/>
    <s v="Nil"/>
    <m/>
    <s v="BF"/>
    <s v="MIX"/>
    <x v="2"/>
    <x v="4"/>
    <n v="5.1999999999999998E-3"/>
    <m/>
    <x v="0"/>
    <m/>
    <x v="1"/>
    <s v="M"/>
    <s v=""/>
    <m/>
    <m/>
    <m/>
    <m/>
    <m/>
    <n v="0"/>
    <n v="1"/>
    <n v="0"/>
    <n v="0"/>
    <n v="0"/>
    <n v="0"/>
    <n v="0"/>
    <n v="0"/>
    <n v="1"/>
    <n v="0"/>
    <n v="0"/>
    <n v="0"/>
    <n v="0"/>
    <n v="0"/>
    <n v="0"/>
    <n v="0"/>
    <n v="0"/>
    <n v="0"/>
    <n v="0"/>
    <n v="0"/>
    <n v="0"/>
    <n v="0"/>
    <n v="0"/>
    <n v="0"/>
    <n v="0"/>
    <n v="0"/>
    <n v="0"/>
    <n v="0"/>
    <x v="1"/>
    <x v="0"/>
    <x v="2"/>
    <n v="15"/>
    <m/>
    <n v="0.25"/>
    <n v="0.25"/>
    <n v="0.25"/>
    <n v="0.25"/>
    <m/>
    <m/>
    <m/>
    <m/>
    <m/>
    <m/>
    <m/>
    <m/>
    <m/>
    <m/>
    <m/>
    <m/>
    <m/>
    <m/>
    <m/>
    <n v="1"/>
    <n v="1"/>
  </r>
  <r>
    <n v="1183"/>
    <x v="2"/>
    <s v="2021/3311"/>
    <s v="66 West Hill"/>
    <s v=""/>
    <n v="524979"/>
    <n v="174628"/>
    <x v="7"/>
    <m/>
    <m/>
    <n v="0"/>
    <x v="3"/>
    <x v="5"/>
    <n v="1"/>
    <n v="1"/>
    <x v="1"/>
    <s v="Determination as to whether prior approval is required for change of_x000a_use of front part of shop from retail (Class A1) to residential (Class _x000a_C3)"/>
    <s v="PAG"/>
    <d v="2021-07-13T00:00:00"/>
    <d v="2021-08-31T00:00:00"/>
    <x v="0"/>
    <s v="Nil"/>
    <m/>
    <s v="BF"/>
    <s v="COU"/>
    <x v="2"/>
    <x v="4"/>
    <n v="4.1999999999999997E-3"/>
    <m/>
    <x v="0"/>
    <m/>
    <x v="1"/>
    <s v="MR"/>
    <s v=""/>
    <m/>
    <m/>
    <m/>
    <m/>
    <m/>
    <n v="1"/>
    <n v="0"/>
    <n v="0"/>
    <n v="0"/>
    <n v="0"/>
    <n v="0"/>
    <n v="0"/>
    <n v="1"/>
    <n v="0"/>
    <n v="0"/>
    <n v="0"/>
    <n v="0"/>
    <n v="0"/>
    <n v="0"/>
    <n v="0"/>
    <n v="0"/>
    <n v="0"/>
    <n v="0"/>
    <n v="0"/>
    <n v="0"/>
    <n v="0"/>
    <n v="0"/>
    <n v="0"/>
    <n v="0"/>
    <n v="0"/>
    <n v="0"/>
    <n v="0"/>
    <n v="0"/>
    <x v="1"/>
    <x v="0"/>
    <x v="2"/>
    <n v="15"/>
    <m/>
    <n v="0.25"/>
    <n v="0.25"/>
    <n v="0.25"/>
    <n v="0.25"/>
    <m/>
    <m/>
    <m/>
    <m/>
    <m/>
    <m/>
    <m/>
    <m/>
    <m/>
    <m/>
    <m/>
    <m/>
    <m/>
    <m/>
    <m/>
    <n v="1"/>
    <n v="1"/>
  </r>
  <r>
    <n v="7776"/>
    <x v="2"/>
    <s v="2021/3394"/>
    <s v="76A Pendle Road"/>
    <s v=""/>
    <n v="528980"/>
    <n v="171084"/>
    <x v="9"/>
    <m/>
    <m/>
    <n v="0"/>
    <x v="3"/>
    <x v="5"/>
    <n v="1"/>
    <n v="1"/>
    <x v="1"/>
    <s v="Alterations including changes to windows and doors in connection with conversion of existing workshop (Class SG) to 1 x 1 bedroom dwellinghouse (Class C3) with associated landscaping, cycle and refuse storage."/>
    <s v="PF"/>
    <d v="2021-08-06T00:00:00"/>
    <d v="2021-11-10T00:00:00"/>
    <x v="0"/>
    <s v="Nil"/>
    <m/>
    <s v="BF"/>
    <s v="CON"/>
    <x v="2"/>
    <x v="8"/>
    <n v="3.0000000000000001E-3"/>
    <m/>
    <x v="0"/>
    <m/>
    <x v="2"/>
    <s v="AA"/>
    <s v=""/>
    <m/>
    <m/>
    <m/>
    <m/>
    <m/>
    <n v="0"/>
    <n v="1"/>
    <n v="0"/>
    <n v="0"/>
    <n v="0"/>
    <n v="0"/>
    <n v="0"/>
    <n v="0"/>
    <n v="1"/>
    <n v="0"/>
    <n v="0"/>
    <n v="0"/>
    <n v="0"/>
    <n v="0"/>
    <n v="0"/>
    <n v="0"/>
    <n v="0"/>
    <n v="0"/>
    <n v="0"/>
    <n v="0"/>
    <n v="0"/>
    <n v="0"/>
    <n v="0"/>
    <n v="0"/>
    <n v="0"/>
    <n v="0"/>
    <n v="0"/>
    <n v="0"/>
    <x v="1"/>
    <x v="0"/>
    <x v="2"/>
    <n v="15"/>
    <m/>
    <n v="0.25"/>
    <n v="0.25"/>
    <n v="0.25"/>
    <n v="0.25"/>
    <m/>
    <m/>
    <m/>
    <m/>
    <m/>
    <m/>
    <m/>
    <m/>
    <m/>
    <m/>
    <m/>
    <m/>
    <m/>
    <m/>
    <m/>
    <n v="1"/>
    <n v="1"/>
  </r>
  <r>
    <n v="7682"/>
    <x v="2"/>
    <s v="2021/3519"/>
    <s v="16 Lucien Road"/>
    <s v=""/>
    <n v="528225"/>
    <n v="171618"/>
    <x v="19"/>
    <m/>
    <m/>
    <n v="2"/>
    <x v="11"/>
    <x v="5"/>
    <n v="3"/>
    <n v="1"/>
    <x v="1"/>
    <s v="Alterations including erection of extension to main rear roof and extension above part of two-storey back addition; formation of roof terrace at second floor level with 1.7m high screen surround. Erection of single-storey rear and side extension in connection with the creation of an additional 1 x 1-bedroom/studio flat, with associated bin and bike storage at the front."/>
    <s v="PF"/>
    <d v="2021-09-20T00:00:00"/>
    <d v="2021-11-15T00:00:00"/>
    <x v="0"/>
    <s v="Nil"/>
    <m/>
    <s v="BF"/>
    <s v="EXT"/>
    <x v="2"/>
    <x v="7"/>
    <n v="8.0000000000000002E-3"/>
    <m/>
    <x v="0"/>
    <m/>
    <x v="1"/>
    <s v="M"/>
    <s v=""/>
    <m/>
    <m/>
    <m/>
    <m/>
    <m/>
    <n v="1"/>
    <n v="0"/>
    <n v="0"/>
    <n v="0"/>
    <n v="0"/>
    <n v="0"/>
    <n v="0"/>
    <n v="1"/>
    <n v="0"/>
    <n v="0"/>
    <n v="0"/>
    <n v="0"/>
    <n v="0"/>
    <n v="0"/>
    <n v="0"/>
    <n v="0"/>
    <n v="0"/>
    <n v="0"/>
    <n v="0"/>
    <n v="0"/>
    <n v="0"/>
    <n v="0"/>
    <n v="0"/>
    <n v="0"/>
    <n v="0"/>
    <n v="0"/>
    <n v="0"/>
    <n v="0"/>
    <x v="1"/>
    <x v="0"/>
    <x v="2"/>
    <n v="15"/>
    <m/>
    <n v="0.25"/>
    <n v="0.25"/>
    <n v="0.25"/>
    <n v="0.25"/>
    <m/>
    <m/>
    <m/>
    <m/>
    <m/>
    <m/>
    <m/>
    <m/>
    <m/>
    <m/>
    <m/>
    <m/>
    <m/>
    <m/>
    <m/>
    <n v="1"/>
    <n v="1"/>
  </r>
  <r>
    <n v="6908"/>
    <x v="2"/>
    <s v="2021/3601"/>
    <s v="Riverside Business Centre and Former Bingo Hall, Bendon Valley"/>
    <s v="Courtyard Building B"/>
    <n v="525716"/>
    <n v="173464"/>
    <x v="13"/>
    <d v="2024-03-31T00:00:00"/>
    <m/>
    <n v="0"/>
    <x v="105"/>
    <x v="122"/>
    <n v="433"/>
    <n v="433"/>
    <x v="0"/>
    <s v="Variation of conditions 3 (in accordance with approved drawings), 42 (flood risk assessment) and 54 (fire statement) pursuant to planning permission dated 23/12/2020 ref 2018/4176 (Demolition of existing buildings and erection of 5 buildings ranging from ground plus 4 (with double height ground floor) to ground plus 8 storeys with basement to provide 21,403sqm flexible light industrial, storage and distribution floorspace (Class B1, B1c and B8), 678sqm flexible non-residential institutions and assembly and leisure space use (Class D1/D2), 402 residential units (Class C3), two new streets linking Haldane Place and Bendon Valley, car and cycle parking and associated public realm enhancements comprising detailed landscaping, communal amenity space and a new Wandle Riverside Walk), to allow an additional 31 units (total 433), amendments to the Courtyard Building, amendments to the Riverside Building, community space, basement, landscaping and public realm and the Riverside Factory and inclusion of Flood Risk Assessment and Fire Statement. (AMENDED UNIT NUMBER)"/>
    <s v="S73"/>
    <d v="2021-09-02T00:00:00"/>
    <d v="2022-09-13T00:00:00"/>
    <x v="0"/>
    <s v="Nil"/>
    <m/>
    <s v="BF"/>
    <s v="NB"/>
    <x v="1"/>
    <x v="0"/>
    <n v="0"/>
    <m/>
    <x v="0"/>
    <m/>
    <x v="0"/>
    <s v="ISL"/>
    <s v=""/>
    <n v="17320085"/>
    <m/>
    <m/>
    <m/>
    <n v="4"/>
    <n v="0"/>
    <n v="13"/>
    <n v="14"/>
    <n v="6"/>
    <n v="0"/>
    <n v="0"/>
    <n v="0"/>
    <n v="0"/>
    <n v="13"/>
    <n v="14"/>
    <n v="6"/>
    <n v="0"/>
    <n v="0"/>
    <n v="0"/>
    <n v="0"/>
    <n v="0"/>
    <n v="0"/>
    <n v="0"/>
    <n v="0"/>
    <n v="0"/>
    <n v="0"/>
    <n v="0"/>
    <n v="0"/>
    <n v="0"/>
    <n v="0"/>
    <n v="0"/>
    <n v="0"/>
    <n v="0"/>
    <x v="1"/>
    <x v="0"/>
    <x v="5"/>
    <n v="10"/>
    <m/>
    <m/>
    <m/>
    <m/>
    <n v="11"/>
    <n v="11"/>
    <n v="11"/>
    <m/>
    <m/>
    <m/>
    <m/>
    <m/>
    <m/>
    <m/>
    <m/>
    <m/>
    <m/>
    <m/>
    <m/>
    <m/>
    <n v="22"/>
    <n v="33"/>
  </r>
  <r>
    <n v="6908"/>
    <x v="2"/>
    <s v="2021/3601"/>
    <s v="Riverside Business Centre and Former Bingo Hall, Bendon Valley"/>
    <s v="Courtyard Building C"/>
    <n v="525716"/>
    <n v="173464"/>
    <x v="13"/>
    <d v="2024-03-31T00:00:00"/>
    <m/>
    <n v="0"/>
    <x v="105"/>
    <x v="122"/>
    <n v="433"/>
    <n v="433"/>
    <x v="0"/>
    <s v="Variation of conditions 3 (in accordance with approved drawings), 42 (flood risk assessment) and 54 (fire statement) pursuant to planning permission dated 23/12/2020 ref 2018/4176 (Demolition of existing buildings and erection of 5 buildings ranging from ground plus 4 (with double height ground floor) to ground plus 8 storeys with basement to provide 21,403sqm flexible light industrial, storage and distribution floorspace (Class B1, B1c and B8), 678sqm flexible non-residential institutions and assembly and leisure space use (Class D1/D2), 402 residential units (Class C3), two new streets linking Haldane Place and Bendon Valley, car and cycle parking and associated public realm enhancements comprising detailed landscaping, communal amenity space and a new Wandle Riverside Walk), to allow an additional 31 units (total 433), amendments to the Courtyard Building, amendments to the Riverside Building, community space, basement, landscaping and public realm and the Riverside Factory and inclusion of Flood Risk Assessment and Fire Statement. (AMENDED UNIT NUMBER)"/>
    <s v="S73"/>
    <d v="2021-09-02T00:00:00"/>
    <d v="2022-09-13T00:00:00"/>
    <x v="0"/>
    <s v="Nil"/>
    <m/>
    <s v="BF"/>
    <s v="NB"/>
    <x v="1"/>
    <x v="0"/>
    <n v="0"/>
    <m/>
    <x v="0"/>
    <m/>
    <x v="0"/>
    <s v="ISL"/>
    <s v=""/>
    <n v="17320085"/>
    <m/>
    <m/>
    <m/>
    <n v="4"/>
    <n v="0"/>
    <n v="14"/>
    <n v="19"/>
    <n v="0"/>
    <n v="0"/>
    <n v="0"/>
    <n v="0"/>
    <n v="0"/>
    <n v="14"/>
    <n v="19"/>
    <n v="0"/>
    <n v="0"/>
    <n v="0"/>
    <n v="0"/>
    <n v="0"/>
    <n v="0"/>
    <n v="0"/>
    <n v="0"/>
    <n v="0"/>
    <n v="0"/>
    <n v="0"/>
    <n v="0"/>
    <n v="0"/>
    <n v="0"/>
    <n v="0"/>
    <n v="0"/>
    <n v="0"/>
    <n v="0"/>
    <x v="1"/>
    <x v="0"/>
    <x v="5"/>
    <n v="10"/>
    <m/>
    <m/>
    <m/>
    <m/>
    <n v="11"/>
    <n v="11"/>
    <n v="11"/>
    <m/>
    <m/>
    <m/>
    <m/>
    <m/>
    <m/>
    <m/>
    <m/>
    <m/>
    <m/>
    <m/>
    <m/>
    <m/>
    <n v="22"/>
    <n v="33"/>
  </r>
  <r>
    <n v="6908"/>
    <x v="2"/>
    <s v="2021/3601"/>
    <s v="Riverside Business Centre and Former Bingo Hall, Bendon Valley"/>
    <s v="Courtyard Building D"/>
    <n v="525716"/>
    <n v="173464"/>
    <x v="13"/>
    <d v="2024-03-31T00:00:00"/>
    <m/>
    <n v="0"/>
    <x v="98"/>
    <x v="113"/>
    <n v="433"/>
    <n v="433"/>
    <x v="0"/>
    <s v="Variation of conditions 3 (in accordance with approved drawings), 42 (flood risk assessment) and 54 (fire statement) pursuant to planning permission dated 23/12/2020 ref 2018/4176 (Demolition of existing buildings and erection of 5 buildings ranging from ground plus 4 (with double height ground floor) to ground plus 8 storeys with basement to provide 21,403sqm flexible light industrial, storage and distribution floorspace (Class B1, B1c and B8), 678sqm flexible non-residential institutions and assembly and leisure space use (Class D1/D2), 402 residential units (Class C3), two new streets linking Haldane Place and Bendon Valley, car and cycle parking and associated public realm enhancements comprising detailed landscaping, communal amenity space and a new Wandle Riverside Walk), to allow an additional 31 units (total 433), amendments to the Courtyard Building, amendments to the Riverside Building, community space, basement, landscaping and public realm and the Riverside Factory and inclusion of Flood Risk Assessment and Fire Statement. (AMENDED UNIT NUMBER)"/>
    <s v="S73"/>
    <d v="2021-09-02T00:00:00"/>
    <d v="2022-09-13T00:00:00"/>
    <x v="0"/>
    <s v="Nil"/>
    <m/>
    <s v="BF"/>
    <s v="NB"/>
    <x v="1"/>
    <x v="0"/>
    <n v="0"/>
    <m/>
    <x v="0"/>
    <m/>
    <x v="2"/>
    <s v="AL"/>
    <s v=""/>
    <n v="17320085"/>
    <m/>
    <m/>
    <m/>
    <n v="8"/>
    <n v="0"/>
    <n v="8"/>
    <n v="27"/>
    <n v="25"/>
    <n v="6"/>
    <n v="0"/>
    <n v="0"/>
    <n v="0"/>
    <n v="8"/>
    <n v="27"/>
    <n v="25"/>
    <n v="6"/>
    <n v="0"/>
    <n v="0"/>
    <n v="0"/>
    <n v="0"/>
    <n v="0"/>
    <n v="0"/>
    <n v="0"/>
    <n v="0"/>
    <n v="0"/>
    <n v="0"/>
    <n v="0"/>
    <n v="0"/>
    <n v="0"/>
    <n v="0"/>
    <n v="0"/>
    <n v="0"/>
    <x v="1"/>
    <x v="0"/>
    <x v="5"/>
    <n v="10"/>
    <m/>
    <m/>
    <m/>
    <m/>
    <n v="22"/>
    <n v="22"/>
    <n v="22"/>
    <m/>
    <m/>
    <m/>
    <m/>
    <m/>
    <m/>
    <m/>
    <m/>
    <m/>
    <m/>
    <m/>
    <m/>
    <m/>
    <n v="44"/>
    <n v="66"/>
  </r>
  <r>
    <n v="6908"/>
    <x v="2"/>
    <s v="2021/3601"/>
    <s v="Riverside Business Centre and Former Bingo Hall, Bendon Valley"/>
    <s v="Courtyard Building E"/>
    <n v="525716"/>
    <n v="173464"/>
    <x v="13"/>
    <d v="2024-03-31T00:00:00"/>
    <m/>
    <n v="0"/>
    <x v="107"/>
    <x v="125"/>
    <n v="433"/>
    <n v="433"/>
    <x v="0"/>
    <s v="Variation of conditions 3 (in accordance with approved drawings), 42 (flood risk assessment) and 54 (fire statement) pursuant to planning permission dated 23/12/2020 ref 2018/4176 (Demolition of existing buildings and erection of 5 buildings ranging from ground plus 4 (with double height ground floor) to ground plus 8 storeys with basement to provide 21,403sqm flexible light industrial, storage and distribution floorspace (Class B1, B1c and B8), 678sqm flexible non-residential institutions and assembly and leisure space use (Class D1/D2), 402 residential units (Class C3), two new streets linking Haldane Place and Bendon Valley, car and cycle parking and associated public realm enhancements comprising detailed landscaping, communal amenity space and a new Wandle Riverside Walk), to allow an additional 31 units (total 433), amendments to the Courtyard Building, amendments to the Riverside Building, community space, basement, landscaping and public realm and the Riverside Factory and inclusion of Flood Risk Assessment and Fire Statement. (AMENDED UNIT NUMBER)"/>
    <s v="S73"/>
    <d v="2021-09-02T00:00:00"/>
    <d v="2022-09-13T00:00:00"/>
    <x v="0"/>
    <s v="Nil"/>
    <m/>
    <s v="BF"/>
    <s v="NB"/>
    <x v="1"/>
    <x v="0"/>
    <n v="0"/>
    <m/>
    <x v="0"/>
    <m/>
    <x v="1"/>
    <s v="M"/>
    <s v=""/>
    <n v="17320085"/>
    <m/>
    <m/>
    <m/>
    <m/>
    <n v="0"/>
    <n v="14"/>
    <n v="35"/>
    <n v="6"/>
    <n v="0"/>
    <n v="0"/>
    <n v="0"/>
    <n v="0"/>
    <n v="14"/>
    <n v="35"/>
    <n v="6"/>
    <n v="0"/>
    <n v="0"/>
    <n v="0"/>
    <n v="0"/>
    <n v="0"/>
    <n v="0"/>
    <n v="0"/>
    <n v="0"/>
    <n v="0"/>
    <n v="0"/>
    <n v="0"/>
    <n v="0"/>
    <n v="0"/>
    <n v="0"/>
    <n v="0"/>
    <n v="0"/>
    <n v="0"/>
    <x v="1"/>
    <x v="0"/>
    <x v="5"/>
    <n v="10"/>
    <m/>
    <m/>
    <m/>
    <m/>
    <n v="18.333333333333332"/>
    <n v="18.333333333333332"/>
    <n v="18.333333333333332"/>
    <m/>
    <m/>
    <m/>
    <m/>
    <m/>
    <m/>
    <m/>
    <m/>
    <m/>
    <m/>
    <m/>
    <m/>
    <m/>
    <n v="36.666666666666664"/>
    <n v="55"/>
  </r>
  <r>
    <n v="6908"/>
    <x v="2"/>
    <s v="2021/3601"/>
    <s v="Riverside Business Centre and Former Bingo Hall, Bendon Valley"/>
    <s v="Courtyard Building F"/>
    <n v="525716"/>
    <n v="173464"/>
    <x v="13"/>
    <d v="2024-03-31T00:00:00"/>
    <m/>
    <n v="0"/>
    <x v="108"/>
    <x v="126"/>
    <n v="433"/>
    <n v="433"/>
    <x v="0"/>
    <s v="Variation of conditions 3 (in accordance with approved drawings), 42 (flood risk assessment) and 54 (fire statement) pursuant to planning permission dated 23/12/2020 ref 2018/4176 (Demolition of existing buildings and erection of 5 buildings ranging from ground plus 4 (with double height ground floor) to ground plus 8 storeys with basement to provide 21,403sqm flexible light industrial, storage and distribution floorspace (Class B1, B1c and B8), 678sqm flexible non-residential institutions and assembly and leisure space use (Class D1/D2), 402 residential units (Class C3), two new streets linking Haldane Place and Bendon Valley, car and cycle parking and associated public realm enhancements comprising detailed landscaping, communal amenity space and a new Wandle Riverside Walk), to allow an additional 31 units (total 433), amendments to the Courtyard Building, amendments to the Riverside Building, community space, basement, landscaping and public realm and the Riverside Factory and inclusion of Flood Risk Assessment and Fire Statement. (AMENDED UNIT NUMBER)"/>
    <s v="S73"/>
    <d v="2021-09-02T00:00:00"/>
    <d v="2022-09-13T00:00:00"/>
    <x v="0"/>
    <s v="Nil"/>
    <m/>
    <s v="BF"/>
    <s v="NB"/>
    <x v="1"/>
    <x v="0"/>
    <n v="0"/>
    <m/>
    <x v="0"/>
    <m/>
    <x v="1"/>
    <s v="M"/>
    <s v=""/>
    <n v="17320085"/>
    <m/>
    <m/>
    <m/>
    <m/>
    <n v="5"/>
    <n v="47"/>
    <n v="23"/>
    <n v="0"/>
    <n v="0"/>
    <n v="0"/>
    <n v="0"/>
    <n v="5"/>
    <n v="47"/>
    <n v="23"/>
    <n v="0"/>
    <n v="0"/>
    <n v="0"/>
    <n v="0"/>
    <n v="0"/>
    <n v="0"/>
    <n v="0"/>
    <n v="0"/>
    <n v="0"/>
    <n v="0"/>
    <n v="0"/>
    <n v="0"/>
    <n v="0"/>
    <n v="0"/>
    <n v="0"/>
    <n v="0"/>
    <n v="0"/>
    <n v="0"/>
    <x v="1"/>
    <x v="0"/>
    <x v="5"/>
    <n v="10"/>
    <m/>
    <m/>
    <m/>
    <m/>
    <n v="25"/>
    <n v="25"/>
    <n v="25"/>
    <m/>
    <m/>
    <m/>
    <m/>
    <m/>
    <m/>
    <m/>
    <m/>
    <m/>
    <m/>
    <m/>
    <m/>
    <m/>
    <n v="50"/>
    <n v="75"/>
  </r>
  <r>
    <n v="6908"/>
    <x v="2"/>
    <s v="2021/3601"/>
    <s v="Riverside Business Centre and Former Bingo Hall, Bendon Valley"/>
    <s v="Riverside Building G"/>
    <n v="525716"/>
    <n v="173464"/>
    <x v="13"/>
    <d v="2024-03-31T00:00:00"/>
    <m/>
    <n v="0"/>
    <x v="36"/>
    <x v="41"/>
    <n v="433"/>
    <n v="433"/>
    <x v="0"/>
    <s v="Variation of conditions 3 (in accordance with approved drawings), 42 (flood risk assessment) and 54 (fire statement) pursuant to planning permission dated 23/12/2020 ref 2018/4176 (Demolition of existing buildings and erection of 5 buildings ranging from ground plus 4 (with double height ground floor) to ground plus 8 storeys with basement to provide 21,403sqm flexible light industrial, storage and distribution floorspace (Class B1, B1c and B8), 678sqm flexible non-residential institutions and assembly and leisure space use (Class D1/D2), 402 residential units (Class C3), two new streets linking Haldane Place and Bendon Valley, car and cycle parking and associated public realm enhancements comprising detailed landscaping, communal amenity space and a new Wandle Riverside Walk), to allow an additional 31 units (total 433), amendments to the Courtyard Building, amendments to the Riverside Building, community space, basement, landscaping and public realm and the Riverside Factory and inclusion of Flood Risk Assessment and Fire Statement. (AMENDED UNIT NUMBER)"/>
    <s v="S73"/>
    <d v="2021-09-02T00:00:00"/>
    <d v="2022-09-13T00:00:00"/>
    <x v="0"/>
    <s v="Nil"/>
    <m/>
    <s v="BF"/>
    <s v="NB"/>
    <x v="1"/>
    <x v="0"/>
    <n v="0"/>
    <m/>
    <x v="0"/>
    <m/>
    <x v="1"/>
    <s v="M"/>
    <s v=""/>
    <n v="17320085"/>
    <m/>
    <m/>
    <m/>
    <m/>
    <n v="0"/>
    <n v="18"/>
    <n v="13"/>
    <n v="10"/>
    <n v="0"/>
    <n v="0"/>
    <n v="0"/>
    <n v="0"/>
    <n v="18"/>
    <n v="13"/>
    <n v="10"/>
    <n v="0"/>
    <n v="0"/>
    <n v="0"/>
    <n v="0"/>
    <n v="0"/>
    <n v="0"/>
    <n v="0"/>
    <n v="0"/>
    <n v="0"/>
    <n v="0"/>
    <n v="0"/>
    <n v="0"/>
    <n v="0"/>
    <n v="0"/>
    <n v="0"/>
    <n v="0"/>
    <n v="0"/>
    <x v="1"/>
    <x v="0"/>
    <x v="5"/>
    <n v="10"/>
    <m/>
    <m/>
    <m/>
    <m/>
    <n v="13.666666666666666"/>
    <n v="13.666666666666666"/>
    <n v="13.666666666666666"/>
    <m/>
    <m/>
    <m/>
    <m/>
    <m/>
    <m/>
    <m/>
    <m/>
    <m/>
    <m/>
    <m/>
    <m/>
    <m/>
    <n v="27.333333333333332"/>
    <n v="41"/>
  </r>
  <r>
    <n v="6908"/>
    <x v="2"/>
    <s v="2021/3601"/>
    <s v="Riverside Business Centre and Former Bingo Hall, Bendon Valley"/>
    <s v="Riverside Building H"/>
    <n v="525716"/>
    <n v="173464"/>
    <x v="13"/>
    <d v="2024-03-31T00:00:00"/>
    <m/>
    <n v="0"/>
    <x v="109"/>
    <x v="127"/>
    <n v="433"/>
    <n v="433"/>
    <x v="0"/>
    <s v="Variation of conditions 3 (in accordance with approved drawings), 42 (flood risk assessment) and 54 (fire statement) pursuant to planning permission dated 23/12/2020 ref 2018/4176 (Demolition of existing buildings and erection of 5 buildings ranging from ground plus 4 (with double height ground floor) to ground plus 8 storeys with basement to provide 21,403sqm flexible light industrial, storage and distribution floorspace (Class B1, B1c and B8), 678sqm flexible non-residential institutions and assembly and leisure space use (Class D1/D2), 402 residential units (Class C3), two new streets linking Haldane Place and Bendon Valley, car and cycle parking and associated public realm enhancements comprising detailed landscaping, communal amenity space and a new Wandle Riverside Walk), to allow an additional 31 units (total 433), amendments to the Courtyard Building, amendments to the Riverside Building, community space, basement, landscaping and public realm and the Riverside Factory and inclusion of Flood Risk Assessment and Fire Statement. (AMENDED UNIT NUMBER)"/>
    <s v="S73"/>
    <d v="2021-09-02T00:00:00"/>
    <d v="2022-09-13T00:00:00"/>
    <x v="0"/>
    <s v="Nil"/>
    <m/>
    <s v="BF"/>
    <s v="NB"/>
    <x v="1"/>
    <x v="0"/>
    <n v="0"/>
    <m/>
    <x v="0"/>
    <m/>
    <x v="1"/>
    <s v="M"/>
    <s v=""/>
    <n v="17320085"/>
    <m/>
    <m/>
    <m/>
    <m/>
    <n v="7"/>
    <n v="39"/>
    <n v="31"/>
    <n v="2"/>
    <n v="0"/>
    <n v="0"/>
    <n v="0"/>
    <n v="7"/>
    <n v="39"/>
    <n v="31"/>
    <n v="2"/>
    <n v="0"/>
    <n v="0"/>
    <n v="0"/>
    <n v="0"/>
    <n v="0"/>
    <n v="0"/>
    <n v="0"/>
    <n v="0"/>
    <n v="0"/>
    <n v="0"/>
    <n v="0"/>
    <n v="0"/>
    <n v="0"/>
    <n v="0"/>
    <n v="0"/>
    <n v="0"/>
    <n v="0"/>
    <x v="1"/>
    <x v="0"/>
    <x v="5"/>
    <n v="10"/>
    <m/>
    <m/>
    <m/>
    <m/>
    <n v="26.333333333333332"/>
    <n v="26.333333333333332"/>
    <n v="26.333333333333332"/>
    <m/>
    <m/>
    <m/>
    <m/>
    <m/>
    <m/>
    <m/>
    <m/>
    <m/>
    <m/>
    <m/>
    <m/>
    <m/>
    <n v="52.666666666666664"/>
    <n v="79"/>
  </r>
  <r>
    <n v="6908"/>
    <x v="2"/>
    <s v="2021/3601"/>
    <s v="Riverside Business Centre and Former Bingo Hall, Bendon Valley"/>
    <s v="Riverside Building I"/>
    <n v="525716"/>
    <n v="173464"/>
    <x v="13"/>
    <d v="2024-03-31T00:00:00"/>
    <m/>
    <n v="0"/>
    <x v="110"/>
    <x v="128"/>
    <n v="433"/>
    <n v="433"/>
    <x v="0"/>
    <s v="Variation of conditions 3 (in accordance with approved drawings), 42 (flood risk assessment) and 54 (fire statement) pursuant to planning permission dated 23/12/2020 ref 2018/4176 (Demolition of existing buildings and erection of 5 buildings ranging from ground plus 4 (with double height ground floor) to ground plus 8 storeys with basement to provide 21,403sqm flexible light industrial, storage and distribution floorspace (Class B1, B1c and B8), 678sqm flexible non-residential institutions and assembly and leisure space use (Class D1/D2), 402 residential units (Class C3), two new streets linking Haldane Place and Bendon Valley, car and cycle parking and associated public realm enhancements comprising detailed landscaping, communal amenity space and a new Wandle Riverside Walk), to allow an additional 31 units (total 433), amendments to the Courtyard Building, amendments to the Riverside Building, community space, basement, landscaping and public realm and the Riverside Factory and inclusion of Flood Risk Assessment and Fire Statement. (AMENDED UNIT NUMBER)"/>
    <s v="S73"/>
    <d v="2021-09-02T00:00:00"/>
    <d v="2022-09-13T00:00:00"/>
    <x v="0"/>
    <s v="Nil"/>
    <m/>
    <s v="BF"/>
    <s v="NB"/>
    <x v="1"/>
    <x v="0"/>
    <n v="0"/>
    <m/>
    <x v="0"/>
    <m/>
    <x v="1"/>
    <s v="M"/>
    <s v=""/>
    <n v="17320085"/>
    <m/>
    <m/>
    <m/>
    <m/>
    <n v="0"/>
    <n v="33"/>
    <n v="17"/>
    <n v="1"/>
    <n v="0"/>
    <n v="0"/>
    <n v="0"/>
    <n v="0"/>
    <n v="33"/>
    <n v="17"/>
    <n v="1"/>
    <n v="0"/>
    <n v="0"/>
    <n v="0"/>
    <n v="0"/>
    <n v="0"/>
    <n v="0"/>
    <n v="0"/>
    <n v="0"/>
    <n v="0"/>
    <n v="0"/>
    <n v="0"/>
    <n v="0"/>
    <n v="0"/>
    <n v="0"/>
    <n v="0"/>
    <n v="0"/>
    <n v="0"/>
    <x v="1"/>
    <x v="0"/>
    <x v="5"/>
    <n v="10"/>
    <m/>
    <m/>
    <m/>
    <m/>
    <n v="17"/>
    <n v="17"/>
    <n v="17"/>
    <m/>
    <m/>
    <m/>
    <m/>
    <m/>
    <m/>
    <m/>
    <m/>
    <m/>
    <m/>
    <m/>
    <m/>
    <m/>
    <n v="34"/>
    <n v="51"/>
  </r>
  <r>
    <n v="6374"/>
    <x v="2"/>
    <s v="2021/3860"/>
    <s v="Unit C, Molasses House, Clove Hitch Quay (Plantation Wharf)"/>
    <s v=""/>
    <n v="526468"/>
    <n v="175853"/>
    <x v="15"/>
    <m/>
    <m/>
    <n v="0"/>
    <x v="12"/>
    <x v="15"/>
    <n v="4"/>
    <n v="4"/>
    <x v="1"/>
    <s v="Determination as to whether prior approval required for change of use from Commercial use (Class E) to residential (Class C3) to provide 4 x 1-bedroom flats."/>
    <s v="PAG"/>
    <d v="2021-08-16T00:00:00"/>
    <d v="2021-10-13T00:00:00"/>
    <x v="0"/>
    <s v="Nil"/>
    <m/>
    <s v="BF"/>
    <s v="COU"/>
    <x v="2"/>
    <x v="8"/>
    <n v="6.0000000000000001E-3"/>
    <m/>
    <x v="0"/>
    <m/>
    <x v="1"/>
    <s v="M"/>
    <s v="10.15"/>
    <m/>
    <m/>
    <m/>
    <m/>
    <m/>
    <n v="0"/>
    <n v="4"/>
    <n v="0"/>
    <n v="0"/>
    <n v="0"/>
    <n v="0"/>
    <n v="0"/>
    <n v="0"/>
    <n v="4"/>
    <n v="0"/>
    <n v="0"/>
    <n v="0"/>
    <n v="0"/>
    <n v="0"/>
    <n v="0"/>
    <n v="0"/>
    <n v="0"/>
    <n v="0"/>
    <n v="0"/>
    <n v="0"/>
    <n v="0"/>
    <n v="0"/>
    <n v="0"/>
    <n v="0"/>
    <n v="0"/>
    <n v="0"/>
    <n v="0"/>
    <n v="0"/>
    <x v="1"/>
    <x v="0"/>
    <x v="4"/>
    <n v="15"/>
    <m/>
    <n v="1"/>
    <n v="1"/>
    <n v="1"/>
    <n v="1"/>
    <m/>
    <m/>
    <m/>
    <m/>
    <m/>
    <m/>
    <m/>
    <m/>
    <m/>
    <m/>
    <m/>
    <m/>
    <m/>
    <m/>
    <m/>
    <n v="4"/>
    <n v="4"/>
  </r>
  <r>
    <n v="7753"/>
    <x v="2"/>
    <s v="2021/4001"/>
    <s v="54A Renmuir Street"/>
    <s v=""/>
    <n v="527778"/>
    <n v="170719"/>
    <x v="0"/>
    <m/>
    <m/>
    <n v="1"/>
    <x v="5"/>
    <x v="5"/>
    <n v="2"/>
    <n v="1"/>
    <x v="1"/>
    <s v="Alterations including erection of mansard roof extension to main rear roof slope with French doors and juliette balcony and extension above part of two-storey rear addidtion. Formation of a roof terrace with obscure glazed screen. In connection with the creation of an additional 1x1 bedroom unit."/>
    <s v="PF"/>
    <d v="2021-12-31T00:00:00"/>
    <d v="2022-02-28T00:00:00"/>
    <x v="0"/>
    <s v="Nil"/>
    <m/>
    <s v="BF"/>
    <s v="EXT"/>
    <x v="2"/>
    <x v="7"/>
    <n v="4.9500000000000004E-3"/>
    <m/>
    <x v="0"/>
    <m/>
    <x v="1"/>
    <s v="M"/>
    <s v=""/>
    <m/>
    <m/>
    <m/>
    <m/>
    <m/>
    <n v="0"/>
    <n v="1"/>
    <n v="0"/>
    <n v="0"/>
    <n v="0"/>
    <n v="0"/>
    <n v="0"/>
    <n v="0"/>
    <n v="1"/>
    <n v="0"/>
    <n v="0"/>
    <n v="0"/>
    <n v="0"/>
    <n v="0"/>
    <n v="0"/>
    <n v="0"/>
    <n v="0"/>
    <n v="0"/>
    <n v="0"/>
    <n v="0"/>
    <n v="0"/>
    <n v="0"/>
    <n v="0"/>
    <n v="0"/>
    <n v="0"/>
    <n v="0"/>
    <n v="0"/>
    <n v="0"/>
    <x v="1"/>
    <x v="0"/>
    <x v="2"/>
    <n v="15"/>
    <m/>
    <n v="0.25"/>
    <n v="0.25"/>
    <n v="0.25"/>
    <n v="0.25"/>
    <m/>
    <m/>
    <m/>
    <m/>
    <m/>
    <m/>
    <m/>
    <m/>
    <m/>
    <m/>
    <m/>
    <m/>
    <m/>
    <m/>
    <m/>
    <n v="1"/>
    <n v="1"/>
  </r>
  <r>
    <n v="6798"/>
    <x v="2"/>
    <s v="2021/4064"/>
    <s v="Land rear of 958 Garratt Lane, 28 Garratt Terrace"/>
    <s v=""/>
    <n v="527317"/>
    <n v="171519"/>
    <x v="0"/>
    <m/>
    <m/>
    <n v="0"/>
    <x v="5"/>
    <x v="7"/>
    <n v="2"/>
    <n v="2"/>
    <x v="1"/>
    <s v="Erection of a two-storey house fronting Garratt Terrace with singlestorey rear projection, basement, habitable roof space, first floor balcony and associated refuse and cycle storage to comprise 1x3- bedroom and 1x1-bedroom flats."/>
    <s v="PF"/>
    <d v="2021-09-15T00:00:00"/>
    <d v="2022-01-26T00:00:00"/>
    <x v="0"/>
    <s v="Nil"/>
    <m/>
    <s v="BF"/>
    <s v="NB"/>
    <x v="2"/>
    <x v="3"/>
    <n v="5.0666000000000001E-3"/>
    <m/>
    <x v="0"/>
    <m/>
    <x v="1"/>
    <s v="M"/>
    <s v=""/>
    <m/>
    <m/>
    <m/>
    <m/>
    <m/>
    <n v="0"/>
    <n v="1"/>
    <n v="0"/>
    <n v="1"/>
    <n v="0"/>
    <n v="0"/>
    <n v="0"/>
    <n v="0"/>
    <n v="1"/>
    <n v="0"/>
    <n v="1"/>
    <n v="0"/>
    <n v="0"/>
    <n v="0"/>
    <n v="0"/>
    <n v="0"/>
    <n v="0"/>
    <n v="0"/>
    <n v="0"/>
    <n v="0"/>
    <n v="0"/>
    <n v="0"/>
    <n v="0"/>
    <n v="0"/>
    <n v="0"/>
    <n v="0"/>
    <n v="0"/>
    <n v="0"/>
    <x v="1"/>
    <x v="0"/>
    <x v="0"/>
    <n v="7"/>
    <m/>
    <m/>
    <n v="0.5"/>
    <n v="0.5"/>
    <n v="0.5"/>
    <n v="0.5"/>
    <m/>
    <m/>
    <m/>
    <m/>
    <m/>
    <m/>
    <m/>
    <m/>
    <m/>
    <m/>
    <m/>
    <m/>
    <m/>
    <m/>
    <n v="2"/>
    <n v="2"/>
  </r>
  <r>
    <n v="3810"/>
    <x v="2"/>
    <s v="2021/4115"/>
    <s v="138 Battersea Park Road"/>
    <s v=""/>
    <n v="528194"/>
    <n v="176681"/>
    <x v="2"/>
    <m/>
    <m/>
    <n v="1"/>
    <x v="5"/>
    <x v="5"/>
    <n v="2"/>
    <n v="1"/>
    <x v="1"/>
    <s v="Alterations including erection of mansard roof extension to main rear roof in connection with the conversion of upper floor flat to 2x1 bedroom flats."/>
    <s v="PF"/>
    <d v="2021-09-28T00:00:00"/>
    <d v="2022-01-19T00:00:00"/>
    <x v="0"/>
    <s v="Nil"/>
    <m/>
    <s v="BF"/>
    <s v="MIX"/>
    <x v="2"/>
    <x v="5"/>
    <n v="3.1375000000000001E-3"/>
    <m/>
    <x v="0"/>
    <m/>
    <x v="1"/>
    <s v="M"/>
    <s v=""/>
    <m/>
    <m/>
    <m/>
    <m/>
    <m/>
    <n v="0"/>
    <n v="2"/>
    <n v="0"/>
    <n v="-1"/>
    <n v="0"/>
    <n v="0"/>
    <n v="0"/>
    <n v="0"/>
    <n v="2"/>
    <n v="0"/>
    <n v="-1"/>
    <n v="0"/>
    <n v="0"/>
    <n v="0"/>
    <n v="0"/>
    <n v="0"/>
    <n v="0"/>
    <n v="0"/>
    <n v="0"/>
    <n v="0"/>
    <n v="0"/>
    <n v="0"/>
    <n v="0"/>
    <n v="0"/>
    <n v="0"/>
    <n v="0"/>
    <n v="0"/>
    <n v="0"/>
    <x v="1"/>
    <x v="0"/>
    <x v="2"/>
    <n v="15"/>
    <m/>
    <n v="0.25"/>
    <n v="0.25"/>
    <n v="0.25"/>
    <n v="0.25"/>
    <m/>
    <m/>
    <m/>
    <m/>
    <m/>
    <m/>
    <m/>
    <m/>
    <m/>
    <m/>
    <m/>
    <m/>
    <m/>
    <m/>
    <m/>
    <n v="1"/>
    <n v="1"/>
  </r>
  <r>
    <n v="6130"/>
    <x v="2"/>
    <s v="2021/4211"/>
    <s v="63 Roehampton Lane"/>
    <s v=""/>
    <n v="522154"/>
    <n v="175135"/>
    <x v="4"/>
    <m/>
    <m/>
    <n v="1"/>
    <x v="3"/>
    <x v="6"/>
    <n v="1"/>
    <n v="0"/>
    <x v="1"/>
    <s v="Demolition of existing dwelling and erection of a two-storey (plus accommodation at roof level) 5-bedroom house."/>
    <s v="PF"/>
    <d v="2021-09-21T00:00:00"/>
    <d v="2022-06-29T00:00:00"/>
    <x v="0"/>
    <s v="Nil"/>
    <m/>
    <s v="BF"/>
    <s v="NB"/>
    <x v="2"/>
    <x v="3"/>
    <n v="1.8294000000000001E-2"/>
    <m/>
    <x v="0"/>
    <m/>
    <x v="1"/>
    <s v="M"/>
    <s v=""/>
    <m/>
    <m/>
    <m/>
    <m/>
    <m/>
    <n v="0"/>
    <n v="0"/>
    <n v="0"/>
    <n v="0"/>
    <n v="-1"/>
    <n v="1"/>
    <n v="0"/>
    <n v="0"/>
    <n v="0"/>
    <n v="0"/>
    <n v="0"/>
    <n v="0"/>
    <n v="0"/>
    <n v="0"/>
    <n v="0"/>
    <n v="0"/>
    <n v="0"/>
    <n v="0"/>
    <n v="-1"/>
    <n v="1"/>
    <n v="0"/>
    <n v="0"/>
    <n v="0"/>
    <n v="0"/>
    <n v="0"/>
    <n v="0"/>
    <n v="0"/>
    <n v="0"/>
    <x v="1"/>
    <x v="0"/>
    <x v="2"/>
    <n v="7"/>
    <m/>
    <m/>
    <n v="0"/>
    <n v="0"/>
    <n v="0"/>
    <n v="0"/>
    <m/>
    <m/>
    <m/>
    <m/>
    <m/>
    <m/>
    <m/>
    <m/>
    <m/>
    <m/>
    <m/>
    <m/>
    <m/>
    <m/>
    <n v="0"/>
    <n v="0"/>
  </r>
  <r>
    <n v="7728"/>
    <x v="2"/>
    <s v="2021/4318"/>
    <s v="24 Yukon Road"/>
    <s v=""/>
    <n v="528904"/>
    <n v="173855"/>
    <x v="6"/>
    <m/>
    <m/>
    <n v="4"/>
    <x v="24"/>
    <x v="5"/>
    <n v="5"/>
    <n v="1"/>
    <x v="1"/>
    <s v="Alterations including erection of mansard roof extension to main rear roof and extension above part of two-storey back addition; formation of roof terrace above two-storey back addition with 1.7m high screen surround in connection with the conversion into 1 bedroom flat with associated cycle and refuse storage."/>
    <s v="PF"/>
    <d v="2021-09-17T00:00:00"/>
    <d v="2021-11-16T00:00:00"/>
    <x v="0"/>
    <s v="Nil"/>
    <m/>
    <s v="BF"/>
    <s v="EXT"/>
    <x v="2"/>
    <x v="7"/>
    <n v="4.0000000000000001E-3"/>
    <m/>
    <x v="0"/>
    <m/>
    <x v="1"/>
    <s v="M"/>
    <s v=""/>
    <m/>
    <m/>
    <m/>
    <m/>
    <m/>
    <n v="0"/>
    <n v="1"/>
    <n v="0"/>
    <n v="0"/>
    <n v="0"/>
    <n v="0"/>
    <n v="0"/>
    <n v="0"/>
    <n v="1"/>
    <n v="0"/>
    <n v="0"/>
    <n v="0"/>
    <n v="0"/>
    <n v="0"/>
    <n v="0"/>
    <n v="0"/>
    <n v="0"/>
    <n v="0"/>
    <n v="0"/>
    <n v="0"/>
    <n v="0"/>
    <n v="0"/>
    <n v="0"/>
    <n v="0"/>
    <n v="0"/>
    <n v="0"/>
    <n v="0"/>
    <n v="0"/>
    <x v="1"/>
    <x v="0"/>
    <x v="2"/>
    <n v="15"/>
    <m/>
    <n v="0.25"/>
    <n v="0.25"/>
    <n v="0.25"/>
    <n v="0.25"/>
    <m/>
    <m/>
    <m/>
    <m/>
    <m/>
    <m/>
    <m/>
    <m/>
    <m/>
    <m/>
    <m/>
    <m/>
    <m/>
    <m/>
    <m/>
    <n v="1"/>
    <n v="1"/>
  </r>
  <r>
    <n v="6885"/>
    <x v="2"/>
    <s v="2021/4482"/>
    <s v="217 Garratt Lane"/>
    <s v=""/>
    <n v="525906"/>
    <n v="173856"/>
    <x v="13"/>
    <m/>
    <m/>
    <n v="0"/>
    <x v="3"/>
    <x v="5"/>
    <n v="1"/>
    <n v="1"/>
    <x v="1"/>
    <s v="Determination as to whether prior approval is required for change of use from retail (Class E) to residential (Class C3) to provide 1 x 1- bedroom flat."/>
    <s v="PAG"/>
    <d v="2021-10-14T00:00:00"/>
    <d v="2021-12-01T00:00:00"/>
    <x v="0"/>
    <s v="Nil"/>
    <m/>
    <s v="BF"/>
    <s v="COU"/>
    <x v="2"/>
    <x v="4"/>
    <n v="5.8999999999999999E-3"/>
    <m/>
    <x v="0"/>
    <m/>
    <x v="1"/>
    <s v="M"/>
    <s v=""/>
    <m/>
    <m/>
    <m/>
    <m/>
    <m/>
    <n v="0"/>
    <n v="1"/>
    <n v="0"/>
    <n v="0"/>
    <n v="0"/>
    <n v="0"/>
    <n v="0"/>
    <n v="0"/>
    <n v="1"/>
    <n v="0"/>
    <n v="0"/>
    <n v="0"/>
    <n v="0"/>
    <n v="0"/>
    <n v="0"/>
    <n v="0"/>
    <n v="0"/>
    <n v="0"/>
    <n v="0"/>
    <n v="0"/>
    <n v="0"/>
    <n v="0"/>
    <n v="0"/>
    <n v="0"/>
    <n v="0"/>
    <n v="0"/>
    <n v="0"/>
    <n v="0"/>
    <x v="1"/>
    <x v="0"/>
    <x v="5"/>
    <n v="15"/>
    <m/>
    <n v="0.25"/>
    <n v="0.25"/>
    <n v="0.25"/>
    <n v="0.25"/>
    <m/>
    <m/>
    <m/>
    <m/>
    <m/>
    <m/>
    <m/>
    <m/>
    <m/>
    <m/>
    <m/>
    <m/>
    <m/>
    <m/>
    <m/>
    <n v="1"/>
    <n v="1"/>
  </r>
  <r>
    <n v="7722"/>
    <x v="2"/>
    <s v="2021/4549"/>
    <s v="Atlantic House, 51-57 Upper Richmond Road"/>
    <s v="2-storey 2-bed"/>
    <n v="524629"/>
    <n v="174727"/>
    <x v="7"/>
    <m/>
    <m/>
    <n v="0"/>
    <x v="5"/>
    <x v="7"/>
    <n v="6"/>
    <n v="6"/>
    <x v="1"/>
    <s v="Demolition of existing two storey warehouse and erection of 1 x 3-bedroom two storey (plus basement), 3 x 4-bedroom three-storey (plus basement) and 2 x 2 bedroom two-storey (plus basement) houses."/>
    <s v="PF"/>
    <d v="2021-10-04T00:00:00"/>
    <d v="2022-04-27T00:00:00"/>
    <x v="0"/>
    <s v="Nil"/>
    <m/>
    <s v="BF"/>
    <s v="NB"/>
    <x v="2"/>
    <x v="7"/>
    <n v="5.3499999999999997E-3"/>
    <m/>
    <x v="0"/>
    <m/>
    <x v="1"/>
    <s v="M"/>
    <s v=""/>
    <m/>
    <m/>
    <m/>
    <m/>
    <m/>
    <n v="0"/>
    <n v="0"/>
    <n v="2"/>
    <n v="0"/>
    <n v="0"/>
    <n v="0"/>
    <n v="0"/>
    <n v="0"/>
    <n v="0"/>
    <n v="0"/>
    <n v="0"/>
    <n v="0"/>
    <n v="0"/>
    <n v="0"/>
    <n v="0"/>
    <n v="0"/>
    <n v="2"/>
    <n v="0"/>
    <n v="0"/>
    <n v="0"/>
    <n v="0"/>
    <n v="0"/>
    <n v="0"/>
    <n v="0"/>
    <n v="0"/>
    <n v="0"/>
    <n v="0"/>
    <n v="0"/>
    <x v="1"/>
    <x v="0"/>
    <x v="2"/>
    <n v="10"/>
    <m/>
    <m/>
    <m/>
    <m/>
    <n v="0.66666666666666663"/>
    <n v="0.66666666666666663"/>
    <n v="0.66666666666666663"/>
    <m/>
    <m/>
    <m/>
    <m/>
    <m/>
    <m/>
    <m/>
    <m/>
    <m/>
    <m/>
    <m/>
    <m/>
    <m/>
    <n v="1.3333333333333333"/>
    <n v="2"/>
  </r>
  <r>
    <n v="7722"/>
    <x v="2"/>
    <s v="2021/4549"/>
    <s v="Atlantic House, 51-57 Upper Richmond Road"/>
    <s v="2-storey 3-bed"/>
    <n v="524629"/>
    <n v="174727"/>
    <x v="7"/>
    <m/>
    <m/>
    <n v="0"/>
    <x v="3"/>
    <x v="5"/>
    <n v="6"/>
    <n v="6"/>
    <x v="1"/>
    <s v="Demolition of existing two storey warehouse and erection of 1 x 3-bedroom two storey (plus basement), 3 x 4-bedroom three-storey (plus basement) and 2 x 2 bedroom two-storey (plus basement) houses."/>
    <s v="PF"/>
    <d v="2021-10-04T00:00:00"/>
    <d v="2022-04-27T00:00:00"/>
    <x v="0"/>
    <s v="Nil"/>
    <m/>
    <s v="BF"/>
    <s v="NB"/>
    <x v="2"/>
    <x v="3"/>
    <n v="8.5500000000000003E-3"/>
    <m/>
    <x v="0"/>
    <m/>
    <x v="1"/>
    <s v="M"/>
    <s v=""/>
    <m/>
    <m/>
    <m/>
    <m/>
    <m/>
    <n v="0"/>
    <n v="0"/>
    <n v="0"/>
    <n v="1"/>
    <n v="0"/>
    <n v="0"/>
    <n v="0"/>
    <n v="0"/>
    <n v="0"/>
    <n v="0"/>
    <n v="0"/>
    <n v="0"/>
    <n v="0"/>
    <n v="0"/>
    <n v="0"/>
    <n v="0"/>
    <n v="0"/>
    <n v="1"/>
    <n v="0"/>
    <n v="0"/>
    <n v="0"/>
    <n v="0"/>
    <n v="0"/>
    <n v="0"/>
    <n v="0"/>
    <n v="0"/>
    <n v="0"/>
    <n v="0"/>
    <x v="1"/>
    <x v="0"/>
    <x v="2"/>
    <n v="10"/>
    <m/>
    <m/>
    <m/>
    <m/>
    <n v="0.33333333333333331"/>
    <n v="0.33333333333333331"/>
    <n v="0.33333333333333331"/>
    <m/>
    <m/>
    <m/>
    <m/>
    <m/>
    <m/>
    <m/>
    <m/>
    <m/>
    <m/>
    <m/>
    <m/>
    <m/>
    <n v="0.66666666666666663"/>
    <n v="1"/>
  </r>
  <r>
    <n v="7722"/>
    <x v="2"/>
    <s v="2021/4549"/>
    <s v="Atlantic House, 51-57 Upper Richmond Road"/>
    <s v="3-storey 4-bed"/>
    <n v="524629"/>
    <n v="174727"/>
    <x v="7"/>
    <m/>
    <m/>
    <n v="0"/>
    <x v="11"/>
    <x v="36"/>
    <n v="6"/>
    <n v="6"/>
    <x v="1"/>
    <s v="Demolition of existing two storey warehouse and erection of 1 x 3-bedroom two storey (plus basement), 3 x 4-bedroom three-storey (plus basement) and 2 x 2 bedroom two-storey (plus basement) houses."/>
    <s v="PF"/>
    <d v="2021-10-04T00:00:00"/>
    <d v="2022-04-27T00:00:00"/>
    <x v="0"/>
    <s v="Nil"/>
    <m/>
    <s v="BF"/>
    <s v="NB"/>
    <x v="2"/>
    <x v="3"/>
    <n v="1.78E-2"/>
    <m/>
    <x v="0"/>
    <m/>
    <x v="1"/>
    <s v="M"/>
    <s v=""/>
    <m/>
    <m/>
    <m/>
    <m/>
    <m/>
    <n v="0"/>
    <n v="0"/>
    <n v="0"/>
    <n v="0"/>
    <n v="3"/>
    <n v="0"/>
    <n v="0"/>
    <n v="0"/>
    <n v="0"/>
    <n v="0"/>
    <n v="0"/>
    <n v="0"/>
    <n v="0"/>
    <n v="0"/>
    <n v="0"/>
    <n v="0"/>
    <n v="0"/>
    <n v="0"/>
    <n v="3"/>
    <n v="0"/>
    <n v="0"/>
    <n v="0"/>
    <n v="0"/>
    <n v="0"/>
    <n v="0"/>
    <n v="0"/>
    <n v="0"/>
    <n v="0"/>
    <x v="1"/>
    <x v="0"/>
    <x v="2"/>
    <n v="10"/>
    <m/>
    <m/>
    <m/>
    <m/>
    <n v="1"/>
    <n v="1"/>
    <n v="1"/>
    <m/>
    <m/>
    <m/>
    <m/>
    <m/>
    <m/>
    <m/>
    <m/>
    <m/>
    <m/>
    <m/>
    <m/>
    <m/>
    <n v="2"/>
    <n v="3"/>
  </r>
  <r>
    <n v="2502"/>
    <x v="2"/>
    <s v="2021/4678"/>
    <s v="Springfield Hospital site, 61 Glenburnie Road"/>
    <s v="Phase 6C"/>
    <n v="527221"/>
    <n v="172443"/>
    <x v="17"/>
    <m/>
    <m/>
    <n v="0"/>
    <x v="111"/>
    <x v="123"/>
    <n v="80"/>
    <n v="80"/>
    <x v="0"/>
    <s v="Reserved matters relating to landscaping, scale and appearance in respect of the part demolition, conversion, restoration and repair of part of the Main Building (Grade II listed) to provide 80 residential units with landscaping and associated works (forming part of Phase 6C of the Springfield Masterplan development) pursuant to condition 1 of outline planning permission ref. 2010/3703 dated 20/06/2012 (for the erection of 25,000 sq.m. of replacement mental health facilities (Class C2/C2a); 839 residential dwellings; 9,200 sq.m. elderly persons' care home; 240 sq.m. of retail floorspace (Class A1); a school (Class D1); 3,500 sq.m. of mixed non-residential floorspace (Class A1, A2, A3, A4, B1, D1 or D2); landscaped public park; a combined cooling, heat and power energy centre, associated landscaping, parking, roads, access, infrastructure and other associated works), as varied under application ref. 2014/6585, dated 04/06/15, application ref. 2016/4760 dated 24/04/2018 and application ref. 2019/2495 dated 28/02/2020, and including statement of design code compliance, landscaping details and surface and foul water drainage pursuant to conditions 7, 10 and 30."/>
    <s v="PF"/>
    <d v="2021-10-11T00:00:00"/>
    <d v="2022-02-22T00:00:00"/>
    <x v="0"/>
    <s v="Nil"/>
    <m/>
    <s v="BF"/>
    <s v="NB"/>
    <x v="1"/>
    <x v="0"/>
    <n v="2E-3"/>
    <m/>
    <x v="0"/>
    <m/>
    <x v="1"/>
    <s v="M"/>
    <s v="9.1"/>
    <m/>
    <m/>
    <m/>
    <m/>
    <m/>
    <n v="0"/>
    <n v="45"/>
    <n v="33"/>
    <n v="2"/>
    <n v="0"/>
    <n v="0"/>
    <n v="0"/>
    <n v="0"/>
    <n v="45"/>
    <n v="33"/>
    <n v="2"/>
    <n v="0"/>
    <n v="0"/>
    <n v="0"/>
    <n v="0"/>
    <n v="0"/>
    <n v="0"/>
    <n v="0"/>
    <n v="0"/>
    <n v="0"/>
    <n v="0"/>
    <n v="0"/>
    <n v="0"/>
    <n v="0"/>
    <n v="0"/>
    <n v="0"/>
    <n v="0"/>
    <n v="0"/>
    <x v="1"/>
    <x v="0"/>
    <x v="2"/>
    <n v="5"/>
    <m/>
    <m/>
    <m/>
    <n v="26.666666666666668"/>
    <n v="26.666666666666668"/>
    <n v="26.666666666666668"/>
    <m/>
    <m/>
    <m/>
    <m/>
    <m/>
    <m/>
    <m/>
    <m/>
    <m/>
    <m/>
    <m/>
    <m/>
    <m/>
    <m/>
    <n v="80"/>
    <n v="80"/>
  </r>
  <r>
    <n v="4208"/>
    <x v="2"/>
    <s v="2021/4684"/>
    <s v="25 Keswick Road"/>
    <s v=""/>
    <n v="524367"/>
    <n v="174500"/>
    <x v="7"/>
    <m/>
    <m/>
    <n v="0"/>
    <x v="3"/>
    <x v="5"/>
    <n v="1"/>
    <n v="1"/>
    <x v="1"/>
    <s v="Alterations including erection of a rear extension at lower ground floor level in connection with creation of 1 x 1-bed flat."/>
    <s v="PF"/>
    <d v="2021-11-10T00:00:00"/>
    <d v="2022-02-07T00:00:00"/>
    <x v="0"/>
    <s v="Nil"/>
    <m/>
    <s v="BF"/>
    <s v="EXT"/>
    <x v="2"/>
    <x v="7"/>
    <n v="0.01"/>
    <m/>
    <x v="0"/>
    <m/>
    <x v="1"/>
    <s v="M"/>
    <s v=""/>
    <m/>
    <m/>
    <m/>
    <m/>
    <m/>
    <n v="0"/>
    <n v="1"/>
    <n v="0"/>
    <n v="0"/>
    <n v="0"/>
    <n v="0"/>
    <n v="0"/>
    <n v="0"/>
    <n v="1"/>
    <n v="0"/>
    <n v="0"/>
    <n v="0"/>
    <n v="0"/>
    <n v="0"/>
    <n v="0"/>
    <n v="0"/>
    <n v="0"/>
    <n v="0"/>
    <n v="0"/>
    <n v="0"/>
    <n v="0"/>
    <n v="0"/>
    <n v="0"/>
    <n v="0"/>
    <n v="0"/>
    <n v="0"/>
    <n v="0"/>
    <n v="0"/>
    <x v="1"/>
    <x v="0"/>
    <x v="2"/>
    <n v="15"/>
    <m/>
    <n v="0.25"/>
    <n v="0.25"/>
    <n v="0.25"/>
    <n v="0.25"/>
    <m/>
    <m/>
    <m/>
    <m/>
    <m/>
    <m/>
    <m/>
    <m/>
    <m/>
    <m/>
    <m/>
    <m/>
    <m/>
    <m/>
    <m/>
    <n v="1"/>
    <n v="1"/>
  </r>
  <r>
    <n v="5128"/>
    <x v="2"/>
    <s v="2021/4728"/>
    <s v="Garages rear of 144, West Hill (Garages west of 48 &amp; 50 Lytton Grove)"/>
    <s v=""/>
    <n v="524267"/>
    <n v="174267"/>
    <x v="7"/>
    <d v="2022-06-29T00:00:00"/>
    <m/>
    <n v="0"/>
    <x v="3"/>
    <x v="5"/>
    <n v="1"/>
    <n v="1"/>
    <x v="1"/>
    <s v="Demolition of existing garages and erection of single-storey (plus basement and roof level accommodation) 3-bedroom house. (Amendments to planning permission dated 24/08/20 ref. 2020/1240 to include a basement with lightwell and additional bedroom)."/>
    <s v="PF"/>
    <d v="2021-10-14T00:00:00"/>
    <d v="2022-06-29T00:00:00"/>
    <x v="0"/>
    <s v="Nil"/>
    <m/>
    <s v="BF"/>
    <s v="NB"/>
    <x v="2"/>
    <x v="3"/>
    <n v="1.8599999999999998E-2"/>
    <m/>
    <x v="0"/>
    <m/>
    <x v="1"/>
    <s v="M"/>
    <s v=""/>
    <m/>
    <m/>
    <m/>
    <m/>
    <m/>
    <n v="0"/>
    <n v="0"/>
    <n v="0"/>
    <n v="1"/>
    <n v="0"/>
    <n v="0"/>
    <n v="0"/>
    <n v="0"/>
    <n v="0"/>
    <n v="0"/>
    <n v="0"/>
    <n v="0"/>
    <n v="0"/>
    <n v="0"/>
    <n v="0"/>
    <n v="0"/>
    <n v="0"/>
    <n v="1"/>
    <n v="0"/>
    <n v="0"/>
    <n v="0"/>
    <n v="0"/>
    <n v="0"/>
    <n v="0"/>
    <n v="0"/>
    <n v="0"/>
    <n v="0"/>
    <n v="0"/>
    <x v="1"/>
    <x v="0"/>
    <x v="2"/>
    <n v="7"/>
    <m/>
    <m/>
    <n v="0.25"/>
    <n v="0.25"/>
    <n v="0.25"/>
    <n v="0.25"/>
    <m/>
    <m/>
    <m/>
    <m/>
    <m/>
    <m/>
    <m/>
    <m/>
    <m/>
    <m/>
    <m/>
    <m/>
    <m/>
    <m/>
    <n v="1"/>
    <n v="1"/>
  </r>
  <r>
    <n v="1896"/>
    <x v="2"/>
    <s v="2021/4902"/>
    <s v="Rear of 950-952, Garratt Lane"/>
    <s v=""/>
    <n v="527305"/>
    <n v="171527"/>
    <x v="0"/>
    <d v="2022-07-01T00:00:00"/>
    <m/>
    <n v="0"/>
    <x v="12"/>
    <x v="15"/>
    <n v="4"/>
    <n v="4"/>
    <x v="1"/>
    <s v="Demolition of existing single storey garage and Erection of two-storey detached building (plus basement and roof levels) to provide 2 x 3 bedroom and 2 x 1 bed flats with first floor rear 'built in terraces' and secure bicycle and refuse storage at front."/>
    <s v="PF"/>
    <d v="2021-10-25T00:00:00"/>
    <d v="2022-04-14T00:00:00"/>
    <x v="0"/>
    <s v="Nil"/>
    <m/>
    <s v="BF"/>
    <s v="NB"/>
    <x v="2"/>
    <x v="3"/>
    <n v="1.00234E-2"/>
    <m/>
    <x v="0"/>
    <m/>
    <x v="1"/>
    <s v="M"/>
    <s v=""/>
    <m/>
    <m/>
    <m/>
    <m/>
    <m/>
    <n v="0"/>
    <n v="2"/>
    <n v="0"/>
    <n v="2"/>
    <n v="0"/>
    <n v="0"/>
    <n v="0"/>
    <n v="0"/>
    <n v="2"/>
    <n v="0"/>
    <n v="2"/>
    <n v="0"/>
    <n v="0"/>
    <n v="0"/>
    <n v="0"/>
    <n v="0"/>
    <n v="0"/>
    <n v="0"/>
    <n v="0"/>
    <n v="0"/>
    <n v="0"/>
    <n v="0"/>
    <n v="0"/>
    <n v="0"/>
    <n v="0"/>
    <n v="0"/>
    <n v="0"/>
    <n v="0"/>
    <x v="1"/>
    <x v="0"/>
    <x v="0"/>
    <n v="7"/>
    <m/>
    <m/>
    <n v="1"/>
    <n v="1"/>
    <n v="1"/>
    <n v="1"/>
    <m/>
    <m/>
    <m/>
    <m/>
    <m/>
    <m/>
    <m/>
    <m/>
    <m/>
    <m/>
    <m/>
    <m/>
    <m/>
    <m/>
    <n v="4"/>
    <n v="4"/>
  </r>
  <r>
    <n v="7643"/>
    <x v="2"/>
    <s v="2021/5111"/>
    <s v="Basement and Ground Floors, 200 Battersea Park Road"/>
    <s v=""/>
    <n v="527806"/>
    <n v="176545"/>
    <x v="2"/>
    <m/>
    <m/>
    <n v="0"/>
    <x v="3"/>
    <x v="5"/>
    <n v="1"/>
    <n v="1"/>
    <x v="1"/>
    <s v="Alterations including installation of rear window and door in connection with change of use from retail (Class E) to 1 x 1-bedroom flat (Class C3)."/>
    <s v="PF"/>
    <d v="2022-01-11T00:00:00"/>
    <d v="2022-02-07T00:00:00"/>
    <x v="0"/>
    <s v="Nil"/>
    <m/>
    <s v="BF"/>
    <s v="COU"/>
    <x v="2"/>
    <x v="4"/>
    <n v="2E-3"/>
    <m/>
    <x v="0"/>
    <m/>
    <x v="1"/>
    <s v="M"/>
    <s v=""/>
    <m/>
    <m/>
    <m/>
    <m/>
    <m/>
    <n v="0"/>
    <n v="1"/>
    <n v="0"/>
    <n v="0"/>
    <n v="0"/>
    <n v="0"/>
    <n v="0"/>
    <n v="0"/>
    <n v="1"/>
    <n v="0"/>
    <n v="0"/>
    <n v="0"/>
    <n v="0"/>
    <n v="0"/>
    <n v="0"/>
    <n v="0"/>
    <n v="0"/>
    <n v="0"/>
    <n v="0"/>
    <n v="0"/>
    <n v="0"/>
    <n v="0"/>
    <n v="0"/>
    <n v="0"/>
    <n v="0"/>
    <n v="0"/>
    <n v="0"/>
    <n v="0"/>
    <x v="1"/>
    <x v="0"/>
    <x v="2"/>
    <n v="15"/>
    <m/>
    <n v="0.25"/>
    <n v="0.25"/>
    <n v="0.25"/>
    <n v="0.25"/>
    <m/>
    <m/>
    <m/>
    <m/>
    <m/>
    <m/>
    <m/>
    <m/>
    <m/>
    <m/>
    <m/>
    <m/>
    <m/>
    <m/>
    <m/>
    <n v="1"/>
    <n v="1"/>
  </r>
  <r>
    <n v="672"/>
    <x v="2"/>
    <s v="2021/5276"/>
    <s v="54 West Hill"/>
    <s v=""/>
    <n v="525011"/>
    <n v="174633"/>
    <x v="7"/>
    <m/>
    <m/>
    <n v="0"/>
    <x v="3"/>
    <x v="5"/>
    <n v="1"/>
    <n v="1"/>
    <x v="1"/>
    <s v="Alterations including erection of single storey rear extension in connection with conversion of ground floor rear into 1 x 1-bedroom flat."/>
    <s v="PF"/>
    <d v="2021-12-02T00:00:00"/>
    <d v="2022-02-21T00:00:00"/>
    <x v="0"/>
    <s v="Nil"/>
    <m/>
    <s v="BF"/>
    <s v="CON"/>
    <x v="2"/>
    <x v="4"/>
    <n v="5.5999999999999999E-3"/>
    <m/>
    <x v="0"/>
    <m/>
    <x v="1"/>
    <s v="M"/>
    <s v=""/>
    <m/>
    <m/>
    <m/>
    <m/>
    <m/>
    <n v="0"/>
    <n v="1"/>
    <n v="0"/>
    <n v="0"/>
    <n v="0"/>
    <n v="0"/>
    <n v="0"/>
    <n v="0"/>
    <n v="1"/>
    <n v="0"/>
    <n v="0"/>
    <n v="0"/>
    <n v="0"/>
    <n v="0"/>
    <n v="0"/>
    <n v="0"/>
    <n v="0"/>
    <n v="0"/>
    <n v="0"/>
    <n v="0"/>
    <n v="0"/>
    <n v="0"/>
    <n v="0"/>
    <n v="0"/>
    <n v="0"/>
    <n v="0"/>
    <n v="0"/>
    <n v="0"/>
    <x v="1"/>
    <x v="0"/>
    <x v="2"/>
    <n v="15"/>
    <m/>
    <n v="0.25"/>
    <n v="0.25"/>
    <n v="0.25"/>
    <n v="0.25"/>
    <m/>
    <m/>
    <m/>
    <m/>
    <m/>
    <m/>
    <m/>
    <m/>
    <m/>
    <m/>
    <m/>
    <m/>
    <m/>
    <m/>
    <m/>
    <n v="1"/>
    <n v="1"/>
  </r>
  <r>
    <n v="7739"/>
    <x v="2"/>
    <s v="2021/5292"/>
    <s v="The Lodge, 120 Bolingbroke Grove"/>
    <s v=""/>
    <n v="527166"/>
    <n v="174991"/>
    <x v="8"/>
    <m/>
    <m/>
    <n v="1"/>
    <x v="3"/>
    <x v="6"/>
    <n v="1"/>
    <n v="0"/>
    <x v="1"/>
    <s v="Demolition of existing dwellinghouse and erection of two storey (plus basement and roof level accommodation) 4-bedroom dwellinghouse."/>
    <s v="PF"/>
    <d v="2021-11-30T00:00:00"/>
    <d v="2022-07-29T00:00:00"/>
    <x v="0"/>
    <s v="Nil"/>
    <m/>
    <s v="BF"/>
    <s v="NB"/>
    <x v="2"/>
    <x v="3"/>
    <n v="1.025E-2"/>
    <m/>
    <x v="0"/>
    <m/>
    <x v="1"/>
    <s v="M"/>
    <s v=""/>
    <m/>
    <m/>
    <m/>
    <m/>
    <m/>
    <n v="0"/>
    <n v="0"/>
    <n v="0"/>
    <n v="0"/>
    <n v="0"/>
    <n v="0"/>
    <n v="0"/>
    <n v="0"/>
    <n v="0"/>
    <n v="0"/>
    <n v="0"/>
    <n v="0"/>
    <n v="0"/>
    <n v="0"/>
    <n v="0"/>
    <n v="0"/>
    <n v="0"/>
    <n v="0"/>
    <n v="0"/>
    <n v="0"/>
    <n v="0"/>
    <n v="0"/>
    <n v="0"/>
    <n v="0"/>
    <n v="0"/>
    <n v="0"/>
    <n v="0"/>
    <n v="0"/>
    <x v="1"/>
    <x v="0"/>
    <x v="2"/>
    <n v="7"/>
    <m/>
    <m/>
    <n v="0"/>
    <n v="0"/>
    <n v="0"/>
    <n v="0"/>
    <m/>
    <m/>
    <m/>
    <m/>
    <m/>
    <m/>
    <m/>
    <m/>
    <m/>
    <m/>
    <m/>
    <m/>
    <m/>
    <m/>
    <n v="0"/>
    <n v="0"/>
  </r>
  <r>
    <n v="7350"/>
    <x v="2"/>
    <s v="2021/5328"/>
    <s v="Garages at, 143 Byrne Road"/>
    <s v="House 1"/>
    <n v="529158"/>
    <n v="172857"/>
    <x v="18"/>
    <d v="2023-03-01T00:00:00"/>
    <m/>
    <n v="0"/>
    <x v="3"/>
    <x v="5"/>
    <n v="3"/>
    <n v="3"/>
    <x v="1"/>
    <s v="[REVISED] Demolition of existing single-storey garage and the erection of a 1 x 3-bedroom two-storey house and 2 x 2-bedroom single-storey properties to rear."/>
    <s v="PF"/>
    <d v="2022-03-25T00:00:00"/>
    <d v="2022-07-29T00:00:00"/>
    <x v="0"/>
    <s v="Nil"/>
    <m/>
    <s v="BF"/>
    <s v="NB"/>
    <x v="2"/>
    <x v="3"/>
    <n v="5.7499999999999999E-3"/>
    <m/>
    <x v="0"/>
    <m/>
    <x v="1"/>
    <s v="M"/>
    <s v=""/>
    <m/>
    <m/>
    <m/>
    <m/>
    <m/>
    <n v="0"/>
    <n v="0"/>
    <n v="0"/>
    <n v="1"/>
    <n v="0"/>
    <n v="0"/>
    <n v="0"/>
    <n v="0"/>
    <n v="0"/>
    <n v="0"/>
    <n v="0"/>
    <n v="0"/>
    <n v="0"/>
    <n v="0"/>
    <n v="0"/>
    <n v="0"/>
    <n v="0"/>
    <n v="1"/>
    <n v="0"/>
    <n v="0"/>
    <n v="0"/>
    <n v="0"/>
    <n v="0"/>
    <n v="0"/>
    <n v="0"/>
    <n v="0"/>
    <n v="0"/>
    <n v="0"/>
    <x v="1"/>
    <x v="0"/>
    <x v="2"/>
    <n v="7"/>
    <m/>
    <m/>
    <n v="0.25"/>
    <n v="0.25"/>
    <n v="0.25"/>
    <n v="0.25"/>
    <m/>
    <m/>
    <m/>
    <m/>
    <m/>
    <m/>
    <m/>
    <m/>
    <m/>
    <m/>
    <m/>
    <m/>
    <m/>
    <m/>
    <n v="1"/>
    <n v="1"/>
  </r>
  <r>
    <n v="7350"/>
    <x v="2"/>
    <s v="2021/5328"/>
    <s v="Garages at, 143 Byrne Road"/>
    <s v="House 2"/>
    <n v="529158"/>
    <n v="172857"/>
    <x v="18"/>
    <d v="2023-03-01T00:00:00"/>
    <m/>
    <n v="0"/>
    <x v="3"/>
    <x v="5"/>
    <n v="3"/>
    <n v="3"/>
    <x v="1"/>
    <s v="[REVISED] Demolition of existing single-storey garage and the erection of a 1 x 3-bedroom two-storey house and 2 x 2-bedroom single-storey properties to rear."/>
    <s v="PF"/>
    <d v="2022-03-25T00:00:00"/>
    <d v="2022-07-29T00:00:00"/>
    <x v="0"/>
    <s v="Nil"/>
    <m/>
    <s v="BF"/>
    <s v="NB"/>
    <x v="2"/>
    <x v="3"/>
    <n v="8.0000000000000002E-3"/>
    <m/>
    <x v="0"/>
    <m/>
    <x v="1"/>
    <s v="M"/>
    <s v=""/>
    <m/>
    <m/>
    <m/>
    <m/>
    <m/>
    <n v="0"/>
    <n v="0"/>
    <n v="1"/>
    <n v="0"/>
    <n v="0"/>
    <n v="0"/>
    <n v="0"/>
    <n v="0"/>
    <n v="0"/>
    <n v="0"/>
    <n v="0"/>
    <n v="0"/>
    <n v="0"/>
    <n v="0"/>
    <n v="0"/>
    <n v="0"/>
    <n v="1"/>
    <n v="0"/>
    <n v="0"/>
    <n v="0"/>
    <n v="0"/>
    <n v="0"/>
    <n v="0"/>
    <n v="0"/>
    <n v="0"/>
    <n v="0"/>
    <n v="0"/>
    <n v="0"/>
    <x v="1"/>
    <x v="0"/>
    <x v="2"/>
    <n v="7"/>
    <m/>
    <m/>
    <n v="0.25"/>
    <n v="0.25"/>
    <n v="0.25"/>
    <n v="0.25"/>
    <m/>
    <m/>
    <m/>
    <m/>
    <m/>
    <m/>
    <m/>
    <m/>
    <m/>
    <m/>
    <m/>
    <m/>
    <m/>
    <m/>
    <n v="1"/>
    <n v="1"/>
  </r>
  <r>
    <n v="7350"/>
    <x v="2"/>
    <s v="2021/5328"/>
    <s v="Garages at, 143 Byrne Road"/>
    <s v="House 3"/>
    <n v="529158"/>
    <n v="172857"/>
    <x v="18"/>
    <d v="2023-03-01T00:00:00"/>
    <m/>
    <n v="0"/>
    <x v="3"/>
    <x v="5"/>
    <n v="3"/>
    <n v="3"/>
    <x v="1"/>
    <s v="[REVISED] Demolition of existing single-storey garage and the erection of a 1 x 3-bedroom two-storey house and 2 x 2-bedroom single-storey properties to rear."/>
    <s v="PF"/>
    <d v="2022-03-25T00:00:00"/>
    <d v="2022-07-29T00:00:00"/>
    <x v="0"/>
    <s v="Nil"/>
    <m/>
    <s v="BF"/>
    <s v="NB"/>
    <x v="2"/>
    <x v="3"/>
    <n v="6.1999999999999998E-3"/>
    <m/>
    <x v="0"/>
    <m/>
    <x v="1"/>
    <s v="M"/>
    <s v=""/>
    <m/>
    <m/>
    <m/>
    <m/>
    <m/>
    <n v="0"/>
    <n v="0"/>
    <n v="1"/>
    <n v="0"/>
    <n v="0"/>
    <n v="0"/>
    <n v="0"/>
    <n v="0"/>
    <n v="0"/>
    <n v="0"/>
    <n v="0"/>
    <n v="0"/>
    <n v="0"/>
    <n v="0"/>
    <n v="0"/>
    <n v="0"/>
    <n v="1"/>
    <n v="0"/>
    <n v="0"/>
    <n v="0"/>
    <n v="0"/>
    <n v="0"/>
    <n v="0"/>
    <n v="0"/>
    <n v="0"/>
    <n v="0"/>
    <n v="0"/>
    <n v="0"/>
    <x v="1"/>
    <x v="0"/>
    <x v="2"/>
    <n v="7"/>
    <m/>
    <m/>
    <n v="0.25"/>
    <n v="0.25"/>
    <n v="0.25"/>
    <n v="0.25"/>
    <m/>
    <m/>
    <m/>
    <m/>
    <m/>
    <m/>
    <m/>
    <m/>
    <m/>
    <m/>
    <m/>
    <m/>
    <m/>
    <m/>
    <n v="1"/>
    <n v="1"/>
  </r>
  <r>
    <n v="7738"/>
    <x v="2"/>
    <s v="2021/5404"/>
    <s v="The Garden Cottage, Heath Rise"/>
    <s v=""/>
    <n v="524022"/>
    <n v="174394"/>
    <x v="7"/>
    <m/>
    <m/>
    <n v="1"/>
    <x v="3"/>
    <x v="6"/>
    <n v="1"/>
    <n v="0"/>
    <x v="1"/>
    <s v="Demolition of existing house and garages and erection of a two-storey 5-bedroom detached house."/>
    <s v="PF"/>
    <d v="2021-11-29T00:00:00"/>
    <d v="2022-04-27T00:00:00"/>
    <x v="0"/>
    <s v="Nil"/>
    <m/>
    <s v="BF"/>
    <s v="NB"/>
    <x v="2"/>
    <x v="3"/>
    <n v="1.4E-2"/>
    <m/>
    <x v="0"/>
    <m/>
    <x v="1"/>
    <s v="M"/>
    <s v=""/>
    <m/>
    <m/>
    <m/>
    <m/>
    <m/>
    <n v="0"/>
    <n v="0"/>
    <n v="-1"/>
    <n v="0"/>
    <n v="0"/>
    <n v="1"/>
    <n v="0"/>
    <n v="0"/>
    <n v="0"/>
    <n v="0"/>
    <n v="0"/>
    <n v="0"/>
    <n v="0"/>
    <n v="0"/>
    <n v="0"/>
    <n v="0"/>
    <n v="-1"/>
    <n v="0"/>
    <n v="0"/>
    <n v="1"/>
    <n v="0"/>
    <n v="0"/>
    <n v="0"/>
    <n v="0"/>
    <n v="0"/>
    <n v="0"/>
    <n v="0"/>
    <n v="0"/>
    <x v="1"/>
    <x v="0"/>
    <x v="2"/>
    <n v="7"/>
    <m/>
    <m/>
    <n v="0"/>
    <n v="0"/>
    <n v="0"/>
    <n v="0"/>
    <m/>
    <m/>
    <m/>
    <m/>
    <m/>
    <m/>
    <m/>
    <m/>
    <m/>
    <m/>
    <m/>
    <m/>
    <m/>
    <m/>
    <n v="0"/>
    <n v="0"/>
  </r>
  <r>
    <n v="2262"/>
    <x v="2"/>
    <s v="2021/5516"/>
    <s v="Garages adjoining Salter House, Ullathorne Road"/>
    <s v=""/>
    <n v="529325"/>
    <n v="171589"/>
    <x v="9"/>
    <m/>
    <m/>
    <n v="0"/>
    <x v="12"/>
    <x v="15"/>
    <n v="4"/>
    <n v="4"/>
    <x v="1"/>
    <s v="Demolition of existing garages and erection of 4 x three storey houses."/>
    <s v="PF"/>
    <d v="2021-12-02T00:00:00"/>
    <d v="2022-06-13T00:00:00"/>
    <x v="0"/>
    <s v="Nil"/>
    <m/>
    <s v="BF"/>
    <s v="NB"/>
    <x v="2"/>
    <x v="3"/>
    <n v="1.6E-2"/>
    <m/>
    <x v="0"/>
    <m/>
    <x v="2"/>
    <s v="AS"/>
    <s v=""/>
    <m/>
    <m/>
    <m/>
    <m/>
    <m/>
    <n v="0"/>
    <n v="0"/>
    <n v="0"/>
    <n v="2"/>
    <n v="2"/>
    <n v="0"/>
    <n v="0"/>
    <n v="0"/>
    <n v="0"/>
    <n v="0"/>
    <n v="0"/>
    <n v="0"/>
    <n v="0"/>
    <n v="0"/>
    <n v="0"/>
    <n v="0"/>
    <n v="0"/>
    <n v="2"/>
    <n v="2"/>
    <n v="0"/>
    <n v="0"/>
    <n v="0"/>
    <n v="0"/>
    <n v="0"/>
    <n v="0"/>
    <n v="0"/>
    <n v="0"/>
    <n v="0"/>
    <x v="1"/>
    <x v="0"/>
    <x v="2"/>
    <n v="7"/>
    <m/>
    <m/>
    <n v="1"/>
    <n v="1"/>
    <n v="1"/>
    <n v="1"/>
    <m/>
    <m/>
    <m/>
    <m/>
    <m/>
    <m/>
    <m/>
    <m/>
    <m/>
    <m/>
    <m/>
    <m/>
    <m/>
    <m/>
    <n v="4"/>
    <n v="4"/>
  </r>
  <r>
    <n v="6198"/>
    <x v="2"/>
    <s v="2021/5704"/>
    <s v="34 Roehampton Gate"/>
    <s v=""/>
    <n v="521202"/>
    <n v="174373"/>
    <x v="4"/>
    <m/>
    <m/>
    <n v="1"/>
    <x v="3"/>
    <x v="6"/>
    <n v="1"/>
    <n v="0"/>
    <x v="1"/>
    <s v="Demolition of existing dwelling and erection of a two-storey house with additional accommodation within the roofspace and at basement level including front and rear lightwells."/>
    <s v="PF"/>
    <d v="2022-02-16T00:00:00"/>
    <d v="2022-04-13T00:00:00"/>
    <x v="0"/>
    <s v="Nil"/>
    <m/>
    <s v="BF"/>
    <s v="NB"/>
    <x v="2"/>
    <x v="3"/>
    <n v="1.2E-2"/>
    <m/>
    <x v="0"/>
    <m/>
    <x v="1"/>
    <s v="M"/>
    <s v=""/>
    <m/>
    <m/>
    <m/>
    <m/>
    <m/>
    <n v="0"/>
    <n v="0"/>
    <n v="0"/>
    <n v="0"/>
    <n v="-1"/>
    <n v="1"/>
    <n v="0"/>
    <n v="0"/>
    <n v="0"/>
    <n v="0"/>
    <n v="0"/>
    <n v="0"/>
    <n v="0"/>
    <n v="0"/>
    <n v="0"/>
    <n v="0"/>
    <n v="0"/>
    <n v="0"/>
    <n v="-1"/>
    <n v="1"/>
    <n v="0"/>
    <n v="0"/>
    <n v="0"/>
    <n v="0"/>
    <n v="0"/>
    <n v="0"/>
    <n v="0"/>
    <n v="0"/>
    <x v="1"/>
    <x v="0"/>
    <x v="2"/>
    <n v="7"/>
    <m/>
    <m/>
    <n v="0"/>
    <n v="0"/>
    <n v="0"/>
    <n v="0"/>
    <m/>
    <m/>
    <m/>
    <m/>
    <m/>
    <m/>
    <m/>
    <m/>
    <m/>
    <m/>
    <m/>
    <m/>
    <m/>
    <m/>
    <n v="0"/>
    <n v="0"/>
  </r>
  <r>
    <n v="6608"/>
    <x v="2"/>
    <s v="2021/5718"/>
    <s v="98 Tooting High Street"/>
    <s v=""/>
    <n v="527334"/>
    <n v="171328"/>
    <x v="0"/>
    <m/>
    <m/>
    <n v="1"/>
    <x v="5"/>
    <x v="5"/>
    <n v="2"/>
    <n v="1"/>
    <x v="1"/>
    <s v="Alterations to include the erection of a part single, part two-storey rear extension to provide a 1 x2-bedroom flat."/>
    <s v="PF"/>
    <d v="2022-01-04T00:00:00"/>
    <d v="2022-03-01T00:00:00"/>
    <x v="0"/>
    <s v="Nil"/>
    <m/>
    <s v="BF"/>
    <s v="EXT"/>
    <x v="2"/>
    <x v="7"/>
    <n v="7.8659999999999997E-3"/>
    <m/>
    <x v="0"/>
    <m/>
    <x v="1"/>
    <s v="MR"/>
    <s v=""/>
    <m/>
    <m/>
    <m/>
    <m/>
    <m/>
    <n v="0"/>
    <n v="0"/>
    <n v="1"/>
    <n v="0"/>
    <n v="0"/>
    <n v="0"/>
    <n v="0"/>
    <n v="0"/>
    <n v="0"/>
    <n v="1"/>
    <n v="0"/>
    <n v="0"/>
    <n v="0"/>
    <n v="0"/>
    <n v="0"/>
    <n v="0"/>
    <n v="0"/>
    <n v="0"/>
    <n v="0"/>
    <n v="0"/>
    <n v="0"/>
    <n v="0"/>
    <n v="0"/>
    <n v="0"/>
    <n v="0"/>
    <n v="0"/>
    <n v="0"/>
    <n v="0"/>
    <x v="1"/>
    <x v="0"/>
    <x v="0"/>
    <n v="15"/>
    <m/>
    <n v="0.25"/>
    <n v="0.25"/>
    <n v="0.25"/>
    <n v="0.25"/>
    <m/>
    <m/>
    <m/>
    <m/>
    <m/>
    <m/>
    <m/>
    <m/>
    <m/>
    <m/>
    <m/>
    <m/>
    <m/>
    <m/>
    <m/>
    <n v="1"/>
    <n v="1"/>
  </r>
  <r>
    <n v="7385"/>
    <x v="1"/>
    <s v="2022/5303"/>
    <s v="Randall Close Day Centre and car park, 2 Randall Close (Surrey Lane Estate)"/>
    <s v="BLOCK B - HYDE LANE"/>
    <n v="527211"/>
    <n v="176872"/>
    <x v="2"/>
    <d v="2022-09-21T00:00:00"/>
    <m/>
    <n v="0"/>
    <x v="23"/>
    <x v="27"/>
    <n v="106"/>
    <n v="106"/>
    <x v="0"/>
    <s v="Variation of conditions 36 (Flood risk) and 41 (provision of 106 affordable and market units) pursuant to planning permission dated 07/05/2021 ref 2020/0635 (as varied by Non-Material Amendments (NMA) dated 13/01/2022 ref.2021/5680, NMA dated 21/10/2022 ref.2022/4169, NMA dated 25/01/2023 ref.2022/3868 and NMA dated 25/01/2023 ref.2022/4493) (Demolition of existing buildings and redevelopment of site to include erection of three buildings between four and six storeys (fronting Battersea Bridge Road and Randall Close) to provide 106 affordable residential units with associated public open space, landscaping, car and cycle parking, refuse storage, plant and amenity space.) to allow submission of updated flood risk assessment and provision of no more than 106 affordable residential units"/>
    <s v="S73"/>
    <d v="2023-01-04T00:00:00"/>
    <d v="2023-07-28T00:00:00"/>
    <x v="1"/>
    <s v="Nil"/>
    <m/>
    <s v="BF"/>
    <s v="NB"/>
    <x v="1"/>
    <x v="0"/>
    <n v="0.23"/>
    <d v="2023-03-09T00:00:00"/>
    <x v="0"/>
    <m/>
    <x v="2"/>
    <s v="AL"/>
    <s v=""/>
    <m/>
    <m/>
    <n v="39"/>
    <m/>
    <m/>
    <n v="0"/>
    <n v="10"/>
    <n v="28"/>
    <n v="1"/>
    <n v="0"/>
    <n v="0"/>
    <n v="0"/>
    <n v="0"/>
    <n v="10"/>
    <n v="28"/>
    <n v="1"/>
    <n v="0"/>
    <n v="0"/>
    <n v="0"/>
    <n v="0"/>
    <n v="0"/>
    <n v="0"/>
    <n v="0"/>
    <n v="0"/>
    <n v="0"/>
    <n v="0"/>
    <n v="0"/>
    <n v="0"/>
    <n v="0"/>
    <n v="0"/>
    <n v="0"/>
    <n v="0"/>
    <n v="0"/>
    <x v="1"/>
    <x v="0"/>
    <x v="2"/>
    <n v="5"/>
    <m/>
    <m/>
    <n v="39"/>
    <m/>
    <m/>
    <m/>
    <m/>
    <m/>
    <m/>
    <m/>
    <m/>
    <m/>
    <m/>
    <m/>
    <m/>
    <m/>
    <m/>
    <m/>
    <m/>
    <m/>
    <n v="39"/>
    <n v="39"/>
  </r>
  <r>
    <n v="7385"/>
    <x v="1"/>
    <s v="2022/5303"/>
    <s v="Randall Close Day Centre and car park, 2 Randall Close (Surrey Lane Estate)"/>
    <s v="BLOCK A2 - RANDALL CLOSE"/>
    <n v="527211"/>
    <n v="176872"/>
    <x v="2"/>
    <d v="2022-09-21T00:00:00"/>
    <m/>
    <n v="0"/>
    <x v="50"/>
    <x v="59"/>
    <n v="106"/>
    <n v="106"/>
    <x v="0"/>
    <s v="Variation of conditions 36 (Flood risk) and 41 (provision of 106 affordable and market units) pursuant to planning permission dated 07/05/2021 ref 2020/0635 (as varied by Non-Material Amendments (NMA) dated 13/01/2022 ref.2021/5680, NMA dated 21/10/2022 ref.2022/4169, NMA dated 25/01/2023 ref.2022/3868 and NMA dated 25/01/2023 ref.2022/4493) (Demolition of existing buildings and redevelopment of site to include erection of three buildings between four and six storeys (fronting Battersea Bridge Road and Randall Close) to provide 106 affordable residential units with associated public open space, landscaping, car and cycle parking, refuse storage, plant and amenity space.) to allow submission of updated flood risk assessment and provision of no more than 106 affordable residential units"/>
    <s v="S73"/>
    <d v="2023-01-04T00:00:00"/>
    <d v="2023-07-28T00:00:00"/>
    <x v="1"/>
    <s v="Nil"/>
    <m/>
    <s v="BF"/>
    <s v="NB"/>
    <x v="1"/>
    <x v="0"/>
    <n v="0.17699999999999999"/>
    <d v="2023-03-09T00:00:00"/>
    <x v="0"/>
    <m/>
    <x v="2"/>
    <s v="AL"/>
    <s v=""/>
    <m/>
    <m/>
    <n v="30"/>
    <m/>
    <m/>
    <n v="22"/>
    <n v="0"/>
    <n v="8"/>
    <n v="0"/>
    <n v="0"/>
    <n v="0"/>
    <n v="0"/>
    <n v="22"/>
    <n v="0"/>
    <n v="8"/>
    <n v="0"/>
    <n v="0"/>
    <n v="0"/>
    <n v="0"/>
    <n v="0"/>
    <n v="0"/>
    <n v="0"/>
    <n v="0"/>
    <n v="0"/>
    <n v="0"/>
    <n v="0"/>
    <n v="0"/>
    <n v="0"/>
    <n v="0"/>
    <n v="0"/>
    <n v="0"/>
    <n v="0"/>
    <n v="0"/>
    <x v="1"/>
    <x v="0"/>
    <x v="2"/>
    <n v="5"/>
    <m/>
    <m/>
    <n v="30"/>
    <m/>
    <m/>
    <m/>
    <m/>
    <m/>
    <m/>
    <m/>
    <m/>
    <m/>
    <m/>
    <m/>
    <m/>
    <m/>
    <m/>
    <m/>
    <m/>
    <m/>
    <n v="30"/>
    <n v="30"/>
  </r>
  <r>
    <n v="7385"/>
    <x v="1"/>
    <s v="2022/5303"/>
    <s v="Randall Close Day Centre and car park, 2 Randall Close (Surrey Lane Estate)"/>
    <s v="BLOCK A1 - RANDALL CLOSE"/>
    <n v="527211"/>
    <n v="176872"/>
    <x v="2"/>
    <d v="2022-09-21T00:00:00"/>
    <m/>
    <n v="0"/>
    <x v="25"/>
    <x v="29"/>
    <n v="106"/>
    <n v="106"/>
    <x v="0"/>
    <s v="Variation of conditions 36 (Flood risk) and 41 (provision of 106 affordable and market units) pursuant to planning permission dated 07/05/2021 ref 2020/0635 (as varied by Non-Material Amendments (NMA) dated 13/01/2022 ref.2021/5680, NMA dated 21/10/2022 ref.2022/4169, NMA dated 25/01/2023 ref.2022/3868 and NMA dated 25/01/2023 ref.2022/4493) (Demolition of existing buildings and redevelopment of site to include erection of three buildings between four and six storeys (fronting Battersea Bridge Road and Randall Close) to provide 106 affordable residential units with associated public open space, landscaping, car and cycle parking, refuse storage, plant and amenity space.) to allow submission of updated flood risk assessment and provision of no more than 106 affordable residential units"/>
    <s v="S73"/>
    <d v="2023-01-04T00:00:00"/>
    <d v="2023-07-28T00:00:00"/>
    <x v="1"/>
    <s v="Nil"/>
    <m/>
    <s v="BF"/>
    <s v="NB"/>
    <x v="1"/>
    <x v="0"/>
    <n v="0.16"/>
    <d v="2023-03-09T00:00:00"/>
    <x v="0"/>
    <m/>
    <x v="2"/>
    <s v="AL"/>
    <s v=""/>
    <m/>
    <m/>
    <n v="16"/>
    <m/>
    <n v="11"/>
    <n v="0"/>
    <n v="8"/>
    <n v="13"/>
    <n v="4"/>
    <n v="2"/>
    <n v="0"/>
    <n v="0"/>
    <n v="0"/>
    <n v="8"/>
    <n v="13"/>
    <n v="4"/>
    <n v="2"/>
    <n v="0"/>
    <n v="0"/>
    <n v="0"/>
    <n v="0"/>
    <n v="0"/>
    <n v="0"/>
    <n v="0"/>
    <n v="0"/>
    <n v="0"/>
    <n v="0"/>
    <n v="0"/>
    <n v="0"/>
    <n v="0"/>
    <n v="0"/>
    <n v="0"/>
    <n v="0"/>
    <x v="1"/>
    <x v="0"/>
    <x v="2"/>
    <n v="5"/>
    <m/>
    <m/>
    <n v="27"/>
    <m/>
    <m/>
    <m/>
    <m/>
    <m/>
    <m/>
    <m/>
    <m/>
    <m/>
    <m/>
    <m/>
    <m/>
    <m/>
    <m/>
    <m/>
    <m/>
    <m/>
    <n v="27"/>
    <n v="27"/>
  </r>
  <r>
    <n v="7385"/>
    <x v="1"/>
    <s v="2022/5303"/>
    <s v="Randall Close Day Centre and car park, 2 Randall Close (Surrey Lane Estate)"/>
    <s v="BLOCK C - BATTERSEA BRIDGE ROAD"/>
    <n v="527211"/>
    <n v="176872"/>
    <x v="2"/>
    <d v="2022-09-21T00:00:00"/>
    <m/>
    <n v="0"/>
    <x v="43"/>
    <x v="52"/>
    <n v="106"/>
    <n v="106"/>
    <x v="0"/>
    <s v="Variation of conditions 36 (Flood risk) and 41 (provision of 106 affordable and market units) pursuant to planning permission dated 07/05/2021 ref 2020/0635 (as varied by Non-Material Amendments (NMA) dated 13/01/2022 ref.2021/5680, NMA dated 21/10/2022 ref.2022/4169, NMA dated 25/01/2023 ref.2022/3868 and NMA dated 25/01/2023 ref.2022/4493) (Demolition of existing buildings and redevelopment of site to include erection of three buildings between four and six storeys (fronting Battersea Bridge Road and Randall Close) to provide 106 affordable residential units with associated public open space, landscaping, car and cycle parking, refuse storage, plant and amenity space.) to allow submission of updated flood risk assessment and provision of no more than 106 affordable residential units"/>
    <s v="S73"/>
    <d v="2023-01-04T00:00:00"/>
    <d v="2023-07-28T00:00:00"/>
    <x v="1"/>
    <s v="Nil"/>
    <m/>
    <s v="BF"/>
    <s v="NB"/>
    <x v="1"/>
    <x v="0"/>
    <n v="5.8999999999999997E-2"/>
    <d v="2023-03-09T00:00:00"/>
    <x v="0"/>
    <m/>
    <x v="2"/>
    <s v="AL"/>
    <s v=""/>
    <m/>
    <m/>
    <n v="10"/>
    <m/>
    <m/>
    <n v="0"/>
    <n v="6"/>
    <n v="4"/>
    <n v="0"/>
    <n v="0"/>
    <n v="0"/>
    <n v="0"/>
    <n v="0"/>
    <n v="6"/>
    <n v="4"/>
    <n v="0"/>
    <n v="0"/>
    <n v="0"/>
    <n v="0"/>
    <n v="0"/>
    <n v="0"/>
    <n v="0"/>
    <n v="0"/>
    <n v="0"/>
    <n v="0"/>
    <n v="0"/>
    <n v="0"/>
    <n v="0"/>
    <n v="0"/>
    <n v="0"/>
    <n v="0"/>
    <n v="0"/>
    <n v="0"/>
    <x v="1"/>
    <x v="0"/>
    <x v="2"/>
    <n v="5"/>
    <m/>
    <m/>
    <n v="10"/>
    <m/>
    <m/>
    <m/>
    <m/>
    <m/>
    <m/>
    <m/>
    <m/>
    <m/>
    <m/>
    <m/>
    <m/>
    <m/>
    <m/>
    <m/>
    <m/>
    <m/>
    <n v="10"/>
    <n v="10"/>
  </r>
  <r>
    <n v="6117"/>
    <x v="2"/>
    <s v="2022/0151"/>
    <s v="213 Upper Richmond Road"/>
    <s v=""/>
    <n v="523702"/>
    <n v="175127"/>
    <x v="16"/>
    <m/>
    <m/>
    <n v="0"/>
    <x v="3"/>
    <x v="5"/>
    <n v="1"/>
    <n v="1"/>
    <x v="1"/>
    <s v="Alterations to separate the first and ground floor to create studio consisting of part of the ground floor and the full first floor."/>
    <s v="PF"/>
    <d v="2022-03-17T00:00:00"/>
    <d v="2022-05-10T00:00:00"/>
    <x v="0"/>
    <s v="Nil"/>
    <m/>
    <s v="BF"/>
    <s v="CON"/>
    <x v="2"/>
    <x v="8"/>
    <n v="3.7030000000000001E-3"/>
    <m/>
    <x v="0"/>
    <m/>
    <x v="1"/>
    <s v="M"/>
    <s v=""/>
    <m/>
    <m/>
    <m/>
    <m/>
    <m/>
    <n v="1"/>
    <n v="0"/>
    <n v="0"/>
    <n v="0"/>
    <n v="0"/>
    <n v="0"/>
    <n v="0"/>
    <n v="1"/>
    <n v="0"/>
    <n v="0"/>
    <n v="0"/>
    <n v="0"/>
    <n v="0"/>
    <n v="0"/>
    <n v="0"/>
    <n v="0"/>
    <n v="0"/>
    <n v="0"/>
    <n v="0"/>
    <n v="0"/>
    <n v="0"/>
    <n v="0"/>
    <n v="0"/>
    <n v="0"/>
    <n v="0"/>
    <n v="0"/>
    <n v="0"/>
    <n v="0"/>
    <x v="2"/>
    <x v="0"/>
    <x v="6"/>
    <n v="15"/>
    <m/>
    <n v="0.25"/>
    <n v="0.25"/>
    <n v="0.25"/>
    <n v="0.25"/>
    <m/>
    <m/>
    <m/>
    <m/>
    <m/>
    <m/>
    <m/>
    <m/>
    <m/>
    <m/>
    <m/>
    <m/>
    <m/>
    <m/>
    <m/>
    <n v="1"/>
    <n v="1"/>
  </r>
  <r>
    <n v="3980"/>
    <x v="2"/>
    <s v="2022/0249"/>
    <s v="Former Prices Candles Factory, 110 York Road"/>
    <s v="building 4 - affordable"/>
    <n v="526592"/>
    <n v="175883"/>
    <x v="15"/>
    <d v="2024-03-31T00:00:00"/>
    <m/>
    <n v="0"/>
    <x v="94"/>
    <x v="106"/>
    <n v="177"/>
    <n v="177"/>
    <x v="0"/>
    <s v="Variation to Conditions 2 (Approved drawings), Condition 3 (Land use restriction), Condition 5 (Opening hours), Condition 6 (Amplified speech/sound), Condition 10 (Flood Risk Assessment), Condition 23 (BREEAM Assessment), Condition 28 (Number of residential units), Condition 29 (Land Uses), Condition 30 (Car and cycle parking), Condition 31 (Phasing Plans) pursuant to planning permission dated 05/12/2019 ref 2017/0745 as amended [Erection of a 25 storey building comprising residential accommodation (with balconies) and ground floor commercial floorspace. Demolition of car showroom on Bridges Court and erection of a five storey building to provide ground floor commercial and office floorspace on first to fourth floors. Excavation to create basements comprising car and cycle parking spaces, plant, refuse/recycling stores and other ancillary spaces serving the development. Alterations and erection of two additional storeys (and 2nd/3rd floor links) and roof terrace to retained York Road buildings with commercial and office use. Provision of a terrace of six single storey flexible commercial/service/Drinking establishment units. Provision of amenity space, public realm, landscaping, play space, car parking, and paving to Bridges Court] to allow: Changes to internal residential unit mix to allow for an increase from 136 units up to 177 units, alterations to the layout of the top three floors to increase roof terrace size, reduction in size of the approved basement, reduction in approved number of car parking spaces, increase in the number of cycle parking spaces, alterations to commercial offering and the inclusion of Air Source Heat Pumps system."/>
    <s v="S73"/>
    <d v="2022-01-21T00:00:00"/>
    <d v="2022-07-12T00:00:00"/>
    <x v="0"/>
    <s v="Nil"/>
    <m/>
    <s v="BF"/>
    <s v="NB"/>
    <x v="1"/>
    <x v="0"/>
    <n v="8.5000000000000006E-2"/>
    <m/>
    <x v="0"/>
    <m/>
    <x v="0"/>
    <s v="ISL"/>
    <s v="10.2"/>
    <m/>
    <m/>
    <m/>
    <m/>
    <m/>
    <n v="0"/>
    <n v="32"/>
    <n v="32"/>
    <n v="0"/>
    <n v="0"/>
    <n v="0"/>
    <n v="0"/>
    <n v="0"/>
    <n v="32"/>
    <n v="32"/>
    <n v="0"/>
    <n v="0"/>
    <n v="0"/>
    <n v="0"/>
    <n v="0"/>
    <n v="0"/>
    <n v="0"/>
    <n v="0"/>
    <n v="0"/>
    <n v="0"/>
    <n v="0"/>
    <n v="0"/>
    <n v="0"/>
    <n v="0"/>
    <n v="0"/>
    <n v="0"/>
    <n v="0"/>
    <n v="0"/>
    <x v="1"/>
    <x v="0"/>
    <x v="3"/>
    <n v="10"/>
    <m/>
    <m/>
    <m/>
    <m/>
    <n v="21.333333333333332"/>
    <n v="21.333333333333332"/>
    <n v="21.333333333333332"/>
    <m/>
    <m/>
    <m/>
    <m/>
    <m/>
    <m/>
    <m/>
    <m/>
    <m/>
    <m/>
    <m/>
    <m/>
    <m/>
    <n v="42.666666666666664"/>
    <n v="64"/>
  </r>
  <r>
    <n v="3980"/>
    <x v="2"/>
    <s v="2022/0249"/>
    <s v="Former Prices Candles Factory, 110 York Road"/>
    <s v="building 4 - market"/>
    <n v="526592"/>
    <n v="175883"/>
    <x v="15"/>
    <d v="2024-03-31T00:00:00"/>
    <m/>
    <n v="0"/>
    <x v="112"/>
    <x v="129"/>
    <n v="177"/>
    <n v="177"/>
    <x v="0"/>
    <s v="Variation to Conditions 2 (Approved drawings), Condition 3 (Land use restriction), Condition 5 (Opening hours), Condition 6 (Amplified speech/sound), Condition 10 (Flood Risk Assessment), Condition 23 (BREEAM Assessment), Condition 28 (Number of residential units), Condition 29 (Land Uses), Condition 30 (Car and cycle parking), Condition 31 (Phasing Plans) pursuant to planning permission dated 05/12/2019 ref 2017/0745 as amended [Erection of a 25 storey building comprising residential accommodation (with balconies) and ground floor commercial floorspace. Demolition of car showroom on Bridges Court and erection of a five storey building to provide ground floor commercial and office floorspace on first to fourth floors. Excavation to create basements comprising car and cycle parking spaces, plant, refuse/recycling stores and other ancillary spaces serving the development. Alterations and erection of two additional storeys (and 2nd/3rd floor links) and roof terrace to retained York Road buildings with commercial and office use. Provision of a terrace of six single storey flexible commercial/service/Drinking establishment units. Provision of amenity space, public realm, landscaping, play space, car parking, and paving to Bridges Court] to allow: Changes to internal residential unit mix to allow for an increase from 136 units up to 177 units, alterations to the layout of the top three floors to increase roof terrace size, reduction in size of the approved basement, reduction in approved number of car parking spaces, increase in the number of cycle parking spaces, alterations to commercial offering and the inclusion of Air Source Heat Pumps system."/>
    <s v="S73"/>
    <d v="2022-01-21T00:00:00"/>
    <d v="2022-07-12T00:00:00"/>
    <x v="0"/>
    <s v="Nil"/>
    <m/>
    <s v="BF"/>
    <s v="NB"/>
    <x v="1"/>
    <x v="0"/>
    <n v="0.17299999999999999"/>
    <m/>
    <x v="0"/>
    <m/>
    <x v="1"/>
    <s v="M"/>
    <s v="10.2"/>
    <m/>
    <m/>
    <m/>
    <m/>
    <m/>
    <n v="0"/>
    <n v="50"/>
    <n v="54"/>
    <n v="9"/>
    <n v="0"/>
    <n v="0"/>
    <n v="0"/>
    <n v="0"/>
    <n v="50"/>
    <n v="54"/>
    <n v="9"/>
    <n v="0"/>
    <n v="0"/>
    <n v="0"/>
    <n v="0"/>
    <n v="0"/>
    <n v="0"/>
    <n v="0"/>
    <n v="0"/>
    <n v="0"/>
    <n v="0"/>
    <n v="0"/>
    <n v="0"/>
    <n v="0"/>
    <n v="0"/>
    <n v="0"/>
    <n v="0"/>
    <n v="0"/>
    <x v="1"/>
    <x v="0"/>
    <x v="3"/>
    <n v="10"/>
    <m/>
    <m/>
    <m/>
    <m/>
    <n v="37.666666666666664"/>
    <n v="37.666666666666664"/>
    <n v="37.666666666666664"/>
    <m/>
    <m/>
    <m/>
    <m/>
    <m/>
    <m/>
    <m/>
    <m/>
    <m/>
    <m/>
    <m/>
    <m/>
    <m/>
    <n v="75.333333333333329"/>
    <n v="113"/>
  </r>
  <r>
    <n v="7786"/>
    <x v="2"/>
    <s v="2022/0455"/>
    <s v="170-172 Mitcham Road"/>
    <s v=""/>
    <n v="527853"/>
    <n v="171000"/>
    <x v="0"/>
    <m/>
    <m/>
    <n v="2"/>
    <x v="10"/>
    <x v="28"/>
    <n v="7"/>
    <n v="5"/>
    <x v="1"/>
    <s v="Alterations including change of use of rear ground floor from commercial (Class E) to residential (Class C3) at both properties. Erection of part single, part two, part three-storey side/rear extension at both properties and formation of second floor rear roof terraces. Provision of 2x 1-bedroom flats at ground level and conversion of existing 2x flats on 1st and 2nd floor into 3x 2-bedroom and 1x 1-bedroom studio flats. Erection of a dormer extension to main rear roof slopes with French windows and safety balustrade at both properties to create 1x 1-bedroom flat."/>
    <s v="PF"/>
    <d v="2022-02-21T00:00:00"/>
    <d v="2022-11-24T00:00:00"/>
    <x v="0"/>
    <s v="Nil"/>
    <m/>
    <s v="BF"/>
    <s v="MIX"/>
    <x v="2"/>
    <x v="4"/>
    <n v="1.6566669999999999E-2"/>
    <m/>
    <x v="0"/>
    <m/>
    <x v="1"/>
    <s v="MR"/>
    <s v=""/>
    <m/>
    <m/>
    <m/>
    <m/>
    <m/>
    <n v="1"/>
    <n v="3"/>
    <n v="3"/>
    <n v="0"/>
    <n v="-2"/>
    <n v="0"/>
    <n v="0"/>
    <n v="1"/>
    <n v="3"/>
    <n v="3"/>
    <n v="0"/>
    <n v="-2"/>
    <n v="0"/>
    <n v="0"/>
    <n v="0"/>
    <n v="0"/>
    <n v="0"/>
    <n v="0"/>
    <n v="0"/>
    <n v="0"/>
    <n v="0"/>
    <n v="0"/>
    <n v="0"/>
    <n v="0"/>
    <n v="0"/>
    <n v="0"/>
    <n v="0"/>
    <n v="0"/>
    <x v="1"/>
    <x v="0"/>
    <x v="0"/>
    <n v="18"/>
    <m/>
    <n v="1.25"/>
    <n v="1.25"/>
    <n v="1.25"/>
    <n v="1.25"/>
    <m/>
    <m/>
    <m/>
    <m/>
    <m/>
    <m/>
    <m/>
    <m/>
    <m/>
    <m/>
    <m/>
    <m/>
    <m/>
    <m/>
    <m/>
    <n v="5"/>
    <n v="5"/>
  </r>
  <r>
    <n v="7765"/>
    <x v="2"/>
    <s v="2022/0480"/>
    <s v="423 Upper Richmond Road"/>
    <s v=""/>
    <n v="522152"/>
    <n v="175463"/>
    <x v="4"/>
    <m/>
    <m/>
    <n v="0"/>
    <x v="3"/>
    <x v="5"/>
    <n v="1"/>
    <n v="1"/>
    <x v="1"/>
    <s v="Use as a single dwelling house (Class C3) including alteratuions to fenestration."/>
    <s v="PFLA"/>
    <d v="2022-02-23T00:00:00"/>
    <d v="2022-11-29T00:00:00"/>
    <x v="0"/>
    <s v="Nil"/>
    <m/>
    <s v="BF"/>
    <s v="CON"/>
    <x v="2"/>
    <x v="11"/>
    <n v="7.6400000000000001E-3"/>
    <m/>
    <x v="0"/>
    <m/>
    <x v="1"/>
    <s v="M"/>
    <s v=""/>
    <m/>
    <m/>
    <m/>
    <m/>
    <m/>
    <n v="0"/>
    <n v="0"/>
    <n v="0"/>
    <n v="0"/>
    <n v="0"/>
    <n v="1"/>
    <n v="0"/>
    <n v="0"/>
    <n v="0"/>
    <n v="0"/>
    <n v="0"/>
    <n v="0"/>
    <n v="0"/>
    <n v="0"/>
    <n v="0"/>
    <n v="0"/>
    <n v="0"/>
    <n v="0"/>
    <n v="0"/>
    <n v="1"/>
    <n v="0"/>
    <n v="0"/>
    <n v="0"/>
    <n v="0"/>
    <n v="0"/>
    <n v="0"/>
    <n v="0"/>
    <n v="0"/>
    <x v="1"/>
    <x v="0"/>
    <x v="2"/>
    <n v="15"/>
    <m/>
    <n v="0.25"/>
    <n v="0.25"/>
    <n v="0.25"/>
    <n v="0.25"/>
    <m/>
    <m/>
    <m/>
    <m/>
    <m/>
    <m/>
    <m/>
    <m/>
    <m/>
    <m/>
    <m/>
    <m/>
    <m/>
    <m/>
    <m/>
    <n v="1"/>
    <n v="1"/>
  </r>
  <r>
    <n v="7766"/>
    <x v="2"/>
    <s v="2022/0494"/>
    <s v="421 Upper Richmond Road"/>
    <s v=""/>
    <n v="522160"/>
    <n v="175461"/>
    <x v="4"/>
    <m/>
    <m/>
    <n v="0"/>
    <x v="3"/>
    <x v="5"/>
    <n v="1"/>
    <n v="1"/>
    <x v="1"/>
    <s v="Use of property as a single dwelling (Class C3)."/>
    <s v="PFLA"/>
    <d v="2022-02-23T00:00:00"/>
    <d v="2022-11-29T00:00:00"/>
    <x v="0"/>
    <s v="Nil"/>
    <m/>
    <s v="BF"/>
    <s v="CON"/>
    <x v="2"/>
    <x v="11"/>
    <n v="8.0000000000000002E-3"/>
    <m/>
    <x v="0"/>
    <m/>
    <x v="1"/>
    <s v="M"/>
    <s v=""/>
    <m/>
    <m/>
    <m/>
    <m/>
    <m/>
    <n v="0"/>
    <n v="0"/>
    <n v="0"/>
    <n v="0"/>
    <n v="0"/>
    <n v="1"/>
    <n v="0"/>
    <n v="0"/>
    <n v="0"/>
    <n v="0"/>
    <n v="0"/>
    <n v="0"/>
    <n v="0"/>
    <n v="0"/>
    <n v="0"/>
    <n v="0"/>
    <n v="0"/>
    <n v="0"/>
    <n v="0"/>
    <n v="1"/>
    <n v="0"/>
    <n v="0"/>
    <n v="0"/>
    <n v="0"/>
    <n v="0"/>
    <n v="0"/>
    <n v="0"/>
    <n v="0"/>
    <x v="1"/>
    <x v="0"/>
    <x v="2"/>
    <n v="15"/>
    <m/>
    <n v="0.25"/>
    <n v="0.25"/>
    <n v="0.25"/>
    <n v="0.25"/>
    <m/>
    <m/>
    <m/>
    <m/>
    <m/>
    <m/>
    <m/>
    <m/>
    <m/>
    <m/>
    <m/>
    <m/>
    <m/>
    <m/>
    <m/>
    <n v="1"/>
    <n v="1"/>
  </r>
  <r>
    <n v="4419"/>
    <x v="2"/>
    <s v="2022/0600"/>
    <s v="214 Upper Richmond Road"/>
    <s v=""/>
    <n v="523893"/>
    <n v="175089"/>
    <x v="16"/>
    <m/>
    <m/>
    <n v="0"/>
    <x v="28"/>
    <x v="32"/>
    <n v="15"/>
    <n v="15"/>
    <x v="0"/>
    <s v="Alterations including associated external alterations to the rear of the building to install new fenestration on the first to fourth floors, the provision cycle and waste storage facilities and installation of 30 PV panels on the roof in connection with change of use from hotel (Class C1) to residential (Class C3) to provide 9 x 1-bed and 6 x 2-bed flats."/>
    <s v="PFLA"/>
    <d v="2022-03-01T00:00:00"/>
    <d v="2023-01-18T00:00:00"/>
    <x v="0"/>
    <s v="Nil"/>
    <m/>
    <s v="BF"/>
    <s v="CON"/>
    <x v="0"/>
    <x v="0"/>
    <n v="1.8259999999999998E-2"/>
    <m/>
    <x v="0"/>
    <m/>
    <x v="1"/>
    <s v="M"/>
    <s v=""/>
    <m/>
    <m/>
    <m/>
    <m/>
    <m/>
    <n v="0"/>
    <n v="9"/>
    <n v="6"/>
    <n v="0"/>
    <n v="0"/>
    <n v="0"/>
    <n v="0"/>
    <n v="0"/>
    <n v="9"/>
    <n v="6"/>
    <n v="0"/>
    <n v="0"/>
    <n v="0"/>
    <n v="0"/>
    <n v="0"/>
    <n v="0"/>
    <n v="0"/>
    <n v="0"/>
    <n v="0"/>
    <n v="0"/>
    <n v="0"/>
    <n v="0"/>
    <n v="0"/>
    <n v="0"/>
    <n v="0"/>
    <n v="0"/>
    <n v="0"/>
    <n v="0"/>
    <x v="2"/>
    <x v="0"/>
    <x v="6"/>
    <n v="18"/>
    <m/>
    <n v="3.75"/>
    <n v="3.75"/>
    <n v="3.75"/>
    <n v="3.75"/>
    <m/>
    <m/>
    <m/>
    <m/>
    <m/>
    <m/>
    <m/>
    <m/>
    <m/>
    <m/>
    <m/>
    <m/>
    <m/>
    <m/>
    <m/>
    <n v="15"/>
    <n v="15"/>
  </r>
  <r>
    <n v="7528"/>
    <x v="2"/>
    <s v="2022/0643"/>
    <s v="Basement and Ground Floor, 176 Battersea Park Road"/>
    <s v=""/>
    <n v="527858"/>
    <n v="176582"/>
    <x v="2"/>
    <m/>
    <m/>
    <n v="0"/>
    <x v="3"/>
    <x v="5"/>
    <n v="1"/>
    <n v="1"/>
    <x v="1"/>
    <s v="Alterations including erection of single-storey rear extension and excavations to enlarge existing basement to facilitate the formation of 1 x 2-bedroom flat with cycle and refuse storage. Part change of use of retail unit (Class E)  to residenrtial (Class C3)."/>
    <s v="PF"/>
    <d v="2022-03-01T00:00:00"/>
    <d v="2022-08-19T00:00:00"/>
    <x v="0"/>
    <s v="Nil"/>
    <m/>
    <s v="BF"/>
    <s v="CON"/>
    <x v="2"/>
    <x v="4"/>
    <n v="5.0000000000000001E-3"/>
    <m/>
    <x v="0"/>
    <m/>
    <x v="1"/>
    <s v="MR"/>
    <s v=""/>
    <m/>
    <m/>
    <m/>
    <m/>
    <m/>
    <n v="0"/>
    <n v="0"/>
    <n v="1"/>
    <n v="0"/>
    <n v="0"/>
    <n v="0"/>
    <n v="0"/>
    <n v="0"/>
    <n v="0"/>
    <n v="1"/>
    <n v="0"/>
    <n v="0"/>
    <n v="0"/>
    <n v="0"/>
    <n v="0"/>
    <n v="0"/>
    <n v="0"/>
    <n v="0"/>
    <n v="0"/>
    <n v="0"/>
    <n v="0"/>
    <n v="0"/>
    <n v="0"/>
    <n v="0"/>
    <n v="0"/>
    <n v="0"/>
    <n v="0"/>
    <n v="0"/>
    <x v="1"/>
    <x v="0"/>
    <x v="2"/>
    <n v="15"/>
    <m/>
    <n v="0.25"/>
    <n v="0.25"/>
    <n v="0.25"/>
    <n v="0.25"/>
    <m/>
    <m/>
    <m/>
    <m/>
    <m/>
    <m/>
    <m/>
    <m/>
    <m/>
    <m/>
    <m/>
    <m/>
    <m/>
    <m/>
    <m/>
    <n v="1"/>
    <n v="1"/>
  </r>
  <r>
    <n v="4243"/>
    <x v="2"/>
    <s v="2022/0664"/>
    <s v="1081 Garratt Lane"/>
    <s v=""/>
    <n v="527437"/>
    <n v="171526"/>
    <x v="0"/>
    <m/>
    <m/>
    <n v="0"/>
    <x v="3"/>
    <x v="5"/>
    <n v="1"/>
    <n v="1"/>
    <x v="1"/>
    <s v="Alterations to include, installation of a replacement window to front elevation and  change of use of rear part of ground floor from  (Class Sui Generis) into a 1 x 1 bedroom flat. (Class C3)"/>
    <s v="PF"/>
    <d v="2022-03-02T00:00:00"/>
    <d v="2022-04-27T00:00:00"/>
    <x v="0"/>
    <s v="Nil"/>
    <m/>
    <s v="BF"/>
    <s v="CON"/>
    <x v="2"/>
    <x v="6"/>
    <n v="5.0000000000000001E-3"/>
    <m/>
    <x v="0"/>
    <m/>
    <x v="1"/>
    <s v="M"/>
    <s v=""/>
    <m/>
    <m/>
    <m/>
    <m/>
    <m/>
    <n v="0"/>
    <n v="1"/>
    <n v="0"/>
    <n v="0"/>
    <n v="0"/>
    <n v="0"/>
    <n v="0"/>
    <n v="0"/>
    <n v="1"/>
    <n v="0"/>
    <n v="0"/>
    <n v="0"/>
    <n v="0"/>
    <n v="0"/>
    <n v="0"/>
    <n v="0"/>
    <n v="0"/>
    <n v="0"/>
    <n v="0"/>
    <n v="0"/>
    <n v="0"/>
    <n v="0"/>
    <n v="0"/>
    <n v="0"/>
    <n v="0"/>
    <n v="0"/>
    <n v="0"/>
    <n v="0"/>
    <x v="0"/>
    <x v="0"/>
    <x v="0"/>
    <n v="15"/>
    <m/>
    <n v="0.25"/>
    <n v="0.25"/>
    <n v="0.25"/>
    <n v="0.25"/>
    <m/>
    <m/>
    <m/>
    <m/>
    <m/>
    <m/>
    <m/>
    <m/>
    <m/>
    <m/>
    <m/>
    <m/>
    <m/>
    <m/>
    <m/>
    <n v="1"/>
    <n v="1"/>
  </r>
  <r>
    <n v="7417"/>
    <x v="2"/>
    <s v="2022/0729"/>
    <s v="24 Ringford Road"/>
    <s v=""/>
    <n v="524964"/>
    <n v="174475"/>
    <x v="7"/>
    <m/>
    <m/>
    <n v="0"/>
    <x v="3"/>
    <x v="5"/>
    <n v="1"/>
    <n v="1"/>
    <x v="1"/>
    <s v="Alterations including erection of roof extension and single storey side extension to garage in connection with use as 1 x 1-bedroom dwelling house with front roof terrace and access from Sedleigh Road."/>
    <s v="PF"/>
    <d v="2022-04-29T00:00:00"/>
    <d v="2022-06-21T00:00:00"/>
    <x v="0"/>
    <s v="Nil"/>
    <m/>
    <s v="Gdn"/>
    <s v="EXT"/>
    <x v="2"/>
    <x v="7"/>
    <n v="2E-3"/>
    <m/>
    <x v="0"/>
    <m/>
    <x v="1"/>
    <s v="M"/>
    <s v=""/>
    <m/>
    <m/>
    <m/>
    <m/>
    <m/>
    <n v="0"/>
    <n v="1"/>
    <n v="0"/>
    <n v="0"/>
    <n v="0"/>
    <n v="0"/>
    <n v="0"/>
    <n v="0"/>
    <n v="0"/>
    <n v="0"/>
    <n v="0"/>
    <n v="0"/>
    <n v="0"/>
    <n v="0"/>
    <n v="0"/>
    <n v="1"/>
    <n v="0"/>
    <n v="0"/>
    <n v="0"/>
    <n v="0"/>
    <n v="0"/>
    <n v="0"/>
    <n v="0"/>
    <n v="0"/>
    <n v="0"/>
    <n v="0"/>
    <n v="0"/>
    <n v="0"/>
    <x v="1"/>
    <x v="0"/>
    <x v="2"/>
    <n v="15"/>
    <m/>
    <n v="0.25"/>
    <n v="0.25"/>
    <n v="0.25"/>
    <n v="0.25"/>
    <m/>
    <m/>
    <m/>
    <m/>
    <m/>
    <m/>
    <m/>
    <m/>
    <m/>
    <m/>
    <m/>
    <m/>
    <m/>
    <m/>
    <m/>
    <n v="1"/>
    <n v="1"/>
  </r>
  <r>
    <n v="7791"/>
    <x v="2"/>
    <s v="2022/0749"/>
    <s v="37 Garratt Terrace"/>
    <s v=""/>
    <n v="527303"/>
    <n v="171501"/>
    <x v="0"/>
    <m/>
    <m/>
    <n v="1"/>
    <x v="12"/>
    <x v="36"/>
    <n v="4"/>
    <n v="3"/>
    <x v="1"/>
    <s v="Alterations including erection of a mansard roof extension to main rear roof (with French doors and safety railings) including raising ridge by 300mm and extension above the two storey back addition; Erection of single storey rear/side extension; Formation of second floor rear roof terrace with 1.7m screen surround;, in connection with creation of 1 x 3-bedroom, 1 x 2-bedroom and 1 x 1-bedroom and 1 x studio flats, with associated refuse storage to front garden and associate internal cycle storage."/>
    <s v="PF"/>
    <d v="2022-02-22T00:00:00"/>
    <d v="2022-06-09T00:00:00"/>
    <x v="0"/>
    <s v="Nil"/>
    <m/>
    <s v="BF"/>
    <s v="MIX"/>
    <x v="2"/>
    <x v="10"/>
    <n v="6.0000000000000001E-3"/>
    <m/>
    <x v="0"/>
    <m/>
    <x v="1"/>
    <s v="M"/>
    <s v=""/>
    <m/>
    <m/>
    <m/>
    <m/>
    <m/>
    <n v="1"/>
    <n v="1"/>
    <n v="1"/>
    <n v="1"/>
    <n v="0"/>
    <n v="-1"/>
    <n v="0"/>
    <n v="1"/>
    <n v="1"/>
    <n v="1"/>
    <n v="1"/>
    <n v="0"/>
    <n v="0"/>
    <n v="0"/>
    <n v="0"/>
    <n v="0"/>
    <n v="0"/>
    <n v="0"/>
    <n v="0"/>
    <n v="-1"/>
    <n v="0"/>
    <n v="0"/>
    <n v="0"/>
    <n v="0"/>
    <n v="0"/>
    <n v="0"/>
    <n v="0"/>
    <n v="0"/>
    <x v="1"/>
    <x v="0"/>
    <x v="0"/>
    <n v="15"/>
    <m/>
    <n v="0.75"/>
    <n v="0.75"/>
    <n v="0.75"/>
    <n v="0.75"/>
    <m/>
    <m/>
    <m/>
    <m/>
    <m/>
    <m/>
    <m/>
    <m/>
    <m/>
    <m/>
    <m/>
    <m/>
    <m/>
    <m/>
    <m/>
    <n v="3"/>
    <n v="3"/>
  </r>
  <r>
    <n v="3716"/>
    <x v="2"/>
    <s v="2022/0854"/>
    <s v="211 Garratt Lane"/>
    <s v=""/>
    <n v="525905"/>
    <n v="173871"/>
    <x v="13"/>
    <m/>
    <m/>
    <n v="1"/>
    <x v="11"/>
    <x v="7"/>
    <n v="3"/>
    <n v="2"/>
    <x v="1"/>
    <s v="Erection of a mansard roof extension to main rear roof slope and extension above part of two-storey rear addition with the formation of a roof terrace with glazed 1.7m screen surround in connection with the conversion of the upper floors into 2 x 1-bedroom flats and one studio flat."/>
    <s v="PF"/>
    <d v="2022-04-29T00:00:00"/>
    <d v="2022-07-13T00:00:00"/>
    <x v="0"/>
    <s v="Nil"/>
    <m/>
    <s v="BF"/>
    <s v="MIX"/>
    <x v="2"/>
    <x v="5"/>
    <n v="5.0000000000000001E-3"/>
    <m/>
    <x v="0"/>
    <m/>
    <x v="1"/>
    <s v="M"/>
    <s v=""/>
    <m/>
    <m/>
    <m/>
    <m/>
    <m/>
    <n v="1"/>
    <n v="2"/>
    <n v="0"/>
    <n v="-1"/>
    <n v="0"/>
    <n v="0"/>
    <n v="0"/>
    <n v="1"/>
    <n v="2"/>
    <n v="0"/>
    <n v="-1"/>
    <n v="0"/>
    <n v="0"/>
    <n v="0"/>
    <n v="0"/>
    <n v="0"/>
    <n v="0"/>
    <n v="0"/>
    <n v="0"/>
    <n v="0"/>
    <n v="0"/>
    <n v="0"/>
    <n v="0"/>
    <n v="0"/>
    <n v="0"/>
    <n v="0"/>
    <n v="0"/>
    <n v="0"/>
    <x v="1"/>
    <x v="0"/>
    <x v="5"/>
    <n v="15"/>
    <m/>
    <n v="0.5"/>
    <n v="0.5"/>
    <n v="0.5"/>
    <n v="0.5"/>
    <m/>
    <m/>
    <m/>
    <m/>
    <m/>
    <m/>
    <m/>
    <m/>
    <m/>
    <m/>
    <m/>
    <m/>
    <m/>
    <m/>
    <m/>
    <n v="2"/>
    <n v="2"/>
  </r>
  <r>
    <n v="2102"/>
    <x v="2"/>
    <s v="2022/0920"/>
    <s v="Chivelston, 78 Wimbledon Park Side"/>
    <s v=""/>
    <n v="523637"/>
    <n v="173150"/>
    <x v="5"/>
    <m/>
    <m/>
    <n v="0"/>
    <x v="0"/>
    <x v="0"/>
    <n v="6"/>
    <n v="6"/>
    <x v="1"/>
    <s v="Alterations including the erection of an additional floor of accommodation containing 6 flats (2 x 3-bedroom and 4 x 2-bedroom)."/>
    <s v="PF"/>
    <d v="2022-03-11T00:00:00"/>
    <d v="2022-10-07T00:00:00"/>
    <x v="0"/>
    <s v="Nil"/>
    <m/>
    <s v="BF"/>
    <s v="EXT"/>
    <x v="2"/>
    <x v="7"/>
    <n v="4.6300000000000001E-2"/>
    <m/>
    <x v="0"/>
    <m/>
    <x v="1"/>
    <s v="M"/>
    <s v=""/>
    <m/>
    <m/>
    <m/>
    <m/>
    <m/>
    <n v="0"/>
    <n v="0"/>
    <n v="4"/>
    <n v="2"/>
    <n v="0"/>
    <n v="0"/>
    <n v="0"/>
    <n v="0"/>
    <n v="0"/>
    <n v="4"/>
    <n v="2"/>
    <n v="0"/>
    <n v="0"/>
    <n v="0"/>
    <n v="0"/>
    <n v="0"/>
    <n v="0"/>
    <n v="0"/>
    <n v="0"/>
    <n v="0"/>
    <n v="0"/>
    <n v="0"/>
    <n v="0"/>
    <n v="0"/>
    <n v="0"/>
    <n v="0"/>
    <n v="0"/>
    <n v="0"/>
    <x v="1"/>
    <x v="0"/>
    <x v="2"/>
    <n v="18"/>
    <m/>
    <n v="1.5"/>
    <n v="1.5"/>
    <n v="1.5"/>
    <n v="1.5"/>
    <m/>
    <m/>
    <m/>
    <m/>
    <m/>
    <m/>
    <m/>
    <m/>
    <m/>
    <m/>
    <m/>
    <m/>
    <m/>
    <m/>
    <m/>
    <n v="6"/>
    <n v="6"/>
  </r>
  <r>
    <n v="6221"/>
    <x v="2"/>
    <s v="2022/1088"/>
    <s v="67-85 Aslett Street"/>
    <s v=""/>
    <n v="526099"/>
    <n v="173957"/>
    <x v="13"/>
    <m/>
    <m/>
    <n v="0"/>
    <x v="10"/>
    <x v="14"/>
    <n v="7"/>
    <n v="7"/>
    <x v="1"/>
    <s v="Erection of front and rear roof extensions with terrace to rear to 67 - 85 Aslett Street, in connection with the creation of 7 additional 2-bedroom units. Other alterations to include relocation of existing rear windows at first floor level; installation of new entrance door and timber pedestrian gate at ground floor level and replacement of existing metal gates to electronic gates to match existing) and amendment to the rear obscure glass balustrade from 1.1m to 1.7 m in height (same description as application ref: 2016/1393 and application ref: 2019/2479)."/>
    <s v="PF"/>
    <d v="2022-03-22T00:00:00"/>
    <d v="2023-01-24T00:00:00"/>
    <x v="0"/>
    <s v="Nil"/>
    <m/>
    <s v="BF"/>
    <s v="MIX"/>
    <x v="2"/>
    <x v="7"/>
    <n v="0"/>
    <m/>
    <x v="0"/>
    <m/>
    <x v="1"/>
    <s v="M"/>
    <s v=""/>
    <m/>
    <m/>
    <m/>
    <m/>
    <m/>
    <n v="0"/>
    <n v="0"/>
    <n v="7"/>
    <n v="0"/>
    <n v="0"/>
    <n v="0"/>
    <n v="0"/>
    <n v="0"/>
    <n v="0"/>
    <n v="7"/>
    <n v="0"/>
    <n v="0"/>
    <n v="0"/>
    <n v="0"/>
    <n v="0"/>
    <n v="0"/>
    <n v="0"/>
    <n v="0"/>
    <n v="0"/>
    <n v="0"/>
    <n v="0"/>
    <n v="0"/>
    <n v="0"/>
    <n v="0"/>
    <n v="0"/>
    <n v="0"/>
    <n v="0"/>
    <n v="0"/>
    <x v="1"/>
    <x v="0"/>
    <x v="2"/>
    <n v="18"/>
    <m/>
    <n v="1.75"/>
    <n v="1.75"/>
    <n v="1.75"/>
    <n v="1.75"/>
    <m/>
    <m/>
    <m/>
    <m/>
    <m/>
    <m/>
    <m/>
    <m/>
    <m/>
    <m/>
    <m/>
    <m/>
    <m/>
    <m/>
    <m/>
    <n v="7"/>
    <n v="7"/>
  </r>
  <r>
    <n v="7814"/>
    <x v="2"/>
    <s v="2022/1091"/>
    <s v="10 to 12 Balham Hill"/>
    <s v=""/>
    <n v="528774"/>
    <n v="174113"/>
    <x v="6"/>
    <m/>
    <m/>
    <n v="0"/>
    <x v="3"/>
    <x v="5"/>
    <n v="1"/>
    <n v="1"/>
    <x v="1"/>
    <s v="Alterations including addition of front windows and screening to roof and change of use of part 3rd and part 4th storey of building from equipment rooms to 1-bedroom flat with roof terrace."/>
    <s v="RP"/>
    <d v="2022-04-06T00:00:00"/>
    <d v="2022-06-01T00:00:00"/>
    <x v="1"/>
    <s v="APG"/>
    <d v="2023-07-20T00:00:00"/>
    <s v="BF"/>
    <s v="CON"/>
    <x v="2"/>
    <x v="8"/>
    <n v="3.0000000000000001E-3"/>
    <m/>
    <x v="0"/>
    <m/>
    <x v="1"/>
    <s v="M"/>
    <s v=""/>
    <m/>
    <m/>
    <m/>
    <m/>
    <m/>
    <n v="0"/>
    <n v="1"/>
    <n v="0"/>
    <n v="0"/>
    <n v="0"/>
    <n v="0"/>
    <n v="0"/>
    <n v="0"/>
    <n v="1"/>
    <n v="0"/>
    <n v="0"/>
    <n v="0"/>
    <n v="0"/>
    <n v="0"/>
    <n v="0"/>
    <n v="0"/>
    <n v="0"/>
    <n v="0"/>
    <n v="0"/>
    <n v="0"/>
    <n v="0"/>
    <n v="0"/>
    <n v="0"/>
    <n v="0"/>
    <n v="0"/>
    <n v="0"/>
    <n v="0"/>
    <n v="0"/>
    <x v="1"/>
    <x v="0"/>
    <x v="2"/>
    <n v="15"/>
    <m/>
    <n v="0.25"/>
    <n v="0.25"/>
    <n v="0.25"/>
    <n v="0.25"/>
    <m/>
    <m/>
    <m/>
    <m/>
    <m/>
    <m/>
    <m/>
    <m/>
    <m/>
    <m/>
    <m/>
    <m/>
    <m/>
    <m/>
    <m/>
    <n v="1"/>
    <n v="1"/>
  </r>
  <r>
    <n v="7818"/>
    <x v="2"/>
    <s v="2022/1177"/>
    <s v="27 Wakehurst Road"/>
    <s v=""/>
    <n v="527417"/>
    <n v="174682"/>
    <x v="11"/>
    <m/>
    <m/>
    <n v="1"/>
    <x v="3"/>
    <x v="6"/>
    <n v="1"/>
    <n v="0"/>
    <x v="1"/>
    <s v="Part demolition of existing dwelling and erection of replacement two-storey (plus roof and basement) 4-bedroom dwelling house."/>
    <s v="PF"/>
    <d v="2022-03-21T00:00:00"/>
    <d v="2022-05-27T00:00:00"/>
    <x v="0"/>
    <s v="Nil"/>
    <m/>
    <s v="BF"/>
    <s v="NB"/>
    <x v="2"/>
    <x v="3"/>
    <n v="1.4E-2"/>
    <m/>
    <x v="0"/>
    <m/>
    <x v="1"/>
    <s v="M"/>
    <s v=""/>
    <m/>
    <m/>
    <m/>
    <m/>
    <m/>
    <n v="0"/>
    <n v="0"/>
    <n v="0"/>
    <n v="-1"/>
    <n v="1"/>
    <n v="0"/>
    <n v="0"/>
    <n v="0"/>
    <n v="0"/>
    <n v="0"/>
    <n v="0"/>
    <n v="0"/>
    <n v="0"/>
    <n v="0"/>
    <n v="0"/>
    <n v="0"/>
    <n v="0"/>
    <n v="-1"/>
    <n v="1"/>
    <n v="0"/>
    <n v="0"/>
    <n v="0"/>
    <n v="0"/>
    <n v="0"/>
    <n v="0"/>
    <n v="0"/>
    <n v="0"/>
    <n v="0"/>
    <x v="1"/>
    <x v="0"/>
    <x v="3"/>
    <n v="7"/>
    <m/>
    <m/>
    <n v="0"/>
    <n v="0"/>
    <n v="0"/>
    <n v="0"/>
    <m/>
    <m/>
    <m/>
    <m/>
    <m/>
    <m/>
    <m/>
    <m/>
    <m/>
    <m/>
    <m/>
    <m/>
    <m/>
    <m/>
    <n v="0"/>
    <n v="0"/>
  </r>
  <r>
    <n v="7729"/>
    <x v="2"/>
    <s v="2022/1190"/>
    <s v="31 Bellevue Road"/>
    <s v=""/>
    <n v="527446"/>
    <n v="173267"/>
    <x v="10"/>
    <m/>
    <m/>
    <n v="0"/>
    <x v="5"/>
    <x v="7"/>
    <n v="2"/>
    <n v="2"/>
    <x v="1"/>
    <s v="Change of use of first floor from Artist Studio (Class E) to residential (Class C3). Erection of one additional storey of accommodation above first floor, formation of first and second floors lightwells and roof terraces with screening in connection with provision of 1 x 1 bedroom and 1 x 2-bedroom flats."/>
    <s v="PF"/>
    <d v="2022-03-21T00:00:00"/>
    <d v="2022-08-24T00:00:00"/>
    <x v="0"/>
    <s v="Nil"/>
    <m/>
    <s v="BF"/>
    <s v="EXT"/>
    <x v="2"/>
    <x v="6"/>
    <n v="6.3E-3"/>
    <m/>
    <x v="0"/>
    <m/>
    <x v="1"/>
    <s v="M"/>
    <s v=""/>
    <m/>
    <m/>
    <m/>
    <m/>
    <m/>
    <n v="0"/>
    <n v="1"/>
    <n v="1"/>
    <n v="0"/>
    <n v="0"/>
    <n v="0"/>
    <n v="0"/>
    <n v="0"/>
    <n v="1"/>
    <n v="1"/>
    <n v="0"/>
    <n v="0"/>
    <n v="0"/>
    <n v="0"/>
    <n v="0"/>
    <n v="0"/>
    <n v="0"/>
    <n v="0"/>
    <n v="0"/>
    <n v="0"/>
    <n v="0"/>
    <n v="0"/>
    <n v="0"/>
    <n v="0"/>
    <n v="0"/>
    <n v="0"/>
    <n v="0"/>
    <n v="0"/>
    <x v="1"/>
    <x v="0"/>
    <x v="2"/>
    <n v="15"/>
    <m/>
    <n v="0.5"/>
    <n v="0.5"/>
    <n v="0.5"/>
    <n v="0.5"/>
    <m/>
    <m/>
    <m/>
    <m/>
    <m/>
    <m/>
    <m/>
    <m/>
    <m/>
    <m/>
    <m/>
    <m/>
    <m/>
    <m/>
    <m/>
    <n v="2"/>
    <n v="2"/>
  </r>
  <r>
    <n v="4565"/>
    <x v="2"/>
    <s v="2022/1322"/>
    <s v="131 Penwith Road"/>
    <s v=""/>
    <n v="525828"/>
    <n v="173035"/>
    <x v="12"/>
    <m/>
    <m/>
    <n v="1"/>
    <x v="11"/>
    <x v="7"/>
    <n v="3"/>
    <n v="2"/>
    <x v="1"/>
    <s v="Demolition of the existing building and the erection of a replacement two-storey (plus roof) building, to create 3 self contained flats (2 x 1-bedroom and 1 x 2-bedroom) with formation of rear terraces at first and second floor levels with glass balustrade."/>
    <s v="PF"/>
    <d v="2022-04-05T00:00:00"/>
    <d v="2022-08-02T00:00:00"/>
    <x v="0"/>
    <s v="Nil"/>
    <m/>
    <s v="BF"/>
    <s v="NB"/>
    <x v="2"/>
    <x v="3"/>
    <n v="6.0000000000000001E-3"/>
    <m/>
    <x v="0"/>
    <m/>
    <x v="1"/>
    <s v="MR"/>
    <s v=""/>
    <m/>
    <m/>
    <m/>
    <m/>
    <m/>
    <n v="0"/>
    <n v="1"/>
    <n v="1"/>
    <n v="0"/>
    <n v="0"/>
    <n v="0"/>
    <n v="0"/>
    <n v="0"/>
    <n v="1"/>
    <n v="1"/>
    <n v="0"/>
    <n v="0"/>
    <n v="0"/>
    <n v="0"/>
    <n v="0"/>
    <n v="0"/>
    <n v="0"/>
    <n v="0"/>
    <n v="0"/>
    <n v="0"/>
    <n v="0"/>
    <n v="0"/>
    <n v="0"/>
    <n v="0"/>
    <n v="0"/>
    <n v="0"/>
    <n v="0"/>
    <n v="0"/>
    <x v="1"/>
    <x v="0"/>
    <x v="5"/>
    <n v="7"/>
    <m/>
    <m/>
    <n v="0.5"/>
    <n v="0.5"/>
    <n v="0.5"/>
    <n v="0.5"/>
    <m/>
    <m/>
    <m/>
    <m/>
    <m/>
    <m/>
    <m/>
    <m/>
    <m/>
    <m/>
    <m/>
    <m/>
    <m/>
    <m/>
    <n v="2"/>
    <n v="2"/>
  </r>
  <r>
    <n v="7680"/>
    <x v="2"/>
    <s v="2022/1330"/>
    <s v="164 St Johns Hill"/>
    <s v=""/>
    <n v="526540"/>
    <n v="175023"/>
    <x v="14"/>
    <m/>
    <m/>
    <n v="0"/>
    <x v="9"/>
    <x v="12"/>
    <n v="8"/>
    <n v="8"/>
    <x v="1"/>
    <s v="Alterations including erection of a three storey side extension and excavation to create basement including formation of front and rear lightwells in connection with the change of use from office (Class E) to 3 x 2 bedroom and 5 x 1 bedroom flats.(Class C3) with associated refuse and cycle storage._x000a__x000a__x000a_To form eight flats. Three duplex apartments (1x 2-bed and 2 x 1-bed) are accommodated within the ground floor and the extended basement. Two further flats are accommodated upon each of the first and second floors (2 x 2-bed and 2 x 1-bed), with a further flat (a 1-bed unit) on the top floor. The proposal includes a basement extension (with lightwells) and a two-storey side extension (replacing an existing external staircase). A number of windows are changed on the rear elevation, chimneys are removed from the roof and conservation roof lights are added to the rear and side roof slopes."/>
    <s v="PF"/>
    <d v="2022-03-31T00:00:00"/>
    <d v="2022-05-25T00:00:00"/>
    <x v="0"/>
    <s v="Nil"/>
    <m/>
    <s v="BF"/>
    <s v="MIX"/>
    <x v="2"/>
    <x v="6"/>
    <n v="1.1950000000000001E-2"/>
    <m/>
    <x v="0"/>
    <m/>
    <x v="1"/>
    <s v="M"/>
    <s v=""/>
    <m/>
    <m/>
    <n v="8"/>
    <m/>
    <m/>
    <n v="0"/>
    <n v="5"/>
    <n v="3"/>
    <n v="0"/>
    <n v="0"/>
    <n v="0"/>
    <n v="0"/>
    <n v="0"/>
    <n v="5"/>
    <n v="3"/>
    <n v="0"/>
    <n v="0"/>
    <n v="0"/>
    <n v="0"/>
    <n v="0"/>
    <n v="0"/>
    <n v="0"/>
    <n v="0"/>
    <n v="0"/>
    <n v="0"/>
    <n v="0"/>
    <n v="0"/>
    <n v="0"/>
    <n v="0"/>
    <n v="0"/>
    <n v="0"/>
    <n v="0"/>
    <n v="0"/>
    <x v="1"/>
    <x v="0"/>
    <x v="2"/>
    <n v="18"/>
    <m/>
    <n v="2"/>
    <n v="2"/>
    <n v="2"/>
    <n v="2"/>
    <m/>
    <m/>
    <m/>
    <m/>
    <m/>
    <m/>
    <m/>
    <m/>
    <m/>
    <m/>
    <m/>
    <m/>
    <m/>
    <m/>
    <m/>
    <n v="8"/>
    <n v="8"/>
  </r>
  <r>
    <n v="7822"/>
    <x v="2"/>
    <s v="2022/1358"/>
    <s v="31 Veronica Road"/>
    <s v=""/>
    <n v="528706"/>
    <n v="172468"/>
    <x v="18"/>
    <m/>
    <m/>
    <n v="1"/>
    <x v="0"/>
    <x v="28"/>
    <n v="6"/>
    <n v="5"/>
    <x v="1"/>
    <s v="Alterations including erection of two-storey side extension with habitable roofspace; Erection of single-storey rear extension; Excavation of basement with formation of front lightwell; Alterations to garage to create bike store; Addition of bin stores to front; Replacement roof tiles and windows; Addition of railings to front and side boundaries and associated landscaping in connection with the conversion of property from single dwelling into 7 self-contained flats (3 x 3 bedroom flats, 2 X 2 bedroom flats and 2 X 1 bedroom flats)."/>
    <s v="PF"/>
    <d v="2022-04-04T00:00:00"/>
    <d v="2022-07-29T00:00:00"/>
    <x v="0"/>
    <s v="Nil"/>
    <m/>
    <s v="BF"/>
    <s v="MIX"/>
    <x v="2"/>
    <x v="10"/>
    <n v="1.7000000000000001E-2"/>
    <m/>
    <x v="0"/>
    <m/>
    <x v="1"/>
    <s v="M"/>
    <s v=""/>
    <m/>
    <m/>
    <m/>
    <m/>
    <m/>
    <n v="0"/>
    <n v="1"/>
    <n v="2"/>
    <n v="3"/>
    <n v="0"/>
    <n v="-1"/>
    <n v="0"/>
    <n v="0"/>
    <n v="1"/>
    <n v="2"/>
    <n v="3"/>
    <n v="0"/>
    <n v="0"/>
    <n v="0"/>
    <n v="0"/>
    <n v="0"/>
    <n v="0"/>
    <n v="0"/>
    <n v="0"/>
    <n v="-1"/>
    <n v="0"/>
    <n v="0"/>
    <n v="0"/>
    <n v="0"/>
    <n v="0"/>
    <n v="0"/>
    <n v="0"/>
    <n v="0"/>
    <x v="1"/>
    <x v="0"/>
    <x v="2"/>
    <n v="18"/>
    <m/>
    <n v="1.25"/>
    <n v="1.25"/>
    <n v="1.25"/>
    <n v="1.25"/>
    <m/>
    <m/>
    <m/>
    <m/>
    <m/>
    <m/>
    <m/>
    <m/>
    <m/>
    <m/>
    <m/>
    <m/>
    <m/>
    <m/>
    <m/>
    <n v="5"/>
    <n v="5"/>
  </r>
  <r>
    <n v="7729"/>
    <x v="2"/>
    <s v="2022/1385"/>
    <s v="31 Bellevue Road"/>
    <s v=""/>
    <n v="527446"/>
    <n v="173267"/>
    <x v="10"/>
    <m/>
    <m/>
    <n v="0"/>
    <x v="3"/>
    <x v="5"/>
    <n v="1"/>
    <n v="1"/>
    <x v="1"/>
    <s v="Alterations including erection of single storey rear extension in connection with creation of 2-bedroom flat to basement and ground floor rear of no 32 and change of use from commercial studio (Class E) to residential (Class C3) to provide access, bin and cycle storage at rear of no 31 Bellevue Road."/>
    <s v="PF"/>
    <d v="2022-04-13T00:00:00"/>
    <d v="2022-06-08T00:00:00"/>
    <x v="0"/>
    <s v="Nil"/>
    <m/>
    <s v="BF"/>
    <s v="MIX"/>
    <x v="2"/>
    <x v="4"/>
    <n v="8.0000000000000002E-3"/>
    <m/>
    <x v="0"/>
    <m/>
    <x v="1"/>
    <s v="M"/>
    <s v=""/>
    <m/>
    <m/>
    <m/>
    <m/>
    <m/>
    <n v="0"/>
    <n v="0"/>
    <n v="1"/>
    <n v="0"/>
    <n v="0"/>
    <n v="0"/>
    <n v="0"/>
    <n v="0"/>
    <n v="0"/>
    <n v="1"/>
    <n v="0"/>
    <n v="0"/>
    <n v="0"/>
    <n v="0"/>
    <n v="0"/>
    <n v="0"/>
    <n v="0"/>
    <n v="0"/>
    <n v="0"/>
    <n v="0"/>
    <n v="0"/>
    <n v="0"/>
    <n v="0"/>
    <n v="0"/>
    <n v="0"/>
    <n v="0"/>
    <n v="0"/>
    <n v="0"/>
    <x v="1"/>
    <x v="0"/>
    <x v="2"/>
    <n v="15"/>
    <m/>
    <n v="0.25"/>
    <n v="0.25"/>
    <n v="0.25"/>
    <n v="0.25"/>
    <m/>
    <m/>
    <m/>
    <m/>
    <m/>
    <m/>
    <m/>
    <m/>
    <m/>
    <m/>
    <m/>
    <m/>
    <m/>
    <m/>
    <m/>
    <n v="1"/>
    <n v="1"/>
  </r>
  <r>
    <n v="7824"/>
    <x v="2"/>
    <s v="2022/1396"/>
    <s v="14 Alternburg Gardens"/>
    <s v=""/>
    <n v="527774"/>
    <n v="175242"/>
    <x v="8"/>
    <m/>
    <m/>
    <n v="2"/>
    <x v="3"/>
    <x v="3"/>
    <n v="1"/>
    <n v="-1"/>
    <x v="1"/>
    <s v="Alterations including erection of mansard roof extension (with French doors and safety railings); Erection of single-storey rear/side extension; Front side boundary fence; Excavation to create basment including formation of front and rear lightwells in connection with conversion of 2 flats into single dwelling house."/>
    <s v="PF"/>
    <d v="2022-04-01T00:00:00"/>
    <d v="2022-06-06T00:00:00"/>
    <x v="0"/>
    <s v="Nil"/>
    <m/>
    <s v="BF"/>
    <s v="MIX"/>
    <x v="2"/>
    <x v="11"/>
    <n v="6.1500000000000001E-3"/>
    <m/>
    <x v="0"/>
    <m/>
    <x v="1"/>
    <s v="M"/>
    <s v=""/>
    <m/>
    <m/>
    <m/>
    <m/>
    <m/>
    <n v="0"/>
    <n v="-1"/>
    <n v="-1"/>
    <n v="0"/>
    <n v="0"/>
    <n v="1"/>
    <n v="0"/>
    <n v="0"/>
    <n v="-1"/>
    <n v="-1"/>
    <n v="0"/>
    <n v="0"/>
    <n v="0"/>
    <n v="0"/>
    <n v="0"/>
    <n v="0"/>
    <n v="0"/>
    <n v="0"/>
    <n v="0"/>
    <n v="1"/>
    <n v="0"/>
    <n v="0"/>
    <n v="0"/>
    <n v="0"/>
    <n v="0"/>
    <n v="0"/>
    <n v="0"/>
    <n v="0"/>
    <x v="1"/>
    <x v="0"/>
    <x v="3"/>
    <n v="15"/>
    <m/>
    <n v="-0.25"/>
    <n v="-0.25"/>
    <n v="-0.25"/>
    <n v="-0.25"/>
    <m/>
    <m/>
    <m/>
    <m/>
    <m/>
    <m/>
    <m/>
    <m/>
    <m/>
    <m/>
    <m/>
    <m/>
    <m/>
    <m/>
    <m/>
    <n v="-1"/>
    <n v="-1"/>
  </r>
  <r>
    <n v="6952"/>
    <x v="2"/>
    <s v="2022/1440"/>
    <s v="Post Office, 355 Upper Richmond Road"/>
    <s v=""/>
    <n v="522554"/>
    <n v="175400"/>
    <x v="16"/>
    <m/>
    <m/>
    <n v="1"/>
    <x v="3"/>
    <x v="6"/>
    <n v="1"/>
    <n v="0"/>
    <x v="1"/>
    <s v="Alterations including erection of rear dormer, single storey rear extensions and formation of rear first floor level roof terrace with screen surround in connection with use of rear ground floor and upper floors as 1 x 3-bedroom flat with rear access."/>
    <s v="PF"/>
    <d v="2022-05-03T00:00:00"/>
    <d v="2022-06-28T00:00:00"/>
    <x v="0"/>
    <s v="Nil"/>
    <m/>
    <s v="BF"/>
    <s v="MIX"/>
    <x v="2"/>
    <x v="5"/>
    <n v="8.9999999999999993E-3"/>
    <m/>
    <x v="0"/>
    <m/>
    <x v="1"/>
    <s v="M"/>
    <s v=""/>
    <m/>
    <m/>
    <m/>
    <m/>
    <m/>
    <n v="0"/>
    <n v="-1"/>
    <n v="0"/>
    <n v="1"/>
    <n v="0"/>
    <n v="0"/>
    <n v="0"/>
    <n v="0"/>
    <n v="-1"/>
    <n v="0"/>
    <n v="1"/>
    <n v="0"/>
    <n v="0"/>
    <n v="0"/>
    <n v="0"/>
    <n v="0"/>
    <n v="0"/>
    <n v="0"/>
    <n v="0"/>
    <n v="0"/>
    <n v="0"/>
    <n v="0"/>
    <n v="0"/>
    <n v="0"/>
    <n v="0"/>
    <n v="0"/>
    <n v="0"/>
    <n v="0"/>
    <x v="1"/>
    <x v="0"/>
    <x v="2"/>
    <n v="15"/>
    <m/>
    <n v="0"/>
    <n v="0"/>
    <n v="0"/>
    <n v="0"/>
    <m/>
    <m/>
    <m/>
    <m/>
    <m/>
    <m/>
    <m/>
    <m/>
    <m/>
    <m/>
    <m/>
    <m/>
    <m/>
    <m/>
    <m/>
    <n v="0"/>
    <n v="0"/>
  </r>
  <r>
    <n v="7830"/>
    <x v="2"/>
    <s v="2022/1603"/>
    <s v="39 Southolm Street"/>
    <s v=""/>
    <n v="528791"/>
    <n v="176757"/>
    <x v="20"/>
    <m/>
    <m/>
    <n v="1"/>
    <x v="3"/>
    <x v="6"/>
    <n v="1"/>
    <n v="0"/>
    <x v="1"/>
    <s v="Alterations including erection of a three-storey side/rear extension, roof terrace at third floor level and dormer extension to main rear roof in connection with the change of use from single dwellinghouse (Class C3) into a six bedroom HMO (Sui Generis)."/>
    <s v="PF"/>
    <d v="2022-05-24T00:00:00"/>
    <d v="2022-09-15T00:00:00"/>
    <x v="0"/>
    <s v="Nil"/>
    <m/>
    <s v="BF"/>
    <s v="MIX"/>
    <x v="2"/>
    <x v="10"/>
    <n v="3.725E-3"/>
    <m/>
    <x v="0"/>
    <m/>
    <x v="1"/>
    <s v="MR"/>
    <s v=""/>
    <m/>
    <m/>
    <m/>
    <m/>
    <m/>
    <n v="0"/>
    <n v="0"/>
    <n v="0"/>
    <n v="0"/>
    <n v="-1"/>
    <n v="1"/>
    <n v="0"/>
    <n v="0"/>
    <n v="0"/>
    <n v="0"/>
    <n v="0"/>
    <n v="0"/>
    <n v="1"/>
    <n v="0"/>
    <n v="0"/>
    <n v="0"/>
    <n v="0"/>
    <n v="0"/>
    <n v="-1"/>
    <n v="0"/>
    <n v="0"/>
    <n v="0"/>
    <n v="0"/>
    <n v="0"/>
    <n v="0"/>
    <n v="0"/>
    <n v="0"/>
    <n v="0"/>
    <x v="1"/>
    <x v="0"/>
    <x v="1"/>
    <n v="15"/>
    <m/>
    <n v="0"/>
    <n v="0"/>
    <n v="0"/>
    <n v="0"/>
    <m/>
    <m/>
    <m/>
    <m/>
    <m/>
    <m/>
    <m/>
    <m/>
    <m/>
    <m/>
    <m/>
    <m/>
    <m/>
    <m/>
    <m/>
    <n v="0"/>
    <n v="0"/>
  </r>
  <r>
    <n v="7833"/>
    <x v="2"/>
    <s v="2022/1644"/>
    <s v="51 Dryburgh Road"/>
    <s v=""/>
    <n v="522849"/>
    <n v="175561"/>
    <x v="3"/>
    <m/>
    <m/>
    <n v="1"/>
    <x v="3"/>
    <x v="6"/>
    <n v="1"/>
    <n v="0"/>
    <x v="1"/>
    <s v="Demolition of existing building and erection of a 2-storey (plus loft and basement) house including rear first floor level terrace, front second floor level balcony and front lightwell; with associated cycle and refuse storage."/>
    <s v="PF"/>
    <d v="2022-05-23T00:00:00"/>
    <d v="2022-12-20T00:00:00"/>
    <x v="0"/>
    <s v="Nil"/>
    <m/>
    <s v="BF"/>
    <s v="NB"/>
    <x v="2"/>
    <x v="3"/>
    <n v="7.0000000000000001E-3"/>
    <m/>
    <x v="0"/>
    <m/>
    <x v="1"/>
    <s v="M"/>
    <s v=""/>
    <m/>
    <m/>
    <m/>
    <m/>
    <m/>
    <n v="0"/>
    <n v="0"/>
    <n v="0"/>
    <n v="0"/>
    <n v="0"/>
    <n v="0"/>
    <n v="0"/>
    <n v="0"/>
    <n v="0"/>
    <n v="0"/>
    <n v="0"/>
    <n v="0"/>
    <n v="0"/>
    <n v="0"/>
    <n v="0"/>
    <n v="0"/>
    <n v="0"/>
    <n v="0"/>
    <n v="0"/>
    <n v="0"/>
    <n v="0"/>
    <n v="0"/>
    <n v="0"/>
    <n v="0"/>
    <n v="0"/>
    <n v="0"/>
    <n v="0"/>
    <n v="0"/>
    <x v="1"/>
    <x v="0"/>
    <x v="2"/>
    <n v="7"/>
    <m/>
    <m/>
    <n v="0"/>
    <n v="0"/>
    <n v="0"/>
    <n v="0"/>
    <m/>
    <m/>
    <m/>
    <m/>
    <m/>
    <m/>
    <m/>
    <m/>
    <m/>
    <m/>
    <m/>
    <m/>
    <m/>
    <m/>
    <n v="0"/>
    <n v="0"/>
  </r>
  <r>
    <n v="7839"/>
    <x v="2"/>
    <s v="2022/1741"/>
    <s v="56 Lavender Hill"/>
    <s v=""/>
    <n v="528345"/>
    <n v="175748"/>
    <x v="20"/>
    <m/>
    <m/>
    <n v="0"/>
    <x v="3"/>
    <x v="5"/>
    <n v="1"/>
    <n v="1"/>
    <x v="1"/>
    <s v="Alterations including two-storey rear extension and change of use to part of the existing commercial unit (class E) to provide a two-bedroom dwelling (Class C3) with associated amenity space."/>
    <s v="PF"/>
    <d v="2022-04-27T00:00:00"/>
    <d v="2022-08-15T00:00:00"/>
    <x v="0"/>
    <s v="Nil"/>
    <m/>
    <s v="BF"/>
    <s v="MIX"/>
    <x v="2"/>
    <x v="8"/>
    <n v="4.4000000000000003E-3"/>
    <m/>
    <x v="0"/>
    <m/>
    <x v="1"/>
    <s v="MR"/>
    <s v=""/>
    <m/>
    <m/>
    <m/>
    <m/>
    <m/>
    <n v="0"/>
    <n v="0"/>
    <n v="1"/>
    <n v="0"/>
    <n v="0"/>
    <n v="0"/>
    <n v="0"/>
    <n v="0"/>
    <n v="0"/>
    <n v="1"/>
    <n v="0"/>
    <n v="0"/>
    <n v="0"/>
    <n v="0"/>
    <n v="0"/>
    <n v="0"/>
    <n v="0"/>
    <n v="0"/>
    <n v="0"/>
    <n v="0"/>
    <n v="0"/>
    <n v="0"/>
    <n v="0"/>
    <n v="0"/>
    <n v="0"/>
    <n v="0"/>
    <n v="0"/>
    <n v="0"/>
    <x v="1"/>
    <x v="0"/>
    <x v="2"/>
    <n v="15"/>
    <m/>
    <n v="0.25"/>
    <n v="0.25"/>
    <n v="0.25"/>
    <n v="0.25"/>
    <m/>
    <m/>
    <m/>
    <m/>
    <m/>
    <m/>
    <m/>
    <m/>
    <m/>
    <m/>
    <m/>
    <m/>
    <m/>
    <m/>
    <m/>
    <n v="1"/>
    <n v="1"/>
  </r>
  <r>
    <n v="7840"/>
    <x v="2"/>
    <s v="2022/1763"/>
    <s v="346 Upper Richmond Road"/>
    <s v=""/>
    <n v="523441"/>
    <n v="175272"/>
    <x v="16"/>
    <d v="2023-10-31T00:00:00"/>
    <m/>
    <n v="0"/>
    <x v="3"/>
    <x v="5"/>
    <n v="1"/>
    <n v="1"/>
    <x v="1"/>
    <s v="Alterations including change of use from HMO (9 bedsits) (Sui Generis)  into single dwelling.(Class C3)."/>
    <s v="PFLA"/>
    <d v="2022-06-28T00:00:00"/>
    <d v="2022-12-21T00:00:00"/>
    <x v="0"/>
    <s v="Nil"/>
    <m/>
    <s v="BF"/>
    <s v="CON"/>
    <x v="2"/>
    <x v="11"/>
    <n v="1.17E-2"/>
    <m/>
    <x v="0"/>
    <m/>
    <x v="1"/>
    <s v="M"/>
    <s v=""/>
    <m/>
    <m/>
    <m/>
    <m/>
    <m/>
    <n v="0"/>
    <n v="0"/>
    <n v="0"/>
    <n v="0"/>
    <n v="0"/>
    <n v="1"/>
    <n v="0"/>
    <n v="0"/>
    <n v="0"/>
    <n v="0"/>
    <n v="0"/>
    <n v="0"/>
    <n v="0"/>
    <n v="0"/>
    <n v="0"/>
    <n v="0"/>
    <n v="0"/>
    <n v="0"/>
    <n v="0"/>
    <n v="1"/>
    <n v="0"/>
    <n v="0"/>
    <n v="0"/>
    <n v="0"/>
    <n v="0"/>
    <n v="0"/>
    <n v="0"/>
    <n v="0"/>
    <x v="1"/>
    <x v="0"/>
    <x v="2"/>
    <n v="15"/>
    <m/>
    <n v="0.25"/>
    <n v="0.25"/>
    <n v="0.25"/>
    <n v="0.25"/>
    <m/>
    <m/>
    <m/>
    <m/>
    <m/>
    <m/>
    <m/>
    <m/>
    <m/>
    <m/>
    <m/>
    <m/>
    <m/>
    <m/>
    <m/>
    <n v="1"/>
    <n v="1"/>
  </r>
  <r>
    <n v="7838"/>
    <x v="2"/>
    <s v="2022/1764"/>
    <s v="Land adjacent to, 28 Kingsclere Close"/>
    <s v="House 1, 3-storey"/>
    <n v="522109"/>
    <n v="173890"/>
    <x v="4"/>
    <m/>
    <m/>
    <n v="0"/>
    <x v="3"/>
    <x v="5"/>
    <n v="3"/>
    <n v="3"/>
    <x v="1"/>
    <s v="Erection of 3 x houses."/>
    <s v="PIPD"/>
    <d v="2022-05-05T00:00:00"/>
    <d v="2022-09-08T00:00:00"/>
    <x v="0"/>
    <s v="Nil"/>
    <m/>
    <s v="BF"/>
    <s v="NB"/>
    <x v="2"/>
    <x v="3"/>
    <n v="4.0000000000000001E-3"/>
    <m/>
    <x v="0"/>
    <m/>
    <x v="1"/>
    <s v="M"/>
    <s v=""/>
    <m/>
    <m/>
    <m/>
    <m/>
    <m/>
    <n v="0"/>
    <n v="0"/>
    <n v="0"/>
    <n v="0"/>
    <n v="0"/>
    <n v="0"/>
    <n v="1"/>
    <n v="0"/>
    <n v="0"/>
    <n v="0"/>
    <n v="0"/>
    <n v="0"/>
    <n v="0"/>
    <n v="0"/>
    <n v="0"/>
    <n v="0"/>
    <n v="0"/>
    <n v="0"/>
    <n v="0"/>
    <n v="0"/>
    <n v="1"/>
    <n v="0"/>
    <n v="0"/>
    <n v="0"/>
    <n v="0"/>
    <n v="0"/>
    <n v="0"/>
    <n v="0"/>
    <x v="1"/>
    <x v="0"/>
    <x v="8"/>
    <n v="7"/>
    <m/>
    <m/>
    <n v="0.25"/>
    <n v="0.25"/>
    <n v="0.25"/>
    <n v="0.25"/>
    <m/>
    <m/>
    <m/>
    <m/>
    <m/>
    <m/>
    <m/>
    <m/>
    <m/>
    <m/>
    <m/>
    <m/>
    <m/>
    <m/>
    <n v="1"/>
    <n v="1"/>
  </r>
  <r>
    <n v="7838"/>
    <x v="2"/>
    <s v="2022/1764"/>
    <s v="Land adjacent to, 28 Kingsclere Close"/>
    <s v="House 2, 2-storey"/>
    <n v="522109"/>
    <n v="173890"/>
    <x v="4"/>
    <m/>
    <m/>
    <n v="0"/>
    <x v="3"/>
    <x v="5"/>
    <n v="3"/>
    <n v="3"/>
    <x v="1"/>
    <s v="Erection of 3 x houses."/>
    <s v="PIPD"/>
    <d v="2022-05-05T00:00:00"/>
    <d v="2022-09-08T00:00:00"/>
    <x v="0"/>
    <s v="Nil"/>
    <m/>
    <s v="BF"/>
    <s v="NB"/>
    <x v="2"/>
    <x v="3"/>
    <n v="4.0000000000000001E-3"/>
    <m/>
    <x v="0"/>
    <m/>
    <x v="1"/>
    <s v="M"/>
    <s v=""/>
    <m/>
    <m/>
    <m/>
    <m/>
    <m/>
    <n v="0"/>
    <n v="0"/>
    <n v="0"/>
    <n v="0"/>
    <n v="0"/>
    <n v="0"/>
    <n v="1"/>
    <n v="0"/>
    <n v="0"/>
    <n v="0"/>
    <n v="0"/>
    <n v="0"/>
    <n v="0"/>
    <n v="0"/>
    <n v="0"/>
    <n v="0"/>
    <n v="0"/>
    <n v="0"/>
    <n v="0"/>
    <n v="0"/>
    <n v="1"/>
    <n v="0"/>
    <n v="0"/>
    <n v="0"/>
    <n v="0"/>
    <n v="0"/>
    <n v="0"/>
    <n v="0"/>
    <x v="1"/>
    <x v="0"/>
    <x v="8"/>
    <n v="7"/>
    <m/>
    <m/>
    <n v="0.25"/>
    <n v="0.25"/>
    <n v="0.25"/>
    <n v="0.25"/>
    <m/>
    <m/>
    <m/>
    <m/>
    <m/>
    <m/>
    <m/>
    <m/>
    <m/>
    <m/>
    <m/>
    <m/>
    <m/>
    <m/>
    <n v="1"/>
    <n v="1"/>
  </r>
  <r>
    <n v="7838"/>
    <x v="2"/>
    <s v="2022/1764"/>
    <s v="Land adjacent to, 28 Kingsclere Close"/>
    <s v="House 3, 2-storey"/>
    <n v="522109"/>
    <n v="173890"/>
    <x v="4"/>
    <m/>
    <m/>
    <n v="0"/>
    <x v="3"/>
    <x v="5"/>
    <n v="3"/>
    <n v="3"/>
    <x v="1"/>
    <s v="Erection of 3 x houses."/>
    <s v="PIPD"/>
    <d v="2022-05-05T00:00:00"/>
    <d v="2022-09-08T00:00:00"/>
    <x v="0"/>
    <s v="Nil"/>
    <m/>
    <s v="BF"/>
    <s v="NB"/>
    <x v="2"/>
    <x v="3"/>
    <n v="4.0000000000000001E-3"/>
    <m/>
    <x v="0"/>
    <m/>
    <x v="1"/>
    <s v="M"/>
    <s v=""/>
    <m/>
    <m/>
    <m/>
    <m/>
    <m/>
    <n v="0"/>
    <n v="0"/>
    <n v="0"/>
    <n v="0"/>
    <n v="0"/>
    <n v="0"/>
    <n v="1"/>
    <n v="0"/>
    <n v="0"/>
    <n v="0"/>
    <n v="0"/>
    <n v="0"/>
    <n v="0"/>
    <n v="0"/>
    <n v="0"/>
    <n v="0"/>
    <n v="0"/>
    <n v="0"/>
    <n v="0"/>
    <n v="0"/>
    <n v="1"/>
    <n v="0"/>
    <n v="0"/>
    <n v="0"/>
    <n v="0"/>
    <n v="0"/>
    <n v="0"/>
    <n v="0"/>
    <x v="1"/>
    <x v="0"/>
    <x v="8"/>
    <n v="7"/>
    <m/>
    <m/>
    <n v="0.25"/>
    <n v="0.25"/>
    <n v="0.25"/>
    <n v="0.25"/>
    <m/>
    <m/>
    <m/>
    <m/>
    <m/>
    <m/>
    <m/>
    <m/>
    <m/>
    <m/>
    <m/>
    <m/>
    <m/>
    <m/>
    <n v="1"/>
    <n v="1"/>
  </r>
  <r>
    <n v="2641"/>
    <x v="2"/>
    <s v="2022/1883"/>
    <s v="Garages between 77 &amp; 85, Ravenslea Road"/>
    <s v=""/>
    <n v="527902"/>
    <n v="173411"/>
    <x v="6"/>
    <m/>
    <m/>
    <n v="0"/>
    <x v="24"/>
    <x v="28"/>
    <n v="5"/>
    <n v="5"/>
    <x v="1"/>
    <s v="Erection of a three storey block comprising 5 apartments (2 x 2-bedroom, 2 x 1 -bedroom and 1 x 3-bedroom)  associated amenity space including balconies and gardens with cycle store and relocation of entrance to existing allotments at rear."/>
    <s v="PF"/>
    <d v="2022-05-24T00:00:00"/>
    <d v="2022-11-24T00:00:00"/>
    <x v="0"/>
    <s v="Nil"/>
    <m/>
    <s v="BF"/>
    <s v="NB"/>
    <x v="2"/>
    <x v="3"/>
    <n v="1.17333E-2"/>
    <m/>
    <x v="0"/>
    <m/>
    <x v="1"/>
    <s v="M"/>
    <s v=""/>
    <m/>
    <m/>
    <m/>
    <m/>
    <m/>
    <n v="0"/>
    <n v="2"/>
    <n v="2"/>
    <n v="1"/>
    <n v="0"/>
    <n v="0"/>
    <n v="0"/>
    <n v="0"/>
    <n v="2"/>
    <n v="2"/>
    <n v="1"/>
    <n v="0"/>
    <n v="0"/>
    <n v="0"/>
    <n v="0"/>
    <n v="0"/>
    <n v="0"/>
    <n v="0"/>
    <n v="0"/>
    <n v="0"/>
    <n v="0"/>
    <n v="0"/>
    <n v="0"/>
    <n v="0"/>
    <n v="0"/>
    <n v="0"/>
    <n v="0"/>
    <n v="0"/>
    <x v="1"/>
    <x v="0"/>
    <x v="2"/>
    <n v="7"/>
    <m/>
    <m/>
    <n v="1.25"/>
    <n v="1.25"/>
    <n v="1.25"/>
    <n v="1.25"/>
    <m/>
    <m/>
    <m/>
    <m/>
    <m/>
    <m/>
    <m/>
    <m/>
    <m/>
    <m/>
    <m/>
    <m/>
    <m/>
    <m/>
    <n v="5"/>
    <n v="5"/>
  </r>
  <r>
    <n v="7832"/>
    <x v="2"/>
    <s v="2022/1963"/>
    <s v="Upper Floors, 34 Wandsworth Common West Side"/>
    <s v=""/>
    <n v="526498"/>
    <n v="174597"/>
    <x v="14"/>
    <m/>
    <m/>
    <n v="1"/>
    <x v="11"/>
    <x v="7"/>
    <n v="3"/>
    <n v="2"/>
    <x v="1"/>
    <s v="Alterations including erection of mansard roof extension to main rear roof and extension above part of three-storey back addition; formation of roof terrace above remainder of back addition with 1.7m high screening. Works in connection with conversion of upper floor flat into 1 x 3-bedroom and 2 x 1-bedroom flats."/>
    <s v="PF"/>
    <d v="2022-05-05T00:00:00"/>
    <d v="2022-07-08T00:00:00"/>
    <x v="0"/>
    <s v="Nil"/>
    <m/>
    <s v="BF"/>
    <s v="CON"/>
    <x v="2"/>
    <x v="1"/>
    <n v="5.6166599999999999E-3"/>
    <m/>
    <x v="0"/>
    <m/>
    <x v="1"/>
    <s v="MR"/>
    <s v=""/>
    <m/>
    <m/>
    <m/>
    <m/>
    <m/>
    <n v="0"/>
    <n v="2"/>
    <n v="0"/>
    <n v="1"/>
    <n v="0"/>
    <n v="-1"/>
    <n v="0"/>
    <n v="0"/>
    <n v="2"/>
    <n v="0"/>
    <n v="1"/>
    <n v="0"/>
    <n v="-1"/>
    <n v="0"/>
    <n v="0"/>
    <n v="0"/>
    <n v="0"/>
    <n v="0"/>
    <n v="0"/>
    <n v="0"/>
    <n v="0"/>
    <n v="0"/>
    <n v="0"/>
    <n v="0"/>
    <n v="0"/>
    <n v="0"/>
    <n v="0"/>
    <n v="0"/>
    <x v="1"/>
    <x v="0"/>
    <x v="2"/>
    <n v="15"/>
    <m/>
    <n v="0.5"/>
    <n v="0.5"/>
    <n v="0.5"/>
    <n v="0.5"/>
    <m/>
    <m/>
    <m/>
    <m/>
    <m/>
    <m/>
    <m/>
    <m/>
    <m/>
    <m/>
    <m/>
    <m/>
    <m/>
    <m/>
    <m/>
    <n v="2"/>
    <n v="2"/>
  </r>
  <r>
    <n v="7810"/>
    <x v="2"/>
    <s v="2022/2017"/>
    <s v="30A Louisville Road"/>
    <s v=""/>
    <n v="528268"/>
    <n v="172294"/>
    <x v="18"/>
    <m/>
    <m/>
    <n v="1"/>
    <x v="5"/>
    <x v="5"/>
    <n v="2"/>
    <n v="1"/>
    <x v="1"/>
    <s v="Alterations including front rooflights erection of a extensions to main rear roof and above two-storey back addition with formation of a roof terrace to form a new 1 x studio flat."/>
    <s v="PF"/>
    <d v="2022-05-30T00:00:00"/>
    <d v="2023-07-13T00:00:00"/>
    <x v="1"/>
    <s v="Nil"/>
    <m/>
    <s v="BF"/>
    <s v="EXT"/>
    <x v="2"/>
    <x v="7"/>
    <n v="6.3E-3"/>
    <m/>
    <x v="0"/>
    <m/>
    <x v="1"/>
    <s v="M"/>
    <s v=""/>
    <m/>
    <m/>
    <m/>
    <m/>
    <m/>
    <n v="1"/>
    <n v="0"/>
    <n v="0"/>
    <n v="0"/>
    <n v="0"/>
    <n v="0"/>
    <n v="0"/>
    <n v="1"/>
    <n v="0"/>
    <n v="0"/>
    <n v="0"/>
    <n v="0"/>
    <n v="0"/>
    <n v="0"/>
    <n v="0"/>
    <n v="0"/>
    <n v="0"/>
    <n v="0"/>
    <n v="0"/>
    <n v="0"/>
    <n v="0"/>
    <n v="0"/>
    <n v="0"/>
    <n v="0"/>
    <n v="0"/>
    <n v="0"/>
    <n v="0"/>
    <n v="0"/>
    <x v="1"/>
    <x v="0"/>
    <x v="2"/>
    <n v="15"/>
    <m/>
    <n v="0.25"/>
    <n v="0.25"/>
    <n v="0.25"/>
    <n v="0.25"/>
    <m/>
    <m/>
    <m/>
    <m/>
    <m/>
    <m/>
    <m/>
    <m/>
    <m/>
    <m/>
    <m/>
    <m/>
    <m/>
    <m/>
    <m/>
    <n v="1"/>
    <n v="1"/>
  </r>
  <r>
    <n v="7851"/>
    <x v="2"/>
    <s v="2022/2098"/>
    <s v="50-53 Denton Street"/>
    <s v=""/>
    <n v="525884"/>
    <n v="174406"/>
    <x v="14"/>
    <m/>
    <m/>
    <n v="0"/>
    <x v="3"/>
    <x v="5"/>
    <n v="1"/>
    <n v="1"/>
    <x v="1"/>
    <s v="Erection of mansard roof extension to main rear roof and extension above part of two-storey back addition and formation of roof terrace with 1.8m high screen surround in connection with creation of 1 x 2-bedroom flat. Alterations including raising the ridge by 400mm."/>
    <s v="PF"/>
    <d v="2022-06-22T00:00:00"/>
    <d v="2022-08-09T00:00:00"/>
    <x v="0"/>
    <s v="Nil"/>
    <m/>
    <s v="BF"/>
    <s v="EXT"/>
    <x v="2"/>
    <x v="7"/>
    <n v="6.2100000000000002E-3"/>
    <m/>
    <x v="0"/>
    <m/>
    <x v="1"/>
    <s v="M"/>
    <s v=""/>
    <m/>
    <m/>
    <m/>
    <m/>
    <m/>
    <n v="0"/>
    <n v="0"/>
    <n v="1"/>
    <n v="0"/>
    <n v="0"/>
    <n v="0"/>
    <n v="0"/>
    <n v="0"/>
    <n v="0"/>
    <n v="1"/>
    <n v="0"/>
    <n v="0"/>
    <n v="0"/>
    <n v="0"/>
    <n v="0"/>
    <n v="0"/>
    <n v="0"/>
    <n v="0"/>
    <n v="0"/>
    <n v="0"/>
    <n v="0"/>
    <n v="0"/>
    <n v="0"/>
    <n v="0"/>
    <n v="0"/>
    <n v="0"/>
    <n v="0"/>
    <n v="0"/>
    <x v="1"/>
    <x v="0"/>
    <x v="7"/>
    <n v="15"/>
    <m/>
    <n v="0.25"/>
    <n v="0.25"/>
    <n v="0.25"/>
    <n v="0.25"/>
    <m/>
    <m/>
    <m/>
    <m/>
    <m/>
    <m/>
    <m/>
    <m/>
    <m/>
    <m/>
    <m/>
    <m/>
    <m/>
    <m/>
    <m/>
    <n v="1"/>
    <n v="1"/>
  </r>
  <r>
    <n v="7855"/>
    <x v="2"/>
    <s v="2022/2164"/>
    <s v="Land and Building to the South of, 164C Mitcham Road (The Old Bakery)"/>
    <s v=""/>
    <n v="527835"/>
    <n v="171006"/>
    <x v="0"/>
    <m/>
    <m/>
    <n v="0"/>
    <x v="3"/>
    <x v="5"/>
    <n v="1"/>
    <n v="1"/>
    <x v="1"/>
    <s v="Determination as to whether prior approval is required for change of use  from office (Class E) to residential (Class C3) to provide 1 x 1-bedroom house."/>
    <s v="PAG"/>
    <d v="2022-05-09T00:00:00"/>
    <d v="2022-06-30T00:00:00"/>
    <x v="0"/>
    <s v="Nil"/>
    <m/>
    <s v="BF"/>
    <s v="COU"/>
    <x v="2"/>
    <x v="6"/>
    <n v="8.0700000000000008E-3"/>
    <m/>
    <x v="0"/>
    <m/>
    <x v="1"/>
    <s v="M"/>
    <s v=""/>
    <m/>
    <m/>
    <m/>
    <m/>
    <m/>
    <n v="0"/>
    <n v="1"/>
    <n v="0"/>
    <n v="0"/>
    <n v="0"/>
    <n v="0"/>
    <n v="0"/>
    <n v="0"/>
    <n v="0"/>
    <n v="0"/>
    <n v="0"/>
    <n v="0"/>
    <n v="0"/>
    <n v="0"/>
    <n v="0"/>
    <n v="1"/>
    <n v="0"/>
    <n v="0"/>
    <n v="0"/>
    <n v="0"/>
    <n v="0"/>
    <n v="0"/>
    <n v="0"/>
    <n v="0"/>
    <n v="0"/>
    <n v="0"/>
    <n v="0"/>
    <n v="0"/>
    <x v="1"/>
    <x v="0"/>
    <x v="0"/>
    <n v="15"/>
    <m/>
    <n v="0.25"/>
    <n v="0.25"/>
    <n v="0.25"/>
    <n v="0.25"/>
    <m/>
    <m/>
    <m/>
    <m/>
    <m/>
    <m/>
    <m/>
    <m/>
    <m/>
    <m/>
    <m/>
    <m/>
    <m/>
    <m/>
    <m/>
    <n v="1"/>
    <n v="1"/>
  </r>
  <r>
    <n v="7857"/>
    <x v="2"/>
    <s v="2022/2207"/>
    <s v="360 Old York Road"/>
    <s v=""/>
    <n v="525896"/>
    <n v="174999"/>
    <x v="14"/>
    <m/>
    <m/>
    <n v="0"/>
    <x v="5"/>
    <x v="7"/>
    <n v="2"/>
    <n v="2"/>
    <x v="1"/>
    <s v="Part demolition and the erection of a part single-storey, part two-storey extension to provide 2 x 1-bedroom flats with associated private amenity space"/>
    <s v="PF"/>
    <d v="2022-05-26T00:00:00"/>
    <d v="2022-12-20T00:00:00"/>
    <x v="0"/>
    <s v="Nil"/>
    <m/>
    <s v="BF"/>
    <s v="NB"/>
    <x v="2"/>
    <x v="3"/>
    <n v="4.7999999999999996E-3"/>
    <m/>
    <x v="0"/>
    <m/>
    <x v="1"/>
    <s v="M"/>
    <s v=""/>
    <m/>
    <m/>
    <m/>
    <m/>
    <m/>
    <n v="1"/>
    <n v="1"/>
    <n v="0"/>
    <n v="0"/>
    <n v="0"/>
    <n v="0"/>
    <n v="0"/>
    <n v="1"/>
    <n v="1"/>
    <n v="0"/>
    <n v="0"/>
    <n v="0"/>
    <n v="0"/>
    <n v="0"/>
    <n v="0"/>
    <n v="0"/>
    <n v="0"/>
    <n v="0"/>
    <n v="0"/>
    <n v="0"/>
    <n v="0"/>
    <n v="0"/>
    <n v="0"/>
    <n v="0"/>
    <n v="0"/>
    <n v="0"/>
    <n v="0"/>
    <n v="0"/>
    <x v="1"/>
    <x v="0"/>
    <x v="7"/>
    <n v="7"/>
    <m/>
    <m/>
    <n v="0.5"/>
    <n v="0.5"/>
    <n v="0.5"/>
    <n v="0.5"/>
    <m/>
    <m/>
    <m/>
    <m/>
    <m/>
    <m/>
    <m/>
    <m/>
    <m/>
    <m/>
    <m/>
    <m/>
    <m/>
    <m/>
    <n v="2"/>
    <n v="2"/>
  </r>
  <r>
    <n v="3758"/>
    <x v="2"/>
    <s v="2022/2245"/>
    <s v="60 Hazlewell Road"/>
    <s v=""/>
    <n v="523099"/>
    <n v="174875"/>
    <x v="16"/>
    <m/>
    <m/>
    <n v="5"/>
    <x v="3"/>
    <x v="42"/>
    <n v="1"/>
    <n v="-4"/>
    <x v="1"/>
    <s v="Conversion from 5x1-bed flats to a single-dwelling house with reinstatement of front entrance door and fanlight."/>
    <s v="PF"/>
    <d v="2022-06-21T00:00:00"/>
    <d v="2022-08-15T00:00:00"/>
    <x v="0"/>
    <s v="Nil"/>
    <m/>
    <s v="BF"/>
    <s v="CON"/>
    <x v="2"/>
    <x v="11"/>
    <n v="0.01"/>
    <m/>
    <x v="0"/>
    <m/>
    <x v="1"/>
    <s v="M"/>
    <s v=""/>
    <m/>
    <m/>
    <m/>
    <m/>
    <m/>
    <n v="0"/>
    <n v="-5"/>
    <n v="0"/>
    <n v="0"/>
    <n v="1"/>
    <n v="0"/>
    <n v="0"/>
    <n v="0"/>
    <n v="-5"/>
    <n v="0"/>
    <n v="0"/>
    <n v="0"/>
    <n v="0"/>
    <n v="0"/>
    <n v="0"/>
    <n v="0"/>
    <n v="0"/>
    <n v="0"/>
    <n v="1"/>
    <n v="0"/>
    <n v="0"/>
    <n v="0"/>
    <n v="0"/>
    <n v="0"/>
    <n v="0"/>
    <n v="0"/>
    <n v="0"/>
    <n v="0"/>
    <x v="1"/>
    <x v="0"/>
    <x v="2"/>
    <n v="15"/>
    <m/>
    <n v="-1"/>
    <n v="-1"/>
    <n v="-1"/>
    <n v="-1"/>
    <m/>
    <m/>
    <m/>
    <m/>
    <m/>
    <m/>
    <m/>
    <m/>
    <m/>
    <m/>
    <m/>
    <m/>
    <m/>
    <m/>
    <m/>
    <n v="-4"/>
    <n v="-4"/>
  </r>
  <r>
    <n v="7860"/>
    <x v="2"/>
    <s v="2022/2370"/>
    <s v="1 Furzedown Drive"/>
    <s v=""/>
    <n v="528722"/>
    <n v="171376"/>
    <x v="9"/>
    <m/>
    <m/>
    <n v="0"/>
    <x v="3"/>
    <x v="5"/>
    <n v="1"/>
    <n v="1"/>
    <x v="1"/>
    <s v="Demolition of the existing single-storey garage and construction of a single-storey dwellinghouse."/>
    <s v="PF"/>
    <d v="2022-06-08T00:00:00"/>
    <d v="2022-08-03T00:00:00"/>
    <x v="0"/>
    <s v="Nil"/>
    <m/>
    <s v="Gdn"/>
    <s v="NB"/>
    <x v="2"/>
    <x v="3"/>
    <n v="4.2399999999999998E-3"/>
    <m/>
    <x v="0"/>
    <m/>
    <x v="1"/>
    <s v="M"/>
    <s v=""/>
    <m/>
    <m/>
    <m/>
    <m/>
    <m/>
    <n v="0"/>
    <n v="1"/>
    <n v="0"/>
    <n v="0"/>
    <n v="0"/>
    <n v="0"/>
    <n v="0"/>
    <n v="0"/>
    <n v="0"/>
    <n v="0"/>
    <n v="0"/>
    <n v="0"/>
    <n v="0"/>
    <n v="0"/>
    <n v="0"/>
    <n v="1"/>
    <n v="0"/>
    <n v="0"/>
    <n v="0"/>
    <n v="0"/>
    <n v="0"/>
    <n v="0"/>
    <n v="0"/>
    <n v="0"/>
    <n v="0"/>
    <n v="0"/>
    <n v="0"/>
    <n v="0"/>
    <x v="1"/>
    <x v="0"/>
    <x v="2"/>
    <n v="7"/>
    <m/>
    <m/>
    <n v="0.25"/>
    <n v="0.25"/>
    <n v="0.25"/>
    <n v="0.25"/>
    <m/>
    <m/>
    <m/>
    <m/>
    <m/>
    <m/>
    <m/>
    <m/>
    <m/>
    <m/>
    <m/>
    <m/>
    <m/>
    <m/>
    <n v="1"/>
    <n v="1"/>
  </r>
  <r>
    <n v="7862"/>
    <x v="2"/>
    <s v="2022/2521"/>
    <s v="Ground and First Floor Flats, 56 Luttrell Avenue"/>
    <s v=""/>
    <n v="522956"/>
    <n v="174649"/>
    <x v="16"/>
    <m/>
    <m/>
    <n v="2"/>
    <x v="3"/>
    <x v="3"/>
    <n v="1"/>
    <n v="-1"/>
    <x v="1"/>
    <s v="Erection of a replacement single-storey rear/side extension in connection with use of ground and first floor flats as a single dwelling."/>
    <s v="PF"/>
    <d v="2022-06-15T00:00:00"/>
    <d v="2022-10-14T00:00:00"/>
    <x v="0"/>
    <s v="Nil"/>
    <m/>
    <s v="BF"/>
    <s v="CON"/>
    <x v="2"/>
    <x v="11"/>
    <n v="1.54E-2"/>
    <m/>
    <x v="0"/>
    <m/>
    <x v="1"/>
    <s v="M"/>
    <s v=""/>
    <m/>
    <m/>
    <m/>
    <m/>
    <m/>
    <n v="0"/>
    <n v="-1"/>
    <n v="-1"/>
    <n v="0"/>
    <n v="1"/>
    <n v="0"/>
    <n v="0"/>
    <n v="0"/>
    <n v="-1"/>
    <n v="-1"/>
    <n v="0"/>
    <n v="1"/>
    <n v="0"/>
    <n v="0"/>
    <n v="0"/>
    <n v="0"/>
    <n v="0"/>
    <n v="0"/>
    <n v="0"/>
    <n v="0"/>
    <n v="0"/>
    <n v="0"/>
    <n v="0"/>
    <n v="0"/>
    <n v="0"/>
    <n v="0"/>
    <n v="0"/>
    <n v="0"/>
    <x v="1"/>
    <x v="0"/>
    <x v="2"/>
    <n v="15"/>
    <m/>
    <n v="-0.25"/>
    <n v="-0.25"/>
    <n v="-0.25"/>
    <n v="-0.25"/>
    <m/>
    <m/>
    <m/>
    <m/>
    <m/>
    <m/>
    <m/>
    <m/>
    <m/>
    <m/>
    <m/>
    <m/>
    <m/>
    <m/>
    <m/>
    <n v="-1"/>
    <n v="-1"/>
  </r>
  <r>
    <n v="5197"/>
    <x v="2"/>
    <s v="2022/2608"/>
    <s v="Rear of 667-669, 667-669 Garratt Lane"/>
    <s v=""/>
    <n v="526177"/>
    <n v="172334"/>
    <x v="17"/>
    <m/>
    <m/>
    <n v="0"/>
    <x v="5"/>
    <x v="7"/>
    <n v="2"/>
    <n v="2"/>
    <x v="1"/>
    <s v="Erection of a two-storey rear extension to provide 1 x 1-bedroom flat and 1 x studio flat."/>
    <s v="PF"/>
    <d v="2022-07-13T00:00:00"/>
    <d v="2022-09-05T00:00:00"/>
    <x v="0"/>
    <s v="Nil"/>
    <m/>
    <s v="BF"/>
    <s v="EXT"/>
    <x v="2"/>
    <x v="7"/>
    <n v="4.5500000000000002E-3"/>
    <m/>
    <x v="0"/>
    <m/>
    <x v="1"/>
    <s v="MR"/>
    <s v=""/>
    <m/>
    <m/>
    <m/>
    <m/>
    <m/>
    <n v="1"/>
    <n v="1"/>
    <n v="0"/>
    <n v="0"/>
    <n v="0"/>
    <n v="0"/>
    <n v="0"/>
    <n v="1"/>
    <n v="1"/>
    <n v="0"/>
    <n v="0"/>
    <n v="0"/>
    <n v="0"/>
    <n v="0"/>
    <n v="0"/>
    <n v="0"/>
    <n v="0"/>
    <n v="0"/>
    <n v="0"/>
    <n v="0"/>
    <n v="0"/>
    <n v="0"/>
    <n v="0"/>
    <n v="0"/>
    <n v="0"/>
    <n v="0"/>
    <n v="0"/>
    <n v="0"/>
    <x v="1"/>
    <x v="0"/>
    <x v="5"/>
    <n v="15"/>
    <m/>
    <n v="0.5"/>
    <n v="0.5"/>
    <n v="0.5"/>
    <n v="0.5"/>
    <m/>
    <m/>
    <m/>
    <m/>
    <m/>
    <m/>
    <m/>
    <m/>
    <m/>
    <m/>
    <m/>
    <m/>
    <m/>
    <m/>
    <m/>
    <n v="2"/>
    <n v="2"/>
  </r>
  <r>
    <n v="7867"/>
    <x v="2"/>
    <s v="2022/2668"/>
    <s v="25 Coverton Road"/>
    <s v="Extn/Conv"/>
    <n v="527266"/>
    <n v="171375"/>
    <x v="0"/>
    <m/>
    <m/>
    <n v="2"/>
    <x v="12"/>
    <x v="7"/>
    <n v="4"/>
    <n v="2"/>
    <x v="1"/>
    <s v="Alterations including erection of mansard roof extension to the main rear roof (with French doors and safety railings) including raising ridge by 300mm and erection of roof extension above two storey back addition, erection of single-story rear/side extension, lowering of front first floor windows and replacement to front, rear and side windows, formation of rear roof terrace with 1.7m glazed screen surround over two storey back addition in connection with conversion of two flats to four flats; 1 x 3-bedroom, 1 x 2-bedroom, 1 x 1-bedroom and 1 x 1 bedroom/studio. Provision of refuse and cycle storage."/>
    <s v="PF"/>
    <d v="2022-06-24T00:00:00"/>
    <d v="2022-08-24T00:00:00"/>
    <x v="0"/>
    <s v="Nil"/>
    <m/>
    <s v="BF"/>
    <s v="MIX"/>
    <x v="2"/>
    <x v="7"/>
    <n v="6.5500000000000003E-3"/>
    <m/>
    <x v="0"/>
    <m/>
    <x v="1"/>
    <s v="M"/>
    <s v=""/>
    <m/>
    <m/>
    <m/>
    <m/>
    <m/>
    <n v="1"/>
    <n v="0"/>
    <n v="1"/>
    <n v="0"/>
    <n v="0"/>
    <n v="0"/>
    <n v="0"/>
    <n v="1"/>
    <n v="0"/>
    <n v="1"/>
    <n v="0"/>
    <n v="0"/>
    <n v="0"/>
    <n v="0"/>
    <n v="0"/>
    <n v="0"/>
    <n v="0"/>
    <n v="0"/>
    <n v="0"/>
    <n v="0"/>
    <n v="0"/>
    <n v="0"/>
    <n v="0"/>
    <n v="0"/>
    <n v="0"/>
    <n v="0"/>
    <n v="0"/>
    <n v="0"/>
    <x v="1"/>
    <x v="0"/>
    <x v="0"/>
    <n v="15"/>
    <m/>
    <n v="0.5"/>
    <n v="0.5"/>
    <n v="0.5"/>
    <n v="0.5"/>
    <m/>
    <m/>
    <m/>
    <m/>
    <m/>
    <m/>
    <m/>
    <m/>
    <m/>
    <m/>
    <m/>
    <m/>
    <m/>
    <m/>
    <m/>
    <n v="2"/>
    <n v="2"/>
  </r>
  <r>
    <n v="7869"/>
    <x v="2"/>
    <s v="2022/2788"/>
    <s v="Alexander Studios, Unit 4 Haydon Way (The Courtyard)"/>
    <s v=""/>
    <n v="526537"/>
    <n v="175110"/>
    <x v="14"/>
    <m/>
    <m/>
    <n v="0"/>
    <x v="3"/>
    <x v="5"/>
    <n v="1"/>
    <n v="1"/>
    <x v="1"/>
    <s v="Change of use from a photography studio (Class E) into a 3-bed flat (Class C3)."/>
    <s v="PF"/>
    <d v="2022-07-26T00:00:00"/>
    <d v="2022-09-20T00:00:00"/>
    <x v="0"/>
    <s v="Nil"/>
    <m/>
    <s v="BF"/>
    <s v="CON"/>
    <x v="2"/>
    <x v="4"/>
    <n v="1.3599999999999999E-2"/>
    <m/>
    <x v="0"/>
    <m/>
    <x v="1"/>
    <s v="M"/>
    <s v=""/>
    <m/>
    <m/>
    <m/>
    <m/>
    <m/>
    <n v="0"/>
    <n v="0"/>
    <n v="0"/>
    <n v="1"/>
    <n v="0"/>
    <n v="0"/>
    <n v="0"/>
    <n v="0"/>
    <n v="0"/>
    <n v="0"/>
    <n v="1"/>
    <n v="0"/>
    <n v="0"/>
    <n v="0"/>
    <n v="0"/>
    <n v="0"/>
    <n v="0"/>
    <n v="0"/>
    <n v="0"/>
    <n v="0"/>
    <n v="0"/>
    <n v="0"/>
    <n v="0"/>
    <n v="0"/>
    <n v="0"/>
    <n v="0"/>
    <n v="0"/>
    <n v="0"/>
    <x v="1"/>
    <x v="0"/>
    <x v="2"/>
    <n v="15"/>
    <m/>
    <n v="0.25"/>
    <n v="0.25"/>
    <n v="0.25"/>
    <n v="0.25"/>
    <m/>
    <m/>
    <m/>
    <m/>
    <m/>
    <m/>
    <m/>
    <m/>
    <m/>
    <m/>
    <m/>
    <m/>
    <m/>
    <m/>
    <m/>
    <n v="1"/>
    <n v="1"/>
  </r>
  <r>
    <n v="6348"/>
    <x v="2"/>
    <s v="2022/2791"/>
    <s v="39-43 and 39-43a, 39-43 West Hill"/>
    <s v=""/>
    <n v="525098"/>
    <n v="174608"/>
    <x v="7"/>
    <m/>
    <m/>
    <n v="0"/>
    <x v="24"/>
    <x v="28"/>
    <n v="5"/>
    <n v="5"/>
    <x v="1"/>
    <s v="Alterations to include the excavation to form basement with rear lightwells in conjunction with change of use from retail (Class E) and provision of 1 x 1-bedroom, 4 x 2-bedroom flats (Class C3) at basement and ground floor levels; refuse and cycle stores fronting Lebanon Road."/>
    <s v="PF"/>
    <d v="2022-07-01T00:00:00"/>
    <d v="2022-08-25T00:00:00"/>
    <x v="0"/>
    <s v="Nil"/>
    <m/>
    <s v="BF"/>
    <s v="MIX"/>
    <x v="2"/>
    <x v="7"/>
    <n v="2.4549999999999999E-2"/>
    <m/>
    <x v="0"/>
    <m/>
    <x v="1"/>
    <s v="M"/>
    <s v=""/>
    <m/>
    <m/>
    <m/>
    <m/>
    <m/>
    <n v="0"/>
    <n v="1"/>
    <n v="4"/>
    <n v="0"/>
    <n v="0"/>
    <n v="0"/>
    <n v="0"/>
    <n v="0"/>
    <n v="1"/>
    <n v="4"/>
    <n v="0"/>
    <n v="0"/>
    <n v="0"/>
    <n v="0"/>
    <n v="0"/>
    <n v="0"/>
    <n v="0"/>
    <n v="0"/>
    <n v="0"/>
    <n v="0"/>
    <n v="0"/>
    <n v="0"/>
    <n v="0"/>
    <n v="0"/>
    <n v="0"/>
    <n v="0"/>
    <n v="0"/>
    <n v="0"/>
    <x v="1"/>
    <x v="0"/>
    <x v="2"/>
    <n v="15"/>
    <m/>
    <n v="1.25"/>
    <n v="1.25"/>
    <n v="1.25"/>
    <n v="1.25"/>
    <m/>
    <m/>
    <m/>
    <m/>
    <m/>
    <m/>
    <m/>
    <m/>
    <m/>
    <m/>
    <m/>
    <m/>
    <m/>
    <m/>
    <m/>
    <n v="5"/>
    <n v="5"/>
  </r>
  <r>
    <n v="7157"/>
    <x v="2"/>
    <s v="2022/2884"/>
    <s v="40 Lavender Hill"/>
    <s v=""/>
    <n v="528409"/>
    <n v="175769"/>
    <x v="20"/>
    <m/>
    <m/>
    <n v="0"/>
    <x v="3"/>
    <x v="5"/>
    <n v="1"/>
    <n v="1"/>
    <x v="1"/>
    <s v="Alterations in connection with change of use of hot food takeaway (Class A5) to retail (Class E) and residential (Class C3) to provide 1 x 1-bedroom flat. Extension to basement, installation of glazed pavement lenses, forecourt wall and replacement shopfront."/>
    <s v="PF"/>
    <d v="2022-11-01T00:00:00"/>
    <d v="2022-12-21T00:00:00"/>
    <x v="0"/>
    <s v="Nil"/>
    <m/>
    <s v="BF"/>
    <s v="MIX"/>
    <x v="2"/>
    <x v="8"/>
    <n v="0.01"/>
    <m/>
    <x v="0"/>
    <m/>
    <x v="1"/>
    <s v="M"/>
    <s v=""/>
    <m/>
    <m/>
    <m/>
    <m/>
    <m/>
    <n v="0"/>
    <n v="1"/>
    <n v="0"/>
    <n v="0"/>
    <n v="0"/>
    <n v="0"/>
    <n v="0"/>
    <n v="0"/>
    <n v="1"/>
    <n v="0"/>
    <n v="0"/>
    <n v="0"/>
    <n v="0"/>
    <n v="0"/>
    <n v="0"/>
    <n v="0"/>
    <n v="0"/>
    <n v="0"/>
    <n v="0"/>
    <n v="0"/>
    <n v="0"/>
    <n v="0"/>
    <n v="0"/>
    <n v="0"/>
    <n v="0"/>
    <n v="0"/>
    <n v="0"/>
    <n v="0"/>
    <x v="1"/>
    <x v="0"/>
    <x v="2"/>
    <n v="15"/>
    <m/>
    <n v="0.25"/>
    <n v="0.25"/>
    <n v="0.25"/>
    <n v="0.25"/>
    <m/>
    <m/>
    <m/>
    <m/>
    <m/>
    <m/>
    <m/>
    <m/>
    <m/>
    <m/>
    <m/>
    <m/>
    <m/>
    <m/>
    <m/>
    <n v="1"/>
    <n v="1"/>
  </r>
  <r>
    <n v="4252"/>
    <x v="2"/>
    <s v="2022/2954"/>
    <s v="Lanterns Lodge, The Lanterns, Bridge Lane"/>
    <s v=""/>
    <n v="527344"/>
    <n v="176643"/>
    <x v="15"/>
    <m/>
    <m/>
    <n v="0"/>
    <x v="3"/>
    <x v="5"/>
    <n v="1"/>
    <n v="1"/>
    <x v="1"/>
    <s v="Change of use of from offices (Class E) to residential (Class C3)."/>
    <s v="PF"/>
    <d v="2022-08-10T00:00:00"/>
    <d v="2023-04-19T00:00:00"/>
    <x v="1"/>
    <s v="Nil"/>
    <m/>
    <s v="BF"/>
    <s v="COU"/>
    <x v="2"/>
    <x v="6"/>
    <n v="6.4000000000000003E-3"/>
    <m/>
    <x v="0"/>
    <m/>
    <x v="1"/>
    <s v="M"/>
    <s v=""/>
    <m/>
    <m/>
    <m/>
    <m/>
    <m/>
    <n v="0"/>
    <n v="1"/>
    <n v="0"/>
    <n v="0"/>
    <n v="0"/>
    <n v="0"/>
    <n v="0"/>
    <n v="0"/>
    <n v="0"/>
    <n v="0"/>
    <n v="0"/>
    <n v="0"/>
    <n v="0"/>
    <n v="0"/>
    <n v="0"/>
    <n v="1"/>
    <n v="0"/>
    <n v="0"/>
    <n v="0"/>
    <n v="0"/>
    <n v="0"/>
    <n v="0"/>
    <n v="0"/>
    <n v="0"/>
    <n v="0"/>
    <n v="0"/>
    <n v="0"/>
    <n v="0"/>
    <x v="1"/>
    <x v="0"/>
    <x v="2"/>
    <n v="15"/>
    <m/>
    <n v="0.25"/>
    <n v="0.25"/>
    <n v="0.25"/>
    <n v="0.25"/>
    <m/>
    <m/>
    <m/>
    <m/>
    <m/>
    <m/>
    <m/>
    <m/>
    <m/>
    <m/>
    <m/>
    <m/>
    <m/>
    <m/>
    <m/>
    <n v="1"/>
    <n v="1"/>
  </r>
  <r>
    <n v="7515"/>
    <x v="2"/>
    <s v="2022/3049"/>
    <s v="76 Norroy Road"/>
    <s v=""/>
    <n v="523770"/>
    <n v="175233"/>
    <x v="3"/>
    <m/>
    <m/>
    <n v="4"/>
    <x v="3"/>
    <x v="51"/>
    <n v="1"/>
    <n v="-3"/>
    <x v="1"/>
    <s v="Alterations including erection of single-storey rear/side extension and extension above two-storey back addition in connection with use as a single dwelling."/>
    <s v="PF"/>
    <d v="2022-08-09T00:00:00"/>
    <d v="2022-10-03T00:00:00"/>
    <x v="0"/>
    <s v="Nil"/>
    <m/>
    <s v="BF"/>
    <s v="CON"/>
    <x v="2"/>
    <x v="11"/>
    <n v="5.8333329999999996E-3"/>
    <m/>
    <x v="0"/>
    <m/>
    <x v="1"/>
    <s v="M"/>
    <s v=""/>
    <m/>
    <m/>
    <m/>
    <m/>
    <m/>
    <n v="-2"/>
    <n v="-2"/>
    <n v="0"/>
    <n v="0"/>
    <n v="0"/>
    <n v="1"/>
    <n v="0"/>
    <n v="-2"/>
    <n v="-2"/>
    <n v="0"/>
    <n v="0"/>
    <n v="0"/>
    <n v="0"/>
    <n v="0"/>
    <n v="0"/>
    <n v="0"/>
    <n v="0"/>
    <n v="0"/>
    <n v="0"/>
    <n v="1"/>
    <n v="0"/>
    <n v="0"/>
    <n v="0"/>
    <n v="0"/>
    <n v="0"/>
    <n v="0"/>
    <n v="0"/>
    <n v="0"/>
    <x v="1"/>
    <x v="0"/>
    <x v="6"/>
    <n v="15"/>
    <m/>
    <n v="-0.75"/>
    <n v="-0.75"/>
    <n v="-0.75"/>
    <n v="-0.75"/>
    <m/>
    <m/>
    <m/>
    <m/>
    <m/>
    <m/>
    <m/>
    <m/>
    <m/>
    <m/>
    <m/>
    <m/>
    <m/>
    <m/>
    <m/>
    <n v="-3"/>
    <n v="-3"/>
  </r>
  <r>
    <n v="7875"/>
    <x v="2"/>
    <s v="2022/3125"/>
    <s v="122 Dowdeswell Close"/>
    <s v=""/>
    <n v="521424"/>
    <n v="175172"/>
    <x v="4"/>
    <m/>
    <m/>
    <n v="2"/>
    <x v="3"/>
    <x v="3"/>
    <n v="1"/>
    <n v="-1"/>
    <x v="1"/>
    <s v="Continue use as a single dwelling house."/>
    <s v="PF"/>
    <d v="2022-08-30T00:00:00"/>
    <d v="2022-11-16T00:00:00"/>
    <x v="0"/>
    <s v="Nil"/>
    <m/>
    <s v="BF"/>
    <s v="CON"/>
    <x v="2"/>
    <x v="13"/>
    <n v="1.8E-3"/>
    <m/>
    <x v="0"/>
    <m/>
    <x v="1"/>
    <s v="M"/>
    <s v=""/>
    <m/>
    <m/>
    <m/>
    <m/>
    <m/>
    <n v="-1"/>
    <n v="0"/>
    <n v="0"/>
    <n v="-1"/>
    <n v="1"/>
    <n v="0"/>
    <n v="0"/>
    <n v="-1"/>
    <n v="0"/>
    <n v="0"/>
    <n v="0"/>
    <n v="0"/>
    <n v="0"/>
    <n v="0"/>
    <n v="0"/>
    <n v="0"/>
    <n v="0"/>
    <n v="-1"/>
    <n v="1"/>
    <n v="0"/>
    <n v="0"/>
    <n v="0"/>
    <n v="0"/>
    <n v="0"/>
    <n v="0"/>
    <n v="0"/>
    <n v="0"/>
    <n v="0"/>
    <x v="1"/>
    <x v="0"/>
    <x v="2"/>
    <n v="15"/>
    <m/>
    <n v="-0.25"/>
    <n v="-0.25"/>
    <n v="-0.25"/>
    <n v="-0.25"/>
    <m/>
    <m/>
    <m/>
    <m/>
    <m/>
    <m/>
    <m/>
    <m/>
    <m/>
    <m/>
    <m/>
    <m/>
    <m/>
    <m/>
    <m/>
    <n v="-1"/>
    <n v="-1"/>
  </r>
  <r>
    <n v="4327"/>
    <x v="2"/>
    <s v="2022/3185"/>
    <s v="rear of, 102-104 Upper Tooting Road"/>
    <s v=""/>
    <n v="527751"/>
    <n v="172127"/>
    <x v="19"/>
    <m/>
    <m/>
    <n v="0"/>
    <x v="24"/>
    <x v="28"/>
    <n v="5"/>
    <n v="5"/>
    <x v="1"/>
    <s v="Demolition of existing buildings and erection of 5 x two storey (plus basement) 3-bedroom dwelling houses accessed via Holmbury Court."/>
    <s v="PF"/>
    <d v="2022-07-29T00:00:00"/>
    <d v="2022-11-24T00:00:00"/>
    <x v="0"/>
    <s v="Nil"/>
    <m/>
    <s v="BF"/>
    <s v="NB"/>
    <x v="2"/>
    <x v="3"/>
    <n v="1.923333E-2"/>
    <m/>
    <x v="0"/>
    <m/>
    <x v="1"/>
    <s v="M"/>
    <s v=""/>
    <m/>
    <m/>
    <m/>
    <m/>
    <m/>
    <n v="0"/>
    <n v="0"/>
    <n v="0"/>
    <n v="5"/>
    <n v="0"/>
    <n v="0"/>
    <n v="0"/>
    <n v="0"/>
    <n v="0"/>
    <n v="0"/>
    <n v="0"/>
    <n v="0"/>
    <n v="0"/>
    <n v="0"/>
    <n v="0"/>
    <n v="0"/>
    <n v="0"/>
    <n v="5"/>
    <n v="0"/>
    <n v="0"/>
    <n v="0"/>
    <n v="0"/>
    <n v="0"/>
    <n v="0"/>
    <n v="0"/>
    <n v="0"/>
    <n v="0"/>
    <n v="0"/>
    <x v="1"/>
    <x v="0"/>
    <x v="2"/>
    <n v="7"/>
    <m/>
    <m/>
    <n v="1.25"/>
    <n v="1.25"/>
    <n v="1.25"/>
    <n v="1.25"/>
    <m/>
    <m/>
    <m/>
    <m/>
    <m/>
    <m/>
    <m/>
    <m/>
    <m/>
    <m/>
    <m/>
    <m/>
    <m/>
    <m/>
    <n v="5"/>
    <n v="5"/>
  </r>
  <r>
    <n v="6563"/>
    <x v="2"/>
    <s v="2022/3327"/>
    <s v="Second Floor Regent House, 16-18 Lombard Road"/>
    <s v=""/>
    <n v="526668"/>
    <n v="176335"/>
    <x v="15"/>
    <m/>
    <m/>
    <n v="0"/>
    <x v="29"/>
    <x v="33"/>
    <n v="9"/>
    <n v="9"/>
    <x v="1"/>
    <s v="Determination as to whether prior approval is required for change of use from office  (Class E) to residential (Class C3) to provide 9 flats."/>
    <s v="PAG"/>
    <d v="2022-08-03T00:00:00"/>
    <d v="2022-10-10T00:00:00"/>
    <x v="0"/>
    <s v="Nil"/>
    <m/>
    <s v="BF"/>
    <s v="COU"/>
    <x v="2"/>
    <x v="6"/>
    <n v="7.4999999999999997E-2"/>
    <m/>
    <x v="0"/>
    <m/>
    <x v="1"/>
    <s v="M"/>
    <s v=""/>
    <m/>
    <m/>
    <m/>
    <m/>
    <m/>
    <n v="0"/>
    <n v="3"/>
    <n v="3"/>
    <n v="3"/>
    <n v="0"/>
    <n v="0"/>
    <n v="0"/>
    <n v="0"/>
    <n v="3"/>
    <n v="3"/>
    <n v="3"/>
    <n v="0"/>
    <n v="0"/>
    <n v="0"/>
    <n v="0"/>
    <n v="0"/>
    <n v="0"/>
    <n v="0"/>
    <n v="0"/>
    <n v="0"/>
    <n v="0"/>
    <n v="0"/>
    <n v="0"/>
    <n v="0"/>
    <n v="0"/>
    <n v="0"/>
    <n v="0"/>
    <n v="0"/>
    <x v="1"/>
    <x v="0"/>
    <x v="4"/>
    <n v="18"/>
    <m/>
    <n v="2.25"/>
    <n v="2.25"/>
    <n v="2.25"/>
    <n v="2.25"/>
    <m/>
    <m/>
    <m/>
    <m/>
    <m/>
    <m/>
    <m/>
    <m/>
    <m/>
    <m/>
    <m/>
    <m/>
    <m/>
    <m/>
    <m/>
    <n v="9"/>
    <n v="9"/>
  </r>
  <r>
    <n v="5767"/>
    <x v="2"/>
    <s v="2022/3346"/>
    <s v="56-66 Gwynne Road (26-28)"/>
    <s v=""/>
    <n v="526797"/>
    <n v="176325"/>
    <x v="15"/>
    <m/>
    <m/>
    <n v="0"/>
    <x v="5"/>
    <x v="7"/>
    <n v="2"/>
    <n v="2"/>
    <x v="1"/>
    <s v="Alterations to mezzanine floor in connection with change of use from commercial use (Class E) to residential (Class C3) to create 2 x 1-bedroom flats with associated balconies."/>
    <s v="PFLA"/>
    <d v="2022-10-24T00:00:00"/>
    <d v="2023-03-08T00:00:00"/>
    <x v="0"/>
    <s v="Nil"/>
    <m/>
    <s v="BF"/>
    <s v="COU"/>
    <x v="2"/>
    <x v="4"/>
    <n v="0.01"/>
    <m/>
    <x v="0"/>
    <m/>
    <x v="1"/>
    <s v="M"/>
    <s v=""/>
    <m/>
    <m/>
    <m/>
    <m/>
    <m/>
    <n v="0"/>
    <n v="2"/>
    <n v="0"/>
    <n v="0"/>
    <n v="0"/>
    <n v="0"/>
    <n v="0"/>
    <n v="0"/>
    <n v="2"/>
    <n v="0"/>
    <n v="0"/>
    <n v="0"/>
    <n v="0"/>
    <n v="0"/>
    <n v="0"/>
    <n v="0"/>
    <n v="0"/>
    <n v="0"/>
    <n v="0"/>
    <n v="0"/>
    <n v="0"/>
    <n v="0"/>
    <n v="0"/>
    <n v="0"/>
    <n v="0"/>
    <n v="0"/>
    <n v="0"/>
    <n v="0"/>
    <x v="1"/>
    <x v="0"/>
    <x v="4"/>
    <n v="15"/>
    <m/>
    <n v="0.5"/>
    <n v="0.5"/>
    <n v="0.5"/>
    <n v="0.5"/>
    <m/>
    <m/>
    <m/>
    <m/>
    <m/>
    <m/>
    <m/>
    <m/>
    <m/>
    <m/>
    <m/>
    <m/>
    <m/>
    <m/>
    <m/>
    <n v="2"/>
    <n v="2"/>
  </r>
  <r>
    <n v="7828"/>
    <x v="2"/>
    <s v="2022/3398"/>
    <s v="6 Clarendon Drive"/>
    <s v="7 x houses"/>
    <n v="523617"/>
    <n v="175404"/>
    <x v="3"/>
    <d v="2023-11-30T00:00:00"/>
    <m/>
    <n v="0"/>
    <x v="10"/>
    <x v="14"/>
    <n v="7"/>
    <n v="7"/>
    <x v="1"/>
    <s v="Redevelopment and erection of seven two-storey (plus basement and roof level) houses  (1 x 5-bed and 6 x4 bed) with associated landscaping including removal of two trees and proposed replacement trees;  two on-street parking spaces, on site cycle parking and refuse storage."/>
    <s v="PF"/>
    <d v="2022-08-12T00:00:00"/>
    <d v="2022-12-20T00:00:00"/>
    <x v="0"/>
    <s v="Nil"/>
    <m/>
    <s v="BF"/>
    <s v="NB"/>
    <x v="2"/>
    <x v="3"/>
    <n v="4.9000000000000002E-2"/>
    <m/>
    <x v="0"/>
    <m/>
    <x v="1"/>
    <s v="M"/>
    <s v=""/>
    <m/>
    <m/>
    <n v="6"/>
    <m/>
    <n v="1"/>
    <n v="0"/>
    <n v="0"/>
    <n v="0"/>
    <n v="0"/>
    <n v="6"/>
    <n v="1"/>
    <n v="0"/>
    <n v="0"/>
    <n v="0"/>
    <n v="0"/>
    <n v="0"/>
    <n v="0"/>
    <n v="0"/>
    <n v="0"/>
    <n v="0"/>
    <n v="0"/>
    <n v="0"/>
    <n v="0"/>
    <n v="6"/>
    <n v="1"/>
    <n v="0"/>
    <n v="0"/>
    <n v="0"/>
    <n v="0"/>
    <n v="0"/>
    <n v="0"/>
    <n v="0"/>
    <n v="0"/>
    <x v="1"/>
    <x v="0"/>
    <x v="2"/>
    <n v="10"/>
    <m/>
    <m/>
    <m/>
    <m/>
    <n v="2.3333333333333335"/>
    <n v="2.3333333333333335"/>
    <n v="2.3333333333333335"/>
    <m/>
    <m/>
    <m/>
    <m/>
    <m/>
    <m/>
    <m/>
    <m/>
    <m/>
    <m/>
    <m/>
    <m/>
    <m/>
    <n v="4.666666666666667"/>
    <n v="7"/>
  </r>
  <r>
    <n v="8106"/>
    <x v="2"/>
    <s v="2022/3419"/>
    <s v="Land rear of, 1 Clairview Road"/>
    <s v=""/>
    <n v="529070"/>
    <n v="171516"/>
    <x v="9"/>
    <m/>
    <m/>
    <n v="0"/>
    <x v="3"/>
    <x v="5"/>
    <n v="1"/>
    <n v="1"/>
    <x v="1"/>
    <s v="Erection of a single storey (plus basement) 2 x bed dwelling, with associated refuse and cycle storage."/>
    <s v="PF"/>
    <d v="2022-08-15T00:00:00"/>
    <d v="2022-11-24T00:00:00"/>
    <x v="0"/>
    <s v="Nil"/>
    <m/>
    <s v="Gdn"/>
    <s v="NB"/>
    <x v="2"/>
    <x v="3"/>
    <n v="4.0000000000000001E-3"/>
    <m/>
    <x v="0"/>
    <m/>
    <x v="1"/>
    <s v="M"/>
    <s v=""/>
    <m/>
    <m/>
    <m/>
    <m/>
    <m/>
    <n v="0"/>
    <n v="0"/>
    <n v="1"/>
    <n v="0"/>
    <n v="0"/>
    <n v="0"/>
    <n v="0"/>
    <n v="0"/>
    <n v="0"/>
    <n v="0"/>
    <n v="0"/>
    <n v="0"/>
    <n v="0"/>
    <n v="0"/>
    <n v="0"/>
    <n v="0"/>
    <n v="1"/>
    <n v="0"/>
    <n v="0"/>
    <n v="0"/>
    <n v="0"/>
    <n v="0"/>
    <n v="0"/>
    <n v="0"/>
    <n v="0"/>
    <n v="0"/>
    <n v="0"/>
    <n v="0"/>
    <x v="1"/>
    <x v="0"/>
    <x v="2"/>
    <n v="7"/>
    <m/>
    <m/>
    <n v="0.25"/>
    <n v="0.25"/>
    <n v="0.25"/>
    <n v="0.25"/>
    <m/>
    <m/>
    <m/>
    <m/>
    <m/>
    <m/>
    <m/>
    <m/>
    <m/>
    <m/>
    <m/>
    <m/>
    <m/>
    <m/>
    <n v="1"/>
    <n v="1"/>
  </r>
  <r>
    <n v="7887"/>
    <x v="2"/>
    <s v="2022/3526"/>
    <s v="40 Roedean Crescent"/>
    <s v=""/>
    <n v="521118"/>
    <n v="174326"/>
    <x v="4"/>
    <m/>
    <m/>
    <n v="1"/>
    <x v="3"/>
    <x v="6"/>
    <n v="1"/>
    <n v="0"/>
    <x v="1"/>
    <s v="Demolition of existing building and erection of a two-storey (plus basement and roof levels) 5-bedroom house with associated landscaping and single storey outbuilding and plant room in rear garden."/>
    <s v="PF"/>
    <d v="2022-09-13T00:00:00"/>
    <d v="2023-01-11T00:00:00"/>
    <x v="0"/>
    <s v="Nil"/>
    <m/>
    <s v="BF"/>
    <s v="NB"/>
    <x v="2"/>
    <x v="3"/>
    <n v="2.8000000000000001E-2"/>
    <m/>
    <x v="0"/>
    <m/>
    <x v="1"/>
    <s v="M"/>
    <s v=""/>
    <m/>
    <m/>
    <m/>
    <m/>
    <m/>
    <n v="0"/>
    <n v="0"/>
    <n v="0"/>
    <n v="0"/>
    <n v="-1"/>
    <n v="1"/>
    <n v="0"/>
    <n v="0"/>
    <n v="0"/>
    <n v="0"/>
    <n v="0"/>
    <n v="0"/>
    <n v="0"/>
    <n v="0"/>
    <n v="0"/>
    <n v="0"/>
    <n v="0"/>
    <n v="0"/>
    <n v="-1"/>
    <n v="1"/>
    <n v="0"/>
    <n v="0"/>
    <n v="0"/>
    <n v="0"/>
    <n v="0"/>
    <n v="0"/>
    <n v="0"/>
    <n v="0"/>
    <x v="1"/>
    <x v="0"/>
    <x v="2"/>
    <n v="7"/>
    <m/>
    <m/>
    <n v="0"/>
    <n v="0"/>
    <n v="0"/>
    <n v="0"/>
    <m/>
    <m/>
    <m/>
    <m/>
    <m/>
    <m/>
    <m/>
    <m/>
    <m/>
    <m/>
    <m/>
    <m/>
    <m/>
    <m/>
    <n v="0"/>
    <n v="0"/>
  </r>
  <r>
    <n v="7404"/>
    <x v="2"/>
    <s v="2022/3600"/>
    <s v="30 Juer Street"/>
    <s v=""/>
    <n v="527387"/>
    <n v="177038"/>
    <x v="2"/>
    <m/>
    <m/>
    <n v="2"/>
    <x v="3"/>
    <x v="3"/>
    <n v="1"/>
    <n v="-1"/>
    <x v="1"/>
    <s v="Alterations including installation of solar panels to flat roof of existing roof extension; Extension to roof of three-storey back addition with formation of a roof terrace with raised access stair enclosure and 1.7m high screen surround extending above main roof; Removal of first floor rear access door and stair and installation of replacement window; Erection of a single storey rear /side extension; Excavation to enlarge existing basement, including formation of front lightwell with grille over. Alterations and extensions in connection with conversion of two flats to a single dwellinghouse."/>
    <s v="PF"/>
    <d v="2022-11-21T00:00:00"/>
    <d v="2023-01-31T00:00:00"/>
    <x v="0"/>
    <s v="Nil"/>
    <m/>
    <s v="BF"/>
    <s v="MIX"/>
    <x v="2"/>
    <x v="11"/>
    <n v="1.2E-2"/>
    <m/>
    <x v="0"/>
    <m/>
    <x v="1"/>
    <s v="M"/>
    <s v=""/>
    <m/>
    <m/>
    <m/>
    <m/>
    <m/>
    <n v="0"/>
    <n v="-1"/>
    <n v="0"/>
    <n v="-1"/>
    <n v="1"/>
    <n v="0"/>
    <n v="0"/>
    <n v="0"/>
    <n v="-1"/>
    <n v="0"/>
    <n v="-1"/>
    <n v="0"/>
    <n v="0"/>
    <n v="0"/>
    <n v="0"/>
    <n v="0"/>
    <n v="0"/>
    <n v="0"/>
    <n v="1"/>
    <n v="0"/>
    <n v="0"/>
    <n v="0"/>
    <n v="0"/>
    <n v="0"/>
    <n v="0"/>
    <n v="0"/>
    <n v="0"/>
    <n v="0"/>
    <x v="1"/>
    <x v="0"/>
    <x v="2"/>
    <n v="15"/>
    <m/>
    <n v="-0.25"/>
    <n v="-0.25"/>
    <n v="-0.25"/>
    <n v="-0.25"/>
    <m/>
    <m/>
    <m/>
    <m/>
    <m/>
    <m/>
    <m/>
    <m/>
    <m/>
    <m/>
    <m/>
    <m/>
    <m/>
    <m/>
    <m/>
    <n v="-1"/>
    <n v="-1"/>
  </r>
  <r>
    <n v="2329"/>
    <x v="2"/>
    <s v="2022/3612"/>
    <s v="312-320 Earlsfield Road"/>
    <s v=""/>
    <n v="526048"/>
    <n v="173206"/>
    <x v="13"/>
    <m/>
    <m/>
    <n v="0"/>
    <x v="10"/>
    <x v="14"/>
    <n v="7"/>
    <n v="7"/>
    <x v="1"/>
    <s v="Erection of a three storey building (with basement and accommodation at roof level) to provide 4 x 1-bed and 3 x 2-bed flats with balconies/roof terraces and with cycle and refuse storage accessed from Algarve Road."/>
    <s v="PF"/>
    <d v="2022-08-30T00:00:00"/>
    <d v="2023-06-22T00:00:00"/>
    <x v="1"/>
    <s v="Nil"/>
    <m/>
    <s v="BF"/>
    <s v="NB"/>
    <x v="2"/>
    <x v="3"/>
    <n v="1.3142859999999999E-2"/>
    <m/>
    <x v="0"/>
    <m/>
    <x v="0"/>
    <s v="IRL"/>
    <s v=""/>
    <m/>
    <m/>
    <m/>
    <m/>
    <m/>
    <n v="0"/>
    <n v="4"/>
    <n v="3"/>
    <n v="0"/>
    <n v="0"/>
    <n v="0"/>
    <n v="0"/>
    <n v="0"/>
    <n v="4"/>
    <n v="3"/>
    <n v="0"/>
    <n v="0"/>
    <n v="0"/>
    <n v="0"/>
    <n v="0"/>
    <n v="0"/>
    <n v="0"/>
    <n v="0"/>
    <n v="0"/>
    <n v="0"/>
    <n v="0"/>
    <n v="0"/>
    <n v="0"/>
    <n v="0"/>
    <n v="0"/>
    <n v="0"/>
    <n v="0"/>
    <n v="0"/>
    <x v="1"/>
    <x v="0"/>
    <x v="2"/>
    <n v="10"/>
    <m/>
    <m/>
    <m/>
    <m/>
    <n v="2.3333333333333335"/>
    <n v="2.3333333333333335"/>
    <n v="2.3333333333333335"/>
    <m/>
    <m/>
    <m/>
    <m/>
    <m/>
    <m/>
    <m/>
    <m/>
    <m/>
    <m/>
    <m/>
    <m/>
    <m/>
    <n v="4.666666666666667"/>
    <n v="7"/>
  </r>
  <r>
    <n v="2684"/>
    <x v="2"/>
    <s v="2022/3642"/>
    <s v="Professional Centre School House, Franciscan Road"/>
    <s v=""/>
    <n v="527849"/>
    <n v="171347"/>
    <x v="0"/>
    <m/>
    <m/>
    <n v="0"/>
    <x v="3"/>
    <x v="5"/>
    <n v="1"/>
    <n v="1"/>
    <x v="1"/>
    <s v="Change of use from office (Class E) to residential (Class C3) in connection with provision of 1 x 3 bedroom dwelling with associated refuse store (concurrent listed building consent ref. 2022/3602)."/>
    <s v="PF"/>
    <d v="2022-09-01T00:00:00"/>
    <d v="2022-11-01T00:00:00"/>
    <x v="0"/>
    <s v="Nil"/>
    <m/>
    <s v="BF"/>
    <s v="CON"/>
    <x v="2"/>
    <x v="6"/>
    <n v="4.7499999999999999E-3"/>
    <m/>
    <x v="0"/>
    <m/>
    <x v="1"/>
    <s v="M"/>
    <s v=""/>
    <m/>
    <m/>
    <m/>
    <m/>
    <m/>
    <n v="0"/>
    <n v="0"/>
    <n v="1"/>
    <n v="0"/>
    <n v="0"/>
    <n v="0"/>
    <n v="0"/>
    <n v="0"/>
    <n v="0"/>
    <n v="0"/>
    <n v="0"/>
    <n v="0"/>
    <n v="0"/>
    <n v="0"/>
    <n v="0"/>
    <n v="0"/>
    <n v="1"/>
    <n v="0"/>
    <n v="0"/>
    <n v="0"/>
    <n v="0"/>
    <n v="0"/>
    <n v="0"/>
    <n v="0"/>
    <n v="0"/>
    <n v="0"/>
    <n v="0"/>
    <n v="0"/>
    <x v="1"/>
    <x v="0"/>
    <x v="2"/>
    <n v="15"/>
    <m/>
    <n v="0.25"/>
    <n v="0.25"/>
    <n v="0.25"/>
    <n v="0.25"/>
    <m/>
    <m/>
    <m/>
    <m/>
    <m/>
    <m/>
    <m/>
    <m/>
    <m/>
    <m/>
    <m/>
    <m/>
    <m/>
    <m/>
    <m/>
    <n v="1"/>
    <n v="1"/>
  </r>
  <r>
    <n v="7888"/>
    <x v="2"/>
    <s v="2022/3650"/>
    <s v="4 Broadwater Road"/>
    <s v=""/>
    <n v="527576"/>
    <n v="171734"/>
    <x v="19"/>
    <m/>
    <m/>
    <n v="0"/>
    <x v="3"/>
    <x v="5"/>
    <n v="1"/>
    <n v="1"/>
    <x v="1"/>
    <s v="Demolition of the existing building and erection of a single 3-bedroom dwellinghouse"/>
    <s v="PF"/>
    <d v="2022-09-01T00:00:00"/>
    <d v="2023-09-20T00:00:00"/>
    <x v="1"/>
    <s v="Nil"/>
    <m/>
    <s v="BF"/>
    <s v="NB"/>
    <x v="2"/>
    <x v="3"/>
    <n v="5.0000000000000001E-3"/>
    <m/>
    <x v="0"/>
    <m/>
    <x v="1"/>
    <s v="M"/>
    <s v=""/>
    <m/>
    <m/>
    <m/>
    <m/>
    <m/>
    <n v="0"/>
    <n v="0"/>
    <n v="1"/>
    <n v="0"/>
    <n v="0"/>
    <n v="0"/>
    <n v="0"/>
    <n v="0"/>
    <n v="0"/>
    <n v="0"/>
    <n v="0"/>
    <n v="0"/>
    <n v="0"/>
    <n v="0"/>
    <n v="0"/>
    <n v="0"/>
    <n v="1"/>
    <n v="0"/>
    <n v="0"/>
    <n v="0"/>
    <n v="0"/>
    <n v="0"/>
    <n v="0"/>
    <n v="0"/>
    <n v="0"/>
    <n v="0"/>
    <n v="0"/>
    <n v="0"/>
    <x v="0"/>
    <x v="0"/>
    <x v="0"/>
    <n v="7"/>
    <m/>
    <m/>
    <n v="0.25"/>
    <n v="0.25"/>
    <n v="0.25"/>
    <n v="0.25"/>
    <m/>
    <m/>
    <m/>
    <m/>
    <m/>
    <m/>
    <m/>
    <m/>
    <m/>
    <m/>
    <m/>
    <m/>
    <m/>
    <m/>
    <n v="1"/>
    <n v="1"/>
  </r>
  <r>
    <n v="7890"/>
    <x v="2"/>
    <s v="2022/3691"/>
    <s v="2 Patten Road"/>
    <s v=""/>
    <n v="527164"/>
    <n v="173740"/>
    <x v="17"/>
    <m/>
    <m/>
    <n v="3"/>
    <x v="3"/>
    <x v="13"/>
    <n v="1"/>
    <n v="-2"/>
    <x v="1"/>
    <s v="Alterations including erection of a dormer roof extension (with french doors and safety railing) to the main rear roof; Erection of a single storey rear extension; Excavation to enlarge existing basement, including formation of 2 front lightwells with grille over, and 1 rear lightwell with access stair to rear garden; Removal of existing timber fence and erection of a brick wall and metal railing with metal access gates to front boundary; Erection of cycle and refuse storage to front garden, in connection with conversion to a single dwellinghouse."/>
    <s v="PF"/>
    <d v="2022-10-03T00:00:00"/>
    <d v="2023-02-27T00:00:00"/>
    <x v="0"/>
    <s v="Nil"/>
    <m/>
    <s v="BF"/>
    <s v="MIX"/>
    <x v="2"/>
    <x v="11"/>
    <n v="1.4999999999999999E-2"/>
    <m/>
    <x v="0"/>
    <m/>
    <x v="1"/>
    <s v="M"/>
    <s v=""/>
    <m/>
    <m/>
    <m/>
    <m/>
    <m/>
    <n v="0"/>
    <n v="0"/>
    <n v="-2"/>
    <n v="-1"/>
    <n v="0"/>
    <n v="1"/>
    <n v="0"/>
    <n v="0"/>
    <n v="0"/>
    <n v="-2"/>
    <n v="-1"/>
    <n v="0"/>
    <n v="0"/>
    <n v="0"/>
    <n v="0"/>
    <n v="0"/>
    <n v="0"/>
    <n v="0"/>
    <n v="0"/>
    <n v="1"/>
    <n v="0"/>
    <n v="0"/>
    <n v="0"/>
    <n v="0"/>
    <n v="0"/>
    <n v="0"/>
    <n v="0"/>
    <n v="0"/>
    <x v="1"/>
    <x v="0"/>
    <x v="2"/>
    <n v="15"/>
    <m/>
    <n v="-0.5"/>
    <n v="-0.5"/>
    <n v="-0.5"/>
    <n v="-0.5"/>
    <m/>
    <m/>
    <m/>
    <m/>
    <m/>
    <m/>
    <m/>
    <m/>
    <m/>
    <m/>
    <m/>
    <m/>
    <m/>
    <m/>
    <m/>
    <n v="-2"/>
    <n v="-2"/>
  </r>
  <r>
    <n v="7341"/>
    <x v="2"/>
    <s v="2022/3696"/>
    <s v="Unit A, Molasses House, Clove Hitch Quay (Plantation Wharf)"/>
    <s v=""/>
    <n v="526448"/>
    <n v="175829"/>
    <x v="15"/>
    <m/>
    <m/>
    <n v="0"/>
    <x v="3"/>
    <x v="5"/>
    <n v="1"/>
    <n v="1"/>
    <x v="1"/>
    <s v="Determination as to whether prior approval is required for change of use of office at ground floor level from (Class E) to residential (Class C3) to provide 1 x 1-bedroom flat."/>
    <s v="PAG"/>
    <d v="2022-09-02T00:00:00"/>
    <d v="2022-10-21T00:00:00"/>
    <x v="0"/>
    <s v="Nil"/>
    <m/>
    <s v="BF"/>
    <s v="COU"/>
    <x v="2"/>
    <x v="6"/>
    <n v="6.4000000000000003E-3"/>
    <m/>
    <x v="0"/>
    <m/>
    <x v="1"/>
    <s v="M"/>
    <s v=""/>
    <m/>
    <m/>
    <m/>
    <m/>
    <m/>
    <n v="0"/>
    <n v="1"/>
    <n v="0"/>
    <n v="0"/>
    <n v="0"/>
    <n v="0"/>
    <n v="0"/>
    <n v="0"/>
    <n v="1"/>
    <n v="0"/>
    <n v="0"/>
    <n v="0"/>
    <n v="0"/>
    <n v="0"/>
    <n v="0"/>
    <n v="0"/>
    <n v="0"/>
    <n v="0"/>
    <n v="0"/>
    <n v="0"/>
    <n v="0"/>
    <n v="0"/>
    <n v="0"/>
    <n v="0"/>
    <n v="0"/>
    <n v="0"/>
    <n v="0"/>
    <n v="0"/>
    <x v="1"/>
    <x v="0"/>
    <x v="4"/>
    <n v="15"/>
    <m/>
    <n v="0.25"/>
    <n v="0.25"/>
    <n v="0.25"/>
    <n v="0.25"/>
    <m/>
    <m/>
    <m/>
    <m/>
    <m/>
    <m/>
    <m/>
    <m/>
    <m/>
    <m/>
    <m/>
    <m/>
    <m/>
    <m/>
    <m/>
    <n v="1"/>
    <n v="1"/>
  </r>
  <r>
    <n v="7343"/>
    <x v="2"/>
    <s v="2022/3829"/>
    <s v="Unit B, Molasses House, Clove Hitch Quay (Plantation Wharf)"/>
    <s v=""/>
    <n v="526450"/>
    <n v="175834"/>
    <x v="15"/>
    <m/>
    <m/>
    <n v="0"/>
    <x v="24"/>
    <x v="28"/>
    <n v="5"/>
    <n v="5"/>
    <x v="1"/>
    <s v="Determination as to whether prior approval is required for change of use from office at ground floor level from (Class E) to residential (Class C3) to provide 5 x 1-bedroom flats."/>
    <s v="PAG"/>
    <d v="2022-09-02T00:00:00"/>
    <d v="2022-10-21T00:00:00"/>
    <x v="0"/>
    <s v="Nil"/>
    <m/>
    <s v="BF"/>
    <s v="COU"/>
    <x v="2"/>
    <x v="6"/>
    <n v="3.0300000000000001E-2"/>
    <m/>
    <x v="0"/>
    <m/>
    <x v="1"/>
    <s v="M"/>
    <s v=""/>
    <m/>
    <m/>
    <m/>
    <m/>
    <m/>
    <n v="0"/>
    <n v="5"/>
    <n v="0"/>
    <n v="0"/>
    <n v="0"/>
    <n v="0"/>
    <n v="0"/>
    <n v="0"/>
    <n v="5"/>
    <n v="0"/>
    <n v="0"/>
    <n v="0"/>
    <n v="0"/>
    <n v="0"/>
    <n v="0"/>
    <n v="0"/>
    <n v="0"/>
    <n v="0"/>
    <n v="0"/>
    <n v="0"/>
    <n v="0"/>
    <n v="0"/>
    <n v="0"/>
    <n v="0"/>
    <n v="0"/>
    <n v="0"/>
    <n v="0"/>
    <n v="0"/>
    <x v="1"/>
    <x v="0"/>
    <x v="4"/>
    <n v="15"/>
    <m/>
    <n v="1.25"/>
    <n v="1.25"/>
    <n v="1.25"/>
    <n v="1.25"/>
    <m/>
    <m/>
    <m/>
    <m/>
    <m/>
    <m/>
    <m/>
    <m/>
    <m/>
    <m/>
    <m/>
    <m/>
    <m/>
    <m/>
    <m/>
    <n v="5"/>
    <n v="5"/>
  </r>
  <r>
    <n v="7913"/>
    <x v="2"/>
    <s v="2022/3891"/>
    <s v="1 and 2 Malbrook Court, 9 Malbrook Road"/>
    <s v=""/>
    <n v="522974"/>
    <n v="175158"/>
    <x v="16"/>
    <m/>
    <m/>
    <n v="2"/>
    <x v="3"/>
    <x v="3"/>
    <n v="1"/>
    <n v="-1"/>
    <x v="1"/>
    <s v="Alterations including erection of a dormer extension to main rear roof, erection of part single, part two-storey side/rear extension and excavation to enlarge basement in connection with the use of properties as a single family dwelling; alterations to front boundary including installation of gates and formation of hardstanding in front garden."/>
    <s v="PF"/>
    <d v="2022-11-16T00:00:00"/>
    <d v="2023-01-26T00:00:00"/>
    <x v="0"/>
    <s v="Nil"/>
    <m/>
    <s v="BF"/>
    <s v="MIX"/>
    <x v="2"/>
    <x v="11"/>
    <n v="6.2E-2"/>
    <m/>
    <x v="0"/>
    <m/>
    <x v="1"/>
    <s v="M"/>
    <s v=""/>
    <m/>
    <m/>
    <m/>
    <m/>
    <m/>
    <n v="0"/>
    <n v="0"/>
    <n v="0"/>
    <n v="0"/>
    <n v="0"/>
    <n v="1"/>
    <n v="-2"/>
    <n v="0"/>
    <n v="0"/>
    <n v="0"/>
    <n v="0"/>
    <n v="0"/>
    <n v="0"/>
    <n v="-2"/>
    <n v="0"/>
    <n v="0"/>
    <n v="0"/>
    <n v="0"/>
    <n v="0"/>
    <n v="1"/>
    <n v="0"/>
    <n v="0"/>
    <n v="0"/>
    <n v="0"/>
    <n v="0"/>
    <n v="0"/>
    <n v="0"/>
    <n v="0"/>
    <x v="1"/>
    <x v="0"/>
    <x v="2"/>
    <n v="15"/>
    <m/>
    <n v="-0.25"/>
    <n v="-0.25"/>
    <n v="-0.25"/>
    <n v="-0.25"/>
    <m/>
    <m/>
    <m/>
    <m/>
    <m/>
    <m/>
    <m/>
    <m/>
    <m/>
    <m/>
    <m/>
    <m/>
    <m/>
    <m/>
    <m/>
    <n v="-1"/>
    <n v="-1"/>
  </r>
  <r>
    <n v="7900"/>
    <x v="2"/>
    <s v="2022/3961"/>
    <s v="7 Beclands Road"/>
    <s v=""/>
    <n v="528537"/>
    <n v="170778"/>
    <x v="9"/>
    <m/>
    <m/>
    <n v="0"/>
    <x v="3"/>
    <x v="5"/>
    <n v="1"/>
    <n v="1"/>
    <x v="1"/>
    <s v="Alterations including erection of part two-storey and part single-storey side and rear extension in connection with the creation of a 1-bedroom dwelling. Installation of waste and cycle stores to front garden."/>
    <s v="PF"/>
    <d v="2022-09-27T00:00:00"/>
    <d v="2022-11-24T00:00:00"/>
    <x v="0"/>
    <s v="Nil"/>
    <m/>
    <s v="Gdn"/>
    <s v="NB"/>
    <x v="2"/>
    <x v="3"/>
    <n v="2.9250000000000001E-3"/>
    <m/>
    <x v="0"/>
    <m/>
    <x v="1"/>
    <s v="M"/>
    <s v=""/>
    <m/>
    <m/>
    <m/>
    <m/>
    <m/>
    <n v="0"/>
    <n v="1"/>
    <n v="0"/>
    <n v="0"/>
    <n v="0"/>
    <n v="0"/>
    <n v="0"/>
    <n v="0"/>
    <n v="0"/>
    <n v="0"/>
    <n v="0"/>
    <n v="0"/>
    <n v="0"/>
    <n v="0"/>
    <n v="0"/>
    <n v="1"/>
    <n v="0"/>
    <n v="0"/>
    <n v="0"/>
    <n v="0"/>
    <n v="0"/>
    <n v="0"/>
    <n v="0"/>
    <n v="0"/>
    <n v="0"/>
    <n v="0"/>
    <n v="0"/>
    <n v="0"/>
    <x v="1"/>
    <x v="0"/>
    <x v="2"/>
    <n v="7"/>
    <m/>
    <m/>
    <n v="0.25"/>
    <n v="0.25"/>
    <n v="0.25"/>
    <n v="0.25"/>
    <m/>
    <m/>
    <m/>
    <m/>
    <m/>
    <m/>
    <m/>
    <m/>
    <m/>
    <m/>
    <m/>
    <m/>
    <m/>
    <m/>
    <n v="1"/>
    <n v="1"/>
  </r>
  <r>
    <n v="6817"/>
    <x v="2"/>
    <s v="2022/4091"/>
    <s v="142-144 Tooting Bec Road"/>
    <s v=""/>
    <n v="528402"/>
    <n v="172041"/>
    <x v="19"/>
    <m/>
    <m/>
    <n v="1"/>
    <x v="12"/>
    <x v="36"/>
    <n v="4"/>
    <n v="3"/>
    <x v="1"/>
    <s v="Alterations including erection of front and rear dormer roof extensions to the main roof, including raising the ridge by 500mm;  Erection of a first floor (plus roof) rear extension and installation of French doors and safety railing to first floor rear elevation; replacement of windows; alterations to shopfront and rear access including staircase enclosure, in connection with conversion to 3 x studios and 1 x 2 bedroom flats, with associated refuse and cycle storage; and part change of use of rear ground floor from commercial (Class E) to residential (Class C3)."/>
    <s v="PF"/>
    <d v="2022-10-19T00:00:00"/>
    <d v="2023-03-28T00:00:00"/>
    <x v="0"/>
    <s v="Nil"/>
    <m/>
    <s v="BF"/>
    <s v="MIX"/>
    <x v="2"/>
    <x v="5"/>
    <n v="1.4E-2"/>
    <m/>
    <x v="0"/>
    <m/>
    <x v="1"/>
    <s v="MR"/>
    <s v=""/>
    <m/>
    <m/>
    <m/>
    <m/>
    <m/>
    <n v="3"/>
    <n v="0"/>
    <n v="0"/>
    <n v="0"/>
    <n v="0"/>
    <n v="0"/>
    <n v="0"/>
    <n v="3"/>
    <n v="0"/>
    <n v="0"/>
    <n v="0"/>
    <n v="0"/>
    <n v="0"/>
    <n v="0"/>
    <n v="0"/>
    <n v="0"/>
    <n v="0"/>
    <n v="0"/>
    <n v="0"/>
    <n v="0"/>
    <n v="0"/>
    <n v="0"/>
    <n v="0"/>
    <n v="0"/>
    <n v="0"/>
    <n v="0"/>
    <n v="0"/>
    <n v="0"/>
    <x v="1"/>
    <x v="0"/>
    <x v="2"/>
    <n v="15"/>
    <m/>
    <n v="0.75"/>
    <n v="0.75"/>
    <n v="0.75"/>
    <n v="0.75"/>
    <m/>
    <m/>
    <m/>
    <m/>
    <m/>
    <m/>
    <m/>
    <m/>
    <m/>
    <m/>
    <m/>
    <m/>
    <m/>
    <m/>
    <m/>
    <n v="3"/>
    <n v="3"/>
  </r>
  <r>
    <n v="7898"/>
    <x v="2"/>
    <s v="2022/4122"/>
    <s v="Taylors Yard, Unit 1 Alderbrook Road"/>
    <s v=""/>
    <n v="528686"/>
    <n v="173938"/>
    <x v="6"/>
    <m/>
    <m/>
    <n v="0"/>
    <x v="3"/>
    <x v="5"/>
    <n v="1"/>
    <n v="1"/>
    <x v="1"/>
    <s v="Determination as to whether prior approval is required for change of use of office on ground and first floor (Class E) to residential (Class C3) to provide 1 x 3-bedroom dwelling."/>
    <s v="PAG"/>
    <d v="2022-10-05T00:00:00"/>
    <d v="2022-11-29T00:00:00"/>
    <x v="0"/>
    <s v="Nil"/>
    <m/>
    <s v="BF"/>
    <s v="COU"/>
    <x v="2"/>
    <x v="6"/>
    <n v="1.5100000000000001E-2"/>
    <m/>
    <x v="0"/>
    <m/>
    <x v="1"/>
    <s v="M"/>
    <s v=""/>
    <m/>
    <m/>
    <m/>
    <m/>
    <m/>
    <n v="0"/>
    <n v="0"/>
    <n v="0"/>
    <n v="1"/>
    <n v="0"/>
    <n v="0"/>
    <n v="0"/>
    <n v="0"/>
    <n v="0"/>
    <n v="0"/>
    <n v="1"/>
    <n v="0"/>
    <n v="0"/>
    <n v="0"/>
    <n v="0"/>
    <n v="0"/>
    <n v="0"/>
    <n v="0"/>
    <n v="0"/>
    <n v="0"/>
    <n v="0"/>
    <n v="0"/>
    <n v="0"/>
    <n v="0"/>
    <n v="0"/>
    <n v="0"/>
    <n v="0"/>
    <n v="0"/>
    <x v="1"/>
    <x v="0"/>
    <x v="2"/>
    <n v="15"/>
    <m/>
    <n v="0.25"/>
    <n v="0.25"/>
    <n v="0.25"/>
    <n v="0.25"/>
    <m/>
    <m/>
    <m/>
    <m/>
    <m/>
    <m/>
    <m/>
    <m/>
    <m/>
    <m/>
    <m/>
    <m/>
    <m/>
    <m/>
    <m/>
    <n v="1"/>
    <n v="1"/>
  </r>
  <r>
    <n v="7902"/>
    <x v="2"/>
    <s v="2022/4180"/>
    <s v="Land at Rear of, 211 Burntwood Lane"/>
    <s v=""/>
    <n v="526640"/>
    <n v="172690"/>
    <x v="17"/>
    <m/>
    <m/>
    <n v="0"/>
    <x v="3"/>
    <x v="5"/>
    <n v="1"/>
    <n v="1"/>
    <x v="1"/>
    <s v="Demolition of existing building and erection of a single storey (plus basement) one bedroom house, with associated refuse and cycle storage."/>
    <s v="PF"/>
    <d v="2022-10-11T00:00:00"/>
    <d v="2022-12-05T00:00:00"/>
    <x v="0"/>
    <s v="Nil"/>
    <m/>
    <s v="BF"/>
    <s v="NB"/>
    <x v="2"/>
    <x v="3"/>
    <n v="3.0000000000000001E-3"/>
    <m/>
    <x v="0"/>
    <m/>
    <x v="1"/>
    <s v="M"/>
    <s v=""/>
    <m/>
    <m/>
    <m/>
    <m/>
    <m/>
    <n v="0"/>
    <n v="1"/>
    <n v="0"/>
    <n v="0"/>
    <n v="0"/>
    <n v="0"/>
    <n v="0"/>
    <n v="0"/>
    <n v="0"/>
    <n v="0"/>
    <n v="0"/>
    <n v="0"/>
    <n v="0"/>
    <n v="0"/>
    <n v="0"/>
    <n v="1"/>
    <n v="0"/>
    <n v="0"/>
    <n v="0"/>
    <n v="0"/>
    <n v="0"/>
    <n v="0"/>
    <n v="0"/>
    <n v="0"/>
    <n v="0"/>
    <n v="0"/>
    <n v="0"/>
    <n v="0"/>
    <x v="1"/>
    <x v="0"/>
    <x v="2"/>
    <n v="7"/>
    <m/>
    <m/>
    <n v="0.25"/>
    <n v="0.25"/>
    <n v="0.25"/>
    <n v="0.25"/>
    <m/>
    <m/>
    <m/>
    <m/>
    <m/>
    <m/>
    <m/>
    <m/>
    <m/>
    <m/>
    <m/>
    <m/>
    <m/>
    <m/>
    <n v="1"/>
    <n v="1"/>
  </r>
  <r>
    <n v="7910"/>
    <x v="2"/>
    <s v="2022/4341"/>
    <s v="26 Badminton Road"/>
    <s v=""/>
    <n v="528474"/>
    <n v="174038"/>
    <x v="6"/>
    <m/>
    <m/>
    <n v="0"/>
    <x v="3"/>
    <x v="5"/>
    <n v="1"/>
    <n v="1"/>
    <x v="1"/>
    <s v="Alterations including erection of mansard roof extension to main rear roof (with French doors and safety railings) including raising ridge 300mm and formation of roof terrace at second floor level with 1.7m high screen surround in connection with the creation of 1 x 1-bedroom flat."/>
    <s v="PF"/>
    <d v="2022-10-25T00:00:00"/>
    <d v="2022-12-19T00:00:00"/>
    <x v="0"/>
    <s v="Nil"/>
    <m/>
    <s v="BF"/>
    <s v="EXT"/>
    <x v="2"/>
    <x v="7"/>
    <n v="4.3E-3"/>
    <m/>
    <x v="0"/>
    <m/>
    <x v="1"/>
    <s v="M"/>
    <s v=""/>
    <m/>
    <m/>
    <m/>
    <m/>
    <m/>
    <n v="0"/>
    <n v="1"/>
    <n v="0"/>
    <n v="0"/>
    <n v="0"/>
    <n v="0"/>
    <n v="0"/>
    <n v="0"/>
    <n v="1"/>
    <n v="0"/>
    <n v="0"/>
    <n v="0"/>
    <n v="0"/>
    <n v="0"/>
    <n v="0"/>
    <n v="0"/>
    <n v="0"/>
    <n v="0"/>
    <n v="0"/>
    <n v="0"/>
    <n v="0"/>
    <n v="0"/>
    <n v="0"/>
    <n v="0"/>
    <n v="0"/>
    <n v="0"/>
    <n v="0"/>
    <n v="0"/>
    <x v="1"/>
    <x v="0"/>
    <x v="2"/>
    <n v="15"/>
    <m/>
    <n v="0.25"/>
    <n v="0.25"/>
    <n v="0.25"/>
    <n v="0.25"/>
    <m/>
    <m/>
    <m/>
    <m/>
    <m/>
    <m/>
    <m/>
    <m/>
    <m/>
    <m/>
    <m/>
    <m/>
    <m/>
    <m/>
    <m/>
    <n v="1"/>
    <n v="1"/>
  </r>
  <r>
    <n v="7069"/>
    <x v="2"/>
    <s v="2018/5669"/>
    <s v="Ferrier Street Industrial Estate and 322 Old York Road, 1 Ferrier Street"/>
    <s v=""/>
    <n v="525885"/>
    <n v="175045"/>
    <x v="14"/>
    <m/>
    <m/>
    <n v="1"/>
    <x v="104"/>
    <x v="106"/>
    <n v="106"/>
    <n v="105"/>
    <x v="0"/>
    <s v="Demolition of existing buildings and construction of mixed use development ranging from 4 to 10 storeys to provide 5826sqm light industrial (Class B1c) use, 5078sqm flexible business (Class B1) use, 106 residential units (Class C3) use and 213sqm retail use (Class A1/A3). Associated public realm works including on-site playspace, enlargement of the station square and alterations to the Ferrier Street ground floor retail frontage of 332 Old York Road."/>
    <s v="PFLA"/>
    <d v="2018-12-05T00:00:00"/>
    <d v="2022-05-12T00:00:00"/>
    <x v="0"/>
    <s v="Nil"/>
    <m/>
    <s v="BF"/>
    <s v="NB"/>
    <x v="1"/>
    <x v="0"/>
    <n v="0.19700000000000001"/>
    <m/>
    <x v="0"/>
    <m/>
    <x v="1"/>
    <s v="M"/>
    <s v=""/>
    <m/>
    <m/>
    <m/>
    <m/>
    <m/>
    <n v="12"/>
    <n v="25"/>
    <n v="24"/>
    <n v="3"/>
    <n v="0"/>
    <n v="0"/>
    <n v="0"/>
    <n v="12"/>
    <n v="25"/>
    <n v="24"/>
    <n v="3"/>
    <n v="0"/>
    <n v="0"/>
    <n v="0"/>
    <n v="0"/>
    <n v="0"/>
    <n v="0"/>
    <n v="0"/>
    <n v="0"/>
    <n v="0"/>
    <n v="0"/>
    <n v="0"/>
    <n v="0"/>
    <n v="0"/>
    <n v="0"/>
    <n v="0"/>
    <n v="0"/>
    <n v="0"/>
    <x v="1"/>
    <x v="0"/>
    <x v="7"/>
    <n v="8"/>
    <m/>
    <m/>
    <m/>
    <m/>
    <n v="64"/>
    <m/>
    <m/>
    <m/>
    <m/>
    <m/>
    <m/>
    <m/>
    <m/>
    <m/>
    <m/>
    <m/>
    <m/>
    <m/>
    <m/>
    <m/>
    <n v="64"/>
    <n v="64"/>
  </r>
  <r>
    <n v="6707"/>
    <x v="2"/>
    <s v="2022/4571"/>
    <s v="158-160 Balham High Road"/>
    <s v=""/>
    <n v="528529"/>
    <n v="173387"/>
    <x v="6"/>
    <m/>
    <m/>
    <n v="0"/>
    <x v="10"/>
    <x v="14"/>
    <n v="7"/>
    <n v="7"/>
    <x v="1"/>
    <s v="Alterations including erection of single storey extension and mansard roof extension above existing two storey building in connection with creation 7 self-contained flats all with private balconies/terraces at each level and associated cycle and refuse storage."/>
    <s v="PF"/>
    <d v="2022-11-08T00:00:00"/>
    <d v="2023-03-03T00:00:00"/>
    <x v="0"/>
    <s v="Nil"/>
    <m/>
    <s v="BF"/>
    <s v="EXT"/>
    <x v="2"/>
    <x v="7"/>
    <n v="2.2349999999999998E-2"/>
    <m/>
    <x v="0"/>
    <m/>
    <x v="1"/>
    <s v="M"/>
    <s v=""/>
    <m/>
    <m/>
    <m/>
    <m/>
    <m/>
    <n v="0"/>
    <n v="3"/>
    <n v="4"/>
    <n v="0"/>
    <n v="0"/>
    <n v="0"/>
    <n v="0"/>
    <n v="0"/>
    <n v="3"/>
    <n v="4"/>
    <n v="0"/>
    <n v="0"/>
    <n v="0"/>
    <n v="0"/>
    <n v="0"/>
    <n v="0"/>
    <n v="0"/>
    <n v="0"/>
    <n v="0"/>
    <n v="0"/>
    <n v="0"/>
    <n v="0"/>
    <n v="0"/>
    <n v="0"/>
    <n v="0"/>
    <n v="0"/>
    <n v="0"/>
    <n v="0"/>
    <x v="5"/>
    <x v="0"/>
    <x v="9"/>
    <n v="18"/>
    <m/>
    <n v="1.75"/>
    <n v="1.75"/>
    <n v="1.75"/>
    <n v="1.75"/>
    <m/>
    <m/>
    <m/>
    <m/>
    <m/>
    <m/>
    <m/>
    <m/>
    <m/>
    <m/>
    <m/>
    <m/>
    <m/>
    <m/>
    <m/>
    <n v="7"/>
    <n v="7"/>
  </r>
  <r>
    <n v="7917"/>
    <x v="2"/>
    <s v="2022/4572"/>
    <s v="1 Camborne Mews"/>
    <s v=""/>
    <n v="525238"/>
    <n v="173816"/>
    <x v="12"/>
    <m/>
    <m/>
    <n v="0"/>
    <x v="5"/>
    <x v="7"/>
    <n v="2"/>
    <n v="2"/>
    <x v="1"/>
    <s v="Demolition of the single storey building (use class E) and the erection of 2 no. two-storey dwellings (use class C3), with refuse and cycle parking and associated hard and soft landscaping."/>
    <s v="PF"/>
    <d v="2022-11-08T00:00:00"/>
    <d v="2023-04-28T00:00:00"/>
    <x v="1"/>
    <s v="Nil"/>
    <m/>
    <s v="BF"/>
    <s v="NB"/>
    <x v="2"/>
    <x v="3"/>
    <n v="0.01"/>
    <m/>
    <x v="0"/>
    <m/>
    <x v="1"/>
    <s v="M"/>
    <s v=""/>
    <m/>
    <m/>
    <m/>
    <m/>
    <m/>
    <n v="0"/>
    <n v="0"/>
    <n v="0"/>
    <n v="2"/>
    <n v="0"/>
    <n v="0"/>
    <n v="0"/>
    <n v="0"/>
    <n v="0"/>
    <n v="0"/>
    <n v="0"/>
    <n v="0"/>
    <n v="0"/>
    <n v="0"/>
    <n v="0"/>
    <n v="0"/>
    <n v="0"/>
    <n v="2"/>
    <n v="0"/>
    <n v="0"/>
    <n v="0"/>
    <n v="0"/>
    <n v="0"/>
    <n v="0"/>
    <n v="0"/>
    <n v="0"/>
    <n v="0"/>
    <n v="0"/>
    <x v="1"/>
    <x v="0"/>
    <x v="5"/>
    <n v="7"/>
    <m/>
    <m/>
    <n v="0.5"/>
    <n v="0.5"/>
    <n v="0.5"/>
    <n v="0.5"/>
    <m/>
    <m/>
    <m/>
    <m/>
    <m/>
    <m/>
    <m/>
    <m/>
    <m/>
    <m/>
    <m/>
    <m/>
    <m/>
    <m/>
    <n v="2"/>
    <n v="2"/>
  </r>
  <r>
    <n v="4751"/>
    <x v="2"/>
    <s v="2022/4583"/>
    <s v="Garages adjoining 2, Sutherland Grove"/>
    <s v=""/>
    <n v="524675"/>
    <n v="173310"/>
    <x v="5"/>
    <m/>
    <m/>
    <n v="1"/>
    <x v="3"/>
    <x v="6"/>
    <n v="1"/>
    <n v="0"/>
    <x v="1"/>
    <s v="Demolition of existing garages and erection of new 3-bedroom two-storey dwelling (includes the excavation of a basement.)"/>
    <s v="PF"/>
    <d v="2022-11-09T00:00:00"/>
    <d v="2023-08-08T00:00:00"/>
    <x v="1"/>
    <s v="Nil"/>
    <m/>
    <s v="BF"/>
    <s v="CON"/>
    <x v="2"/>
    <x v="2"/>
    <n v="4.65E-2"/>
    <m/>
    <x v="0"/>
    <m/>
    <x v="1"/>
    <s v="M"/>
    <s v=""/>
    <m/>
    <m/>
    <m/>
    <m/>
    <m/>
    <n v="0"/>
    <n v="0"/>
    <n v="0"/>
    <n v="0"/>
    <n v="0"/>
    <n v="0"/>
    <n v="0"/>
    <n v="0"/>
    <n v="0"/>
    <n v="0"/>
    <n v="0"/>
    <n v="0"/>
    <n v="0"/>
    <n v="0"/>
    <n v="0"/>
    <n v="0"/>
    <n v="0"/>
    <n v="0"/>
    <n v="0"/>
    <n v="0"/>
    <n v="0"/>
    <n v="0"/>
    <n v="0"/>
    <n v="0"/>
    <n v="0"/>
    <n v="0"/>
    <n v="0"/>
    <n v="0"/>
    <x v="1"/>
    <x v="0"/>
    <x v="2"/>
    <n v="15"/>
    <m/>
    <n v="0"/>
    <n v="0"/>
    <n v="0"/>
    <n v="0"/>
    <m/>
    <m/>
    <m/>
    <m/>
    <m/>
    <m/>
    <m/>
    <m/>
    <m/>
    <m/>
    <m/>
    <m/>
    <m/>
    <m/>
    <m/>
    <n v="0"/>
    <n v="0"/>
  </r>
  <r>
    <n v="3621"/>
    <x v="2"/>
    <s v="2022/4590"/>
    <s v="629 Garratt Lane"/>
    <s v=""/>
    <n v="526154"/>
    <n v="172573"/>
    <x v="17"/>
    <m/>
    <m/>
    <n v="0"/>
    <x v="3"/>
    <x v="5"/>
    <n v="1"/>
    <n v="1"/>
    <x v="1"/>
    <s v="Alterations including erection of extension to main rear roof with French doors and safety railing; single-storey side extension, roof extension and terrace above two storey back addition, french doors to rear first floor in connection with provision of a 1-bed flat at second floor level."/>
    <s v="PF"/>
    <d v="2023-04-04T00:00:00"/>
    <d v="2023-10-16T00:00:00"/>
    <x v="1"/>
    <s v="Nil"/>
    <m/>
    <s v="BF"/>
    <s v="EXT"/>
    <x v="2"/>
    <x v="7"/>
    <n v="5.9300000000000004E-3"/>
    <m/>
    <x v="0"/>
    <m/>
    <x v="1"/>
    <s v="M"/>
    <s v=""/>
    <m/>
    <m/>
    <m/>
    <m/>
    <m/>
    <n v="0"/>
    <n v="1"/>
    <n v="0"/>
    <n v="0"/>
    <n v="0"/>
    <n v="0"/>
    <n v="0"/>
    <n v="0"/>
    <n v="1"/>
    <n v="0"/>
    <n v="0"/>
    <n v="0"/>
    <n v="0"/>
    <n v="0"/>
    <n v="0"/>
    <n v="0"/>
    <n v="0"/>
    <n v="0"/>
    <n v="0"/>
    <n v="0"/>
    <n v="0"/>
    <n v="0"/>
    <n v="0"/>
    <n v="0"/>
    <n v="0"/>
    <n v="0"/>
    <n v="0"/>
    <n v="0"/>
    <x v="1"/>
    <x v="0"/>
    <x v="5"/>
    <n v="15"/>
    <m/>
    <n v="0.25"/>
    <n v="0.25"/>
    <n v="0.25"/>
    <n v="0.25"/>
    <m/>
    <m/>
    <m/>
    <m/>
    <m/>
    <m/>
    <m/>
    <m/>
    <m/>
    <m/>
    <m/>
    <m/>
    <m/>
    <m/>
    <m/>
    <n v="1"/>
    <n v="1"/>
  </r>
  <r>
    <n v="7069"/>
    <x v="2"/>
    <s v="2018/5669"/>
    <s v="Ferrier Street Industrial Estate and 322 Old York Road, 1 Ferrier Street"/>
    <s v=""/>
    <n v="525885"/>
    <n v="175045"/>
    <x v="14"/>
    <m/>
    <m/>
    <n v="0"/>
    <x v="22"/>
    <x v="26"/>
    <n v="106"/>
    <n v="105"/>
    <x v="0"/>
    <s v="Demolition of existing buildings and construction of mixed use development ranging from 4 to 10 storeys to provide 5826sqm light industrial (Class B1c) use, 5078sqm flexible business (Class B1) use, 106 residential units (Class C3) use and 213sqm retail use (Class A1/A3). Associated public realm works including on-site playspace, enlargement of the station square and alterations to the Ferrier Street ground floor retail frontage of 332 Old York Road."/>
    <s v="PFLA"/>
    <d v="2018-12-05T00:00:00"/>
    <d v="2022-05-12T00:00:00"/>
    <x v="0"/>
    <s v="Nil"/>
    <m/>
    <s v="BF"/>
    <s v="NB"/>
    <x v="1"/>
    <x v="0"/>
    <n v="0.04"/>
    <m/>
    <x v="0"/>
    <m/>
    <x v="0"/>
    <s v="ISL"/>
    <s v=""/>
    <m/>
    <m/>
    <m/>
    <m/>
    <m/>
    <n v="0"/>
    <n v="15"/>
    <n v="3"/>
    <n v="3"/>
    <n v="0"/>
    <n v="0"/>
    <n v="0"/>
    <n v="0"/>
    <n v="15"/>
    <n v="3"/>
    <n v="3"/>
    <n v="0"/>
    <n v="0"/>
    <n v="0"/>
    <n v="0"/>
    <n v="0"/>
    <n v="0"/>
    <n v="0"/>
    <n v="0"/>
    <n v="0"/>
    <n v="0"/>
    <n v="0"/>
    <n v="0"/>
    <n v="0"/>
    <n v="0"/>
    <n v="0"/>
    <n v="0"/>
    <n v="0"/>
    <x v="1"/>
    <x v="0"/>
    <x v="7"/>
    <n v="8"/>
    <m/>
    <m/>
    <m/>
    <m/>
    <n v="21"/>
    <m/>
    <m/>
    <m/>
    <m/>
    <m/>
    <m/>
    <m/>
    <m/>
    <m/>
    <m/>
    <m/>
    <m/>
    <m/>
    <m/>
    <m/>
    <n v="21"/>
    <n v="21"/>
  </r>
  <r>
    <n v="7919"/>
    <x v="2"/>
    <s v="2022/4638"/>
    <s v="Beechmore House, rear of, 156 Battersea Park Road"/>
    <s v=""/>
    <n v="527910"/>
    <n v="176603"/>
    <x v="2"/>
    <m/>
    <m/>
    <n v="1"/>
    <x v="3"/>
    <x v="6"/>
    <n v="1"/>
    <n v="0"/>
    <x v="1"/>
    <s v="Demolition of the existing building; Erection of a part-single, part-three storey 2 x bed dwellinghouse, including a second floor roof terrace with glazed surround."/>
    <s v="PF"/>
    <d v="2022-11-14T00:00:00"/>
    <d v="2023-04-06T00:00:00"/>
    <x v="1"/>
    <s v="Nil"/>
    <m/>
    <s v="BF"/>
    <s v="NB"/>
    <x v="2"/>
    <x v="3"/>
    <n v="2.8999999999999998E-3"/>
    <m/>
    <x v="0"/>
    <m/>
    <x v="1"/>
    <s v="M"/>
    <s v=""/>
    <m/>
    <m/>
    <m/>
    <m/>
    <m/>
    <n v="0"/>
    <n v="0"/>
    <n v="0"/>
    <n v="0"/>
    <n v="0"/>
    <n v="0"/>
    <n v="0"/>
    <n v="0"/>
    <n v="0"/>
    <n v="0"/>
    <n v="0"/>
    <n v="0"/>
    <n v="0"/>
    <n v="0"/>
    <n v="0"/>
    <n v="0"/>
    <n v="0"/>
    <n v="0"/>
    <n v="0"/>
    <n v="0"/>
    <n v="0"/>
    <n v="0"/>
    <n v="0"/>
    <n v="0"/>
    <n v="0"/>
    <n v="0"/>
    <n v="0"/>
    <n v="0"/>
    <x v="1"/>
    <x v="0"/>
    <x v="2"/>
    <n v="7"/>
    <m/>
    <m/>
    <n v="0"/>
    <n v="0"/>
    <n v="0"/>
    <n v="0"/>
    <m/>
    <m/>
    <m/>
    <m/>
    <m/>
    <m/>
    <m/>
    <m/>
    <m/>
    <m/>
    <m/>
    <m/>
    <m/>
    <m/>
    <n v="0"/>
    <n v="0"/>
  </r>
  <r>
    <n v="7134"/>
    <x v="2"/>
    <s v="2022/4647"/>
    <s v="Land rear of, 26 Roehampton High Street"/>
    <s v=""/>
    <n v="522411"/>
    <n v="173805"/>
    <x v="4"/>
    <m/>
    <m/>
    <n v="0"/>
    <x v="3"/>
    <x v="5"/>
    <n v="1"/>
    <n v="1"/>
    <x v="1"/>
    <s v="Erection of a part single, part two-storey 1-bed house with refuse and cycle storage."/>
    <s v="PF"/>
    <d v="2023-05-15T00:00:00"/>
    <d v="2023-07-26T00:00:00"/>
    <x v="1"/>
    <s v="Nil"/>
    <m/>
    <s v="BF"/>
    <s v="NB"/>
    <x v="2"/>
    <x v="3"/>
    <n v="2.8999999999999998E-3"/>
    <m/>
    <x v="0"/>
    <m/>
    <x v="1"/>
    <s v="M"/>
    <s v=""/>
    <m/>
    <m/>
    <m/>
    <m/>
    <m/>
    <n v="0"/>
    <n v="1"/>
    <n v="0"/>
    <n v="0"/>
    <n v="0"/>
    <n v="0"/>
    <n v="0"/>
    <n v="0"/>
    <n v="0"/>
    <n v="0"/>
    <n v="0"/>
    <n v="0"/>
    <n v="0"/>
    <n v="0"/>
    <n v="0"/>
    <n v="1"/>
    <n v="0"/>
    <n v="0"/>
    <n v="0"/>
    <n v="0"/>
    <n v="0"/>
    <n v="0"/>
    <n v="0"/>
    <n v="0"/>
    <n v="0"/>
    <n v="0"/>
    <n v="0"/>
    <n v="0"/>
    <x v="1"/>
    <x v="0"/>
    <x v="8"/>
    <n v="7"/>
    <m/>
    <m/>
    <n v="0.25"/>
    <n v="0.25"/>
    <n v="0.25"/>
    <n v="0.25"/>
    <m/>
    <m/>
    <m/>
    <m/>
    <m/>
    <m/>
    <m/>
    <m/>
    <m/>
    <m/>
    <m/>
    <m/>
    <m/>
    <m/>
    <n v="1"/>
    <n v="1"/>
  </r>
  <r>
    <n v="7069"/>
    <x v="2"/>
    <s v="2018/5669"/>
    <s v="Ferrier Street Industrial Estate and 322 Old York Road, 1 Ferrier Street"/>
    <s v=""/>
    <n v="525885"/>
    <n v="175045"/>
    <x v="14"/>
    <m/>
    <m/>
    <n v="0"/>
    <x v="30"/>
    <x v="34"/>
    <n v="106"/>
    <n v="105"/>
    <x v="0"/>
    <s v="Demolition of existing buildings and construction of mixed use development ranging from 4 to 10 storeys to provide 5826sqm light industrial (Class B1c) use, 5078sqm flexible business (Class B1) use, 106 residential units (Class C3) use and 213sqm retail use (Class A1/A3). Associated public realm works including on-site playspace, enlargement of the station square and alterations to the Ferrier Street ground floor retail frontage of 332 Old York Road."/>
    <s v="PFLA"/>
    <d v="2018-12-05T00:00:00"/>
    <d v="2022-05-12T00:00:00"/>
    <x v="0"/>
    <s v="Nil"/>
    <m/>
    <s v="BF"/>
    <s v="NB"/>
    <x v="1"/>
    <x v="0"/>
    <n v="4.4999999999999998E-2"/>
    <m/>
    <x v="0"/>
    <m/>
    <x v="2"/>
    <s v="AL"/>
    <s v=""/>
    <m/>
    <m/>
    <m/>
    <m/>
    <n v="11"/>
    <n v="0"/>
    <n v="5"/>
    <n v="10"/>
    <n v="5"/>
    <n v="0"/>
    <n v="0"/>
    <n v="0"/>
    <n v="0"/>
    <n v="5"/>
    <n v="10"/>
    <n v="5"/>
    <n v="0"/>
    <n v="0"/>
    <n v="0"/>
    <n v="0"/>
    <n v="0"/>
    <n v="0"/>
    <n v="0"/>
    <n v="0"/>
    <n v="0"/>
    <n v="0"/>
    <n v="0"/>
    <n v="0"/>
    <n v="0"/>
    <n v="0"/>
    <n v="0"/>
    <n v="0"/>
    <n v="0"/>
    <x v="1"/>
    <x v="0"/>
    <x v="7"/>
    <n v="8"/>
    <m/>
    <m/>
    <m/>
    <m/>
    <n v="20"/>
    <m/>
    <m/>
    <m/>
    <m/>
    <m/>
    <m/>
    <m/>
    <m/>
    <m/>
    <m/>
    <m/>
    <m/>
    <m/>
    <m/>
    <m/>
    <n v="20"/>
    <n v="20"/>
  </r>
  <r>
    <n v="7855"/>
    <x v="2"/>
    <s v="2022/4729"/>
    <s v="Land and Building to the South of, 164C Mitcham Road (The Old Bakery)"/>
    <s v=""/>
    <n v="527835"/>
    <n v="171006"/>
    <x v="0"/>
    <m/>
    <m/>
    <n v="0"/>
    <x v="3"/>
    <x v="5"/>
    <n v="1"/>
    <n v="1"/>
    <x v="1"/>
    <s v="Alterations including erection of single, part two-storey extensions with extended roof over in connection with conversion of buildings to 1 x 2-bedroom dwellinghouse (Class C3)."/>
    <s v="PF"/>
    <d v="2022-11-29T00:00:00"/>
    <d v="2023-03-15T00:00:00"/>
    <x v="0"/>
    <s v="Nil"/>
    <m/>
    <s v="BF"/>
    <s v="CON"/>
    <x v="2"/>
    <x v="6"/>
    <n v="5.0000000000000001E-3"/>
    <m/>
    <x v="0"/>
    <m/>
    <x v="1"/>
    <s v="M"/>
    <s v=""/>
    <m/>
    <m/>
    <m/>
    <m/>
    <m/>
    <n v="0"/>
    <n v="0"/>
    <n v="1"/>
    <n v="0"/>
    <n v="0"/>
    <n v="0"/>
    <n v="0"/>
    <n v="0"/>
    <n v="0"/>
    <n v="0"/>
    <n v="0"/>
    <n v="0"/>
    <n v="0"/>
    <n v="0"/>
    <n v="0"/>
    <n v="0"/>
    <n v="1"/>
    <n v="0"/>
    <n v="0"/>
    <n v="0"/>
    <n v="0"/>
    <n v="0"/>
    <n v="0"/>
    <n v="0"/>
    <n v="0"/>
    <n v="0"/>
    <n v="0"/>
    <n v="0"/>
    <x v="1"/>
    <x v="0"/>
    <x v="0"/>
    <n v="15"/>
    <m/>
    <n v="0.25"/>
    <n v="0.25"/>
    <n v="0.25"/>
    <n v="0.25"/>
    <m/>
    <m/>
    <m/>
    <m/>
    <m/>
    <m/>
    <m/>
    <m/>
    <m/>
    <m/>
    <m/>
    <m/>
    <m/>
    <m/>
    <m/>
    <n v="1"/>
    <n v="1"/>
  </r>
  <r>
    <n v="7929"/>
    <x v="2"/>
    <s v="2022/4937"/>
    <s v="59 Upper Tooting Park"/>
    <s v=""/>
    <n v="528018"/>
    <n v="172759"/>
    <x v="10"/>
    <m/>
    <m/>
    <n v="1"/>
    <x v="5"/>
    <x v="5"/>
    <n v="2"/>
    <n v="1"/>
    <x v="1"/>
    <s v="Alterations including erection of a hip to gable extension to main roof and dormer extension to main rear roof, erection of a single storey rear extension  plus first floor terrace in connection with conversion and change of use from HMO (Class C4) to 2 x 3 bedroom flats. Extension of dropped kerb."/>
    <s v="PF"/>
    <d v="2022-12-01T00:00:00"/>
    <d v="2023-04-03T00:00:00"/>
    <x v="1"/>
    <s v="Nil"/>
    <m/>
    <s v="BF"/>
    <s v="CON"/>
    <x v="2"/>
    <x v="5"/>
    <n v="0.08"/>
    <m/>
    <x v="0"/>
    <m/>
    <x v="1"/>
    <s v="MR"/>
    <s v=""/>
    <m/>
    <m/>
    <m/>
    <m/>
    <m/>
    <n v="0"/>
    <n v="0"/>
    <n v="0"/>
    <n v="2"/>
    <n v="0"/>
    <n v="-1"/>
    <n v="0"/>
    <n v="0"/>
    <n v="0"/>
    <n v="0"/>
    <n v="2"/>
    <n v="0"/>
    <n v="-1"/>
    <n v="0"/>
    <n v="0"/>
    <n v="0"/>
    <n v="0"/>
    <n v="0"/>
    <n v="0"/>
    <n v="0"/>
    <n v="0"/>
    <n v="0"/>
    <n v="0"/>
    <n v="0"/>
    <n v="0"/>
    <n v="0"/>
    <n v="0"/>
    <n v="0"/>
    <x v="1"/>
    <x v="0"/>
    <x v="2"/>
    <n v="15"/>
    <m/>
    <n v="0.25"/>
    <n v="0.25"/>
    <n v="0.25"/>
    <n v="0.25"/>
    <m/>
    <m/>
    <m/>
    <m/>
    <m/>
    <m/>
    <m/>
    <m/>
    <m/>
    <m/>
    <m/>
    <m/>
    <m/>
    <m/>
    <m/>
    <n v="1"/>
    <n v="1"/>
  </r>
  <r>
    <n v="7935"/>
    <x v="2"/>
    <s v="2022/5011"/>
    <s v="31 Rush Hill Road"/>
    <s v=""/>
    <n v="528329"/>
    <n v="175608"/>
    <x v="8"/>
    <m/>
    <m/>
    <n v="2"/>
    <x v="3"/>
    <x v="3"/>
    <n v="1"/>
    <n v="-1"/>
    <x v="1"/>
    <s v="Alterations including erection of single-storey rear/side extension in connection with conversion of two flats back into single family dwelling house."/>
    <s v="PF"/>
    <d v="2022-12-19T00:00:00"/>
    <d v="2023-03-27T00:00:00"/>
    <x v="0"/>
    <s v="Nil"/>
    <m/>
    <s v="BF"/>
    <s v="CON"/>
    <x v="2"/>
    <x v="11"/>
    <n v="0.05"/>
    <m/>
    <x v="0"/>
    <m/>
    <x v="1"/>
    <s v="M"/>
    <s v=""/>
    <m/>
    <m/>
    <m/>
    <m/>
    <m/>
    <n v="0"/>
    <n v="-1"/>
    <n v="0"/>
    <n v="-1"/>
    <n v="0"/>
    <n v="1"/>
    <n v="0"/>
    <n v="0"/>
    <n v="-1"/>
    <n v="0"/>
    <n v="-1"/>
    <n v="0"/>
    <n v="0"/>
    <n v="0"/>
    <n v="0"/>
    <n v="0"/>
    <n v="0"/>
    <n v="0"/>
    <n v="0"/>
    <n v="1"/>
    <n v="0"/>
    <n v="0"/>
    <n v="0"/>
    <n v="0"/>
    <n v="0"/>
    <n v="0"/>
    <n v="0"/>
    <n v="0"/>
    <x v="1"/>
    <x v="0"/>
    <x v="2"/>
    <n v="15"/>
    <m/>
    <n v="-0.25"/>
    <n v="-0.25"/>
    <n v="-0.25"/>
    <n v="-0.25"/>
    <m/>
    <m/>
    <m/>
    <m/>
    <m/>
    <m/>
    <m/>
    <m/>
    <m/>
    <m/>
    <m/>
    <m/>
    <m/>
    <m/>
    <m/>
    <n v="-1"/>
    <n v="-1"/>
  </r>
  <r>
    <n v="7937"/>
    <x v="2"/>
    <s v="2022/5151"/>
    <s v="822 Garratt Lane"/>
    <s v=""/>
    <n v="526929"/>
    <n v="171778"/>
    <x v="0"/>
    <m/>
    <m/>
    <n v="1"/>
    <x v="11"/>
    <x v="7"/>
    <n v="3"/>
    <n v="2"/>
    <x v="1"/>
    <s v="Erection of a mansard extension to main rear roof with French doors and safety balustrade and extension above two-storey rear addition with formation of a roof terrace with safety balustrade. Erection of single-storey side/rear and rear ground floor extensions and installation of French doors and safety balustrade in connection with part change of use of commercial unit (Use Class E) and provision of 1 studio, 1 x 1-bedroom and 1 x 2-bedroom flats (Class C3)."/>
    <s v="PF"/>
    <d v="2022-12-15T00:00:00"/>
    <d v="2023-02-23T00:00:00"/>
    <x v="0"/>
    <s v="Nil"/>
    <m/>
    <s v="BF"/>
    <s v="MIX"/>
    <x v="2"/>
    <x v="7"/>
    <n v="4.8566E-3"/>
    <m/>
    <x v="0"/>
    <m/>
    <x v="1"/>
    <s v="MR"/>
    <s v=""/>
    <m/>
    <m/>
    <m/>
    <m/>
    <m/>
    <n v="1"/>
    <n v="1"/>
    <n v="1"/>
    <n v="0"/>
    <n v="-1"/>
    <n v="0"/>
    <n v="0"/>
    <n v="1"/>
    <n v="1"/>
    <n v="1"/>
    <n v="0"/>
    <n v="-1"/>
    <n v="0"/>
    <n v="0"/>
    <n v="0"/>
    <n v="0"/>
    <n v="0"/>
    <n v="0"/>
    <n v="0"/>
    <n v="0"/>
    <n v="0"/>
    <n v="0"/>
    <n v="0"/>
    <n v="0"/>
    <n v="0"/>
    <n v="0"/>
    <n v="0"/>
    <n v="0"/>
    <x v="1"/>
    <x v="0"/>
    <x v="2"/>
    <n v="15"/>
    <m/>
    <n v="0.5"/>
    <n v="0.5"/>
    <n v="0.5"/>
    <n v="0.5"/>
    <m/>
    <m/>
    <m/>
    <m/>
    <m/>
    <m/>
    <m/>
    <m/>
    <m/>
    <m/>
    <m/>
    <m/>
    <m/>
    <m/>
    <m/>
    <n v="2"/>
    <n v="2"/>
  </r>
  <r>
    <n v="6940"/>
    <x v="2"/>
    <s v="2022/5172"/>
    <s v="42-43 Carlton Drive"/>
    <s v=""/>
    <n v="523949"/>
    <n v="174717"/>
    <x v="7"/>
    <m/>
    <m/>
    <n v="0"/>
    <x v="11"/>
    <x v="36"/>
    <n v="3"/>
    <n v="3"/>
    <x v="1"/>
    <s v="Alterations including erection of five-storey building (plus basement ) to provide 2 x2-bedroom and 1 x3-bedroom flats with front balconies and including associated landscaping, cycle parking and refuse storage."/>
    <s v="PF"/>
    <d v="2022-12-16T00:00:00"/>
    <d v="2023-10-25T00:00:00"/>
    <x v="1"/>
    <s v="Nil"/>
    <m/>
    <s v="BF"/>
    <s v="NB"/>
    <x v="2"/>
    <x v="3"/>
    <n v="6.5000000000000002E-2"/>
    <m/>
    <x v="0"/>
    <m/>
    <x v="1"/>
    <s v="M"/>
    <s v=""/>
    <m/>
    <m/>
    <m/>
    <m/>
    <m/>
    <n v="0"/>
    <n v="0"/>
    <n v="2"/>
    <n v="1"/>
    <n v="0"/>
    <n v="0"/>
    <n v="0"/>
    <n v="0"/>
    <n v="0"/>
    <n v="2"/>
    <n v="1"/>
    <n v="0"/>
    <n v="0"/>
    <n v="0"/>
    <n v="0"/>
    <n v="0"/>
    <n v="0"/>
    <n v="0"/>
    <n v="0"/>
    <n v="0"/>
    <n v="0"/>
    <n v="0"/>
    <n v="0"/>
    <n v="0"/>
    <n v="0"/>
    <n v="0"/>
    <n v="0"/>
    <n v="0"/>
    <x v="1"/>
    <x v="0"/>
    <x v="2"/>
    <n v="7"/>
    <m/>
    <m/>
    <n v="0.75"/>
    <n v="0.75"/>
    <n v="0.75"/>
    <n v="0.75"/>
    <m/>
    <m/>
    <m/>
    <m/>
    <m/>
    <m/>
    <m/>
    <m/>
    <m/>
    <m/>
    <m/>
    <m/>
    <m/>
    <m/>
    <n v="3"/>
    <n v="3"/>
  </r>
  <r>
    <n v="7513"/>
    <x v="2"/>
    <s v="2022/5269"/>
    <s v="Sylva Court, 79 Putney Hill"/>
    <s v=""/>
    <n v="523758"/>
    <n v="173893"/>
    <x v="7"/>
    <m/>
    <m/>
    <n v="0"/>
    <x v="0"/>
    <x v="0"/>
    <n v="6"/>
    <n v="6"/>
    <x v="1"/>
    <s v="Erection of two additional storeys to each section of the building to provide six new self contained apartments (Use Class C3) (2 x 1-bedroom, 2 x 2-bedroom and 2 x 3-bedroom), plant and associated works."/>
    <s v="PF"/>
    <d v="2022-12-22T00:00:00"/>
    <d v="2023-06-21T00:00:00"/>
    <x v="1"/>
    <s v="Nil"/>
    <m/>
    <s v="BF"/>
    <s v="EXT"/>
    <x v="2"/>
    <x v="7"/>
    <n v="0.193"/>
    <m/>
    <x v="0"/>
    <m/>
    <x v="1"/>
    <s v="M"/>
    <s v=""/>
    <m/>
    <m/>
    <m/>
    <m/>
    <m/>
    <n v="0"/>
    <n v="2"/>
    <n v="2"/>
    <n v="2"/>
    <n v="0"/>
    <n v="0"/>
    <n v="0"/>
    <n v="0"/>
    <n v="2"/>
    <n v="2"/>
    <n v="2"/>
    <n v="0"/>
    <n v="0"/>
    <n v="0"/>
    <n v="0"/>
    <n v="0"/>
    <n v="0"/>
    <n v="0"/>
    <n v="0"/>
    <n v="0"/>
    <n v="0"/>
    <n v="0"/>
    <n v="0"/>
    <n v="0"/>
    <n v="0"/>
    <n v="0"/>
    <n v="0"/>
    <n v="0"/>
    <x v="1"/>
    <x v="0"/>
    <x v="2"/>
    <n v="18"/>
    <m/>
    <n v="1.5"/>
    <n v="1.5"/>
    <n v="1.5"/>
    <n v="1.5"/>
    <m/>
    <m/>
    <m/>
    <m/>
    <m/>
    <m/>
    <m/>
    <m/>
    <m/>
    <m/>
    <m/>
    <m/>
    <m/>
    <m/>
    <m/>
    <n v="6"/>
    <n v="6"/>
  </r>
  <r>
    <n v="7938"/>
    <x v="2"/>
    <s v="2022/5270"/>
    <s v="7-9 Burntwood Lane"/>
    <s v=""/>
    <n v="526194"/>
    <n v="172318"/>
    <x v="17"/>
    <m/>
    <m/>
    <n v="0"/>
    <x v="24"/>
    <x v="28"/>
    <n v="5"/>
    <n v="5"/>
    <x v="1"/>
    <s v="Demolition of existing buildings and erection of 4 new residential dwellings (5-bedroom terraced houses) fronting Burntwood Lane and one new residential dwelling (2-bedroom detached house)) to the rear of the site with associated landscaping, cycle and refuse storage."/>
    <s v="PF"/>
    <d v="2022-12-22T00:00:00"/>
    <d v="2023-06-21T00:00:00"/>
    <x v="1"/>
    <s v="Nil"/>
    <m/>
    <s v="BF"/>
    <s v="NB"/>
    <x v="2"/>
    <x v="3"/>
    <n v="7.3200000000000001E-2"/>
    <m/>
    <x v="0"/>
    <m/>
    <x v="1"/>
    <s v="MR"/>
    <s v=""/>
    <m/>
    <m/>
    <m/>
    <m/>
    <m/>
    <n v="0"/>
    <n v="0"/>
    <n v="1"/>
    <n v="0"/>
    <n v="0"/>
    <n v="4"/>
    <n v="0"/>
    <n v="0"/>
    <n v="0"/>
    <n v="0"/>
    <n v="0"/>
    <n v="0"/>
    <n v="0"/>
    <n v="0"/>
    <n v="0"/>
    <n v="0"/>
    <n v="1"/>
    <n v="0"/>
    <n v="0"/>
    <n v="4"/>
    <n v="0"/>
    <n v="0"/>
    <n v="0"/>
    <n v="0"/>
    <n v="0"/>
    <n v="0"/>
    <n v="0"/>
    <n v="0"/>
    <x v="1"/>
    <x v="0"/>
    <x v="5"/>
    <n v="7"/>
    <m/>
    <m/>
    <n v="1.25"/>
    <n v="1.25"/>
    <n v="1.25"/>
    <n v="1.25"/>
    <m/>
    <m/>
    <m/>
    <m/>
    <m/>
    <m/>
    <m/>
    <m/>
    <m/>
    <m/>
    <m/>
    <m/>
    <m/>
    <m/>
    <n v="5"/>
    <n v="5"/>
  </r>
  <r>
    <n v="3809"/>
    <x v="2"/>
    <s v="2022/5299"/>
    <s v="167 Battersea Rise"/>
    <s v=""/>
    <n v="527098"/>
    <n v="174975"/>
    <x v="8"/>
    <m/>
    <m/>
    <n v="5"/>
    <x v="0"/>
    <x v="5"/>
    <n v="6"/>
    <n v="1"/>
    <x v="1"/>
    <s v="Alterations including an additional roof storey over main roof and extension above part of three storey back addition; replacement of windows to front and side elevations; replacement of shopfront with windows to side elevation, replacement of concrete panels with brickwork to front elevation. Part change of use from office (Class E) to residential (Class C3) in connection with internal reconfigurations to five existing flats (3 x 2 bedroom and 2 x 1 bedroom flats, changed to 5 x 1 bedroom flats) and provision of new 1 x 1 bedroom flat."/>
    <s v="PF"/>
    <d v="2022-12-28T00:00:00"/>
    <d v="2023-05-05T00:00:00"/>
    <x v="1"/>
    <s v="Nil"/>
    <m/>
    <s v="BF"/>
    <s v="MIX"/>
    <x v="2"/>
    <x v="5"/>
    <n v="1.2E-2"/>
    <m/>
    <x v="0"/>
    <m/>
    <x v="1"/>
    <s v="M"/>
    <s v=""/>
    <m/>
    <m/>
    <m/>
    <m/>
    <m/>
    <n v="-1"/>
    <n v="5"/>
    <n v="-3"/>
    <n v="0"/>
    <n v="0"/>
    <n v="0"/>
    <n v="0"/>
    <n v="-1"/>
    <n v="5"/>
    <n v="-3"/>
    <n v="0"/>
    <n v="0"/>
    <n v="0"/>
    <n v="0"/>
    <n v="0"/>
    <n v="0"/>
    <n v="0"/>
    <n v="0"/>
    <n v="0"/>
    <n v="0"/>
    <n v="0"/>
    <n v="0"/>
    <n v="0"/>
    <n v="0"/>
    <n v="0"/>
    <n v="0"/>
    <n v="0"/>
    <n v="0"/>
    <x v="1"/>
    <x v="0"/>
    <x v="2"/>
    <n v="18"/>
    <m/>
    <n v="0.25"/>
    <n v="0.25"/>
    <n v="0.25"/>
    <n v="0.25"/>
    <m/>
    <m/>
    <m/>
    <m/>
    <m/>
    <m/>
    <m/>
    <m/>
    <m/>
    <m/>
    <m/>
    <m/>
    <m/>
    <m/>
    <m/>
    <n v="1"/>
    <n v="1"/>
  </r>
  <r>
    <n v="7943"/>
    <x v="2"/>
    <s v="2022/5306"/>
    <s v="156 Cavendish Road"/>
    <s v=""/>
    <n v="529132"/>
    <n v="173982"/>
    <x v="6"/>
    <m/>
    <m/>
    <n v="5"/>
    <x v="11"/>
    <x v="13"/>
    <n v="3"/>
    <n v="-2"/>
    <x v="1"/>
    <s v="Erection of a dormer extension to main rear roof slope with extension above two-storey rear addition (with solar panels above), erection of a single-storey rear/side extension and excavation to form basement with front and rear lightwells in connection with the conversion into 1 x 3 bedroom and 2 x 1-bedroom self contained flats."/>
    <s v="PF"/>
    <d v="2022-12-28T00:00:00"/>
    <d v="2023-04-17T00:00:00"/>
    <x v="1"/>
    <s v="Nil"/>
    <m/>
    <s v="BF"/>
    <s v="MIX"/>
    <x v="2"/>
    <x v="7"/>
    <n v="5.3999999999999999E-2"/>
    <m/>
    <x v="0"/>
    <m/>
    <x v="1"/>
    <s v="MR"/>
    <s v=""/>
    <m/>
    <m/>
    <m/>
    <m/>
    <m/>
    <n v="-5"/>
    <n v="2"/>
    <n v="0"/>
    <n v="1"/>
    <n v="0"/>
    <n v="0"/>
    <n v="0"/>
    <n v="-5"/>
    <n v="2"/>
    <n v="0"/>
    <n v="1"/>
    <n v="0"/>
    <n v="0"/>
    <n v="0"/>
    <n v="0"/>
    <n v="0"/>
    <n v="0"/>
    <n v="0"/>
    <n v="0"/>
    <n v="0"/>
    <n v="0"/>
    <n v="0"/>
    <n v="0"/>
    <n v="0"/>
    <n v="0"/>
    <n v="0"/>
    <n v="0"/>
    <n v="0"/>
    <x v="1"/>
    <x v="0"/>
    <x v="2"/>
    <n v="15"/>
    <m/>
    <n v="-0.5"/>
    <n v="-0.5"/>
    <n v="-0.5"/>
    <n v="-0.5"/>
    <m/>
    <m/>
    <m/>
    <m/>
    <m/>
    <m/>
    <m/>
    <m/>
    <m/>
    <m/>
    <m/>
    <m/>
    <m/>
    <m/>
    <m/>
    <n v="-2"/>
    <n v="-2"/>
  </r>
  <r>
    <n v="7025"/>
    <x v="2"/>
    <s v="2023/0013"/>
    <s v="1-3 Byrne Road"/>
    <s v=""/>
    <n v="528764"/>
    <n v="173063"/>
    <x v="18"/>
    <m/>
    <m/>
    <n v="0"/>
    <x v="5"/>
    <x v="7"/>
    <n v="2"/>
    <n v="2"/>
    <x v="1"/>
    <s v="Alterations including the erection of single-storey lower ground floor rear extension; and front and rear lightwells; and reconfiguration of front entrances; in connection with conversion of the lower ground floor into 2 x 2-bedroom flats, with associated refuse storage."/>
    <s v="PF"/>
    <d v="2023-02-20T00:00:00"/>
    <d v="2023-09-01T00:00:00"/>
    <x v="1"/>
    <s v="Nil"/>
    <m/>
    <s v="BF"/>
    <s v="EXT"/>
    <x v="2"/>
    <x v="7"/>
    <n v="7.7000000000000002E-3"/>
    <m/>
    <x v="0"/>
    <m/>
    <x v="1"/>
    <s v="M"/>
    <s v=""/>
    <m/>
    <m/>
    <m/>
    <m/>
    <m/>
    <n v="0"/>
    <n v="0"/>
    <n v="2"/>
    <n v="0"/>
    <n v="0"/>
    <n v="0"/>
    <n v="0"/>
    <n v="0"/>
    <n v="0"/>
    <n v="2"/>
    <n v="0"/>
    <n v="0"/>
    <n v="0"/>
    <n v="0"/>
    <n v="0"/>
    <n v="0"/>
    <n v="0"/>
    <n v="0"/>
    <n v="0"/>
    <n v="0"/>
    <n v="0"/>
    <n v="0"/>
    <n v="0"/>
    <n v="0"/>
    <n v="0"/>
    <n v="0"/>
    <n v="0"/>
    <n v="0"/>
    <x v="1"/>
    <x v="0"/>
    <x v="2"/>
    <n v="15"/>
    <m/>
    <n v="0.5"/>
    <n v="0.5"/>
    <n v="0.5"/>
    <n v="0.5"/>
    <m/>
    <m/>
    <m/>
    <m/>
    <m/>
    <m/>
    <m/>
    <m/>
    <m/>
    <m/>
    <m/>
    <m/>
    <m/>
    <m/>
    <m/>
    <n v="2"/>
    <n v="2"/>
  </r>
  <r>
    <n v="2689"/>
    <x v="2"/>
    <s v="2023/0148"/>
    <s v="663-665 Garratt Lane"/>
    <s v=""/>
    <n v="526166"/>
    <n v="172343"/>
    <x v="17"/>
    <m/>
    <m/>
    <n v="0"/>
    <x v="3"/>
    <x v="5"/>
    <n v="1"/>
    <n v="1"/>
    <x v="1"/>
    <s v="Alterations including erection of mansard roof extension to main rear roof of both properties (with French doors and safety railings) and extension above two-storey back addition to 663; installation of external access stair from existing first floor level rear walkway up to third floor level entrance of proposed 1 x 2 bedroom flat with associated refuse and cycle storage."/>
    <s v="PF"/>
    <d v="2023-01-16T00:00:00"/>
    <d v="2023-03-13T00:00:00"/>
    <x v="0"/>
    <s v="Nil"/>
    <m/>
    <s v="BF"/>
    <s v="EXT"/>
    <x v="2"/>
    <x v="7"/>
    <n v="3.5000000000000003E-2"/>
    <m/>
    <x v="0"/>
    <m/>
    <x v="1"/>
    <s v="MR"/>
    <s v=""/>
    <m/>
    <m/>
    <m/>
    <m/>
    <m/>
    <n v="0"/>
    <n v="0"/>
    <n v="1"/>
    <n v="0"/>
    <n v="0"/>
    <n v="0"/>
    <n v="0"/>
    <n v="0"/>
    <n v="0"/>
    <n v="1"/>
    <n v="0"/>
    <n v="0"/>
    <n v="0"/>
    <n v="0"/>
    <n v="0"/>
    <n v="0"/>
    <n v="0"/>
    <n v="0"/>
    <n v="0"/>
    <n v="0"/>
    <n v="0"/>
    <n v="0"/>
    <n v="0"/>
    <n v="0"/>
    <n v="0"/>
    <n v="0"/>
    <n v="0"/>
    <n v="0"/>
    <x v="1"/>
    <x v="0"/>
    <x v="5"/>
    <n v="15"/>
    <m/>
    <n v="0.25"/>
    <n v="0.25"/>
    <n v="0.25"/>
    <n v="0.25"/>
    <m/>
    <m/>
    <m/>
    <m/>
    <m/>
    <m/>
    <m/>
    <m/>
    <m/>
    <m/>
    <m/>
    <m/>
    <m/>
    <m/>
    <m/>
    <n v="1"/>
    <n v="1"/>
  </r>
  <r>
    <n v="4263"/>
    <x v="2"/>
    <s v="2023/0233"/>
    <s v="830 Garratt Lane"/>
    <s v=""/>
    <n v="526950"/>
    <n v="171750"/>
    <x v="0"/>
    <m/>
    <m/>
    <n v="0"/>
    <x v="3"/>
    <x v="5"/>
    <n v="1"/>
    <n v="1"/>
    <x v="1"/>
    <s v="Alterations including conversion of rear part of existing shop (Class E) to one bed studio dwelling (Class C3)."/>
    <s v="PF"/>
    <d v="2023-01-20T00:00:00"/>
    <d v="2023-04-27T00:00:00"/>
    <x v="1"/>
    <s v="Nil"/>
    <m/>
    <s v="BF"/>
    <s v="CON"/>
    <x v="2"/>
    <x v="4"/>
    <n v="4.8999999999999998E-3"/>
    <m/>
    <x v="0"/>
    <m/>
    <x v="1"/>
    <s v="M"/>
    <s v=""/>
    <m/>
    <m/>
    <m/>
    <m/>
    <m/>
    <n v="1"/>
    <n v="0"/>
    <n v="0"/>
    <n v="0"/>
    <n v="0"/>
    <n v="0"/>
    <n v="0"/>
    <n v="1"/>
    <n v="0"/>
    <n v="0"/>
    <n v="0"/>
    <n v="0"/>
    <n v="0"/>
    <n v="0"/>
    <n v="0"/>
    <n v="0"/>
    <n v="0"/>
    <n v="0"/>
    <n v="0"/>
    <n v="0"/>
    <n v="0"/>
    <n v="0"/>
    <n v="0"/>
    <n v="0"/>
    <n v="0"/>
    <n v="0"/>
    <n v="0"/>
    <n v="0"/>
    <x v="1"/>
    <x v="0"/>
    <x v="2"/>
    <n v="15"/>
    <m/>
    <n v="0.25"/>
    <n v="0.25"/>
    <n v="0.25"/>
    <n v="0.25"/>
    <m/>
    <m/>
    <m/>
    <m/>
    <m/>
    <m/>
    <m/>
    <m/>
    <m/>
    <m/>
    <m/>
    <m/>
    <m/>
    <m/>
    <m/>
    <n v="1"/>
    <n v="1"/>
  </r>
  <r>
    <n v="7909"/>
    <x v="2"/>
    <s v="2023/0278"/>
    <s v="361 Garratt Lane"/>
    <s v=""/>
    <n v="525938"/>
    <n v="173403"/>
    <x v="13"/>
    <m/>
    <m/>
    <n v="1"/>
    <x v="11"/>
    <x v="7"/>
    <n v="3"/>
    <n v="2"/>
    <x v="1"/>
    <s v="Alterations including excavation to enlarge basement with formation of front lightwell; erection of mansard roof extension to main rear roof with French doors and extension above two storey back addition; formation of roof terraces at rear of first and second floors with1.7m high side screens; erection of single storey rear/side extension in connection with use of property as 3 x 1-bedroom flats."/>
    <s v="PF"/>
    <d v="2023-01-24T00:00:00"/>
    <d v="2023-06-22T00:00:00"/>
    <x v="1"/>
    <s v="Nil"/>
    <m/>
    <s v="BF"/>
    <s v="EXT"/>
    <x v="2"/>
    <x v="7"/>
    <n v="8.0000000000000002E-3"/>
    <m/>
    <x v="0"/>
    <m/>
    <x v="1"/>
    <s v="M"/>
    <s v=""/>
    <m/>
    <m/>
    <m/>
    <m/>
    <m/>
    <n v="0"/>
    <n v="3"/>
    <n v="-1"/>
    <n v="0"/>
    <n v="0"/>
    <n v="0"/>
    <n v="0"/>
    <n v="0"/>
    <n v="3"/>
    <n v="-1"/>
    <n v="0"/>
    <n v="0"/>
    <n v="0"/>
    <n v="0"/>
    <n v="0"/>
    <n v="0"/>
    <n v="0"/>
    <n v="0"/>
    <n v="0"/>
    <n v="0"/>
    <n v="0"/>
    <n v="0"/>
    <n v="0"/>
    <n v="0"/>
    <n v="0"/>
    <n v="0"/>
    <n v="0"/>
    <n v="0"/>
    <x v="1"/>
    <x v="0"/>
    <x v="5"/>
    <n v="15"/>
    <m/>
    <n v="0.5"/>
    <n v="0.5"/>
    <n v="0.5"/>
    <n v="0.5"/>
    <m/>
    <m/>
    <m/>
    <m/>
    <m/>
    <m/>
    <m/>
    <m/>
    <m/>
    <m/>
    <m/>
    <m/>
    <m/>
    <m/>
    <m/>
    <n v="2"/>
    <n v="2"/>
  </r>
  <r>
    <n v="7953"/>
    <x v="2"/>
    <s v="2023/0349"/>
    <s v="32 Avarn Road"/>
    <s v=""/>
    <n v="527838"/>
    <n v="170943"/>
    <x v="0"/>
    <m/>
    <m/>
    <n v="1"/>
    <x v="3"/>
    <x v="6"/>
    <n v="1"/>
    <n v="0"/>
    <x v="1"/>
    <s v="Alterations including erection of mansard roof extension to main rear roof (with French doors and safety railings) and extension above part of two-storey back addition; Formation of roof terrace above two-storey back addition with 1.7m _x000a_high screen surround in connection with the change of use from first floor flat (Class C3) into a four bedroom HMO (Class C4)."/>
    <s v="PF"/>
    <d v="2023-02-01T00:00:00"/>
    <d v="2023-03-29T00:00:00"/>
    <x v="0"/>
    <s v="Nil"/>
    <m/>
    <s v="BF"/>
    <s v="MIX"/>
    <x v="2"/>
    <x v="7"/>
    <n v="5.45E-3"/>
    <m/>
    <x v="0"/>
    <m/>
    <x v="1"/>
    <s v="MR"/>
    <s v=""/>
    <m/>
    <m/>
    <m/>
    <m/>
    <m/>
    <n v="0"/>
    <n v="0"/>
    <n v="-1"/>
    <n v="0"/>
    <n v="1"/>
    <n v="0"/>
    <n v="0"/>
    <n v="0"/>
    <n v="0"/>
    <n v="-1"/>
    <n v="0"/>
    <n v="1"/>
    <n v="0"/>
    <n v="0"/>
    <n v="0"/>
    <n v="0"/>
    <n v="0"/>
    <n v="0"/>
    <n v="0"/>
    <n v="0"/>
    <n v="0"/>
    <n v="0"/>
    <n v="0"/>
    <n v="0"/>
    <n v="0"/>
    <n v="0"/>
    <n v="0"/>
    <n v="0"/>
    <x v="1"/>
    <x v="0"/>
    <x v="2"/>
    <n v="15"/>
    <m/>
    <n v="0"/>
    <n v="0"/>
    <n v="0"/>
    <n v="0"/>
    <m/>
    <m/>
    <m/>
    <m/>
    <m/>
    <m/>
    <m/>
    <m/>
    <m/>
    <m/>
    <m/>
    <m/>
    <m/>
    <m/>
    <m/>
    <n v="0"/>
    <n v="0"/>
  </r>
  <r>
    <n v="5855"/>
    <x v="2"/>
    <s v="2023/0437"/>
    <s v="135 Mitcham Road"/>
    <s v=""/>
    <n v="527771"/>
    <n v="171157"/>
    <x v="0"/>
    <m/>
    <m/>
    <n v="1"/>
    <x v="3"/>
    <x v="6"/>
    <n v="1"/>
    <n v="0"/>
    <x v="1"/>
    <s v="Alterations including erection of a mansard roof extension to form additional storey above main roof in connection with the change of use from flat to a 5 bedroom HMO (Class C4)."/>
    <s v="PF"/>
    <d v="2023-02-13T00:00:00"/>
    <d v="2023-04-06T00:00:00"/>
    <x v="1"/>
    <s v="Nil"/>
    <m/>
    <s v="BF"/>
    <s v="CON"/>
    <x v="2"/>
    <x v="7"/>
    <n v="3.8666669999999998E-3"/>
    <m/>
    <x v="0"/>
    <m/>
    <x v="1"/>
    <s v="MR"/>
    <s v=""/>
    <m/>
    <m/>
    <m/>
    <m/>
    <m/>
    <n v="0"/>
    <n v="0"/>
    <n v="0"/>
    <n v="-1"/>
    <n v="0"/>
    <n v="1"/>
    <n v="0"/>
    <n v="0"/>
    <n v="0"/>
    <n v="0"/>
    <n v="-1"/>
    <n v="0"/>
    <n v="1"/>
    <n v="0"/>
    <n v="0"/>
    <n v="0"/>
    <n v="0"/>
    <n v="0"/>
    <n v="0"/>
    <n v="0"/>
    <n v="0"/>
    <n v="0"/>
    <n v="0"/>
    <n v="0"/>
    <n v="0"/>
    <n v="0"/>
    <n v="0"/>
    <n v="0"/>
    <x v="0"/>
    <x v="0"/>
    <x v="0"/>
    <n v="15"/>
    <m/>
    <n v="0"/>
    <n v="0"/>
    <n v="0"/>
    <n v="0"/>
    <m/>
    <m/>
    <m/>
    <m/>
    <m/>
    <m/>
    <m/>
    <m/>
    <m/>
    <m/>
    <m/>
    <m/>
    <m/>
    <m/>
    <m/>
    <n v="0"/>
    <n v="0"/>
  </r>
  <r>
    <n v="7958"/>
    <x v="2"/>
    <s v="2023/0450"/>
    <s v="Ground Floor  Flat Front 1, 73 Streathbourne Road"/>
    <s v=""/>
    <n v="528485"/>
    <n v="172355"/>
    <x v="18"/>
    <m/>
    <m/>
    <n v="1"/>
    <x v="5"/>
    <x v="5"/>
    <n v="2"/>
    <n v="1"/>
    <x v="1"/>
    <s v="Alterations including erection of single-storey rear extension and conversion of ground floor flat into 1 x 2-bedroom and 1 x 1-bedroom flats."/>
    <s v="PF"/>
    <d v="2023-02-23T00:00:00"/>
    <d v="2023-05-09T00:00:00"/>
    <x v="1"/>
    <s v="Nil"/>
    <m/>
    <s v="BF"/>
    <s v="MIX"/>
    <x v="2"/>
    <x v="7"/>
    <n v="1.2500000000000001E-2"/>
    <m/>
    <x v="0"/>
    <m/>
    <x v="1"/>
    <s v="M"/>
    <s v=""/>
    <m/>
    <m/>
    <m/>
    <m/>
    <m/>
    <n v="0"/>
    <n v="0"/>
    <n v="1"/>
    <n v="0"/>
    <n v="0"/>
    <n v="0"/>
    <n v="0"/>
    <n v="0"/>
    <n v="0"/>
    <n v="1"/>
    <n v="0"/>
    <n v="0"/>
    <n v="0"/>
    <n v="0"/>
    <n v="0"/>
    <n v="0"/>
    <n v="0"/>
    <n v="0"/>
    <n v="0"/>
    <n v="0"/>
    <n v="0"/>
    <n v="0"/>
    <n v="0"/>
    <n v="0"/>
    <n v="0"/>
    <n v="0"/>
    <n v="0"/>
    <n v="0"/>
    <x v="1"/>
    <x v="0"/>
    <x v="2"/>
    <n v="15"/>
    <m/>
    <n v="0.25"/>
    <n v="0.25"/>
    <n v="0.25"/>
    <n v="0.25"/>
    <m/>
    <m/>
    <m/>
    <m/>
    <m/>
    <m/>
    <m/>
    <m/>
    <m/>
    <m/>
    <m/>
    <m/>
    <m/>
    <m/>
    <m/>
    <n v="1"/>
    <n v="1"/>
  </r>
  <r>
    <n v="4535"/>
    <x v="2"/>
    <s v="2023/0518"/>
    <s v="167 Oakhill Road (Rear of 165 and 169)"/>
    <s v=""/>
    <n v="525151"/>
    <n v="174981"/>
    <x v="7"/>
    <m/>
    <m/>
    <n v="0"/>
    <x v="3"/>
    <x v="5"/>
    <n v="1"/>
    <n v="1"/>
    <x v="1"/>
    <s v="Alterations including erection of replacement single storey front/side extension; Demolition of existing link and erection of a timber pergola with a pitched roof between the main building and outbuilding; Installation of timber fenestration to ground and first floor rear elevation and first floor side elevation; Installation of solar pv panels to roof of the single storey front/side extension; Removal of existing and partial replacement of render to exterior of main building; In connection with use of main building as a 4 -bed house. (See associated Listed Building application 2023/0529)"/>
    <s v="PF"/>
    <d v="2023-02-13T00:00:00"/>
    <d v="2023-05-17T00:00:00"/>
    <x v="1"/>
    <s v="Nil"/>
    <m/>
    <s v="BF"/>
    <s v="MIX"/>
    <x v="2"/>
    <x v="6"/>
    <n v="8.9999999999999993E-3"/>
    <m/>
    <x v="0"/>
    <m/>
    <x v="1"/>
    <s v="M"/>
    <s v=""/>
    <m/>
    <m/>
    <m/>
    <m/>
    <m/>
    <n v="0"/>
    <n v="0"/>
    <n v="0"/>
    <n v="0"/>
    <n v="1"/>
    <n v="0"/>
    <n v="0"/>
    <n v="0"/>
    <n v="0"/>
    <n v="0"/>
    <n v="0"/>
    <n v="0"/>
    <n v="0"/>
    <n v="0"/>
    <n v="0"/>
    <n v="0"/>
    <n v="0"/>
    <n v="0"/>
    <n v="1"/>
    <n v="0"/>
    <n v="0"/>
    <n v="0"/>
    <n v="0"/>
    <n v="0"/>
    <n v="0"/>
    <n v="0"/>
    <n v="0"/>
    <n v="0"/>
    <x v="1"/>
    <x v="0"/>
    <x v="7"/>
    <n v="15"/>
    <m/>
    <n v="0.25"/>
    <n v="0.25"/>
    <n v="0.25"/>
    <n v="0.25"/>
    <m/>
    <m/>
    <m/>
    <m/>
    <m/>
    <m/>
    <m/>
    <m/>
    <m/>
    <m/>
    <m/>
    <m/>
    <m/>
    <m/>
    <m/>
    <n v="1"/>
    <n v="1"/>
  </r>
  <r>
    <n v="6497"/>
    <x v="2"/>
    <s v="2023/0613"/>
    <s v="64-64c Battersea Rise"/>
    <s v=""/>
    <n v="527487"/>
    <n v="175150"/>
    <x v="8"/>
    <m/>
    <m/>
    <n v="2"/>
    <x v="6"/>
    <x v="13"/>
    <n v="0"/>
    <n v="-2"/>
    <x v="1"/>
    <s v="Alterations including erection of a roof extension to the main roof; Erection of part-two, part-three-storey rear extension; Formation of rear roof terraces with 0.8m high metal railing surround at second and third floors; Installation of French doors and safety railings to first floor rear elevation; Installation of replacement extraction duct and flue to rear elevation; Excavation to enlarge existing basement; In connection with change of use of upper floors from 2 x self-contained flats (Class C3), to 13-bed HMO (Sui Generis)."/>
    <s v="PF"/>
    <d v="2023-03-01T00:00:00"/>
    <d v="2023-10-25T00:00:00"/>
    <x v="1"/>
    <s v="Nil"/>
    <m/>
    <s v="BF"/>
    <s v="MIX"/>
    <x v="2"/>
    <x v="1"/>
    <n v="1.4999999999999999E-2"/>
    <m/>
    <x v="0"/>
    <m/>
    <x v="1"/>
    <s v="M"/>
    <s v=""/>
    <m/>
    <m/>
    <m/>
    <m/>
    <m/>
    <n v="0"/>
    <n v="0"/>
    <n v="0"/>
    <n v="-1"/>
    <n v="0"/>
    <n v="-1"/>
    <n v="0"/>
    <n v="0"/>
    <n v="0"/>
    <n v="0"/>
    <n v="-1"/>
    <n v="0"/>
    <n v="-1"/>
    <n v="0"/>
    <n v="0"/>
    <n v="0"/>
    <n v="0"/>
    <n v="0"/>
    <n v="0"/>
    <n v="0"/>
    <n v="0"/>
    <n v="0"/>
    <n v="0"/>
    <n v="0"/>
    <n v="0"/>
    <n v="0"/>
    <n v="0"/>
    <n v="0"/>
    <x v="3"/>
    <x v="0"/>
    <x v="3"/>
    <n v="15"/>
    <m/>
    <n v="-0.5"/>
    <n v="-0.5"/>
    <n v="-0.5"/>
    <n v="-0.5"/>
    <m/>
    <m/>
    <m/>
    <m/>
    <m/>
    <m/>
    <m/>
    <m/>
    <m/>
    <m/>
    <m/>
    <m/>
    <m/>
    <m/>
    <m/>
    <n v="-2"/>
    <n v="-2"/>
  </r>
  <r>
    <n v="5138"/>
    <x v="2"/>
    <s v="2023/0682"/>
    <s v="17 Colinette Road"/>
    <s v=""/>
    <n v="523115"/>
    <n v="175074"/>
    <x v="16"/>
    <m/>
    <m/>
    <n v="5"/>
    <x v="0"/>
    <x v="5"/>
    <n v="6"/>
    <n v="1"/>
    <x v="1"/>
    <s v="Alterations including excavation to enlarge rear lightwell and erection of three-storey side extension including enlargement of one flat ro provide a 4-bed house; formation of hardstanding for 4 cars in front garden including removal of one tree."/>
    <s v="PF"/>
    <d v="2023-02-21T00:00:00"/>
    <d v="2023-08-23T00:00:00"/>
    <x v="1"/>
    <s v="Nil"/>
    <m/>
    <s v="BF"/>
    <s v="EXT"/>
    <x v="2"/>
    <x v="7"/>
    <n v="1.7933330000000001E-2"/>
    <m/>
    <x v="0"/>
    <m/>
    <x v="1"/>
    <s v="M"/>
    <s v=""/>
    <m/>
    <m/>
    <m/>
    <m/>
    <m/>
    <n v="0"/>
    <n v="0"/>
    <n v="1"/>
    <n v="-1"/>
    <n v="1"/>
    <n v="0"/>
    <n v="0"/>
    <n v="0"/>
    <n v="0"/>
    <n v="1"/>
    <n v="-1"/>
    <n v="0"/>
    <n v="0"/>
    <n v="0"/>
    <n v="0"/>
    <n v="0"/>
    <n v="0"/>
    <n v="0"/>
    <n v="1"/>
    <n v="0"/>
    <n v="0"/>
    <n v="0"/>
    <n v="0"/>
    <n v="0"/>
    <n v="0"/>
    <n v="0"/>
    <n v="0"/>
    <n v="0"/>
    <x v="1"/>
    <x v="0"/>
    <x v="2"/>
    <n v="15"/>
    <m/>
    <n v="0.25"/>
    <n v="0.25"/>
    <n v="0.25"/>
    <n v="0.25"/>
    <m/>
    <m/>
    <m/>
    <m/>
    <m/>
    <m/>
    <m/>
    <m/>
    <m/>
    <m/>
    <m/>
    <m/>
    <m/>
    <m/>
    <m/>
    <n v="1"/>
    <n v="1"/>
  </r>
  <r>
    <n v="7920"/>
    <x v="2"/>
    <s v="2023/0722"/>
    <s v="186 Garratt Lane"/>
    <s v=""/>
    <n v="525886"/>
    <n v="173713"/>
    <x v="13"/>
    <m/>
    <m/>
    <n v="1"/>
    <x v="5"/>
    <x v="5"/>
    <n v="2"/>
    <n v="1"/>
    <x v="1"/>
    <s v="Alterations including erection of extension above two-storey rear addition and formation of terraces at first and second floors with obscure glazed  balustrade in connection with conversion of the upper maisonette into 2 x 1-bedroom flats; refurbishement of single storey rear outbuilding."/>
    <s v="PF"/>
    <d v="2023-02-22T00:00:00"/>
    <d v="2023-04-19T00:00:00"/>
    <x v="1"/>
    <s v="Nil"/>
    <m/>
    <s v="BF"/>
    <s v="MIX"/>
    <x v="2"/>
    <x v="5"/>
    <n v="0"/>
    <m/>
    <x v="0"/>
    <m/>
    <x v="1"/>
    <s v="MR"/>
    <s v=""/>
    <m/>
    <m/>
    <m/>
    <m/>
    <m/>
    <n v="0"/>
    <n v="2"/>
    <n v="0"/>
    <n v="0"/>
    <n v="0"/>
    <n v="-1"/>
    <n v="0"/>
    <n v="0"/>
    <n v="2"/>
    <n v="0"/>
    <n v="0"/>
    <n v="0"/>
    <n v="-1"/>
    <n v="0"/>
    <n v="0"/>
    <n v="0"/>
    <n v="0"/>
    <n v="0"/>
    <n v="0"/>
    <n v="0"/>
    <n v="0"/>
    <n v="0"/>
    <n v="0"/>
    <n v="0"/>
    <n v="0"/>
    <n v="0"/>
    <n v="0"/>
    <n v="0"/>
    <x v="1"/>
    <x v="0"/>
    <x v="5"/>
    <n v="15"/>
    <m/>
    <n v="0.25"/>
    <n v="0.25"/>
    <n v="0.25"/>
    <n v="0.25"/>
    <m/>
    <m/>
    <m/>
    <m/>
    <m/>
    <m/>
    <m/>
    <m/>
    <m/>
    <m/>
    <m/>
    <m/>
    <m/>
    <m/>
    <m/>
    <n v="1"/>
    <n v="1"/>
  </r>
  <r>
    <n v="5682"/>
    <x v="2"/>
    <s v="2023/0853"/>
    <s v="7 Lavender Hill"/>
    <s v=""/>
    <n v="528537"/>
    <n v="175740"/>
    <x v="8"/>
    <m/>
    <m/>
    <n v="1"/>
    <x v="3"/>
    <x v="6"/>
    <n v="1"/>
    <n v="0"/>
    <x v="1"/>
    <s v="Alterations to convert a 1-bedroom flat into a 2-bedroom flat including change of access."/>
    <s v="PF"/>
    <d v="2023-03-27T00:00:00"/>
    <d v="2023-05-22T00:00:00"/>
    <x v="1"/>
    <s v="Nil"/>
    <m/>
    <s v="BF"/>
    <s v="CON"/>
    <x v="2"/>
    <x v="7"/>
    <n v="7.2899999999999996E-3"/>
    <m/>
    <x v="0"/>
    <m/>
    <x v="1"/>
    <s v="M"/>
    <s v=""/>
    <m/>
    <m/>
    <m/>
    <m/>
    <m/>
    <n v="0"/>
    <n v="-1"/>
    <n v="1"/>
    <n v="0"/>
    <n v="0"/>
    <n v="0"/>
    <n v="0"/>
    <n v="0"/>
    <n v="-1"/>
    <n v="1"/>
    <n v="0"/>
    <n v="0"/>
    <n v="0"/>
    <n v="0"/>
    <n v="0"/>
    <n v="0"/>
    <n v="0"/>
    <n v="0"/>
    <n v="0"/>
    <n v="0"/>
    <n v="0"/>
    <n v="0"/>
    <n v="0"/>
    <n v="0"/>
    <n v="0"/>
    <n v="0"/>
    <n v="0"/>
    <n v="0"/>
    <x v="1"/>
    <x v="0"/>
    <x v="2"/>
    <n v="15"/>
    <m/>
    <n v="0"/>
    <n v="0"/>
    <n v="0"/>
    <n v="0"/>
    <m/>
    <m/>
    <m/>
    <m/>
    <m/>
    <m/>
    <m/>
    <m/>
    <m/>
    <m/>
    <m/>
    <m/>
    <m/>
    <m/>
    <m/>
    <n v="0"/>
    <n v="0"/>
  </r>
  <r>
    <n v="7927"/>
    <x v="2"/>
    <s v="2023/1033"/>
    <s v="Upper Floor Flat, 42 Lavender Hill"/>
    <s v=""/>
    <n v="528410"/>
    <n v="175764"/>
    <x v="20"/>
    <m/>
    <m/>
    <n v="1"/>
    <x v="11"/>
    <x v="7"/>
    <n v="3"/>
    <n v="2"/>
    <x v="1"/>
    <s v="Alterations including the erection of mansard roof extension to front and rear roof in connection with conversion of the first and second floors into 3 x 1-bedroom flats with associated cycle and refuse storage and balconies."/>
    <s v="PF"/>
    <d v="2023-03-15T00:00:00"/>
    <d v="2023-05-10T00:00:00"/>
    <x v="1"/>
    <s v="Nil"/>
    <m/>
    <s v="BF"/>
    <s v="EXT"/>
    <x v="2"/>
    <x v="7"/>
    <n v="4.4999999999999997E-3"/>
    <m/>
    <x v="0"/>
    <m/>
    <x v="1"/>
    <s v="M"/>
    <s v=""/>
    <m/>
    <m/>
    <m/>
    <m/>
    <m/>
    <n v="0"/>
    <n v="3"/>
    <n v="0"/>
    <n v="-1"/>
    <n v="0"/>
    <n v="0"/>
    <n v="0"/>
    <n v="0"/>
    <n v="3"/>
    <n v="0"/>
    <n v="-1"/>
    <n v="0"/>
    <n v="0"/>
    <n v="0"/>
    <n v="0"/>
    <n v="0"/>
    <n v="0"/>
    <n v="0"/>
    <n v="0"/>
    <n v="0"/>
    <n v="0"/>
    <n v="0"/>
    <n v="0"/>
    <n v="0"/>
    <n v="0"/>
    <n v="0"/>
    <n v="0"/>
    <n v="0"/>
    <x v="1"/>
    <x v="0"/>
    <x v="2"/>
    <n v="15"/>
    <m/>
    <n v="0.5"/>
    <n v="0.5"/>
    <n v="0.5"/>
    <n v="0.5"/>
    <m/>
    <m/>
    <m/>
    <m/>
    <m/>
    <m/>
    <m/>
    <m/>
    <m/>
    <m/>
    <m/>
    <m/>
    <m/>
    <m/>
    <m/>
    <n v="2"/>
    <n v="2"/>
  </r>
  <r>
    <n v="7959"/>
    <x v="2"/>
    <s v="2023/1069"/>
    <s v="78 Sisters Avenue"/>
    <s v=""/>
    <n v="528025"/>
    <n v="175251"/>
    <x v="8"/>
    <m/>
    <m/>
    <n v="0"/>
    <x v="3"/>
    <x v="5"/>
    <n v="1"/>
    <n v="1"/>
    <x v="1"/>
    <s v="Demolition of existing side extension and erection of two-storey dwellinghouse plus basement and accomodation within roof."/>
    <s v="PF"/>
    <d v="2023-03-22T00:00:00"/>
    <d v="2023-06-26T00:00:00"/>
    <x v="1"/>
    <s v="Nil"/>
    <m/>
    <s v="BF"/>
    <s v="NB"/>
    <x v="2"/>
    <x v="3"/>
    <n v="5.7999999999999996E-3"/>
    <m/>
    <x v="0"/>
    <m/>
    <x v="1"/>
    <s v="M"/>
    <s v=""/>
    <m/>
    <m/>
    <m/>
    <m/>
    <m/>
    <n v="0"/>
    <n v="0"/>
    <n v="0"/>
    <n v="1"/>
    <n v="0"/>
    <n v="0"/>
    <n v="0"/>
    <n v="0"/>
    <n v="0"/>
    <n v="0"/>
    <n v="0"/>
    <n v="0"/>
    <n v="0"/>
    <n v="0"/>
    <n v="0"/>
    <n v="0"/>
    <n v="0"/>
    <n v="1"/>
    <n v="0"/>
    <n v="0"/>
    <n v="0"/>
    <n v="0"/>
    <n v="0"/>
    <n v="0"/>
    <n v="0"/>
    <n v="0"/>
    <n v="0"/>
    <n v="0"/>
    <x v="1"/>
    <x v="0"/>
    <x v="2"/>
    <n v="7"/>
    <m/>
    <m/>
    <n v="0.25"/>
    <n v="0.25"/>
    <n v="0.25"/>
    <n v="0.25"/>
    <m/>
    <m/>
    <m/>
    <m/>
    <m/>
    <m/>
    <m/>
    <m/>
    <m/>
    <m/>
    <m/>
    <m/>
    <m/>
    <m/>
    <n v="1"/>
    <n v="1"/>
  </r>
  <r>
    <n v="7970"/>
    <x v="2"/>
    <s v="2023/1144"/>
    <s v="15 Gassiot Road"/>
    <s v=""/>
    <n v="527803"/>
    <n v="171659"/>
    <x v="19"/>
    <m/>
    <m/>
    <n v="1"/>
    <x v="3"/>
    <x v="6"/>
    <n v="1"/>
    <n v="0"/>
    <x v="1"/>
    <s v="Alterations including erection of dormer roof extension to main rear roof, roof extension above two storey back addition and erection of single storey rear and side extension in connection with conversion of property from residential (Class C3) to house of multiple occupation (Class C4)."/>
    <s v="PF"/>
    <d v="2023-03-28T00:00:00"/>
    <d v="2023-06-19T00:00:00"/>
    <x v="1"/>
    <s v="Nil"/>
    <m/>
    <s v="BF"/>
    <s v="CON"/>
    <x v="2"/>
    <x v="7"/>
    <n v="5.4000000000000003E-3"/>
    <m/>
    <x v="0"/>
    <m/>
    <x v="1"/>
    <s v="MR"/>
    <s v=""/>
    <m/>
    <m/>
    <m/>
    <m/>
    <m/>
    <n v="0"/>
    <n v="0"/>
    <n v="0"/>
    <n v="0"/>
    <n v="-1"/>
    <n v="1"/>
    <n v="0"/>
    <n v="0"/>
    <n v="0"/>
    <n v="0"/>
    <n v="0"/>
    <n v="0"/>
    <n v="0"/>
    <n v="0"/>
    <n v="0"/>
    <n v="0"/>
    <n v="0"/>
    <n v="0"/>
    <n v="-1"/>
    <n v="1"/>
    <n v="0"/>
    <n v="0"/>
    <n v="0"/>
    <n v="0"/>
    <n v="0"/>
    <n v="0"/>
    <n v="0"/>
    <n v="0"/>
    <x v="1"/>
    <x v="0"/>
    <x v="2"/>
    <n v="15"/>
    <m/>
    <n v="0"/>
    <n v="0"/>
    <n v="0"/>
    <n v="0"/>
    <m/>
    <m/>
    <m/>
    <m/>
    <m/>
    <m/>
    <m/>
    <m/>
    <m/>
    <m/>
    <m/>
    <m/>
    <m/>
    <m/>
    <m/>
    <n v="0"/>
    <n v="0"/>
  </r>
  <r>
    <n v="7974"/>
    <x v="2"/>
    <s v="2023/1176"/>
    <s v="Struan House, 44 Augustus Road"/>
    <s v=""/>
    <n v="524424"/>
    <n v="173204"/>
    <x v="5"/>
    <m/>
    <m/>
    <n v="0"/>
    <x v="29"/>
    <x v="33"/>
    <n v="9"/>
    <n v="9"/>
    <x v="1"/>
    <s v="Erection of a three storey building to provide 9 flats (1 x 3-bed, 6 x 2-bed and 2 x 1-bed) with front and rear balconies together with associated landscaping and secure cycle and refuse storage."/>
    <s v="PF"/>
    <d v="2023-03-24T00:00:00"/>
    <d v="2023-08-31T00:00:00"/>
    <x v="1"/>
    <s v="Nil"/>
    <m/>
    <s v="BF"/>
    <s v="NB"/>
    <x v="2"/>
    <x v="3"/>
    <n v="2.1999999999999999E-2"/>
    <m/>
    <x v="0"/>
    <m/>
    <x v="1"/>
    <s v="M"/>
    <s v=""/>
    <m/>
    <m/>
    <m/>
    <m/>
    <m/>
    <n v="0"/>
    <n v="2"/>
    <n v="7"/>
    <n v="0"/>
    <n v="0"/>
    <n v="0"/>
    <n v="0"/>
    <n v="0"/>
    <n v="2"/>
    <n v="7"/>
    <n v="0"/>
    <n v="0"/>
    <n v="0"/>
    <n v="0"/>
    <n v="0"/>
    <n v="0"/>
    <n v="0"/>
    <n v="0"/>
    <n v="0"/>
    <n v="0"/>
    <n v="0"/>
    <n v="0"/>
    <n v="0"/>
    <n v="0"/>
    <n v="0"/>
    <n v="0"/>
    <n v="0"/>
    <n v="0"/>
    <x v="1"/>
    <x v="0"/>
    <x v="2"/>
    <n v="10"/>
    <m/>
    <m/>
    <m/>
    <m/>
    <n v="3"/>
    <n v="3"/>
    <n v="3"/>
    <m/>
    <m/>
    <m/>
    <m/>
    <m/>
    <m/>
    <m/>
    <m/>
    <m/>
    <m/>
    <m/>
    <m/>
    <m/>
    <n v="6"/>
    <n v="9"/>
  </r>
  <r>
    <n v="7975"/>
    <x v="2"/>
    <s v="2023/1236"/>
    <s v="10 York Road"/>
    <s v=""/>
    <n v="527030"/>
    <n v="176160"/>
    <x v="15"/>
    <m/>
    <m/>
    <n v="1"/>
    <x v="11"/>
    <x v="7"/>
    <n v="3"/>
    <n v="2"/>
    <x v="1"/>
    <s v="Alterations including erection of an additional floor of accommodation; Erection of an extension above the two-storey back addition and formation of roof terrace with a 1.1m high glazed handrail above; Erection of a two-storey rear/side extension; Installation of a new front entrance door in connection with conversion of the first floor flat to 3 x 1-bedroom flats; and alterations to the ground floor commercial unit, with associated refuse and cycle storage."/>
    <s v="PF"/>
    <d v="2023-03-31T00:00:00"/>
    <d v="2023-08-31T00:00:00"/>
    <x v="1"/>
    <s v="Nil"/>
    <m/>
    <s v="BF"/>
    <s v="MIX"/>
    <x v="2"/>
    <x v="7"/>
    <n v="4.7999999999999996E-3"/>
    <m/>
    <x v="0"/>
    <m/>
    <x v="1"/>
    <s v="M"/>
    <s v=""/>
    <m/>
    <m/>
    <m/>
    <m/>
    <m/>
    <n v="0"/>
    <n v="3"/>
    <n v="-1"/>
    <n v="0"/>
    <n v="0"/>
    <n v="0"/>
    <n v="0"/>
    <n v="0"/>
    <n v="3"/>
    <n v="-1"/>
    <n v="0"/>
    <n v="0"/>
    <n v="0"/>
    <n v="0"/>
    <n v="0"/>
    <n v="0"/>
    <n v="0"/>
    <n v="0"/>
    <n v="0"/>
    <n v="0"/>
    <n v="0"/>
    <n v="0"/>
    <n v="0"/>
    <n v="0"/>
    <n v="0"/>
    <n v="0"/>
    <n v="0"/>
    <n v="0"/>
    <x v="1"/>
    <x v="0"/>
    <x v="2"/>
    <n v="15"/>
    <m/>
    <n v="0.5"/>
    <n v="0.5"/>
    <n v="0.5"/>
    <n v="0.5"/>
    <m/>
    <m/>
    <m/>
    <m/>
    <m/>
    <m/>
    <m/>
    <m/>
    <m/>
    <m/>
    <m/>
    <m/>
    <m/>
    <m/>
    <m/>
    <n v="2"/>
    <n v="2"/>
  </r>
  <r>
    <n v="7965"/>
    <x v="2"/>
    <s v="2023/1339"/>
    <s v="96 Granville Road"/>
    <s v=""/>
    <n v="524661"/>
    <n v="173871"/>
    <x v="7"/>
    <m/>
    <m/>
    <n v="1"/>
    <x v="10"/>
    <x v="0"/>
    <n v="7"/>
    <n v="6"/>
    <x v="1"/>
    <s v="Demolition of existing building and erection of a  2-storey building with basement and roof levels to provide 3 x 3-bed, 3 x 2-bed and 1 x 1-bed flats) all with access to l rear garden/terraces and refuse and cycle storage."/>
    <s v="PF"/>
    <d v="2023-04-05T00:00:00"/>
    <d v="2023-12-14T00:00:00"/>
    <x v="1"/>
    <s v="Nil"/>
    <m/>
    <s v="Gdn"/>
    <s v="NB"/>
    <x v="2"/>
    <x v="3"/>
    <n v="1.95E-2"/>
    <m/>
    <x v="0"/>
    <m/>
    <x v="1"/>
    <s v="M"/>
    <s v=""/>
    <m/>
    <m/>
    <m/>
    <m/>
    <m/>
    <n v="0"/>
    <n v="1"/>
    <n v="4"/>
    <n v="1"/>
    <n v="0"/>
    <n v="0"/>
    <n v="0"/>
    <n v="0"/>
    <n v="1"/>
    <n v="4"/>
    <n v="2"/>
    <n v="0"/>
    <n v="0"/>
    <n v="0"/>
    <n v="0"/>
    <n v="0"/>
    <n v="0"/>
    <n v="-1"/>
    <n v="0"/>
    <n v="0"/>
    <n v="0"/>
    <n v="0"/>
    <n v="0"/>
    <n v="0"/>
    <n v="0"/>
    <n v="0"/>
    <n v="0"/>
    <n v="0"/>
    <x v="1"/>
    <x v="0"/>
    <x v="2"/>
    <n v="10"/>
    <m/>
    <m/>
    <m/>
    <m/>
    <n v="2"/>
    <n v="2"/>
    <n v="2"/>
    <m/>
    <m/>
    <m/>
    <m/>
    <m/>
    <m/>
    <m/>
    <m/>
    <m/>
    <m/>
    <m/>
    <m/>
    <m/>
    <n v="4"/>
    <n v="6"/>
  </r>
  <r>
    <n v="7966"/>
    <x v="2"/>
    <s v="2023/1379"/>
    <s v="78 Buckhold Road"/>
    <s v=""/>
    <n v="525328"/>
    <n v="174358"/>
    <x v="7"/>
    <m/>
    <m/>
    <n v="0"/>
    <x v="3"/>
    <x v="5"/>
    <n v="1"/>
    <n v="1"/>
    <x v="1"/>
    <s v="Erection of two storey 3-bedroom house with associated boundary treatment, parking and cycle and refuse storage; installation of crossover and hardstanding for parking  to no.78."/>
    <s v="PF"/>
    <d v="2023-04-11T00:00:00"/>
    <d v="2023-06-30T00:00:00"/>
    <x v="1"/>
    <s v="Nil"/>
    <m/>
    <s v="Gdn"/>
    <s v="NB"/>
    <x v="2"/>
    <x v="3"/>
    <n v="7.1999999999999998E-3"/>
    <m/>
    <x v="0"/>
    <m/>
    <x v="1"/>
    <s v="M"/>
    <s v=""/>
    <m/>
    <m/>
    <m/>
    <m/>
    <m/>
    <n v="0"/>
    <n v="0"/>
    <n v="0"/>
    <n v="1"/>
    <n v="0"/>
    <n v="0"/>
    <n v="0"/>
    <n v="0"/>
    <n v="0"/>
    <n v="0"/>
    <n v="0"/>
    <n v="0"/>
    <n v="0"/>
    <n v="0"/>
    <n v="0"/>
    <n v="0"/>
    <n v="0"/>
    <n v="1"/>
    <n v="0"/>
    <n v="0"/>
    <n v="0"/>
    <n v="0"/>
    <n v="0"/>
    <n v="0"/>
    <n v="0"/>
    <n v="0"/>
    <n v="0"/>
    <n v="0"/>
    <x v="1"/>
    <x v="0"/>
    <x v="7"/>
    <n v="7"/>
    <m/>
    <m/>
    <n v="0.25"/>
    <n v="0.25"/>
    <n v="0.25"/>
    <n v="0.25"/>
    <m/>
    <m/>
    <m/>
    <m/>
    <m/>
    <m/>
    <m/>
    <m/>
    <m/>
    <m/>
    <m/>
    <m/>
    <m/>
    <m/>
    <n v="1"/>
    <n v="1"/>
  </r>
  <r>
    <n v="419"/>
    <x v="2"/>
    <s v="2023/1508"/>
    <s v="5 Beechcroft Road"/>
    <s v=""/>
    <n v="527797"/>
    <n v="172208"/>
    <x v="19"/>
    <m/>
    <m/>
    <n v="0"/>
    <x v="10"/>
    <x v="14"/>
    <n v="7"/>
    <n v="7"/>
    <x v="1"/>
    <s v="Demolition of existing building and erection of a part three-storey part four-storey building to provide 3 x 1-bedroom, 4 x 2-bedroom and 1 x 3-bedroom flats (Class C3) with balconies and the use of part ground floor as a community use (Class F2)."/>
    <s v="PF"/>
    <d v="2023-04-20T00:00:00"/>
    <d v="2023-12-15T00:00:00"/>
    <x v="1"/>
    <s v="Nil"/>
    <m/>
    <s v="BF"/>
    <s v="NB"/>
    <x v="2"/>
    <x v="3"/>
    <n v="2.1999999999999999E-2"/>
    <m/>
    <x v="0"/>
    <m/>
    <x v="1"/>
    <s v="M"/>
    <s v=""/>
    <m/>
    <m/>
    <m/>
    <m/>
    <m/>
    <n v="0"/>
    <n v="4"/>
    <n v="2"/>
    <n v="1"/>
    <n v="0"/>
    <n v="0"/>
    <n v="0"/>
    <n v="0"/>
    <n v="4"/>
    <n v="2"/>
    <n v="1"/>
    <n v="0"/>
    <n v="0"/>
    <n v="0"/>
    <n v="0"/>
    <n v="0"/>
    <n v="0"/>
    <n v="0"/>
    <n v="0"/>
    <n v="0"/>
    <n v="0"/>
    <n v="0"/>
    <n v="0"/>
    <n v="0"/>
    <n v="0"/>
    <n v="0"/>
    <n v="0"/>
    <n v="0"/>
    <x v="1"/>
    <x v="0"/>
    <x v="2"/>
    <n v="10"/>
    <m/>
    <m/>
    <m/>
    <m/>
    <n v="2.3333333333333335"/>
    <n v="2.3333333333333335"/>
    <n v="2.3333333333333335"/>
    <m/>
    <m/>
    <m/>
    <m/>
    <m/>
    <m/>
    <m/>
    <m/>
    <m/>
    <m/>
    <m/>
    <m/>
    <m/>
    <n v="4.666666666666667"/>
    <n v="7"/>
  </r>
  <r>
    <n v="7463"/>
    <x v="2"/>
    <s v="2020/5015"/>
    <s v="7a Putney Bridge Road"/>
    <s v="Front Building"/>
    <n v="525270"/>
    <n v="174719"/>
    <x v="7"/>
    <d v="2022-08-19T00:00:00"/>
    <m/>
    <n v="0"/>
    <x v="24"/>
    <x v="28"/>
    <n v="9"/>
    <n v="9"/>
    <x v="1"/>
    <s v="Demolition of existing building and erection of a block of flats to provide 7 x 1-bedroom, and 1 x 2-bedroom flats with communal amenity area; erection of two storey (plus roof) 3-bedroom mews house at rear; associated cycle and refuse storage . (Amendment to pp granted 15/09/20 ref. 2020/2171 to alter the site layout in connection with the removal of the parking space for the mews house)."/>
    <s v="PF"/>
    <d v="2020-12-22T00:00:00"/>
    <d v="2021-04-22T00:00:00"/>
    <x v="0"/>
    <s v="Nil"/>
    <m/>
    <s v="BF"/>
    <s v="NB"/>
    <x v="2"/>
    <x v="3"/>
    <n v="2.5000000000000001E-2"/>
    <m/>
    <x v="0"/>
    <m/>
    <x v="1"/>
    <s v="M"/>
    <s v=""/>
    <m/>
    <m/>
    <m/>
    <m/>
    <m/>
    <n v="2"/>
    <n v="2"/>
    <n v="1"/>
    <n v="0"/>
    <n v="0"/>
    <n v="0"/>
    <n v="0"/>
    <n v="2"/>
    <n v="2"/>
    <n v="1"/>
    <n v="0"/>
    <n v="0"/>
    <n v="0"/>
    <n v="0"/>
    <n v="0"/>
    <n v="0"/>
    <n v="0"/>
    <n v="0"/>
    <n v="0"/>
    <n v="0"/>
    <n v="0"/>
    <n v="0"/>
    <n v="0"/>
    <n v="0"/>
    <n v="0"/>
    <n v="0"/>
    <n v="0"/>
    <n v="0"/>
    <x v="1"/>
    <x v="0"/>
    <x v="7"/>
    <n v="8"/>
    <m/>
    <m/>
    <n v="5"/>
    <m/>
    <m/>
    <m/>
    <m/>
    <m/>
    <m/>
    <m/>
    <m/>
    <m/>
    <m/>
    <m/>
    <m/>
    <m/>
    <m/>
    <m/>
    <m/>
    <m/>
    <n v="5"/>
    <n v="5"/>
  </r>
  <r>
    <n v="7463"/>
    <x v="2"/>
    <s v="2020/5015"/>
    <s v="7a Putney Bridge Road"/>
    <s v="Rear Building"/>
    <n v="525270"/>
    <n v="174719"/>
    <x v="7"/>
    <d v="2022-08-19T00:00:00"/>
    <m/>
    <n v="0"/>
    <x v="11"/>
    <x v="36"/>
    <n v="9"/>
    <n v="9"/>
    <x v="1"/>
    <s v="Demolition of existing building and erection of a block of flats to provide 7 x 1-bedroom, and 1 x 2-bedroom flats with communal amenity area; erection of two storey (plus roof) 3-bedroom mews house at rear; associated cycle and refuse storage . (Amendment to pp granted 15/09/20 ref. 2020/2171 to alter the site layout in connection with the removal of the parking space for the mews house)."/>
    <s v="PF"/>
    <d v="2020-12-22T00:00:00"/>
    <d v="2021-04-22T00:00:00"/>
    <x v="0"/>
    <s v="Nil"/>
    <m/>
    <s v="BF"/>
    <s v="NB"/>
    <x v="2"/>
    <x v="3"/>
    <n v="2.1000000000000001E-2"/>
    <m/>
    <x v="0"/>
    <m/>
    <x v="1"/>
    <s v="M"/>
    <s v=""/>
    <m/>
    <m/>
    <m/>
    <m/>
    <m/>
    <n v="0"/>
    <n v="0"/>
    <n v="3"/>
    <n v="0"/>
    <n v="0"/>
    <n v="0"/>
    <n v="0"/>
    <n v="0"/>
    <n v="0"/>
    <n v="3"/>
    <n v="0"/>
    <n v="0"/>
    <n v="0"/>
    <n v="0"/>
    <n v="0"/>
    <n v="0"/>
    <n v="0"/>
    <n v="0"/>
    <n v="0"/>
    <n v="0"/>
    <n v="0"/>
    <n v="0"/>
    <n v="0"/>
    <n v="0"/>
    <n v="0"/>
    <n v="0"/>
    <n v="0"/>
    <n v="0"/>
    <x v="1"/>
    <x v="0"/>
    <x v="7"/>
    <n v="8"/>
    <m/>
    <m/>
    <n v="3"/>
    <m/>
    <m/>
    <m/>
    <m/>
    <m/>
    <m/>
    <m/>
    <m/>
    <m/>
    <m/>
    <m/>
    <m/>
    <m/>
    <m/>
    <m/>
    <m/>
    <m/>
    <n v="3"/>
    <n v="3"/>
  </r>
  <r>
    <n v="7994"/>
    <x v="2"/>
    <s v="2023/1580"/>
    <s v="79 St Anns Crescent"/>
    <s v=""/>
    <n v="526228"/>
    <n v="174320"/>
    <x v="14"/>
    <m/>
    <m/>
    <n v="1"/>
    <x v="5"/>
    <x v="5"/>
    <n v="2"/>
    <n v="1"/>
    <x v="1"/>
    <s v="Alterations including erection of rear mansard roof extension to main rear roof and above part of two-storey back addition; erection of replacement single-storey rear/side extension in connection with the change of use of ground floor cafe (Class E) to provide 2 x 1-bed flats (Class C3) and use of the upper floors as 1 x 3-bed flat with terrace at rear of first floor with 1.7m high privacy screen; erection of new and replacement front, side and rear boundary treatment, refuse and cycle storage."/>
    <s v="PF"/>
    <d v="2023-06-19T00:00:00"/>
    <d v="2023-08-29T00:00:00"/>
    <x v="1"/>
    <s v="Nil"/>
    <m/>
    <s v="BF"/>
    <s v="MIX"/>
    <x v="2"/>
    <x v="8"/>
    <n v="0.01"/>
    <m/>
    <x v="0"/>
    <m/>
    <x v="1"/>
    <s v="MR"/>
    <s v=""/>
    <m/>
    <m/>
    <m/>
    <m/>
    <m/>
    <n v="0"/>
    <n v="0"/>
    <n v="0"/>
    <n v="1"/>
    <n v="0"/>
    <n v="0"/>
    <n v="0"/>
    <n v="0"/>
    <n v="0"/>
    <n v="0"/>
    <n v="1"/>
    <n v="0"/>
    <n v="0"/>
    <n v="0"/>
    <n v="0"/>
    <n v="0"/>
    <n v="0"/>
    <n v="0"/>
    <n v="0"/>
    <n v="0"/>
    <n v="0"/>
    <n v="0"/>
    <n v="0"/>
    <n v="0"/>
    <n v="0"/>
    <n v="0"/>
    <n v="0"/>
    <n v="0"/>
    <x v="1"/>
    <x v="0"/>
    <x v="2"/>
    <n v="15"/>
    <m/>
    <n v="0.25"/>
    <n v="0.25"/>
    <n v="0.25"/>
    <n v="0.25"/>
    <m/>
    <m/>
    <m/>
    <m/>
    <m/>
    <m/>
    <m/>
    <m/>
    <m/>
    <m/>
    <m/>
    <m/>
    <m/>
    <m/>
    <m/>
    <n v="1"/>
    <n v="1"/>
  </r>
  <r>
    <n v="7985"/>
    <x v="2"/>
    <s v="2023/1599"/>
    <s v="70 Himley Road"/>
    <s v=""/>
    <n v="527526"/>
    <n v="171007"/>
    <x v="0"/>
    <m/>
    <m/>
    <n v="1"/>
    <x v="5"/>
    <x v="5"/>
    <n v="2"/>
    <n v="1"/>
    <x v="1"/>
    <s v="Alterations including erection of mansard roof extension to main rear roof (with French doors) and extension above part of two-storey back addition; formation of roof terrace above two-storey back addition with 1.7m high screen surround. Alterations and extensions in connection with creation of 1 x 1-bedroom flat."/>
    <s v="PF"/>
    <d v="2023-04-26T00:00:00"/>
    <d v="2023-08-16T00:00:00"/>
    <x v="1"/>
    <s v="Nil"/>
    <m/>
    <s v="BF"/>
    <s v="MIX"/>
    <x v="2"/>
    <x v="7"/>
    <n v="0.01"/>
    <m/>
    <x v="0"/>
    <m/>
    <x v="1"/>
    <s v="M"/>
    <s v=""/>
    <m/>
    <m/>
    <m/>
    <m/>
    <m/>
    <n v="0"/>
    <n v="0"/>
    <n v="1"/>
    <n v="0"/>
    <n v="0"/>
    <n v="0"/>
    <n v="0"/>
    <n v="0"/>
    <n v="0"/>
    <n v="1"/>
    <n v="0"/>
    <n v="0"/>
    <n v="0"/>
    <n v="0"/>
    <n v="0"/>
    <n v="0"/>
    <n v="0"/>
    <n v="0"/>
    <n v="0"/>
    <n v="0"/>
    <n v="0"/>
    <n v="0"/>
    <n v="0"/>
    <n v="0"/>
    <n v="0"/>
    <n v="0"/>
    <n v="0"/>
    <n v="0"/>
    <x v="1"/>
    <x v="0"/>
    <x v="2"/>
    <n v="15"/>
    <m/>
    <n v="0.25"/>
    <n v="0.25"/>
    <n v="0.25"/>
    <n v="0.25"/>
    <m/>
    <m/>
    <m/>
    <m/>
    <m/>
    <m/>
    <m/>
    <m/>
    <m/>
    <m/>
    <m/>
    <m/>
    <m/>
    <m/>
    <m/>
    <n v="1"/>
    <n v="1"/>
  </r>
  <r>
    <n v="7982"/>
    <x v="2"/>
    <s v="2023/1675"/>
    <s v="125-127 Balham High Road"/>
    <s v=""/>
    <n v="528565"/>
    <n v="173378"/>
    <x v="6"/>
    <m/>
    <m/>
    <n v="0"/>
    <x v="11"/>
    <x v="36"/>
    <n v="3"/>
    <n v="3"/>
    <x v="1"/>
    <s v="Change of use of first, second and third floors from Class E (bank) to residential use (Class C3) and provision of 2 x 3-bedroom and 1 x 2-bedroom flats; replacement of front door."/>
    <s v="PF"/>
    <d v="2023-04-28T00:00:00"/>
    <d v="2023-06-23T00:00:00"/>
    <x v="1"/>
    <s v="Nil"/>
    <m/>
    <s v="BF"/>
    <s v="CON"/>
    <x v="2"/>
    <x v="6"/>
    <n v="8.633333E-3"/>
    <m/>
    <x v="0"/>
    <m/>
    <x v="1"/>
    <s v="M"/>
    <s v=""/>
    <m/>
    <m/>
    <m/>
    <m/>
    <m/>
    <n v="0"/>
    <n v="0"/>
    <n v="1"/>
    <n v="2"/>
    <n v="0"/>
    <n v="0"/>
    <n v="0"/>
    <n v="0"/>
    <n v="0"/>
    <n v="1"/>
    <n v="2"/>
    <n v="0"/>
    <n v="0"/>
    <n v="0"/>
    <n v="0"/>
    <n v="0"/>
    <n v="0"/>
    <n v="0"/>
    <n v="0"/>
    <n v="0"/>
    <n v="0"/>
    <n v="0"/>
    <n v="0"/>
    <n v="0"/>
    <n v="0"/>
    <n v="0"/>
    <n v="0"/>
    <n v="0"/>
    <x v="5"/>
    <x v="0"/>
    <x v="9"/>
    <n v="15"/>
    <m/>
    <n v="0.75"/>
    <n v="0.75"/>
    <n v="0.75"/>
    <n v="0.75"/>
    <m/>
    <m/>
    <m/>
    <m/>
    <m/>
    <m/>
    <m/>
    <m/>
    <m/>
    <m/>
    <m/>
    <m/>
    <m/>
    <m/>
    <m/>
    <n v="3"/>
    <n v="3"/>
  </r>
  <r>
    <n v="5143"/>
    <x v="2"/>
    <s v="2023/1705"/>
    <s v="10 Cambalt Road"/>
    <s v=""/>
    <n v="523713"/>
    <n v="174783"/>
    <x v="16"/>
    <m/>
    <m/>
    <n v="0"/>
    <x v="3"/>
    <x v="5"/>
    <n v="1"/>
    <n v="1"/>
    <x v="1"/>
    <s v="Use of basement as a studio flat including excavation to create rear lightwell."/>
    <s v="PF"/>
    <d v="2023-05-12T00:00:00"/>
    <d v="2023-07-10T00:00:00"/>
    <x v="1"/>
    <s v="Nil"/>
    <m/>
    <s v="BF"/>
    <s v="EXT"/>
    <x v="2"/>
    <x v="7"/>
    <n v="7.0000000000000001E-3"/>
    <m/>
    <x v="0"/>
    <m/>
    <x v="1"/>
    <s v="M"/>
    <s v=""/>
    <m/>
    <m/>
    <m/>
    <m/>
    <m/>
    <n v="1"/>
    <n v="0"/>
    <n v="0"/>
    <n v="0"/>
    <n v="0"/>
    <n v="0"/>
    <n v="0"/>
    <n v="1"/>
    <n v="0"/>
    <n v="0"/>
    <n v="0"/>
    <n v="0"/>
    <n v="0"/>
    <n v="0"/>
    <n v="0"/>
    <n v="0"/>
    <n v="0"/>
    <n v="0"/>
    <n v="0"/>
    <n v="0"/>
    <n v="0"/>
    <n v="0"/>
    <n v="0"/>
    <n v="0"/>
    <n v="0"/>
    <n v="0"/>
    <n v="0"/>
    <n v="0"/>
    <x v="1"/>
    <x v="0"/>
    <x v="2"/>
    <n v="15"/>
    <m/>
    <n v="0.25"/>
    <n v="0.25"/>
    <n v="0.25"/>
    <n v="0.25"/>
    <m/>
    <m/>
    <m/>
    <m/>
    <m/>
    <m/>
    <m/>
    <m/>
    <m/>
    <m/>
    <m/>
    <m/>
    <m/>
    <m/>
    <m/>
    <n v="1"/>
    <n v="1"/>
  </r>
  <r>
    <n v="7170"/>
    <x v="2"/>
    <s v="2023/1899"/>
    <s v="97 East Hill"/>
    <s v=""/>
    <n v="526060"/>
    <n v="174693"/>
    <x v="14"/>
    <m/>
    <m/>
    <n v="3"/>
    <x v="11"/>
    <x v="6"/>
    <n v="3"/>
    <n v="0"/>
    <x v="1"/>
    <s v="Alterations including demolition of ground floor and two storey extension and erection of mansard roof extension to main rear roof (with french doors and safety railings), erection of part single/part three storey (with roof) rear and side extension, excavation to create basement with front and side lightwells in connection with creation of 1 x 1-bedroom, 1 x 2-bedroom and 1 x 3-bedroom flats with associated refuse and cycle storage."/>
    <s v="PF"/>
    <d v="2023-05-17T00:00:00"/>
    <d v="2023-11-03T00:00:00"/>
    <x v="1"/>
    <s v="Nil"/>
    <m/>
    <s v="BF"/>
    <s v="EXT"/>
    <x v="2"/>
    <x v="7"/>
    <n v="6.6940000000000003E-3"/>
    <m/>
    <x v="0"/>
    <m/>
    <x v="1"/>
    <s v="M"/>
    <s v=""/>
    <m/>
    <m/>
    <m/>
    <m/>
    <m/>
    <n v="-1"/>
    <n v="1"/>
    <n v="0"/>
    <n v="0"/>
    <n v="0"/>
    <n v="0"/>
    <n v="0"/>
    <n v="-1"/>
    <n v="1"/>
    <n v="0"/>
    <n v="0"/>
    <n v="0"/>
    <n v="0"/>
    <n v="0"/>
    <n v="0"/>
    <n v="0"/>
    <n v="0"/>
    <n v="0"/>
    <n v="0"/>
    <n v="0"/>
    <n v="0"/>
    <n v="0"/>
    <n v="0"/>
    <n v="0"/>
    <n v="0"/>
    <n v="0"/>
    <n v="0"/>
    <n v="0"/>
    <x v="1"/>
    <x v="0"/>
    <x v="2"/>
    <n v="15"/>
    <m/>
    <n v="0"/>
    <n v="0"/>
    <n v="0"/>
    <n v="0"/>
    <m/>
    <m/>
    <m/>
    <m/>
    <m/>
    <m/>
    <m/>
    <m/>
    <m/>
    <m/>
    <m/>
    <m/>
    <m/>
    <m/>
    <m/>
    <n v="0"/>
    <n v="0"/>
  </r>
  <r>
    <n v="5734"/>
    <x v="2"/>
    <s v="2023/1901"/>
    <s v="1 Effort Street"/>
    <s v=""/>
    <n v="527231"/>
    <n v="171411"/>
    <x v="0"/>
    <m/>
    <m/>
    <n v="2"/>
    <x v="24"/>
    <x v="36"/>
    <n v="5"/>
    <n v="3"/>
    <x v="1"/>
    <s v="Demolition of existing building and erection of part two/part three storey building to provide 4 x two-bedroom and 1 x three-bedroom flats with associated balconies, landscaping, cycle parking and refuse storage."/>
    <s v="PF"/>
    <d v="2023-05-17T00:00:00"/>
    <d v="2023-07-12T00:00:00"/>
    <x v="1"/>
    <s v="Nil"/>
    <m/>
    <s v="BF"/>
    <s v="NB"/>
    <x v="2"/>
    <x v="3"/>
    <n v="1.78E-2"/>
    <m/>
    <x v="0"/>
    <m/>
    <x v="1"/>
    <s v="M"/>
    <s v=""/>
    <m/>
    <m/>
    <n v="4"/>
    <m/>
    <n v="1"/>
    <n v="0"/>
    <n v="0"/>
    <n v="4"/>
    <n v="-1"/>
    <n v="0"/>
    <n v="0"/>
    <n v="0"/>
    <n v="0"/>
    <n v="0"/>
    <n v="4"/>
    <n v="-1"/>
    <n v="0"/>
    <n v="0"/>
    <n v="0"/>
    <n v="0"/>
    <n v="0"/>
    <n v="0"/>
    <n v="0"/>
    <n v="0"/>
    <n v="0"/>
    <n v="0"/>
    <n v="0"/>
    <n v="0"/>
    <n v="0"/>
    <n v="0"/>
    <n v="0"/>
    <n v="0"/>
    <n v="0"/>
    <x v="1"/>
    <x v="0"/>
    <x v="0"/>
    <n v="7"/>
    <m/>
    <m/>
    <n v="0.75"/>
    <n v="0.75"/>
    <n v="0.75"/>
    <n v="0.75"/>
    <m/>
    <m/>
    <m/>
    <m/>
    <m/>
    <m/>
    <m/>
    <m/>
    <m/>
    <m/>
    <m/>
    <m/>
    <m/>
    <m/>
    <n v="3"/>
    <n v="3"/>
  </r>
  <r>
    <n v="8000"/>
    <x v="2"/>
    <s v="2023/1949"/>
    <s v="35 Amies Street"/>
    <s v=""/>
    <n v="527637"/>
    <n v="175787"/>
    <x v="20"/>
    <m/>
    <m/>
    <n v="0"/>
    <x v="3"/>
    <x v="5"/>
    <n v="1"/>
    <n v="1"/>
    <x v="1"/>
    <s v="Change of Use from HMO (Use Class C4) to residential institution (Use Class C3b)."/>
    <s v="LDC Prop"/>
    <d v="2023-05-22T00:00:00"/>
    <d v="2023-07-14T00:00:00"/>
    <x v="1"/>
    <s v="Nil"/>
    <m/>
    <s v="BF"/>
    <s v="COU"/>
    <x v="2"/>
    <x v="11"/>
    <n v="4.4999999999999997E-3"/>
    <m/>
    <x v="0"/>
    <m/>
    <x v="1"/>
    <s v="M"/>
    <s v=""/>
    <m/>
    <m/>
    <m/>
    <m/>
    <m/>
    <n v="0"/>
    <n v="0"/>
    <n v="0"/>
    <n v="1"/>
    <n v="0"/>
    <n v="0"/>
    <n v="0"/>
    <n v="0"/>
    <n v="0"/>
    <n v="0"/>
    <n v="0"/>
    <n v="0"/>
    <n v="0"/>
    <n v="0"/>
    <n v="0"/>
    <n v="0"/>
    <n v="0"/>
    <n v="1"/>
    <n v="0"/>
    <n v="0"/>
    <n v="0"/>
    <n v="0"/>
    <n v="0"/>
    <n v="0"/>
    <n v="0"/>
    <n v="0"/>
    <n v="0"/>
    <n v="0"/>
    <x v="1"/>
    <x v="0"/>
    <x v="3"/>
    <n v="15"/>
    <m/>
    <n v="0.25"/>
    <n v="0.25"/>
    <n v="0.25"/>
    <n v="0.25"/>
    <m/>
    <m/>
    <m/>
    <m/>
    <m/>
    <m/>
    <m/>
    <m/>
    <m/>
    <m/>
    <m/>
    <m/>
    <m/>
    <m/>
    <m/>
    <n v="1"/>
    <n v="1"/>
  </r>
  <r>
    <n v="8088"/>
    <x v="2"/>
    <s v="2023/1964"/>
    <s v="The Corner Pin, 10 Summerstown"/>
    <s v=""/>
    <n v="526189"/>
    <n v="172026"/>
    <x v="17"/>
    <m/>
    <m/>
    <n v="0"/>
    <x v="11"/>
    <x v="36"/>
    <n v="3"/>
    <n v="3"/>
    <x v="1"/>
    <s v="Alterations including erection of first floor rear/side extension; erection of second floor side/main roof extension on north facing elevation and erection of two dormer windows in main roof on south facing elevation; installation of amended and new fenestration and creation of rear roof terraces. Alterations and extensions in connection with proposed use of the upper floors as 3 flats (1 x one-bedroom, 1 x two-bedroom and 1 x three-bedroom) with associated rear facing roof terraces at first and second floor levels accessed via French doors and with 1.7m high obscured glass surround; provision of associated cycle parking and refuse store facilities; retention of existing public house use on ground floor. [This re-consultation is to clarify the description of development]."/>
    <s v="PF"/>
    <d v="2023-07-13T00:00:00"/>
    <d v="2024-01-15T00:00:00"/>
    <x v="1"/>
    <s v="Nil"/>
    <m/>
    <s v="BF"/>
    <s v="COU"/>
    <x v="2"/>
    <x v="8"/>
    <n v="1.7000000000000001E-2"/>
    <m/>
    <x v="0"/>
    <m/>
    <x v="1"/>
    <s v="M"/>
    <s v=""/>
    <m/>
    <m/>
    <m/>
    <m/>
    <m/>
    <n v="0"/>
    <n v="1"/>
    <n v="1"/>
    <n v="1"/>
    <n v="0"/>
    <n v="0"/>
    <n v="0"/>
    <n v="0"/>
    <n v="1"/>
    <n v="1"/>
    <n v="1"/>
    <n v="0"/>
    <n v="0"/>
    <n v="0"/>
    <n v="0"/>
    <n v="0"/>
    <n v="0"/>
    <n v="0"/>
    <n v="0"/>
    <n v="0"/>
    <n v="0"/>
    <n v="0"/>
    <n v="0"/>
    <n v="0"/>
    <n v="0"/>
    <n v="0"/>
    <n v="0"/>
    <n v="0"/>
    <x v="1"/>
    <x v="0"/>
    <x v="5"/>
    <n v="15"/>
    <m/>
    <n v="0.75"/>
    <n v="0.75"/>
    <n v="0.75"/>
    <n v="0.75"/>
    <m/>
    <m/>
    <m/>
    <m/>
    <m/>
    <m/>
    <m/>
    <m/>
    <m/>
    <m/>
    <m/>
    <m/>
    <m/>
    <m/>
    <m/>
    <n v="3"/>
    <n v="3"/>
  </r>
  <r>
    <n v="6142"/>
    <x v="2"/>
    <s v="2023/2195"/>
    <s v="74 Lightermans Walk"/>
    <s v=""/>
    <n v="525109"/>
    <n v="175279"/>
    <x v="3"/>
    <m/>
    <m/>
    <n v="0"/>
    <x v="3"/>
    <x v="5"/>
    <n v="1"/>
    <n v="1"/>
    <x v="1"/>
    <s v="Alterations in connection with change of use from office (Class E) to residential (Class C3) to provide 1 x 2-bedroom flat."/>
    <s v="PF"/>
    <d v="2023-06-08T00:00:00"/>
    <d v="2023-11-16T00:00:00"/>
    <x v="1"/>
    <s v="Nil"/>
    <m/>
    <s v="BF"/>
    <s v="COU"/>
    <x v="2"/>
    <x v="6"/>
    <n v="7.9000000000000008E-3"/>
    <m/>
    <x v="0"/>
    <m/>
    <x v="1"/>
    <s v="M"/>
    <s v=""/>
    <m/>
    <m/>
    <m/>
    <m/>
    <m/>
    <n v="0"/>
    <n v="0"/>
    <n v="1"/>
    <n v="0"/>
    <n v="0"/>
    <n v="0"/>
    <n v="0"/>
    <n v="0"/>
    <n v="0"/>
    <n v="1"/>
    <n v="0"/>
    <n v="0"/>
    <n v="0"/>
    <n v="0"/>
    <n v="0"/>
    <n v="0"/>
    <n v="0"/>
    <n v="0"/>
    <n v="0"/>
    <n v="0"/>
    <n v="0"/>
    <n v="0"/>
    <n v="0"/>
    <n v="0"/>
    <n v="0"/>
    <n v="0"/>
    <n v="0"/>
    <n v="0"/>
    <x v="1"/>
    <x v="0"/>
    <x v="7"/>
    <n v="15"/>
    <m/>
    <n v="0.25"/>
    <n v="0.25"/>
    <n v="0.25"/>
    <n v="0.25"/>
    <m/>
    <m/>
    <m/>
    <m/>
    <m/>
    <m/>
    <m/>
    <m/>
    <m/>
    <m/>
    <m/>
    <m/>
    <m/>
    <m/>
    <m/>
    <n v="1"/>
    <n v="1"/>
  </r>
  <r>
    <n v="7996"/>
    <x v="2"/>
    <s v="2023/2199"/>
    <s v="19 Ruvigny Gardens"/>
    <s v=""/>
    <n v="523833"/>
    <n v="175787"/>
    <x v="3"/>
    <m/>
    <m/>
    <n v="2"/>
    <x v="3"/>
    <x v="3"/>
    <n v="1"/>
    <n v="-1"/>
    <x v="1"/>
    <s v="Alterations in connection with deconversion of two flats into single dwelling house."/>
    <s v="PF"/>
    <d v="2023-06-08T00:00:00"/>
    <d v="2023-08-07T00:00:00"/>
    <x v="1"/>
    <s v="Nil"/>
    <m/>
    <s v="BF"/>
    <s v="CON"/>
    <x v="2"/>
    <x v="11"/>
    <n v="4.3E-3"/>
    <m/>
    <x v="0"/>
    <m/>
    <x v="1"/>
    <s v="M"/>
    <s v=""/>
    <m/>
    <m/>
    <m/>
    <m/>
    <m/>
    <n v="0"/>
    <n v="-1"/>
    <n v="0"/>
    <n v="-1"/>
    <n v="1"/>
    <n v="0"/>
    <n v="0"/>
    <n v="0"/>
    <n v="-1"/>
    <n v="0"/>
    <n v="-1"/>
    <n v="0"/>
    <n v="0"/>
    <n v="0"/>
    <n v="0"/>
    <n v="0"/>
    <n v="0"/>
    <n v="0"/>
    <n v="1"/>
    <n v="0"/>
    <n v="0"/>
    <n v="0"/>
    <n v="0"/>
    <n v="0"/>
    <n v="0"/>
    <n v="0"/>
    <n v="0"/>
    <n v="0"/>
    <x v="1"/>
    <x v="0"/>
    <x v="4"/>
    <n v="15"/>
    <m/>
    <n v="-0.25"/>
    <n v="-0.25"/>
    <n v="-0.25"/>
    <n v="-0.25"/>
    <m/>
    <m/>
    <m/>
    <m/>
    <m/>
    <m/>
    <m/>
    <m/>
    <m/>
    <m/>
    <m/>
    <m/>
    <m/>
    <m/>
    <m/>
    <n v="-1"/>
    <n v="-1"/>
  </r>
  <r>
    <n v="7850"/>
    <x v="2"/>
    <s v="2023/2211"/>
    <s v="199-201 Wandsworth High Street"/>
    <s v=""/>
    <n v="525311"/>
    <n v="174644"/>
    <x v="14"/>
    <m/>
    <m/>
    <n v="0"/>
    <x v="5"/>
    <x v="7"/>
    <n v="2"/>
    <n v="2"/>
    <x v="1"/>
    <s v="Amendments to planning permission ref 2022/2092 (Alterations erection of a mansard roof above the existing single-storey rear addition including raising the ridge of the roof by 350mm; erection of a single storey rear extension; works including change of use of rear ground floor to provide 1 x 1-bed flat and 1 x 3-bed house with associated cycle and refuse storage; retention of commercial unit (Class E) to the front of the site) to provide a 2-bedroom flat."/>
    <s v="S96A"/>
    <d v="2023-06-26T00:00:00"/>
    <d v="2023-08-21T00:00:00"/>
    <x v="1"/>
    <s v="Nil"/>
    <m/>
    <s v="BF"/>
    <s v="MIX"/>
    <x v="2"/>
    <x v="6"/>
    <n v="1.189E-2"/>
    <m/>
    <x v="0"/>
    <m/>
    <x v="1"/>
    <s v="M"/>
    <s v="3.1.1"/>
    <m/>
    <m/>
    <m/>
    <m/>
    <m/>
    <n v="0"/>
    <n v="0"/>
    <n v="1"/>
    <n v="1"/>
    <n v="0"/>
    <n v="0"/>
    <n v="0"/>
    <n v="0"/>
    <n v="0"/>
    <n v="1"/>
    <n v="0"/>
    <n v="0"/>
    <n v="0"/>
    <n v="0"/>
    <n v="0"/>
    <n v="0"/>
    <n v="0"/>
    <n v="1"/>
    <n v="0"/>
    <n v="0"/>
    <n v="0"/>
    <n v="0"/>
    <n v="0"/>
    <n v="0"/>
    <n v="0"/>
    <n v="0"/>
    <n v="0"/>
    <n v="0"/>
    <x v="4"/>
    <x v="0"/>
    <x v="7"/>
    <n v="15"/>
    <m/>
    <n v="0.5"/>
    <n v="0.5"/>
    <n v="0.5"/>
    <n v="0.5"/>
    <m/>
    <m/>
    <m/>
    <m/>
    <m/>
    <m/>
    <m/>
    <m/>
    <m/>
    <m/>
    <m/>
    <m/>
    <m/>
    <m/>
    <m/>
    <n v="2"/>
    <n v="2"/>
  </r>
  <r>
    <n v="2411"/>
    <x v="2"/>
    <s v="2023/2269"/>
    <s v="South Lambeth Goods Depot, Cringle St./Battersea Park Rd., Kirtling Street (Battersea Power Station)"/>
    <s v=""/>
    <n v="528934"/>
    <n v="177496"/>
    <x v="1"/>
    <m/>
    <m/>
    <n v="2"/>
    <x v="3"/>
    <x v="3"/>
    <n v="1"/>
    <n v="-1"/>
    <x v="1"/>
    <s v="Amalgamation of Unit BH11.23 and Unit BH11.25 located on the 11th floor of the Power Station Boiler House (Phase 2 of the Battersea Power Station masterplan) to create one residential unit."/>
    <s v="PF"/>
    <d v="2023-06-23T00:00:00"/>
    <d v="2023-08-17T00:00:00"/>
    <x v="1"/>
    <s v="Nil"/>
    <m/>
    <s v="BF"/>
    <s v="CON"/>
    <x v="2"/>
    <x v="1"/>
    <n v="0"/>
    <m/>
    <x v="0"/>
    <m/>
    <x v="1"/>
    <s v="M"/>
    <s v="2.1.1"/>
    <m/>
    <m/>
    <m/>
    <m/>
    <m/>
    <n v="0"/>
    <n v="0"/>
    <n v="-2"/>
    <n v="1"/>
    <n v="0"/>
    <n v="0"/>
    <n v="0"/>
    <n v="0"/>
    <n v="0"/>
    <n v="-2"/>
    <n v="1"/>
    <n v="0"/>
    <n v="0"/>
    <n v="0"/>
    <n v="0"/>
    <n v="0"/>
    <n v="0"/>
    <n v="0"/>
    <n v="0"/>
    <n v="0"/>
    <n v="0"/>
    <n v="0"/>
    <n v="0"/>
    <n v="0"/>
    <n v="0"/>
    <n v="0"/>
    <n v="0"/>
    <n v="0"/>
    <x v="1"/>
    <x v="1"/>
    <x v="1"/>
    <n v="15"/>
    <m/>
    <n v="-0.25"/>
    <n v="-0.25"/>
    <n v="-0.25"/>
    <n v="-0.25"/>
    <m/>
    <m/>
    <m/>
    <m/>
    <m/>
    <m/>
    <m/>
    <m/>
    <m/>
    <m/>
    <m/>
    <m/>
    <m/>
    <m/>
    <m/>
    <n v="-1"/>
    <n v="-1"/>
  </r>
  <r>
    <n v="5"/>
    <x v="2"/>
    <s v="2023/2315"/>
    <s v="27 Nightingale Lane"/>
    <s v=""/>
    <n v="528521"/>
    <n v="174234"/>
    <x v="6"/>
    <m/>
    <m/>
    <n v="0"/>
    <x v="5"/>
    <x v="7"/>
    <n v="2"/>
    <n v="2"/>
    <x v="1"/>
    <s v="Demolition of existing garages and erection of part single/part three-storey building to provide 2 x studio flats and communal living area to be used for specialist/supported housing (sui generis). Alterations including erection of replacement boundary treatment and cycle/waste stores to front garden and works to trees."/>
    <s v="PF"/>
    <d v="2023-06-16T00:00:00"/>
    <d v="2023-11-07T00:00:00"/>
    <x v="1"/>
    <s v="Nil"/>
    <m/>
    <s v="BF"/>
    <s v="NB"/>
    <x v="2"/>
    <x v="3"/>
    <n v="4.4999999999999997E-3"/>
    <m/>
    <x v="0"/>
    <m/>
    <x v="0"/>
    <s v="IU"/>
    <s v=""/>
    <m/>
    <m/>
    <m/>
    <m/>
    <m/>
    <n v="2"/>
    <n v="0"/>
    <n v="0"/>
    <n v="0"/>
    <n v="0"/>
    <n v="0"/>
    <n v="0"/>
    <n v="2"/>
    <n v="0"/>
    <n v="0"/>
    <n v="0"/>
    <n v="0"/>
    <n v="0"/>
    <n v="0"/>
    <n v="0"/>
    <n v="0"/>
    <n v="0"/>
    <n v="0"/>
    <n v="0"/>
    <n v="0"/>
    <n v="0"/>
    <n v="0"/>
    <n v="0"/>
    <n v="0"/>
    <n v="0"/>
    <n v="0"/>
    <n v="0"/>
    <n v="0"/>
    <x v="1"/>
    <x v="0"/>
    <x v="2"/>
    <n v="7"/>
    <m/>
    <m/>
    <n v="0.5"/>
    <n v="0.5"/>
    <n v="0.5"/>
    <n v="0.5"/>
    <m/>
    <m/>
    <m/>
    <m/>
    <m/>
    <m/>
    <m/>
    <m/>
    <m/>
    <m/>
    <m/>
    <m/>
    <m/>
    <m/>
    <n v="2"/>
    <n v="2"/>
  </r>
  <r>
    <n v="4135"/>
    <x v="2"/>
    <s v="2023/2430"/>
    <s v="177 Garratt Lane"/>
    <s v=""/>
    <n v="525885"/>
    <n v="173983"/>
    <x v="13"/>
    <m/>
    <m/>
    <n v="1"/>
    <x v="11"/>
    <x v="7"/>
    <n v="3"/>
    <n v="2"/>
    <x v="1"/>
    <s v="Alterations including erection of mansard roof extension to main rear roof, including raising the ridge by 30cm, installation of velux roof windows to the front roof, erection of roof extension over two-storey back addition with formation of a roof terrace with glazed 1.7m screen surround, alterations of window openings to rear and side elevation and installation of french doors and safety railings; and conversion of existing the 1st and 2nd floor maisonette flat at 177 to 3 x 1-bedroom flats with associated cycle and refuse storage"/>
    <s v="PF"/>
    <d v="2023-07-04T00:00:00"/>
    <d v="2023-08-29T00:00:00"/>
    <x v="1"/>
    <s v="Nil"/>
    <m/>
    <s v="BF"/>
    <s v="CON"/>
    <x v="2"/>
    <x v="5"/>
    <n v="5.0000000000000001E-3"/>
    <m/>
    <x v="0"/>
    <m/>
    <x v="1"/>
    <s v="M"/>
    <s v=""/>
    <m/>
    <m/>
    <m/>
    <m/>
    <m/>
    <n v="0"/>
    <n v="3"/>
    <n v="0"/>
    <n v="-1"/>
    <n v="0"/>
    <n v="0"/>
    <n v="0"/>
    <n v="0"/>
    <n v="3"/>
    <n v="0"/>
    <n v="-1"/>
    <n v="0"/>
    <n v="0"/>
    <n v="0"/>
    <n v="0"/>
    <n v="0"/>
    <n v="0"/>
    <n v="0"/>
    <n v="0"/>
    <n v="0"/>
    <n v="0"/>
    <n v="0"/>
    <n v="0"/>
    <n v="0"/>
    <n v="0"/>
    <n v="0"/>
    <n v="0"/>
    <n v="0"/>
    <x v="1"/>
    <x v="0"/>
    <x v="5"/>
    <n v="15"/>
    <m/>
    <n v="0.5"/>
    <n v="0.5"/>
    <n v="0.5"/>
    <n v="0.5"/>
    <m/>
    <m/>
    <m/>
    <m/>
    <m/>
    <m/>
    <m/>
    <m/>
    <m/>
    <m/>
    <m/>
    <m/>
    <m/>
    <m/>
    <m/>
    <n v="2"/>
    <n v="2"/>
  </r>
  <r>
    <n v="8015"/>
    <x v="2"/>
    <s v="2023/2447"/>
    <s v="5 Albert Bridge Road"/>
    <s v=""/>
    <n v="527675"/>
    <n v="176499"/>
    <x v="2"/>
    <m/>
    <m/>
    <n v="1"/>
    <x v="3"/>
    <x v="6"/>
    <n v="1"/>
    <n v="0"/>
    <x v="1"/>
    <s v="Demolition of property except for front and side elevations with 'like for like' re-build of replacement rear elevation and two-storey back addition with slim-line double glazed windows to all elevations. Alterations including excavation to create a basement with the formation of a front and side lightwell and erection of a replacement roof with dormer extension to main rear/side roof. Erection of single-storey side/rear extension. Demolition of existing garage at rear and erection of replacement single-storey garage building. Alterations to boundary wall and piers."/>
    <s v="PF"/>
    <d v="2023-06-27T00:00:00"/>
    <d v="2023-11-02T00:00:00"/>
    <x v="1"/>
    <s v="Nil"/>
    <m/>
    <s v="BF"/>
    <s v="NB"/>
    <x v="2"/>
    <x v="3"/>
    <n v="2.1873E-2"/>
    <m/>
    <x v="0"/>
    <m/>
    <x v="1"/>
    <s v="M"/>
    <s v=""/>
    <m/>
    <m/>
    <m/>
    <m/>
    <m/>
    <n v="0"/>
    <n v="0"/>
    <n v="0"/>
    <n v="-1"/>
    <n v="0"/>
    <n v="1"/>
    <n v="0"/>
    <n v="0"/>
    <n v="0"/>
    <n v="0"/>
    <n v="0"/>
    <n v="0"/>
    <n v="0"/>
    <n v="0"/>
    <n v="0"/>
    <n v="0"/>
    <n v="0"/>
    <n v="-1"/>
    <n v="0"/>
    <n v="1"/>
    <n v="0"/>
    <n v="0"/>
    <n v="0"/>
    <n v="0"/>
    <n v="0"/>
    <n v="0"/>
    <n v="0"/>
    <n v="0"/>
    <x v="1"/>
    <x v="0"/>
    <x v="2"/>
    <n v="7"/>
    <m/>
    <m/>
    <n v="0"/>
    <n v="0"/>
    <n v="0"/>
    <n v="0"/>
    <m/>
    <m/>
    <m/>
    <m/>
    <m/>
    <m/>
    <m/>
    <m/>
    <m/>
    <m/>
    <m/>
    <m/>
    <m/>
    <m/>
    <n v="0"/>
    <n v="0"/>
  </r>
  <r>
    <n v="7168"/>
    <x v="2"/>
    <s v="2023/2651"/>
    <s v="The Marmalade Caterpillar Nursery School, 14a Boundaries Road"/>
    <s v=""/>
    <n v="528231"/>
    <n v="173208"/>
    <x v="10"/>
    <m/>
    <m/>
    <n v="0"/>
    <x v="11"/>
    <x v="36"/>
    <n v="3"/>
    <n v="3"/>
    <x v="1"/>
    <s v="Alterations including the part demolition of the existing property and the erection of a three storey building in connection with change of use from nursery school (Class E) to residential (Class C3) to create 1 x 1-bedroom and 2 x 2-bedroom flats with associated balconies, cycle and refuse storage and boundary treatment."/>
    <s v="PF"/>
    <d v="2023-07-13T00:00:00"/>
    <d v="2023-10-13T00:00:00"/>
    <x v="1"/>
    <s v="Nil"/>
    <m/>
    <s v="BF"/>
    <s v="MIX"/>
    <x v="2"/>
    <x v="7"/>
    <n v="1.0999999999999999E-2"/>
    <m/>
    <x v="0"/>
    <m/>
    <x v="1"/>
    <s v="M"/>
    <s v=""/>
    <m/>
    <m/>
    <m/>
    <m/>
    <m/>
    <n v="0"/>
    <n v="1"/>
    <n v="2"/>
    <n v="0"/>
    <n v="0"/>
    <n v="0"/>
    <n v="0"/>
    <n v="0"/>
    <n v="1"/>
    <n v="2"/>
    <n v="0"/>
    <n v="0"/>
    <n v="0"/>
    <n v="0"/>
    <n v="0"/>
    <n v="0"/>
    <n v="0"/>
    <n v="0"/>
    <n v="0"/>
    <n v="0"/>
    <n v="0"/>
    <n v="0"/>
    <n v="0"/>
    <n v="0"/>
    <n v="0"/>
    <n v="0"/>
    <n v="0"/>
    <n v="0"/>
    <x v="1"/>
    <x v="0"/>
    <x v="2"/>
    <n v="15"/>
    <m/>
    <n v="0.75"/>
    <n v="0.75"/>
    <n v="0.75"/>
    <n v="0.75"/>
    <m/>
    <m/>
    <m/>
    <m/>
    <m/>
    <m/>
    <m/>
    <m/>
    <m/>
    <m/>
    <m/>
    <m/>
    <m/>
    <m/>
    <m/>
    <n v="3"/>
    <n v="3"/>
  </r>
  <r>
    <n v="8018"/>
    <x v="2"/>
    <s v="2023/2687"/>
    <s v="195 Garratt Lane"/>
    <s v=""/>
    <n v="525892"/>
    <n v="173924"/>
    <x v="13"/>
    <m/>
    <m/>
    <n v="1"/>
    <x v="3"/>
    <x v="6"/>
    <n v="1"/>
    <n v="0"/>
    <x v="1"/>
    <s v="Change of use of  existing ground floor and basement commercial unit to flexible use for shop Class E(a), professional services Class E(c), Indoor sport, recreation or fitness Class E(d), health services Class E(e), offices Class E(g)(i), provision of education Class F1(a), display of art Class F1(b); use of part of the ground floor to provide 1 x 1 bedroom flat with associated cycle and refuse storage; erection of single-storey rear and side extension; installation of a new shopfront."/>
    <s v="PF"/>
    <d v="2023-08-03T00:00:00"/>
    <d v="2023-09-28T00:00:00"/>
    <x v="1"/>
    <s v="Nil"/>
    <m/>
    <s v="BF"/>
    <s v="MIX"/>
    <x v="2"/>
    <x v="4"/>
    <n v="8.0000000000000002E-3"/>
    <m/>
    <x v="0"/>
    <m/>
    <x v="1"/>
    <s v="M"/>
    <s v=""/>
    <m/>
    <m/>
    <m/>
    <m/>
    <m/>
    <n v="-1"/>
    <n v="1"/>
    <n v="0"/>
    <n v="0"/>
    <n v="0"/>
    <n v="0"/>
    <n v="0"/>
    <n v="-1"/>
    <n v="1"/>
    <n v="0"/>
    <n v="0"/>
    <n v="0"/>
    <n v="0"/>
    <n v="0"/>
    <n v="0"/>
    <n v="0"/>
    <n v="0"/>
    <n v="0"/>
    <n v="0"/>
    <n v="0"/>
    <n v="0"/>
    <n v="0"/>
    <n v="0"/>
    <n v="0"/>
    <n v="0"/>
    <n v="0"/>
    <n v="0"/>
    <n v="0"/>
    <x v="1"/>
    <x v="0"/>
    <x v="5"/>
    <n v="15"/>
    <m/>
    <n v="0"/>
    <n v="0"/>
    <n v="0"/>
    <n v="0"/>
    <m/>
    <m/>
    <m/>
    <m/>
    <m/>
    <m/>
    <m/>
    <m/>
    <m/>
    <m/>
    <m/>
    <m/>
    <m/>
    <m/>
    <m/>
    <n v="0"/>
    <n v="0"/>
  </r>
  <r>
    <n v="7463"/>
    <x v="2"/>
    <s v="2020/5015"/>
    <s v="7a Putney Bridge Road"/>
    <s v="Mews House"/>
    <n v="525270"/>
    <n v="174719"/>
    <x v="7"/>
    <d v="2022-08-19T00:00:00"/>
    <m/>
    <n v="0"/>
    <x v="3"/>
    <x v="5"/>
    <n v="9"/>
    <n v="9"/>
    <x v="1"/>
    <s v="Demolition of existing building and erection of a block of flats to provide 7 x 1-bedroom, and 1 x 2-bedroom flats with communal amenity area; erection of two storey (plus roof) 3-bedroom mews house at rear; associated cycle and refuse storage . (Amendment to pp granted 15/09/20 ref. 2020/2171 to alter the site layout in connection with the removal of the parking space for the mews house)."/>
    <s v="PF"/>
    <d v="2020-12-22T00:00:00"/>
    <d v="2021-04-22T00:00:00"/>
    <x v="0"/>
    <s v="Nil"/>
    <m/>
    <s v="BF"/>
    <s v="NB"/>
    <x v="2"/>
    <x v="3"/>
    <n v="8.9999999999999993E-3"/>
    <m/>
    <x v="0"/>
    <m/>
    <x v="1"/>
    <s v="M"/>
    <s v=""/>
    <m/>
    <m/>
    <m/>
    <m/>
    <m/>
    <n v="0"/>
    <n v="0"/>
    <n v="0"/>
    <n v="1"/>
    <n v="0"/>
    <n v="0"/>
    <n v="0"/>
    <n v="0"/>
    <n v="0"/>
    <n v="0"/>
    <n v="0"/>
    <n v="0"/>
    <n v="0"/>
    <n v="0"/>
    <n v="0"/>
    <n v="0"/>
    <n v="0"/>
    <n v="1"/>
    <n v="0"/>
    <n v="0"/>
    <n v="0"/>
    <n v="0"/>
    <n v="0"/>
    <n v="0"/>
    <n v="0"/>
    <n v="0"/>
    <n v="0"/>
    <n v="0"/>
    <x v="1"/>
    <x v="0"/>
    <x v="7"/>
    <n v="8"/>
    <m/>
    <m/>
    <n v="1"/>
    <m/>
    <m/>
    <m/>
    <m/>
    <m/>
    <m/>
    <m/>
    <m/>
    <m/>
    <m/>
    <m/>
    <m/>
    <m/>
    <m/>
    <m/>
    <m/>
    <m/>
    <n v="1"/>
    <n v="1"/>
  </r>
  <r>
    <n v="6339"/>
    <x v="2"/>
    <s v="2023/2781"/>
    <s v="Studio 5 Dovedale Studios, 465 Battersea Park Road"/>
    <s v=""/>
    <n v="527649"/>
    <n v="176406"/>
    <x v="2"/>
    <m/>
    <m/>
    <n v="0"/>
    <x v="3"/>
    <x v="5"/>
    <n v="1"/>
    <n v="1"/>
    <x v="1"/>
    <s v="Determination as to whether prior approval is required for change of use from office (Class B1a) to 1 x 2-bedroom flat (Class C3)."/>
    <s v="PAG"/>
    <d v="2023-07-21T00:00:00"/>
    <d v="2023-09-11T00:00:00"/>
    <x v="1"/>
    <s v="Nil"/>
    <m/>
    <s v="BF"/>
    <s v="COU"/>
    <x v="2"/>
    <x v="6"/>
    <n v="3.7000000000000002E-3"/>
    <m/>
    <x v="0"/>
    <m/>
    <x v="1"/>
    <s v="MR"/>
    <s v=""/>
    <m/>
    <m/>
    <m/>
    <m/>
    <m/>
    <n v="0"/>
    <n v="0"/>
    <n v="1"/>
    <n v="0"/>
    <n v="0"/>
    <n v="0"/>
    <n v="0"/>
    <n v="0"/>
    <n v="0"/>
    <n v="1"/>
    <n v="0"/>
    <n v="0"/>
    <n v="0"/>
    <n v="0"/>
    <n v="0"/>
    <n v="0"/>
    <n v="0"/>
    <n v="0"/>
    <n v="0"/>
    <n v="0"/>
    <n v="0"/>
    <n v="0"/>
    <n v="0"/>
    <n v="0"/>
    <n v="0"/>
    <n v="0"/>
    <n v="0"/>
    <n v="0"/>
    <x v="1"/>
    <x v="0"/>
    <x v="2"/>
    <n v="15"/>
    <m/>
    <n v="0.25"/>
    <n v="0.25"/>
    <n v="0.25"/>
    <n v="0.25"/>
    <m/>
    <m/>
    <m/>
    <m/>
    <m/>
    <m/>
    <m/>
    <m/>
    <m/>
    <m/>
    <m/>
    <m/>
    <m/>
    <m/>
    <m/>
    <n v="1"/>
    <n v="1"/>
  </r>
  <r>
    <n v="7949"/>
    <x v="2"/>
    <s v="2023/2832"/>
    <s v="Land adjoining, 45 Tooting Bec Road"/>
    <s v=""/>
    <n v="528217"/>
    <n v="172281"/>
    <x v="18"/>
    <m/>
    <m/>
    <n v="0"/>
    <x v="5"/>
    <x v="7"/>
    <n v="2"/>
    <n v="2"/>
    <x v="1"/>
    <s v="Demolition of existing single-storey building and erection of a two-storey building plus basement with lightwells to front and rear to provide 1 x 1-bedroom and 1 x 2-bedroom dwellings (Class C3) with associated refuse and cycle storage. Change of use from Class B1 to Class C3."/>
    <s v="PF"/>
    <d v="2023-07-25T00:00:00"/>
    <d v="2024-02-27T00:00:00"/>
    <x v="1"/>
    <s v="Nil"/>
    <m/>
    <s v="BF"/>
    <s v="NB"/>
    <x v="2"/>
    <x v="3"/>
    <n v="5.0000000000000001E-3"/>
    <m/>
    <x v="0"/>
    <m/>
    <x v="1"/>
    <s v="M"/>
    <s v=""/>
    <m/>
    <m/>
    <m/>
    <m/>
    <m/>
    <n v="0"/>
    <n v="1"/>
    <n v="1"/>
    <n v="0"/>
    <n v="0"/>
    <n v="0"/>
    <n v="0"/>
    <n v="0"/>
    <n v="1"/>
    <n v="1"/>
    <n v="0"/>
    <n v="0"/>
    <n v="0"/>
    <n v="0"/>
    <n v="0"/>
    <n v="0"/>
    <n v="0"/>
    <n v="0"/>
    <n v="0"/>
    <n v="0"/>
    <n v="0"/>
    <n v="0"/>
    <n v="0"/>
    <n v="0"/>
    <n v="0"/>
    <n v="0"/>
    <n v="0"/>
    <n v="0"/>
    <x v="1"/>
    <x v="0"/>
    <x v="2"/>
    <n v="7"/>
    <m/>
    <m/>
    <n v="0.5"/>
    <n v="0.5"/>
    <n v="0.5"/>
    <n v="0.5"/>
    <m/>
    <m/>
    <m/>
    <m/>
    <m/>
    <m/>
    <m/>
    <m/>
    <m/>
    <m/>
    <m/>
    <m/>
    <m/>
    <m/>
    <n v="2"/>
    <n v="2"/>
  </r>
  <r>
    <n v="5724"/>
    <x v="2"/>
    <s v="2023/2843"/>
    <s v="191 Garratt Lane"/>
    <s v=""/>
    <n v="525891"/>
    <n v="173935"/>
    <x v="13"/>
    <m/>
    <m/>
    <n v="2"/>
    <x v="5"/>
    <x v="6"/>
    <n v="2"/>
    <n v="0"/>
    <x v="1"/>
    <s v="Alterations including erection of a dormer roof extension to main rear roof and extension above part of two-storey back addition to provide 1 x 1-bedroom flat and _x000a_1 x 2-bedroom flat. _x000a__x000a__x000a_Construction of a rear mansard and dormer with 1 x one bedroom flat and 1 x two bedroom flat"/>
    <s v="PF"/>
    <d v="2023-08-17T00:00:00"/>
    <d v="2023-11-10T00:00:00"/>
    <x v="1"/>
    <s v="Nil"/>
    <m/>
    <s v="BF"/>
    <s v="MIX"/>
    <x v="2"/>
    <x v="7"/>
    <n v="6.8300000000000001E-3"/>
    <m/>
    <x v="0"/>
    <m/>
    <x v="1"/>
    <s v="M"/>
    <s v=""/>
    <m/>
    <m/>
    <m/>
    <m/>
    <m/>
    <n v="0"/>
    <n v="0"/>
    <n v="0"/>
    <n v="0"/>
    <n v="0"/>
    <n v="0"/>
    <n v="0"/>
    <n v="0"/>
    <n v="0"/>
    <n v="0"/>
    <n v="0"/>
    <n v="0"/>
    <n v="0"/>
    <n v="0"/>
    <n v="0"/>
    <n v="0"/>
    <n v="0"/>
    <n v="0"/>
    <n v="0"/>
    <n v="0"/>
    <n v="0"/>
    <n v="0"/>
    <n v="0"/>
    <n v="0"/>
    <n v="0"/>
    <n v="0"/>
    <n v="0"/>
    <n v="0"/>
    <x v="1"/>
    <x v="0"/>
    <x v="5"/>
    <n v="15"/>
    <m/>
    <n v="0"/>
    <n v="0"/>
    <n v="0"/>
    <n v="0"/>
    <m/>
    <m/>
    <m/>
    <m/>
    <m/>
    <m/>
    <m/>
    <m/>
    <m/>
    <m/>
    <m/>
    <m/>
    <m/>
    <m/>
    <m/>
    <n v="0"/>
    <n v="0"/>
  </r>
  <r>
    <n v="7479"/>
    <x v="2"/>
    <s v="2020/2172"/>
    <s v="38 Rookstone Road"/>
    <s v=""/>
    <n v="527606"/>
    <n v="171102"/>
    <x v="0"/>
    <d v="2022-07-01T00:00:00"/>
    <m/>
    <n v="1"/>
    <x v="29"/>
    <x v="12"/>
    <n v="9"/>
    <n v="8"/>
    <x v="1"/>
    <s v="Demolition of existing building and erection of three storey (plus basement and roof level accommodation) building with front a rear lightwells to provide 4 x 1-bedroom, 3 x 2-bedroom and 2 x 3-bedroom flats with associated refuse and cycle storage."/>
    <s v="PF"/>
    <d v="2020-06-19T00:00:00"/>
    <d v="2020-10-28T00:00:00"/>
    <x v="0"/>
    <s v="Nil"/>
    <m/>
    <s v="BF"/>
    <s v="NB"/>
    <x v="2"/>
    <x v="3"/>
    <n v="2.5999999999999999E-2"/>
    <m/>
    <x v="0"/>
    <m/>
    <x v="1"/>
    <s v="M"/>
    <s v=""/>
    <m/>
    <m/>
    <m/>
    <m/>
    <m/>
    <n v="0"/>
    <n v="4"/>
    <n v="3"/>
    <n v="2"/>
    <n v="-1"/>
    <n v="0"/>
    <n v="0"/>
    <n v="0"/>
    <n v="4"/>
    <n v="3"/>
    <n v="2"/>
    <n v="0"/>
    <n v="0"/>
    <n v="0"/>
    <n v="0"/>
    <n v="0"/>
    <n v="0"/>
    <n v="0"/>
    <n v="-1"/>
    <n v="0"/>
    <n v="0"/>
    <n v="0"/>
    <n v="0"/>
    <n v="0"/>
    <n v="0"/>
    <n v="0"/>
    <n v="0"/>
    <n v="0"/>
    <x v="1"/>
    <x v="0"/>
    <x v="2"/>
    <n v="8"/>
    <m/>
    <m/>
    <n v="8"/>
    <m/>
    <m/>
    <m/>
    <m/>
    <m/>
    <m/>
    <m/>
    <m/>
    <m/>
    <m/>
    <m/>
    <m/>
    <m/>
    <m/>
    <m/>
    <m/>
    <m/>
    <n v="8"/>
    <n v="8"/>
  </r>
  <r>
    <n v="6971"/>
    <x v="2"/>
    <s v="2023/2928"/>
    <s v="2a Balham Grove"/>
    <s v=""/>
    <n v="528580"/>
    <n v="173481"/>
    <x v="6"/>
    <m/>
    <m/>
    <n v="0"/>
    <x v="5"/>
    <x v="7"/>
    <n v="2"/>
    <n v="2"/>
    <x v="1"/>
    <s v="Alterations to include erection of extension above two-storey rear additon and erection of two-storey extension above rear part of ground floor extension to create 1 x 1 bedroom and 1 x studio flats."/>
    <s v="PF"/>
    <d v="2023-08-02T00:00:00"/>
    <d v="2024-01-18T00:00:00"/>
    <x v="1"/>
    <s v="Nil"/>
    <m/>
    <s v="BF"/>
    <s v="EXT"/>
    <x v="2"/>
    <x v="7"/>
    <n v="6.7000000000000002E-3"/>
    <m/>
    <x v="0"/>
    <m/>
    <x v="1"/>
    <s v="M"/>
    <s v=""/>
    <m/>
    <m/>
    <m/>
    <m/>
    <m/>
    <n v="1"/>
    <n v="1"/>
    <n v="0"/>
    <n v="0"/>
    <n v="0"/>
    <n v="0"/>
    <n v="0"/>
    <n v="1"/>
    <n v="1"/>
    <n v="0"/>
    <n v="0"/>
    <n v="0"/>
    <n v="0"/>
    <n v="0"/>
    <n v="0"/>
    <n v="0"/>
    <n v="0"/>
    <n v="0"/>
    <n v="0"/>
    <n v="0"/>
    <n v="0"/>
    <n v="0"/>
    <n v="0"/>
    <n v="0"/>
    <n v="0"/>
    <n v="0"/>
    <n v="0"/>
    <n v="0"/>
    <x v="5"/>
    <x v="0"/>
    <x v="9"/>
    <n v="15"/>
    <m/>
    <n v="0.5"/>
    <n v="0.5"/>
    <n v="0.5"/>
    <n v="0.5"/>
    <m/>
    <m/>
    <m/>
    <m/>
    <m/>
    <m/>
    <m/>
    <m/>
    <m/>
    <m/>
    <m/>
    <m/>
    <m/>
    <m/>
    <m/>
    <n v="2"/>
    <n v="2"/>
  </r>
  <r>
    <n v="4565"/>
    <x v="2"/>
    <s v="2023/3040"/>
    <s v="131 Penwith Road"/>
    <s v=""/>
    <n v="525828"/>
    <n v="173035"/>
    <x v="12"/>
    <m/>
    <m/>
    <n v="0"/>
    <x v="3"/>
    <x v="5"/>
    <n v="1"/>
    <n v="1"/>
    <x v="1"/>
    <s v="Determination as to whether prior approval is required for change of use from cafe unit (Class E) to 1 x 1-bedroom flat (Class C3)."/>
    <s v="PAG"/>
    <d v="2023-08-09T00:00:00"/>
    <d v="2023-09-27T00:00:00"/>
    <x v="1"/>
    <s v="Nil"/>
    <m/>
    <s v="BF"/>
    <s v="COU"/>
    <x v="2"/>
    <x v="8"/>
    <n v="5.0000000000000001E-3"/>
    <m/>
    <x v="0"/>
    <m/>
    <x v="1"/>
    <s v="MR"/>
    <s v=""/>
    <m/>
    <m/>
    <m/>
    <m/>
    <m/>
    <n v="0"/>
    <n v="1"/>
    <n v="0"/>
    <n v="0"/>
    <n v="0"/>
    <n v="0"/>
    <n v="0"/>
    <n v="0"/>
    <n v="1"/>
    <n v="0"/>
    <n v="0"/>
    <n v="0"/>
    <n v="0"/>
    <n v="0"/>
    <n v="0"/>
    <n v="0"/>
    <n v="0"/>
    <n v="0"/>
    <n v="0"/>
    <n v="0"/>
    <n v="0"/>
    <n v="0"/>
    <n v="0"/>
    <n v="0"/>
    <n v="0"/>
    <n v="0"/>
    <n v="0"/>
    <n v="0"/>
    <x v="1"/>
    <x v="0"/>
    <x v="5"/>
    <n v="15"/>
    <m/>
    <n v="0.25"/>
    <n v="0.25"/>
    <n v="0.25"/>
    <n v="0.25"/>
    <m/>
    <m/>
    <m/>
    <m/>
    <m/>
    <m/>
    <m/>
    <m/>
    <m/>
    <m/>
    <m/>
    <m/>
    <m/>
    <m/>
    <m/>
    <n v="1"/>
    <n v="1"/>
  </r>
  <r>
    <n v="3495"/>
    <x v="2"/>
    <s v="2023/3180"/>
    <s v="2d Forthbridge Road"/>
    <s v=""/>
    <n v="528221"/>
    <n v="175465"/>
    <x v="8"/>
    <m/>
    <m/>
    <n v="2"/>
    <x v="3"/>
    <x v="3"/>
    <n v="1"/>
    <n v="-1"/>
    <x v="1"/>
    <s v="Proposed alterations including the deconversion of ground floor and first floor flats into a single dwelling house."/>
    <s v="PF"/>
    <d v="2023-09-08T00:00:00"/>
    <d v="2023-11-10T00:00:00"/>
    <x v="1"/>
    <s v="Nil"/>
    <m/>
    <s v="BF"/>
    <s v="CON"/>
    <x v="2"/>
    <x v="11"/>
    <n v="8.9999999999999993E-3"/>
    <m/>
    <x v="0"/>
    <m/>
    <x v="1"/>
    <s v="M"/>
    <s v=""/>
    <m/>
    <m/>
    <m/>
    <m/>
    <m/>
    <n v="0"/>
    <n v="-1"/>
    <n v="-1"/>
    <n v="0"/>
    <n v="1"/>
    <n v="0"/>
    <n v="0"/>
    <n v="0"/>
    <n v="-1"/>
    <n v="-1"/>
    <n v="0"/>
    <n v="0"/>
    <n v="0"/>
    <n v="0"/>
    <n v="0"/>
    <n v="0"/>
    <n v="0"/>
    <n v="0"/>
    <n v="1"/>
    <n v="0"/>
    <n v="0"/>
    <n v="0"/>
    <n v="0"/>
    <n v="0"/>
    <n v="0"/>
    <n v="0"/>
    <n v="0"/>
    <n v="0"/>
    <x v="1"/>
    <x v="0"/>
    <x v="2"/>
    <n v="15"/>
    <m/>
    <n v="-0.25"/>
    <n v="-0.25"/>
    <n v="-0.25"/>
    <n v="-0.25"/>
    <m/>
    <m/>
    <m/>
    <m/>
    <m/>
    <m/>
    <m/>
    <m/>
    <m/>
    <m/>
    <m/>
    <m/>
    <m/>
    <m/>
    <m/>
    <n v="-1"/>
    <n v="-1"/>
  </r>
  <r>
    <n v="7300"/>
    <x v="2"/>
    <s v="2023/3217"/>
    <s v="5 Queensmere Road"/>
    <s v=""/>
    <n v="523807"/>
    <n v="172574"/>
    <x v="5"/>
    <m/>
    <m/>
    <n v="0"/>
    <x v="3"/>
    <x v="5"/>
    <n v="1"/>
    <n v="1"/>
    <x v="1"/>
    <s v="Erection of a five bedroom dwelling."/>
    <s v="PF"/>
    <d v="2023-09-19T00:00:00"/>
    <d v="2024-02-23T00:00:00"/>
    <x v="1"/>
    <s v="Nil"/>
    <m/>
    <s v="BF"/>
    <s v="NB"/>
    <x v="2"/>
    <x v="3"/>
    <n v="0.01"/>
    <m/>
    <x v="0"/>
    <m/>
    <x v="1"/>
    <s v="M"/>
    <s v=""/>
    <m/>
    <m/>
    <m/>
    <m/>
    <m/>
    <n v="0"/>
    <n v="0"/>
    <n v="0"/>
    <n v="0"/>
    <n v="0"/>
    <n v="1"/>
    <n v="0"/>
    <n v="0"/>
    <n v="0"/>
    <n v="0"/>
    <n v="0"/>
    <n v="0"/>
    <n v="0"/>
    <n v="0"/>
    <n v="0"/>
    <n v="0"/>
    <n v="0"/>
    <n v="0"/>
    <n v="0"/>
    <n v="1"/>
    <n v="0"/>
    <n v="0"/>
    <n v="0"/>
    <n v="0"/>
    <n v="0"/>
    <n v="0"/>
    <n v="0"/>
    <n v="0"/>
    <x v="1"/>
    <x v="0"/>
    <x v="2"/>
    <n v="7"/>
    <m/>
    <m/>
    <n v="0.25"/>
    <n v="0.25"/>
    <n v="0.25"/>
    <n v="0.25"/>
    <m/>
    <m/>
    <m/>
    <m/>
    <m/>
    <m/>
    <m/>
    <m/>
    <m/>
    <m/>
    <m/>
    <m/>
    <m/>
    <m/>
    <n v="1"/>
    <n v="1"/>
  </r>
  <r>
    <n v="8037"/>
    <x v="2"/>
    <s v="2023/3243"/>
    <s v="9 Fernlea Road"/>
    <s v=""/>
    <n v="528733"/>
    <n v="173183"/>
    <x v="6"/>
    <m/>
    <m/>
    <n v="1"/>
    <x v="11"/>
    <x v="7"/>
    <n v="3"/>
    <n v="2"/>
    <x v="1"/>
    <s v="Alteration  including erection of mansard roof extension to main rear roof and two storey rear extension;  conversion property 1 x 3-bedroom, 1 x 2-bedroom and 1 x 1-bedroom flats including part change of use of rear part of the ground floor retail unit to residential with associated cycle storage."/>
    <s v="PF"/>
    <d v="2023-08-25T00:00:00"/>
    <d v="2023-10-27T00:00:00"/>
    <x v="1"/>
    <s v="Nil"/>
    <m/>
    <s v="BF"/>
    <s v="MIX"/>
    <x v="2"/>
    <x v="5"/>
    <n v="1.2092E-2"/>
    <m/>
    <x v="0"/>
    <m/>
    <x v="1"/>
    <s v="M"/>
    <s v=""/>
    <m/>
    <m/>
    <m/>
    <m/>
    <m/>
    <n v="0"/>
    <n v="1"/>
    <n v="1"/>
    <n v="1"/>
    <n v="-1"/>
    <n v="0"/>
    <n v="0"/>
    <n v="0"/>
    <n v="1"/>
    <n v="1"/>
    <n v="1"/>
    <n v="-1"/>
    <n v="0"/>
    <n v="0"/>
    <n v="0"/>
    <n v="0"/>
    <n v="0"/>
    <n v="0"/>
    <n v="0"/>
    <n v="0"/>
    <n v="0"/>
    <n v="0"/>
    <n v="0"/>
    <n v="0"/>
    <n v="0"/>
    <n v="0"/>
    <n v="0"/>
    <n v="0"/>
    <x v="5"/>
    <x v="0"/>
    <x v="9"/>
    <n v="15"/>
    <m/>
    <n v="0.5"/>
    <n v="0.5"/>
    <n v="0.5"/>
    <n v="0.5"/>
    <m/>
    <m/>
    <m/>
    <m/>
    <m/>
    <m/>
    <m/>
    <m/>
    <m/>
    <m/>
    <m/>
    <m/>
    <m/>
    <m/>
    <m/>
    <n v="2"/>
    <n v="2"/>
  </r>
  <r>
    <n v="8033"/>
    <x v="2"/>
    <s v="2023/3277"/>
    <s v="Eustace Building - marketing office and ancillary space, 372 Queenstown Road"/>
    <s v=""/>
    <n v="528629"/>
    <n v="177516"/>
    <x v="2"/>
    <m/>
    <m/>
    <n v="0"/>
    <x v="3"/>
    <x v="5"/>
    <n v="1"/>
    <n v="1"/>
    <x v="1"/>
    <s v="Change of use of part of the first floor of the Eustace Building from commercial floorspace to form a 3 bedroom residential unit, along with associated internal and external alterations, including the creation of a private external terrace to the east of the unit."/>
    <s v="PF"/>
    <d v="2023-08-31T00:00:00"/>
    <d v="2024-03-15T00:00:00"/>
    <x v="1"/>
    <s v="Nil"/>
    <m/>
    <s v="BF"/>
    <s v="COU"/>
    <x v="2"/>
    <x v="6"/>
    <n v="0"/>
    <m/>
    <x v="0"/>
    <m/>
    <x v="1"/>
    <s v="M"/>
    <s v=""/>
    <m/>
    <m/>
    <m/>
    <m/>
    <m/>
    <n v="0"/>
    <n v="0"/>
    <n v="0"/>
    <n v="1"/>
    <n v="0"/>
    <n v="0"/>
    <n v="0"/>
    <n v="0"/>
    <n v="0"/>
    <n v="0"/>
    <n v="1"/>
    <n v="0"/>
    <n v="0"/>
    <n v="0"/>
    <n v="0"/>
    <n v="0"/>
    <n v="0"/>
    <n v="0"/>
    <n v="0"/>
    <n v="0"/>
    <n v="0"/>
    <n v="0"/>
    <n v="0"/>
    <n v="0"/>
    <n v="0"/>
    <n v="0"/>
    <n v="0"/>
    <n v="0"/>
    <x v="1"/>
    <x v="1"/>
    <x v="1"/>
    <n v="15"/>
    <m/>
    <n v="0.25"/>
    <n v="0.25"/>
    <n v="0.25"/>
    <n v="0.25"/>
    <m/>
    <m/>
    <m/>
    <m/>
    <m/>
    <m/>
    <m/>
    <m/>
    <m/>
    <m/>
    <m/>
    <m/>
    <m/>
    <m/>
    <m/>
    <n v="1"/>
    <n v="1"/>
  </r>
  <r>
    <n v="8045"/>
    <x v="2"/>
    <s v="2023/3308"/>
    <s v="50 Trinity Road"/>
    <s v=""/>
    <n v="527911"/>
    <n v="172477"/>
    <x v="10"/>
    <m/>
    <m/>
    <n v="1"/>
    <x v="11"/>
    <x v="7"/>
    <n v="3"/>
    <n v="2"/>
    <x v="1"/>
    <s v="Erection of additional second floor over existing main roof and over existing two-storey rear addition (with mansard roof &amp; dormers), erection of a single-storey rear extension, associated external and internal alterations to facilitate subdivision of the part ground floor (retention of retail space) and upper floors into 3 x  one-bedroom self-contained flats."/>
    <s v="PF"/>
    <d v="2023-09-21T00:00:00"/>
    <d v="2023-11-16T00:00:00"/>
    <x v="1"/>
    <s v="Nil"/>
    <m/>
    <s v="BF"/>
    <s v="CON"/>
    <x v="2"/>
    <x v="7"/>
    <n v="1.3936E-2"/>
    <m/>
    <x v="0"/>
    <m/>
    <x v="1"/>
    <s v="MR"/>
    <s v=""/>
    <m/>
    <m/>
    <m/>
    <m/>
    <m/>
    <n v="0"/>
    <n v="3"/>
    <n v="-1"/>
    <n v="0"/>
    <n v="0"/>
    <n v="0"/>
    <n v="0"/>
    <n v="0"/>
    <n v="3"/>
    <n v="-1"/>
    <n v="0"/>
    <n v="0"/>
    <n v="0"/>
    <n v="0"/>
    <n v="0"/>
    <n v="0"/>
    <n v="0"/>
    <n v="0"/>
    <n v="0"/>
    <n v="0"/>
    <n v="0"/>
    <n v="0"/>
    <n v="0"/>
    <n v="0"/>
    <n v="0"/>
    <n v="0"/>
    <n v="0"/>
    <n v="0"/>
    <x v="1"/>
    <x v="0"/>
    <x v="2"/>
    <n v="15"/>
    <m/>
    <n v="0.5"/>
    <n v="0.5"/>
    <n v="0.5"/>
    <n v="0.5"/>
    <m/>
    <m/>
    <m/>
    <m/>
    <m/>
    <m/>
    <m/>
    <m/>
    <m/>
    <m/>
    <m/>
    <m/>
    <m/>
    <m/>
    <m/>
    <n v="2"/>
    <n v="2"/>
  </r>
  <r>
    <n v="7920"/>
    <x v="2"/>
    <s v="2023/3367"/>
    <s v="186 Garratt Lane"/>
    <s v=""/>
    <n v="525886"/>
    <n v="173713"/>
    <x v="13"/>
    <m/>
    <m/>
    <n v="0"/>
    <x v="3"/>
    <x v="5"/>
    <n v="1"/>
    <n v="1"/>
    <x v="1"/>
    <s v="Determination as to whether prior approval is required for change of use from _x000a_cafe (Class E) to 1 x 1-bedroom residential flat (Class C3)."/>
    <s v="PAG"/>
    <d v="2023-09-08T00:00:00"/>
    <d v="2023-10-29T00:00:00"/>
    <x v="1"/>
    <s v="Nil"/>
    <m/>
    <s v="BF"/>
    <s v="COU"/>
    <x v="2"/>
    <x v="8"/>
    <n v="7.0000000000000001E-3"/>
    <m/>
    <x v="0"/>
    <m/>
    <x v="1"/>
    <s v="MR"/>
    <s v=""/>
    <m/>
    <m/>
    <m/>
    <m/>
    <m/>
    <n v="0"/>
    <n v="1"/>
    <n v="0"/>
    <n v="0"/>
    <n v="0"/>
    <n v="0"/>
    <n v="0"/>
    <n v="0"/>
    <n v="1"/>
    <n v="0"/>
    <n v="0"/>
    <n v="0"/>
    <n v="0"/>
    <n v="0"/>
    <n v="0"/>
    <n v="0"/>
    <n v="0"/>
    <n v="0"/>
    <n v="0"/>
    <n v="0"/>
    <n v="0"/>
    <n v="0"/>
    <n v="0"/>
    <n v="0"/>
    <n v="0"/>
    <n v="0"/>
    <n v="0"/>
    <n v="0"/>
    <x v="1"/>
    <x v="0"/>
    <x v="5"/>
    <n v="15"/>
    <m/>
    <n v="0.25"/>
    <n v="0.25"/>
    <n v="0.25"/>
    <n v="0.25"/>
    <m/>
    <m/>
    <m/>
    <m/>
    <m/>
    <m/>
    <m/>
    <m/>
    <m/>
    <m/>
    <m/>
    <m/>
    <m/>
    <m/>
    <m/>
    <n v="1"/>
    <n v="1"/>
  </r>
  <r>
    <n v="8040"/>
    <x v="2"/>
    <s v="2023/3403"/>
    <s v="New House, 83 Roehampton Lane"/>
    <s v=""/>
    <n v="522190"/>
    <n v="174835"/>
    <x v="4"/>
    <m/>
    <m/>
    <n v="6"/>
    <x v="9"/>
    <x v="7"/>
    <n v="8"/>
    <n v="2"/>
    <x v="1"/>
    <s v="Demolition of existing building and erection of 3 storey building (Class C2) to provide 8 x self contained apartments for assisted living with associated parking."/>
    <s v="PF"/>
    <d v="2023-09-11T00:00:00"/>
    <d v="2024-02-29T00:00:00"/>
    <x v="1"/>
    <s v="Nil"/>
    <m/>
    <s v="BF"/>
    <s v="NB"/>
    <x v="2"/>
    <x v="3"/>
    <n v="9.2137999999999998E-2"/>
    <m/>
    <x v="0"/>
    <m/>
    <x v="1"/>
    <s v="M"/>
    <s v=""/>
    <m/>
    <m/>
    <n v="7"/>
    <m/>
    <n v="1"/>
    <n v="0"/>
    <n v="2"/>
    <n v="0"/>
    <n v="0"/>
    <n v="0"/>
    <n v="0"/>
    <n v="0"/>
    <n v="0"/>
    <n v="2"/>
    <n v="0"/>
    <n v="0"/>
    <n v="0"/>
    <n v="0"/>
    <n v="0"/>
    <n v="0"/>
    <n v="0"/>
    <n v="0"/>
    <n v="0"/>
    <n v="0"/>
    <n v="0"/>
    <n v="0"/>
    <n v="0"/>
    <n v="0"/>
    <n v="0"/>
    <n v="0"/>
    <n v="0"/>
    <n v="0"/>
    <n v="0"/>
    <x v="1"/>
    <x v="0"/>
    <x v="2"/>
    <n v="10"/>
    <m/>
    <m/>
    <m/>
    <m/>
    <n v="0.66666666666666663"/>
    <n v="0.66666666666666663"/>
    <n v="0.66666666666666663"/>
    <m/>
    <m/>
    <m/>
    <m/>
    <m/>
    <m/>
    <m/>
    <m/>
    <m/>
    <m/>
    <m/>
    <m/>
    <m/>
    <n v="1.3333333333333333"/>
    <n v="2"/>
  </r>
  <r>
    <n v="5780"/>
    <x v="2"/>
    <s v="2023/3442"/>
    <s v="Land south of and west of 5 St James Drive, 124 Trinity Road"/>
    <s v=""/>
    <n v="527671"/>
    <n v="172854"/>
    <x v="10"/>
    <m/>
    <m/>
    <n v="0"/>
    <x v="3"/>
    <x v="5"/>
    <n v="1"/>
    <n v="1"/>
    <x v="1"/>
    <s v="Erection of single-storey (plus roof level and basement level accommodation) dwellinghouse (1 x 2- bedroom) with associated alterations to Trinity Road boundary treatment, cycle and refuse storage and removal of tree."/>
    <s v="PF"/>
    <d v="2023-10-30T00:00:00"/>
    <d v="2024-02-29T00:00:00"/>
    <x v="1"/>
    <s v="Nil"/>
    <m/>
    <s v="BF"/>
    <s v="NB"/>
    <x v="2"/>
    <x v="3"/>
    <n v="0"/>
    <m/>
    <x v="0"/>
    <m/>
    <x v="1"/>
    <s v="M"/>
    <s v=""/>
    <m/>
    <m/>
    <m/>
    <m/>
    <m/>
    <n v="0"/>
    <n v="0"/>
    <n v="1"/>
    <n v="0"/>
    <n v="0"/>
    <n v="0"/>
    <n v="0"/>
    <n v="0"/>
    <n v="0"/>
    <n v="0"/>
    <n v="0"/>
    <n v="0"/>
    <n v="0"/>
    <n v="0"/>
    <n v="0"/>
    <n v="0"/>
    <n v="1"/>
    <n v="0"/>
    <n v="0"/>
    <n v="0"/>
    <n v="0"/>
    <n v="0"/>
    <n v="0"/>
    <n v="0"/>
    <n v="0"/>
    <n v="0"/>
    <n v="0"/>
    <n v="0"/>
    <x v="1"/>
    <x v="0"/>
    <x v="2"/>
    <n v="7"/>
    <m/>
    <m/>
    <n v="0.25"/>
    <n v="0.25"/>
    <n v="0.25"/>
    <n v="0.25"/>
    <m/>
    <m/>
    <m/>
    <m/>
    <m/>
    <m/>
    <m/>
    <m/>
    <m/>
    <m/>
    <m/>
    <m/>
    <m/>
    <m/>
    <n v="1"/>
    <n v="1"/>
  </r>
  <r>
    <n v="7157"/>
    <x v="2"/>
    <s v="2023/3473"/>
    <s v="40 Lavender Hill"/>
    <s v=""/>
    <n v="528409"/>
    <n v="175769"/>
    <x v="20"/>
    <m/>
    <m/>
    <n v="1"/>
    <x v="11"/>
    <x v="7"/>
    <n v="3"/>
    <n v="2"/>
    <x v="1"/>
    <s v="Alterations including erection of additional floor of accommodation in connection with the conversion of the existing flat above the ground floor commercial premises for the creation of 3 x 1 bedroom unit. Formation of 3 external balconies to the rear."/>
    <s v="PF"/>
    <d v="2023-10-11T00:00:00"/>
    <d v="2023-12-05T00:00:00"/>
    <x v="1"/>
    <s v="Nil"/>
    <m/>
    <s v="BF"/>
    <s v="MIX"/>
    <x v="2"/>
    <x v="5"/>
    <n v="8.2500000000000004E-2"/>
    <m/>
    <x v="0"/>
    <m/>
    <x v="1"/>
    <s v="MR"/>
    <s v=""/>
    <m/>
    <m/>
    <m/>
    <m/>
    <m/>
    <n v="0"/>
    <n v="3"/>
    <n v="0"/>
    <n v="-1"/>
    <n v="0"/>
    <n v="0"/>
    <n v="0"/>
    <n v="0"/>
    <n v="3"/>
    <n v="0"/>
    <n v="-1"/>
    <n v="0"/>
    <n v="0"/>
    <n v="0"/>
    <n v="0"/>
    <n v="0"/>
    <n v="0"/>
    <n v="0"/>
    <n v="0"/>
    <n v="0"/>
    <n v="0"/>
    <n v="0"/>
    <n v="0"/>
    <n v="0"/>
    <n v="0"/>
    <n v="0"/>
    <n v="0"/>
    <n v="0"/>
    <x v="1"/>
    <x v="0"/>
    <x v="2"/>
    <n v="15"/>
    <m/>
    <n v="0.5"/>
    <n v="0.5"/>
    <n v="0.5"/>
    <n v="0.5"/>
    <m/>
    <m/>
    <m/>
    <m/>
    <m/>
    <m/>
    <m/>
    <m/>
    <m/>
    <m/>
    <m/>
    <m/>
    <m/>
    <m/>
    <m/>
    <n v="2"/>
    <n v="2"/>
  </r>
  <r>
    <n v="8042"/>
    <x v="2"/>
    <s v="2023/3485"/>
    <s v="2 Ingate Place"/>
    <s v=""/>
    <n v="528835"/>
    <n v="176682"/>
    <x v="20"/>
    <m/>
    <m/>
    <n v="0"/>
    <x v="3"/>
    <x v="5"/>
    <n v="1"/>
    <n v="1"/>
    <x v="1"/>
    <s v="Determination as to whether prior approval is required for change of use of _x000a_commercial  use at ground and first floor levels from (Class E) to residential (Class C3)  to provide a 1 bedroom house with associated external refuse storage."/>
    <s v="PAG"/>
    <d v="2023-09-18T00:00:00"/>
    <d v="2023-12-18T00:00:00"/>
    <x v="1"/>
    <s v="Nil"/>
    <m/>
    <s v="BF"/>
    <s v="COU"/>
    <x v="2"/>
    <x v="6"/>
    <n v="5.803E-3"/>
    <m/>
    <x v="0"/>
    <m/>
    <x v="1"/>
    <s v="M"/>
    <s v=""/>
    <m/>
    <m/>
    <m/>
    <m/>
    <m/>
    <n v="0"/>
    <n v="1"/>
    <n v="0"/>
    <n v="0"/>
    <n v="0"/>
    <n v="0"/>
    <n v="0"/>
    <n v="0"/>
    <n v="1"/>
    <n v="0"/>
    <n v="0"/>
    <n v="0"/>
    <n v="0"/>
    <n v="0"/>
    <n v="0"/>
    <n v="0"/>
    <n v="0"/>
    <n v="0"/>
    <n v="0"/>
    <n v="0"/>
    <n v="0"/>
    <n v="0"/>
    <n v="0"/>
    <n v="0"/>
    <n v="0"/>
    <n v="0"/>
    <n v="0"/>
    <n v="0"/>
    <x v="1"/>
    <x v="1"/>
    <x v="1"/>
    <n v="15"/>
    <m/>
    <n v="0.25"/>
    <n v="0.25"/>
    <n v="0.25"/>
    <n v="0.25"/>
    <m/>
    <m/>
    <m/>
    <m/>
    <m/>
    <m/>
    <m/>
    <m/>
    <m/>
    <m/>
    <m/>
    <m/>
    <m/>
    <m/>
    <m/>
    <n v="1"/>
    <n v="1"/>
  </r>
  <r>
    <n v="8048"/>
    <x v="2"/>
    <s v="2023/3532"/>
    <s v="60 St Anns Hill"/>
    <s v=""/>
    <n v="526215"/>
    <n v="174024"/>
    <x v="13"/>
    <m/>
    <m/>
    <n v="1"/>
    <x v="5"/>
    <x v="5"/>
    <n v="2"/>
    <n v="1"/>
    <x v="1"/>
    <s v="Conversion of property into 2 flats (1 x 3 bed and 1 x 2 bed). Erection of a single-storey rear/side extension at ground floor and enlargement of existing roof extension with roof and parapet wall raised."/>
    <s v="PF"/>
    <d v="2023-09-19T00:00:00"/>
    <d v="2023-11-24T00:00:00"/>
    <x v="1"/>
    <s v="Nil"/>
    <m/>
    <s v="BF"/>
    <s v="CON"/>
    <x v="2"/>
    <x v="10"/>
    <n v="1.4598E-2"/>
    <m/>
    <x v="0"/>
    <m/>
    <x v="1"/>
    <s v="MR"/>
    <s v=""/>
    <m/>
    <m/>
    <m/>
    <m/>
    <m/>
    <n v="0"/>
    <n v="0"/>
    <n v="1"/>
    <n v="1"/>
    <n v="-1"/>
    <n v="0"/>
    <n v="0"/>
    <n v="0"/>
    <n v="0"/>
    <n v="1"/>
    <n v="1"/>
    <n v="0"/>
    <n v="0"/>
    <n v="0"/>
    <n v="0"/>
    <n v="0"/>
    <n v="0"/>
    <n v="0"/>
    <n v="-1"/>
    <n v="0"/>
    <n v="0"/>
    <n v="0"/>
    <n v="0"/>
    <n v="0"/>
    <n v="0"/>
    <n v="0"/>
    <n v="0"/>
    <n v="0"/>
    <x v="1"/>
    <x v="0"/>
    <x v="2"/>
    <n v="15"/>
    <m/>
    <n v="0.25"/>
    <n v="0.25"/>
    <n v="0.25"/>
    <n v="0.25"/>
    <m/>
    <m/>
    <m/>
    <m/>
    <m/>
    <m/>
    <m/>
    <m/>
    <m/>
    <m/>
    <m/>
    <m/>
    <m/>
    <m/>
    <m/>
    <n v="1"/>
    <n v="1"/>
  </r>
  <r>
    <n v="8051"/>
    <x v="2"/>
    <s v="2023/3597"/>
    <s v="2 Dagnan Road"/>
    <s v=""/>
    <n v="528905"/>
    <n v="173984"/>
    <x v="6"/>
    <m/>
    <m/>
    <n v="0"/>
    <x v="5"/>
    <x v="7"/>
    <n v="2"/>
    <n v="2"/>
    <x v="1"/>
    <s v="Alterations including erection of hip to gable roof extension to main roof, extension above two storey back addition (with French doors) and formation of a roof terrace with a high wall surround. Replacement of first floor window with French doors and safety balustrade. Erection of a single storey rear/side extension in connection with change of use of existing retail unit (Class E) to provide 1 x 2-bedroom and 1 x 3-bedroom flats, with associated cycle and refuse storage private outside amenity space (Class C3). Demolition of front boundary wall, erection of a replacement front boundary wall, and landscaping."/>
    <s v="PF"/>
    <d v="2023-09-26T00:00:00"/>
    <d v="2023-12-15T00:00:00"/>
    <x v="1"/>
    <s v="Nil"/>
    <m/>
    <s v="BF"/>
    <s v="MIX"/>
    <x v="2"/>
    <x v="4"/>
    <n v="1.1306E-2"/>
    <m/>
    <x v="0"/>
    <m/>
    <x v="1"/>
    <s v="M"/>
    <s v=""/>
    <m/>
    <m/>
    <m/>
    <m/>
    <m/>
    <n v="0"/>
    <n v="0"/>
    <n v="1"/>
    <n v="1"/>
    <n v="0"/>
    <n v="0"/>
    <n v="0"/>
    <n v="0"/>
    <n v="0"/>
    <n v="1"/>
    <n v="1"/>
    <n v="0"/>
    <n v="0"/>
    <n v="0"/>
    <n v="0"/>
    <n v="0"/>
    <n v="0"/>
    <n v="0"/>
    <n v="0"/>
    <n v="0"/>
    <n v="0"/>
    <n v="0"/>
    <n v="0"/>
    <n v="0"/>
    <n v="0"/>
    <n v="0"/>
    <n v="0"/>
    <n v="0"/>
    <x v="1"/>
    <x v="0"/>
    <x v="2"/>
    <n v="15"/>
    <m/>
    <n v="0.5"/>
    <n v="0.5"/>
    <n v="0.5"/>
    <n v="0.5"/>
    <m/>
    <m/>
    <m/>
    <m/>
    <m/>
    <m/>
    <m/>
    <m/>
    <m/>
    <m/>
    <m/>
    <m/>
    <m/>
    <m/>
    <m/>
    <n v="2"/>
    <n v="2"/>
  </r>
  <r>
    <n v="6968"/>
    <x v="2"/>
    <s v="2023/3648"/>
    <s v="68 West Hill"/>
    <s v=""/>
    <n v="524972"/>
    <n v="174632"/>
    <x v="7"/>
    <m/>
    <m/>
    <n v="0"/>
    <x v="11"/>
    <x v="36"/>
    <n v="3"/>
    <n v="3"/>
    <x v="1"/>
    <s v="Determination as to whether prior approval is required for change of use from Non-Residential Institutions (Class E) to residential (Class C3) and to 3 x 1-bedroom flat"/>
    <s v="PAG"/>
    <d v="2023-09-28T00:00:00"/>
    <d v="2023-11-17T00:00:00"/>
    <x v="1"/>
    <s v="Nil"/>
    <m/>
    <s v="BF"/>
    <s v="COU"/>
    <x v="2"/>
    <x v="6"/>
    <n v="5.333333E-3"/>
    <m/>
    <x v="0"/>
    <m/>
    <x v="1"/>
    <s v="M"/>
    <s v=""/>
    <m/>
    <m/>
    <m/>
    <m/>
    <m/>
    <n v="0"/>
    <n v="3"/>
    <n v="0"/>
    <n v="0"/>
    <n v="0"/>
    <n v="0"/>
    <n v="0"/>
    <n v="0"/>
    <n v="3"/>
    <n v="0"/>
    <n v="0"/>
    <n v="0"/>
    <n v="0"/>
    <n v="0"/>
    <n v="0"/>
    <n v="0"/>
    <n v="0"/>
    <n v="0"/>
    <n v="0"/>
    <n v="0"/>
    <n v="0"/>
    <n v="0"/>
    <n v="0"/>
    <n v="0"/>
    <n v="0"/>
    <n v="0"/>
    <n v="0"/>
    <n v="0"/>
    <x v="1"/>
    <x v="0"/>
    <x v="2"/>
    <n v="15"/>
    <m/>
    <n v="0.75"/>
    <n v="0.75"/>
    <n v="0.75"/>
    <n v="0.75"/>
    <m/>
    <m/>
    <m/>
    <m/>
    <m/>
    <m/>
    <m/>
    <m/>
    <m/>
    <m/>
    <m/>
    <m/>
    <m/>
    <m/>
    <m/>
    <n v="3"/>
    <n v="3"/>
  </r>
  <r>
    <n v="7344"/>
    <x v="2"/>
    <s v="2023/3690"/>
    <s v="Unit D, Molasses House, Clove Hitch Quay (Plantation Wharf)"/>
    <s v=""/>
    <n v="526471"/>
    <n v="175874"/>
    <x v="15"/>
    <m/>
    <m/>
    <n v="0"/>
    <x v="11"/>
    <x v="36"/>
    <n v="3"/>
    <n v="3"/>
    <x v="1"/>
    <s v="Determination as to whether prior approval is required for change of use from office at ground floor level from (Class E) to residential (Class C3) to provide 1 x 2-bedroom flat and 2 x studio flats."/>
    <s v="PAG"/>
    <d v="2023-10-12T00:00:00"/>
    <d v="2023-12-04T00:00:00"/>
    <x v="1"/>
    <s v="Nil"/>
    <m/>
    <s v="BF"/>
    <s v="COU"/>
    <x v="2"/>
    <x v="6"/>
    <n v="0"/>
    <m/>
    <x v="0"/>
    <m/>
    <x v="1"/>
    <s v="M"/>
    <s v=""/>
    <m/>
    <m/>
    <m/>
    <m/>
    <m/>
    <n v="2"/>
    <n v="0"/>
    <n v="1"/>
    <n v="0"/>
    <n v="0"/>
    <n v="0"/>
    <n v="0"/>
    <n v="2"/>
    <n v="0"/>
    <n v="1"/>
    <n v="0"/>
    <n v="0"/>
    <n v="0"/>
    <n v="0"/>
    <n v="0"/>
    <n v="0"/>
    <n v="0"/>
    <n v="0"/>
    <n v="0"/>
    <n v="0"/>
    <n v="0"/>
    <n v="0"/>
    <n v="0"/>
    <n v="0"/>
    <n v="0"/>
    <n v="0"/>
    <n v="0"/>
    <n v="0"/>
    <x v="1"/>
    <x v="0"/>
    <x v="4"/>
    <n v="15"/>
    <m/>
    <n v="0.75"/>
    <n v="0.75"/>
    <n v="0.75"/>
    <n v="0.75"/>
    <m/>
    <m/>
    <m/>
    <m/>
    <m/>
    <m/>
    <m/>
    <m/>
    <m/>
    <m/>
    <m/>
    <m/>
    <m/>
    <m/>
    <m/>
    <n v="3"/>
    <n v="3"/>
  </r>
  <r>
    <n v="8018"/>
    <x v="2"/>
    <s v="2023/3708"/>
    <s v="195 Garratt Lane"/>
    <s v=""/>
    <n v="525892"/>
    <n v="173924"/>
    <x v="13"/>
    <m/>
    <m/>
    <n v="1"/>
    <x v="11"/>
    <x v="7"/>
    <n v="3"/>
    <n v="2"/>
    <x v="1"/>
    <s v="Alterations including erection of mansard roof extension to main rear roof, including raising the ridge by 300mm. Extension above two-storey back addition with French doors and formation of a roof terrace with glazed 1.7m screen surround; Installation of French doors and safety railings to first and second floor back addition replacing existing windows; installation of 2 x windows to second floor, and replacement windows to first floor side elevation of back addition, in connection with the conversion of the existing 1 x 3-bedroom flat to 3 x 1-bedroom flats. Associated cycle and refuse storage."/>
    <s v="PF"/>
    <d v="2023-10-23T00:00:00"/>
    <d v="2023-12-18T00:00:00"/>
    <x v="1"/>
    <s v="Nil"/>
    <m/>
    <s v="BF"/>
    <s v="CON"/>
    <x v="2"/>
    <x v="5"/>
    <n v="7.012E-3"/>
    <m/>
    <x v="0"/>
    <m/>
    <x v="1"/>
    <s v="MR"/>
    <s v=""/>
    <m/>
    <m/>
    <m/>
    <m/>
    <m/>
    <n v="0"/>
    <n v="3"/>
    <n v="0"/>
    <n v="-1"/>
    <n v="0"/>
    <n v="0"/>
    <n v="0"/>
    <n v="0"/>
    <n v="3"/>
    <n v="0"/>
    <n v="-1"/>
    <n v="0"/>
    <n v="0"/>
    <n v="0"/>
    <n v="0"/>
    <n v="0"/>
    <n v="0"/>
    <n v="0"/>
    <n v="0"/>
    <n v="0"/>
    <n v="0"/>
    <n v="0"/>
    <n v="0"/>
    <n v="0"/>
    <n v="0"/>
    <n v="0"/>
    <n v="0"/>
    <n v="0"/>
    <x v="1"/>
    <x v="0"/>
    <x v="5"/>
    <n v="15"/>
    <m/>
    <n v="0.5"/>
    <n v="0.5"/>
    <n v="0.5"/>
    <n v="0.5"/>
    <m/>
    <m/>
    <m/>
    <m/>
    <m/>
    <m/>
    <m/>
    <m/>
    <m/>
    <m/>
    <m/>
    <m/>
    <m/>
    <m/>
    <m/>
    <n v="2"/>
    <n v="2"/>
  </r>
  <r>
    <n v="4135"/>
    <x v="2"/>
    <s v="2023/3713"/>
    <s v="177 Garratt Lane"/>
    <s v=""/>
    <n v="525885"/>
    <n v="173983"/>
    <x v="13"/>
    <m/>
    <m/>
    <n v="1"/>
    <x v="3"/>
    <x v="6"/>
    <n v="1"/>
    <n v="0"/>
    <x v="1"/>
    <s v="Alterations including installation of replacement shopfront, erection of single-storey rear side extension, in connection with the change of use of part ground floor to class C3 to replace the existing studio flat to a 1 x 1 bedroom flat with associated cycle and refuse storage. Change of use of remaining existing ground floor and basement commercial unit to Class E(a), professional services Class E(c), Indoor sport, recreation or fitness Class E(d), health services Class E(e), offices Class E(g)(i)"/>
    <s v="PF"/>
    <d v="2023-10-23T00:00:00"/>
    <d v="2023-12-18T00:00:00"/>
    <x v="1"/>
    <s v="Nil"/>
    <m/>
    <s v="BF"/>
    <s v="COU"/>
    <x v="2"/>
    <x v="7"/>
    <n v="0"/>
    <m/>
    <x v="0"/>
    <m/>
    <x v="1"/>
    <s v="MR"/>
    <s v=""/>
    <m/>
    <m/>
    <m/>
    <m/>
    <m/>
    <n v="-1"/>
    <n v="1"/>
    <n v="0"/>
    <n v="0"/>
    <n v="0"/>
    <n v="0"/>
    <n v="0"/>
    <n v="-1"/>
    <n v="1"/>
    <n v="0"/>
    <n v="0"/>
    <n v="0"/>
    <n v="0"/>
    <n v="0"/>
    <n v="0"/>
    <n v="0"/>
    <n v="0"/>
    <n v="0"/>
    <n v="0"/>
    <n v="0"/>
    <n v="0"/>
    <n v="0"/>
    <n v="0"/>
    <n v="0"/>
    <n v="0"/>
    <n v="0"/>
    <n v="0"/>
    <n v="0"/>
    <x v="1"/>
    <x v="0"/>
    <x v="5"/>
    <n v="15"/>
    <m/>
    <n v="0"/>
    <n v="0"/>
    <n v="0"/>
    <n v="0"/>
    <m/>
    <m/>
    <m/>
    <m/>
    <m/>
    <m/>
    <m/>
    <m/>
    <m/>
    <m/>
    <m/>
    <m/>
    <m/>
    <m/>
    <m/>
    <n v="0"/>
    <n v="0"/>
  </r>
  <r>
    <n v="8062"/>
    <x v="2"/>
    <s v="2023/3746"/>
    <s v="28 Trinity Road"/>
    <s v=""/>
    <n v="527960"/>
    <n v="172420"/>
    <x v="10"/>
    <m/>
    <m/>
    <n v="2"/>
    <x v="11"/>
    <x v="5"/>
    <n v="3"/>
    <n v="1"/>
    <x v="1"/>
    <s v="Alterations including erection of single storey side/rear extension; mansard roof extension to main rear roof to form additional storey; extension above back addition and formation of roof terrace with 1.7m obscured glass screening and access dormer above extension above back addition. Installation of windows to ground floor side elevation and new entrance; installation/replacement of side windows and installation of rear French doors with railings at first floor. Part change of use from commercial (Class E) to residential (Class C3) in connection with creation of 2 x 1-bedroom and 1 x 3-bedroom flats."/>
    <s v="PF"/>
    <d v="2023-10-05T00:00:00"/>
    <d v="2024-01-19T00:00:00"/>
    <x v="1"/>
    <s v="Nil"/>
    <m/>
    <s v="BF"/>
    <s v="COU"/>
    <x v="2"/>
    <x v="8"/>
    <n v="1.4348E-2"/>
    <m/>
    <x v="0"/>
    <m/>
    <x v="1"/>
    <s v="M"/>
    <s v=""/>
    <m/>
    <m/>
    <m/>
    <m/>
    <m/>
    <n v="0"/>
    <n v="0"/>
    <n v="0"/>
    <n v="1"/>
    <n v="0"/>
    <n v="0"/>
    <n v="0"/>
    <n v="0"/>
    <n v="0"/>
    <n v="0"/>
    <n v="1"/>
    <n v="0"/>
    <n v="0"/>
    <n v="0"/>
    <n v="0"/>
    <n v="0"/>
    <n v="0"/>
    <n v="0"/>
    <n v="0"/>
    <n v="0"/>
    <n v="0"/>
    <n v="0"/>
    <n v="0"/>
    <n v="0"/>
    <n v="0"/>
    <n v="0"/>
    <n v="0"/>
    <n v="0"/>
    <x v="1"/>
    <x v="0"/>
    <x v="2"/>
    <n v="15"/>
    <m/>
    <n v="0.25"/>
    <n v="0.25"/>
    <n v="0.25"/>
    <n v="0.25"/>
    <m/>
    <m/>
    <m/>
    <m/>
    <m/>
    <m/>
    <m/>
    <m/>
    <m/>
    <m/>
    <m/>
    <m/>
    <m/>
    <m/>
    <m/>
    <n v="1"/>
    <n v="1"/>
  </r>
  <r>
    <n v="7978"/>
    <x v="2"/>
    <s v="2023/3764"/>
    <s v="834-836 Garratt Lane"/>
    <s v=""/>
    <n v="526962"/>
    <n v="171741"/>
    <x v="0"/>
    <m/>
    <m/>
    <n v="0"/>
    <x v="3"/>
    <x v="5"/>
    <n v="1"/>
    <n v="1"/>
    <x v="1"/>
    <s v="Determination as to whether prior approval is required for change of use from retail (Class E) to 1 x 1-bedroom flat (class C3)_x000d_."/>
    <s v="PAG"/>
    <d v="2023-10-06T00:00:00"/>
    <d v="2023-11-10T00:00:00"/>
    <x v="1"/>
    <s v="Nil"/>
    <m/>
    <s v="BF"/>
    <s v="COU"/>
    <x v="2"/>
    <x v="4"/>
    <n v="6.2500000000000003E-3"/>
    <m/>
    <x v="0"/>
    <m/>
    <x v="1"/>
    <s v="MR"/>
    <s v=""/>
    <m/>
    <m/>
    <m/>
    <m/>
    <m/>
    <n v="0"/>
    <n v="1"/>
    <n v="0"/>
    <n v="0"/>
    <n v="0"/>
    <n v="0"/>
    <n v="0"/>
    <n v="0"/>
    <n v="1"/>
    <n v="0"/>
    <n v="0"/>
    <n v="0"/>
    <n v="0"/>
    <n v="0"/>
    <n v="0"/>
    <n v="0"/>
    <n v="0"/>
    <n v="0"/>
    <n v="0"/>
    <n v="0"/>
    <n v="0"/>
    <n v="0"/>
    <n v="0"/>
    <n v="0"/>
    <n v="0"/>
    <n v="0"/>
    <n v="0"/>
    <n v="0"/>
    <x v="1"/>
    <x v="0"/>
    <x v="2"/>
    <n v="15"/>
    <m/>
    <n v="0.25"/>
    <n v="0.25"/>
    <n v="0.25"/>
    <n v="0.25"/>
    <m/>
    <m/>
    <m/>
    <m/>
    <m/>
    <m/>
    <m/>
    <m/>
    <m/>
    <m/>
    <m/>
    <m/>
    <m/>
    <m/>
    <m/>
    <n v="1"/>
    <n v="1"/>
  </r>
  <r>
    <n v="3456"/>
    <x v="2"/>
    <s v="2023/3860"/>
    <s v="45 Lynwood Road"/>
    <s v=""/>
    <n v="527908"/>
    <n v="171935"/>
    <x v="19"/>
    <m/>
    <m/>
    <n v="1"/>
    <x v="6"/>
    <x v="3"/>
    <n v="0"/>
    <n v="-1"/>
    <x v="1"/>
    <s v="Use of existing dwellinghouse as a childrens home"/>
    <s v="LDC Prop"/>
    <d v="2023-10-13T00:00:00"/>
    <d v="2023-12-07T00:00:00"/>
    <x v="1"/>
    <s v="Nil"/>
    <m/>
    <s v="BF"/>
    <s v="COU"/>
    <x v="2"/>
    <x v="9"/>
    <n v="1.2999999999999999E-2"/>
    <m/>
    <x v="0"/>
    <m/>
    <x v="1"/>
    <s v="M"/>
    <s v=""/>
    <m/>
    <m/>
    <m/>
    <m/>
    <m/>
    <n v="0"/>
    <n v="0"/>
    <n v="0"/>
    <n v="0"/>
    <n v="0"/>
    <n v="-1"/>
    <n v="0"/>
    <n v="0"/>
    <n v="0"/>
    <n v="0"/>
    <n v="0"/>
    <n v="0"/>
    <n v="0"/>
    <n v="0"/>
    <n v="0"/>
    <n v="0"/>
    <n v="0"/>
    <n v="0"/>
    <n v="0"/>
    <n v="-1"/>
    <n v="0"/>
    <n v="0"/>
    <n v="0"/>
    <n v="0"/>
    <n v="0"/>
    <n v="0"/>
    <n v="0"/>
    <n v="0"/>
    <x v="1"/>
    <x v="0"/>
    <x v="2"/>
    <n v="15"/>
    <m/>
    <n v="-0.25"/>
    <n v="-0.25"/>
    <n v="-0.25"/>
    <n v="-0.25"/>
    <m/>
    <m/>
    <m/>
    <m/>
    <m/>
    <m/>
    <m/>
    <m/>
    <m/>
    <m/>
    <m/>
    <m/>
    <m/>
    <m/>
    <m/>
    <n v="-1"/>
    <n v="-1"/>
  </r>
  <r>
    <n v="7711"/>
    <x v="2"/>
    <s v="2022/4594"/>
    <s v="Land and Garages Between Phelps House and The Platt Christian Centre, Felsham Road (Platt South)"/>
    <s v=""/>
    <n v="523281"/>
    <n v="175733"/>
    <x v="3"/>
    <d v="2024-02-28T00:00:00"/>
    <m/>
    <n v="0"/>
    <x v="9"/>
    <x v="12"/>
    <n v="8"/>
    <n v="8"/>
    <x v="1"/>
    <s v="Variation of condition 2 (in accordance approved drawings) of planning permission dated 25/04/2022 ref 2021/2879 (Demolition of existing garages and erection of a four storey building providing 9 x 1-bed and 2 x 2-bed flats, with roof terraces and balconies to all elevations and covered refuse and cycle storage.) to allow a reduction in the number of dwellings to 8, alterations to fenestration, alterations to roof design, omission of basement plant level, and various minor design amendments."/>
    <s v="S73"/>
    <d v="2022-12-06T00:00:00"/>
    <d v="2023-03-07T00:00:00"/>
    <x v="0"/>
    <s v="Nil"/>
    <m/>
    <s v="BF"/>
    <s v="NB"/>
    <x v="2"/>
    <x v="3"/>
    <n v="1.4375000000000001E-2"/>
    <m/>
    <x v="0"/>
    <m/>
    <x v="2"/>
    <s v="AL"/>
    <s v=""/>
    <m/>
    <m/>
    <n v="6"/>
    <m/>
    <n v="2"/>
    <n v="0"/>
    <n v="3"/>
    <n v="2"/>
    <n v="3"/>
    <n v="0"/>
    <n v="0"/>
    <n v="0"/>
    <n v="0"/>
    <n v="3"/>
    <n v="2"/>
    <n v="3"/>
    <n v="0"/>
    <n v="0"/>
    <n v="0"/>
    <n v="0"/>
    <n v="0"/>
    <n v="0"/>
    <n v="0"/>
    <n v="0"/>
    <n v="0"/>
    <n v="0"/>
    <n v="0"/>
    <n v="0"/>
    <n v="0"/>
    <n v="0"/>
    <n v="0"/>
    <n v="0"/>
    <n v="0"/>
    <x v="1"/>
    <x v="0"/>
    <x v="2"/>
    <n v="8"/>
    <m/>
    <m/>
    <n v="8"/>
    <m/>
    <m/>
    <m/>
    <m/>
    <m/>
    <m/>
    <m/>
    <m/>
    <m/>
    <m/>
    <m/>
    <m/>
    <m/>
    <m/>
    <m/>
    <m/>
    <m/>
    <n v="8"/>
    <n v="8"/>
  </r>
  <r>
    <n v="7779"/>
    <x v="2"/>
    <s v="2021/1445"/>
    <s v="36-44 Aldrington Road"/>
    <s v=""/>
    <n v="529455"/>
    <n v="171646"/>
    <x v="9"/>
    <m/>
    <m/>
    <n v="0"/>
    <x v="62"/>
    <x v="71"/>
    <n v="34"/>
    <n v="34"/>
    <x v="0"/>
    <s v="Demolition of existing single storey garages, residents refuse and ancillary storage sheds and redevelopment of the site for affordable residential units within a part three, four and six storey building together with ancillary residents storage, car parking, bicycle storage, refuse storage, landscaping and communal amenity space."/>
    <s v="PFLA"/>
    <d v="2021-03-26T00:00:00"/>
    <d v="2022-01-04T00:00:00"/>
    <x v="0"/>
    <s v="Nil"/>
    <m/>
    <s v="BF"/>
    <s v="NB"/>
    <x v="1"/>
    <x v="0"/>
    <n v="5.2999999999999999E-2"/>
    <m/>
    <x v="0"/>
    <m/>
    <x v="2"/>
    <s v="AL"/>
    <s v=""/>
    <m/>
    <m/>
    <m/>
    <m/>
    <m/>
    <n v="0"/>
    <n v="14"/>
    <n v="16"/>
    <n v="4"/>
    <n v="0"/>
    <n v="0"/>
    <n v="0"/>
    <n v="0"/>
    <n v="14"/>
    <n v="16"/>
    <n v="0"/>
    <n v="0"/>
    <n v="0"/>
    <n v="0"/>
    <n v="0"/>
    <n v="0"/>
    <n v="0"/>
    <n v="4"/>
    <n v="0"/>
    <n v="0"/>
    <n v="0"/>
    <n v="0"/>
    <n v="0"/>
    <n v="0"/>
    <n v="0"/>
    <n v="0"/>
    <n v="0"/>
    <n v="0"/>
    <x v="1"/>
    <x v="0"/>
    <x v="2"/>
    <n v="8"/>
    <m/>
    <m/>
    <m/>
    <m/>
    <n v="34"/>
    <m/>
    <m/>
    <m/>
    <m/>
    <m/>
    <m/>
    <m/>
    <m/>
    <m/>
    <m/>
    <m/>
    <m/>
    <m/>
    <m/>
    <m/>
    <n v="34"/>
    <n v="34"/>
  </r>
  <r>
    <n v="7835"/>
    <x v="2"/>
    <s v="2022/1694"/>
    <s v="223 Balham High Road"/>
    <s v="Market"/>
    <n v="528255"/>
    <n v="172659"/>
    <x v="18"/>
    <m/>
    <m/>
    <n v="0"/>
    <x v="42"/>
    <x v="50"/>
    <n v="42"/>
    <n v="42"/>
    <x v="0"/>
    <s v="Demolition of existing ground floor commercial unit and erection of a part 3/4/5 storey building with basement to provide commercial (Class E) on the basement and front ground floor and 42 residential units (Class C3) to the rear ground floor and above with private and communal amenity spaces. Provision of cycle storage, refuse storage and landscaping."/>
    <s v="PFLA"/>
    <d v="2022-04-25T00:00:00"/>
    <d v="2023-03-08T00:00:00"/>
    <x v="0"/>
    <s v="Nil"/>
    <m/>
    <s v="BF"/>
    <s v="NB"/>
    <x v="1"/>
    <x v="0"/>
    <n v="0.34520000000000001"/>
    <m/>
    <x v="0"/>
    <m/>
    <x v="1"/>
    <s v="M"/>
    <s v=""/>
    <m/>
    <m/>
    <m/>
    <m/>
    <m/>
    <n v="1"/>
    <n v="18"/>
    <n v="14"/>
    <n v="4"/>
    <n v="0"/>
    <n v="0"/>
    <n v="0"/>
    <n v="1"/>
    <n v="18"/>
    <n v="14"/>
    <n v="4"/>
    <n v="0"/>
    <n v="0"/>
    <n v="0"/>
    <n v="0"/>
    <n v="0"/>
    <n v="0"/>
    <n v="0"/>
    <n v="0"/>
    <n v="0"/>
    <n v="0"/>
    <n v="0"/>
    <n v="0"/>
    <n v="0"/>
    <n v="0"/>
    <n v="0"/>
    <n v="0"/>
    <n v="0"/>
    <x v="1"/>
    <x v="0"/>
    <x v="2"/>
    <n v="8"/>
    <m/>
    <m/>
    <m/>
    <m/>
    <n v="37"/>
    <m/>
    <m/>
    <m/>
    <m/>
    <m/>
    <m/>
    <m/>
    <m/>
    <m/>
    <m/>
    <m/>
    <m/>
    <m/>
    <m/>
    <m/>
    <n v="37"/>
    <n v="37"/>
  </r>
  <r>
    <n v="7835"/>
    <x v="2"/>
    <s v="2022/1694"/>
    <s v="223 Balham High Road"/>
    <s v="LDN Affordable Rent"/>
    <n v="528255"/>
    <n v="172659"/>
    <x v="18"/>
    <m/>
    <m/>
    <n v="0"/>
    <x v="24"/>
    <x v="28"/>
    <n v="42"/>
    <n v="42"/>
    <x v="0"/>
    <s v="Demolition of existing ground floor commercial unit and erection of a part 3/4/5 storey building with basement to provide commercial (Class E) on the basement and front ground floor and 42 residential units (Class C3) to the rear ground floor and above with private and communal amenity spaces. Provision of cycle storage, refuse storage and landscaping."/>
    <s v="PFLA"/>
    <d v="2022-04-25T00:00:00"/>
    <d v="2023-03-08T00:00:00"/>
    <x v="0"/>
    <s v="Nil"/>
    <m/>
    <s v="BF"/>
    <s v="NB"/>
    <x v="1"/>
    <x v="0"/>
    <n v="4.6600000000000003E-2"/>
    <m/>
    <x v="0"/>
    <m/>
    <x v="2"/>
    <s v="AL"/>
    <s v=""/>
    <m/>
    <m/>
    <m/>
    <m/>
    <m/>
    <n v="0"/>
    <n v="0"/>
    <n v="0"/>
    <n v="5"/>
    <n v="0"/>
    <n v="0"/>
    <n v="0"/>
    <n v="0"/>
    <n v="0"/>
    <n v="0"/>
    <n v="5"/>
    <n v="0"/>
    <n v="0"/>
    <n v="0"/>
    <n v="0"/>
    <n v="0"/>
    <n v="0"/>
    <n v="0"/>
    <n v="0"/>
    <n v="0"/>
    <n v="0"/>
    <n v="0"/>
    <n v="0"/>
    <n v="0"/>
    <n v="0"/>
    <n v="0"/>
    <n v="0"/>
    <n v="0"/>
    <x v="1"/>
    <x v="0"/>
    <x v="2"/>
    <n v="8"/>
    <m/>
    <m/>
    <m/>
    <m/>
    <n v="5"/>
    <m/>
    <m/>
    <m/>
    <m/>
    <m/>
    <m/>
    <m/>
    <m/>
    <m/>
    <m/>
    <m/>
    <m/>
    <m/>
    <m/>
    <m/>
    <n v="5"/>
    <n v="5"/>
  </r>
  <r>
    <n v="8007"/>
    <x v="2"/>
    <s v="2023/2779"/>
    <s v="Garages and car parking spaces west of 27-33 and 34-40 Highcross Way, Bessborough Road"/>
    <s v=""/>
    <n v="522475"/>
    <n v="173430"/>
    <x v="4"/>
    <m/>
    <m/>
    <n v="0"/>
    <x v="9"/>
    <x v="12"/>
    <n v="8"/>
    <n v="8"/>
    <x v="1"/>
    <s v="Demolition of all existing structures and garages and erection of a part single, part two/three storey building to provide eight (8) independent supported housing units (Use Class C3) with associated cycle, vehicle parking and landscaping."/>
    <s v="PF"/>
    <d v="2023-07-24T00:00:00"/>
    <d v="2023-10-26T00:00:00"/>
    <x v="1"/>
    <s v="Nil"/>
    <m/>
    <s v="BF"/>
    <s v="NB"/>
    <x v="2"/>
    <x v="3"/>
    <n v="2.5340000000000001E-2"/>
    <m/>
    <x v="0"/>
    <m/>
    <x v="2"/>
    <s v="AS"/>
    <s v=""/>
    <m/>
    <m/>
    <m/>
    <m/>
    <m/>
    <n v="0"/>
    <n v="8"/>
    <n v="0"/>
    <n v="0"/>
    <n v="0"/>
    <n v="0"/>
    <n v="0"/>
    <n v="0"/>
    <n v="8"/>
    <n v="0"/>
    <n v="0"/>
    <n v="0"/>
    <n v="0"/>
    <n v="0"/>
    <n v="0"/>
    <n v="0"/>
    <n v="0"/>
    <n v="0"/>
    <n v="0"/>
    <n v="0"/>
    <n v="0"/>
    <n v="0"/>
    <n v="0"/>
    <n v="0"/>
    <n v="0"/>
    <n v="0"/>
    <n v="0"/>
    <n v="0"/>
    <x v="1"/>
    <x v="0"/>
    <x v="2"/>
    <n v="8"/>
    <m/>
    <m/>
    <m/>
    <n v="8"/>
    <m/>
    <m/>
    <m/>
    <m/>
    <m/>
    <m/>
    <m/>
    <m/>
    <m/>
    <m/>
    <m/>
    <m/>
    <m/>
    <m/>
    <m/>
    <m/>
    <n v="8"/>
    <n v="8"/>
  </r>
  <r>
    <n v="2710"/>
    <x v="2"/>
    <s v="2023/3888"/>
    <s v="84-88 Mitcham Road"/>
    <s v=""/>
    <n v="527620"/>
    <n v="171253"/>
    <x v="0"/>
    <m/>
    <m/>
    <n v="0"/>
    <x v="5"/>
    <x v="7"/>
    <n v="2"/>
    <n v="2"/>
    <x v="1"/>
    <s v="Alterations including additional side and rear windows in connection with conversion of part ground floor and upper floors of 88 Mitcham Road from Commercial, Business and Service (Class Ea) to residential (Class C3) to create 1 x 3 bedroom and 1 x 2-bedroom flats. Formation of roof terrace at first and second floor levels with 1.7m high screen, reconfiguration of existing first floor flat and provision of cycle/refuse stores."/>
    <s v="PF"/>
    <d v="2023-11-16T00:00:00"/>
    <d v="2024-03-28T00:00:00"/>
    <x v="1"/>
    <s v="Nil"/>
    <m/>
    <s v="BF"/>
    <s v="COU"/>
    <x v="2"/>
    <x v="6"/>
    <n v="0"/>
    <m/>
    <x v="0"/>
    <m/>
    <x v="1"/>
    <s v="M"/>
    <s v=""/>
    <m/>
    <m/>
    <m/>
    <m/>
    <m/>
    <n v="0"/>
    <n v="0"/>
    <n v="1"/>
    <n v="1"/>
    <n v="0"/>
    <n v="0"/>
    <n v="0"/>
    <n v="0"/>
    <n v="0"/>
    <n v="1"/>
    <n v="1"/>
    <n v="0"/>
    <n v="0"/>
    <n v="0"/>
    <n v="0"/>
    <n v="0"/>
    <n v="0"/>
    <n v="0"/>
    <n v="0"/>
    <n v="0"/>
    <n v="0"/>
    <n v="0"/>
    <n v="0"/>
    <n v="0"/>
    <n v="0"/>
    <n v="0"/>
    <n v="0"/>
    <n v="0"/>
    <x v="0"/>
    <x v="0"/>
    <x v="0"/>
    <n v="15"/>
    <m/>
    <n v="0.5"/>
    <n v="0.5"/>
    <n v="0.5"/>
    <n v="0.5"/>
    <m/>
    <m/>
    <m/>
    <m/>
    <m/>
    <m/>
    <m/>
    <m/>
    <m/>
    <m/>
    <m/>
    <m/>
    <m/>
    <m/>
    <m/>
    <n v="2"/>
    <n v="2"/>
  </r>
  <r>
    <n v="2530"/>
    <x v="2"/>
    <s v="2023/4002"/>
    <s v="193-197 Upper Tooting Road"/>
    <s v=""/>
    <n v="527684"/>
    <n v="171814"/>
    <x v="19"/>
    <m/>
    <m/>
    <n v="0"/>
    <x v="5"/>
    <x v="7"/>
    <n v="2"/>
    <n v="2"/>
    <x v="1"/>
    <s v="Alterations including part change of use of rear ground floors from commercial (Class E) to residential (Class C3) in connection with creation of 2 x studio flats with amenity space. Alterations and relocation of rear external staircase to first floor; infill front extension to commercial units and alterations to shopfronts."/>
    <s v="PF"/>
    <d v="2023-11-23T00:00:00"/>
    <d v="2024-02-22T00:00:00"/>
    <x v="1"/>
    <s v="Nil"/>
    <m/>
    <s v="BF"/>
    <s v="COU"/>
    <x v="2"/>
    <x v="4"/>
    <n v="0"/>
    <m/>
    <x v="0"/>
    <m/>
    <x v="1"/>
    <s v="MR"/>
    <s v=""/>
    <m/>
    <m/>
    <m/>
    <m/>
    <m/>
    <n v="2"/>
    <n v="0"/>
    <n v="0"/>
    <n v="0"/>
    <n v="0"/>
    <n v="0"/>
    <n v="0"/>
    <n v="2"/>
    <n v="0"/>
    <n v="0"/>
    <n v="0"/>
    <n v="0"/>
    <n v="0"/>
    <n v="0"/>
    <n v="0"/>
    <n v="0"/>
    <n v="0"/>
    <n v="0"/>
    <n v="0"/>
    <n v="0"/>
    <n v="0"/>
    <n v="0"/>
    <n v="0"/>
    <n v="0"/>
    <n v="0"/>
    <n v="0"/>
    <n v="0"/>
    <n v="0"/>
    <x v="0"/>
    <x v="0"/>
    <x v="0"/>
    <n v="15"/>
    <m/>
    <n v="0.5"/>
    <n v="0.5"/>
    <n v="0.5"/>
    <n v="0.5"/>
    <m/>
    <m/>
    <m/>
    <m/>
    <m/>
    <m/>
    <m/>
    <m/>
    <m/>
    <m/>
    <m/>
    <m/>
    <m/>
    <m/>
    <m/>
    <n v="2"/>
    <n v="2"/>
  </r>
  <r>
    <n v="8030"/>
    <x v="2"/>
    <s v="2023/4187"/>
    <s v="Unit 1 Thorpe Court, 864 Garratt lane"/>
    <s v=""/>
    <n v="527078"/>
    <n v="171660"/>
    <x v="0"/>
    <m/>
    <m/>
    <n v="0"/>
    <x v="3"/>
    <x v="5"/>
    <n v="1"/>
    <n v="1"/>
    <x v="1"/>
    <s v="Determination as to whether prior approval is required for change of use from retail (Class E) at ground floor level to residential (Class C3) to provide 1-bedroom flat."/>
    <s v="PAG"/>
    <d v="2023-11-09T00:00:00"/>
    <d v="2023-12-29T00:00:00"/>
    <x v="1"/>
    <s v="Nil"/>
    <m/>
    <s v="BF"/>
    <s v="COU"/>
    <x v="2"/>
    <x v="4"/>
    <n v="7.3649999999999993E-2"/>
    <m/>
    <x v="0"/>
    <m/>
    <x v="1"/>
    <s v="M"/>
    <s v=""/>
    <m/>
    <m/>
    <m/>
    <m/>
    <m/>
    <n v="0"/>
    <n v="1"/>
    <n v="0"/>
    <n v="0"/>
    <n v="0"/>
    <n v="0"/>
    <n v="0"/>
    <n v="0"/>
    <n v="1"/>
    <n v="0"/>
    <n v="0"/>
    <n v="0"/>
    <n v="0"/>
    <n v="0"/>
    <n v="0"/>
    <n v="0"/>
    <n v="0"/>
    <n v="0"/>
    <n v="0"/>
    <n v="0"/>
    <n v="0"/>
    <n v="0"/>
    <n v="0"/>
    <n v="0"/>
    <n v="0"/>
    <n v="0"/>
    <n v="0"/>
    <n v="0"/>
    <x v="1"/>
    <x v="0"/>
    <x v="2"/>
    <n v="15"/>
    <m/>
    <n v="0.25"/>
    <n v="0.25"/>
    <n v="0.25"/>
    <n v="0.25"/>
    <m/>
    <m/>
    <m/>
    <m/>
    <m/>
    <m/>
    <m/>
    <m/>
    <m/>
    <m/>
    <m/>
    <m/>
    <m/>
    <m/>
    <m/>
    <n v="1"/>
    <n v="1"/>
  </r>
  <r>
    <n v="8070"/>
    <x v="2"/>
    <s v="2023/4304"/>
    <s v="116 A Putney High Street"/>
    <s v=""/>
    <n v="523997"/>
    <n v="175267"/>
    <x v="3"/>
    <m/>
    <m/>
    <n v="1"/>
    <x v="11"/>
    <x v="7"/>
    <n v="3"/>
    <n v="2"/>
    <x v="1"/>
    <s v="Alterations including erection of a roof extension to main roof to provide an additional level of accommodation; extensions to the rear at  first/second and third floor level in connection with 1 x 1-bedroom and 2 x 2-bedroom flats, with associated cycle and refuse storage and internal reconfiguration."/>
    <s v="PF"/>
    <d v="2023-11-16T00:00:00"/>
    <d v="2024-01-11T00:00:00"/>
    <x v="1"/>
    <s v="Nil"/>
    <m/>
    <s v="BF"/>
    <s v="CON"/>
    <x v="2"/>
    <x v="5"/>
    <n v="1.2977000000000001E-2"/>
    <m/>
    <x v="0"/>
    <m/>
    <x v="1"/>
    <s v="MR"/>
    <s v=""/>
    <m/>
    <m/>
    <m/>
    <m/>
    <m/>
    <n v="0"/>
    <n v="1"/>
    <n v="2"/>
    <n v="0"/>
    <n v="0"/>
    <n v="-1"/>
    <n v="0"/>
    <n v="0"/>
    <n v="1"/>
    <n v="2"/>
    <n v="0"/>
    <n v="0"/>
    <n v="-1"/>
    <n v="0"/>
    <n v="0"/>
    <n v="0"/>
    <n v="0"/>
    <n v="0"/>
    <n v="0"/>
    <n v="0"/>
    <n v="0"/>
    <n v="0"/>
    <n v="0"/>
    <n v="0"/>
    <n v="0"/>
    <n v="0"/>
    <n v="0"/>
    <n v="0"/>
    <x v="2"/>
    <x v="0"/>
    <x v="6"/>
    <n v="15"/>
    <m/>
    <n v="0.5"/>
    <n v="0.5"/>
    <n v="0.5"/>
    <n v="0.5"/>
    <m/>
    <m/>
    <m/>
    <m/>
    <m/>
    <m/>
    <m/>
    <m/>
    <m/>
    <m/>
    <m/>
    <m/>
    <m/>
    <m/>
    <m/>
    <n v="2"/>
    <n v="2"/>
  </r>
  <r>
    <n v="8072"/>
    <x v="2"/>
    <s v="2023/4400"/>
    <s v="Garages to the east of Playground and north of 32, Swanton Gardens"/>
    <s v=""/>
    <n v="523983"/>
    <n v="173273"/>
    <x v="5"/>
    <m/>
    <m/>
    <n v="0"/>
    <x v="11"/>
    <x v="36"/>
    <n v="3"/>
    <n v="3"/>
    <x v="1"/>
    <s v="Demolition of existing garages and erection of 3-storey building to provide 1 x 1-bedroom and 2 x 2-bedroom flats with associated vehicle and cycle parking, refuse storage and landscaping."/>
    <s v="PF"/>
    <d v="2023-11-23T00:00:00"/>
    <d v="2024-02-01T00:00:00"/>
    <x v="1"/>
    <s v="Nil"/>
    <m/>
    <s v="BF"/>
    <s v="NB"/>
    <x v="2"/>
    <x v="3"/>
    <n v="4.7775999999999999E-2"/>
    <m/>
    <x v="0"/>
    <m/>
    <x v="2"/>
    <s v="AS"/>
    <s v=""/>
    <m/>
    <m/>
    <m/>
    <m/>
    <m/>
    <n v="0"/>
    <n v="1"/>
    <n v="2"/>
    <n v="0"/>
    <n v="0"/>
    <n v="0"/>
    <n v="0"/>
    <n v="0"/>
    <n v="1"/>
    <n v="2"/>
    <n v="0"/>
    <n v="0"/>
    <n v="0"/>
    <n v="0"/>
    <n v="0"/>
    <n v="0"/>
    <n v="0"/>
    <n v="0"/>
    <n v="0"/>
    <n v="0"/>
    <n v="0"/>
    <n v="0"/>
    <n v="0"/>
    <n v="0"/>
    <n v="0"/>
    <n v="0"/>
    <n v="0"/>
    <n v="0"/>
    <x v="1"/>
    <x v="0"/>
    <x v="2"/>
    <n v="7"/>
    <m/>
    <m/>
    <n v="0.75"/>
    <n v="0.75"/>
    <n v="0.75"/>
    <n v="0.75"/>
    <m/>
    <m/>
    <m/>
    <m/>
    <m/>
    <m/>
    <m/>
    <m/>
    <m/>
    <m/>
    <m/>
    <m/>
    <m/>
    <m/>
    <n v="3"/>
    <n v="3"/>
  </r>
  <r>
    <n v="8073"/>
    <x v="2"/>
    <s v="2023/4401"/>
    <s v="Garages to the South East of 63-75, Skeena Hill"/>
    <s v=""/>
    <n v="524179"/>
    <n v="173612"/>
    <x v="5"/>
    <m/>
    <m/>
    <n v="0"/>
    <x v="0"/>
    <x v="0"/>
    <n v="6"/>
    <n v="6"/>
    <x v="1"/>
    <s v="Demolition of existing garages and erection of 2-storey building to provide 3 x 1-bedroom and 3 x 2-bedroom flats with associated car and cycle parking, refuse storage and landscaping."/>
    <s v="PF"/>
    <d v="2023-11-23T00:00:00"/>
    <d v="2024-02-26T00:00:00"/>
    <x v="1"/>
    <s v="Nil"/>
    <m/>
    <s v="BF"/>
    <s v="NB"/>
    <x v="2"/>
    <x v="3"/>
    <n v="0.120961"/>
    <m/>
    <x v="0"/>
    <m/>
    <x v="2"/>
    <s v="AS"/>
    <s v=""/>
    <m/>
    <m/>
    <n v="3"/>
    <m/>
    <m/>
    <n v="0"/>
    <n v="3"/>
    <n v="3"/>
    <n v="0"/>
    <n v="0"/>
    <n v="0"/>
    <n v="0"/>
    <n v="0"/>
    <n v="3"/>
    <n v="3"/>
    <n v="0"/>
    <n v="0"/>
    <n v="0"/>
    <n v="0"/>
    <n v="0"/>
    <n v="0"/>
    <n v="0"/>
    <n v="0"/>
    <n v="0"/>
    <n v="0"/>
    <n v="0"/>
    <n v="0"/>
    <n v="0"/>
    <n v="0"/>
    <n v="0"/>
    <n v="0"/>
    <n v="0"/>
    <n v="0"/>
    <x v="1"/>
    <x v="0"/>
    <x v="2"/>
    <n v="8"/>
    <m/>
    <m/>
    <m/>
    <m/>
    <n v="6"/>
    <m/>
    <m/>
    <m/>
    <m/>
    <m/>
    <m/>
    <m/>
    <m/>
    <m/>
    <m/>
    <m/>
    <m/>
    <m/>
    <m/>
    <m/>
    <n v="6"/>
    <n v="6"/>
  </r>
  <r>
    <n v="8076"/>
    <x v="2"/>
    <s v="2023/4432"/>
    <s v="21 Battersea Church Road"/>
    <s v=""/>
    <n v="527089"/>
    <n v="177085"/>
    <x v="15"/>
    <m/>
    <m/>
    <n v="2"/>
    <x v="3"/>
    <x v="3"/>
    <n v="1"/>
    <n v="-1"/>
    <x v="1"/>
    <s v="Alterations in connection with conversion of two flats into single dwelling house."/>
    <s v="PF"/>
    <d v="2023-11-27T00:00:00"/>
    <d v="2024-01-18T00:00:00"/>
    <x v="1"/>
    <s v="Nil"/>
    <m/>
    <s v="BF"/>
    <s v="CON"/>
    <x v="2"/>
    <x v="11"/>
    <n v="1.3335E-2"/>
    <m/>
    <x v="0"/>
    <m/>
    <x v="1"/>
    <s v="MR"/>
    <s v=""/>
    <m/>
    <m/>
    <m/>
    <m/>
    <m/>
    <n v="0"/>
    <n v="-1"/>
    <n v="-1"/>
    <n v="1"/>
    <n v="0"/>
    <n v="0"/>
    <n v="0"/>
    <n v="0"/>
    <n v="-1"/>
    <n v="-1"/>
    <n v="0"/>
    <n v="0"/>
    <n v="0"/>
    <n v="0"/>
    <n v="0"/>
    <n v="0"/>
    <n v="0"/>
    <n v="1"/>
    <n v="0"/>
    <n v="0"/>
    <n v="0"/>
    <n v="0"/>
    <n v="0"/>
    <n v="0"/>
    <n v="0"/>
    <n v="0"/>
    <n v="0"/>
    <n v="0"/>
    <x v="1"/>
    <x v="0"/>
    <x v="4"/>
    <n v="15"/>
    <m/>
    <n v="-0.25"/>
    <n v="-0.25"/>
    <n v="-0.25"/>
    <n v="-0.25"/>
    <m/>
    <m/>
    <m/>
    <m/>
    <m/>
    <m/>
    <m/>
    <m/>
    <m/>
    <m/>
    <m/>
    <m/>
    <m/>
    <m/>
    <m/>
    <n v="-1"/>
    <n v="-1"/>
  </r>
  <r>
    <n v="8085"/>
    <x v="2"/>
    <s v="2023/4501"/>
    <s v="157 157A 159, Blackshaw Road"/>
    <s v="Market Rent"/>
    <n v="526648"/>
    <n v="171469"/>
    <x v="0"/>
    <m/>
    <m/>
    <n v="3"/>
    <x v="12"/>
    <x v="5"/>
    <n v="4"/>
    <n v="1"/>
    <x v="1"/>
    <s v="Alterations including erection of a dormer extension to main rear roof, erection of a first floor side/rear extension and single storey rear extension and single storey side extension to three flats and conversion of upper floor flat into two x 1-bedroom flats. Alterations to fenestration."/>
    <s v="PF"/>
    <d v="2023-12-21T00:00:00"/>
    <d v="2024-03-26T00:00:00"/>
    <x v="1"/>
    <s v="Nil"/>
    <m/>
    <s v="BF"/>
    <s v="CON"/>
    <x v="2"/>
    <x v="5"/>
    <n v="6.0000000000000001E-3"/>
    <m/>
    <x v="0"/>
    <m/>
    <x v="1"/>
    <s v="MR"/>
    <s v=""/>
    <m/>
    <m/>
    <m/>
    <m/>
    <m/>
    <n v="0"/>
    <n v="1"/>
    <n v="0"/>
    <n v="0"/>
    <n v="0"/>
    <n v="0"/>
    <n v="0"/>
    <n v="0"/>
    <n v="1"/>
    <n v="0"/>
    <n v="0"/>
    <n v="0"/>
    <n v="0"/>
    <n v="0"/>
    <n v="0"/>
    <n v="0"/>
    <n v="0"/>
    <n v="0"/>
    <n v="0"/>
    <n v="0"/>
    <n v="0"/>
    <n v="0"/>
    <n v="0"/>
    <n v="0"/>
    <n v="0"/>
    <n v="0"/>
    <n v="0"/>
    <n v="0"/>
    <x v="1"/>
    <x v="0"/>
    <x v="2"/>
    <n v="15"/>
    <m/>
    <n v="0.25"/>
    <n v="0.25"/>
    <n v="0.25"/>
    <n v="0.25"/>
    <m/>
    <m/>
    <m/>
    <m/>
    <m/>
    <m/>
    <m/>
    <m/>
    <m/>
    <m/>
    <m/>
    <m/>
    <m/>
    <m/>
    <m/>
    <n v="1"/>
    <n v="1"/>
  </r>
  <r>
    <n v="7939"/>
    <x v="2"/>
    <s v="2023/4632"/>
    <s v="The Grapes Public House, 39 Fairfield Street"/>
    <s v=""/>
    <n v="525806"/>
    <n v="174853"/>
    <x v="14"/>
    <m/>
    <m/>
    <n v="0"/>
    <x v="3"/>
    <x v="5"/>
    <n v="1"/>
    <n v="1"/>
    <x v="1"/>
    <s v="Retention of existing public house and erection of 1no. single-storey dwelling (Class C3) with associated landscaping following demolition of outbuilding. (see also Listed Building Consent application 2023/4692 Part demolition of existing brick wall.)"/>
    <s v="PF"/>
    <d v="2024-01-19T00:00:00"/>
    <d v="2024-03-14T00:00:00"/>
    <x v="1"/>
    <s v="Nil"/>
    <m/>
    <s v="BF"/>
    <s v="NB"/>
    <x v="2"/>
    <x v="8"/>
    <n v="0"/>
    <m/>
    <x v="0"/>
    <m/>
    <x v="1"/>
    <s v="M"/>
    <s v=""/>
    <m/>
    <m/>
    <m/>
    <m/>
    <m/>
    <n v="0"/>
    <n v="1"/>
    <n v="0"/>
    <n v="0"/>
    <n v="0"/>
    <n v="0"/>
    <n v="0"/>
    <n v="0"/>
    <n v="0"/>
    <n v="0"/>
    <n v="0"/>
    <n v="0"/>
    <n v="0"/>
    <n v="0"/>
    <n v="0"/>
    <n v="1"/>
    <n v="0"/>
    <n v="0"/>
    <n v="0"/>
    <n v="0"/>
    <n v="0"/>
    <n v="0"/>
    <n v="0"/>
    <n v="0"/>
    <n v="0"/>
    <n v="0"/>
    <n v="0"/>
    <n v="0"/>
    <x v="1"/>
    <x v="0"/>
    <x v="7"/>
    <n v="7"/>
    <m/>
    <m/>
    <n v="0.25"/>
    <n v="0.25"/>
    <n v="0.25"/>
    <n v="0.25"/>
    <m/>
    <m/>
    <m/>
    <m/>
    <m/>
    <m/>
    <m/>
    <m/>
    <m/>
    <m/>
    <m/>
    <m/>
    <m/>
    <m/>
    <n v="1"/>
    <n v="1"/>
  </r>
  <r>
    <n v="8093"/>
    <x v="2"/>
    <s v="2023/4669"/>
    <s v="96 Mitcham Lane"/>
    <s v=""/>
    <n v="529331"/>
    <n v="171177"/>
    <x v="9"/>
    <m/>
    <m/>
    <n v="0"/>
    <x v="5"/>
    <x v="7"/>
    <n v="2"/>
    <n v="2"/>
    <x v="1"/>
    <s v="Determination as to whether prior notification is required for change of use from retail (Class E) to 1 x 1-bedroom and 1 x studio flats (Class C3)."/>
    <s v="PAG"/>
    <d v="2024-01-03T00:00:00"/>
    <d v="2024-02-07T00:00:00"/>
    <x v="1"/>
    <s v="Nil"/>
    <m/>
    <s v="BF"/>
    <s v="COU"/>
    <x v="2"/>
    <x v="4"/>
    <n v="8.9999999999999993E-3"/>
    <m/>
    <x v="0"/>
    <m/>
    <x v="1"/>
    <s v="MR"/>
    <s v=""/>
    <m/>
    <m/>
    <m/>
    <m/>
    <m/>
    <n v="1"/>
    <n v="1"/>
    <n v="0"/>
    <n v="0"/>
    <n v="0"/>
    <n v="0"/>
    <n v="0"/>
    <n v="1"/>
    <n v="1"/>
    <n v="0"/>
    <n v="0"/>
    <n v="0"/>
    <n v="0"/>
    <n v="0"/>
    <n v="0"/>
    <n v="0"/>
    <n v="0"/>
    <n v="0"/>
    <n v="0"/>
    <n v="0"/>
    <n v="0"/>
    <n v="0"/>
    <n v="0"/>
    <n v="0"/>
    <n v="0"/>
    <n v="0"/>
    <n v="0"/>
    <n v="0"/>
    <x v="1"/>
    <x v="0"/>
    <x v="2"/>
    <n v="15"/>
    <m/>
    <n v="0.5"/>
    <n v="0.5"/>
    <n v="0.5"/>
    <n v="0.5"/>
    <m/>
    <m/>
    <m/>
    <m/>
    <m/>
    <m/>
    <m/>
    <m/>
    <m/>
    <m/>
    <m/>
    <m/>
    <m/>
    <m/>
    <m/>
    <n v="2"/>
    <n v="2"/>
  </r>
  <r>
    <n v="8055"/>
    <x v="2"/>
    <s v="2023/4715"/>
    <s v="94 Mitcham Lane"/>
    <s v=""/>
    <n v="529336"/>
    <n v="171182"/>
    <x v="9"/>
    <m/>
    <m/>
    <n v="0"/>
    <x v="5"/>
    <x v="7"/>
    <n v="2"/>
    <n v="2"/>
    <x v="1"/>
    <s v="Determination as to whether prior approval is required for change of use from retail (Class E) to 1 x studio and 1 x 1-bedroom flats (Class C3)."/>
    <s v="PAG"/>
    <d v="2024-01-02T00:00:00"/>
    <d v="2024-02-07T00:00:00"/>
    <x v="1"/>
    <s v="Nil"/>
    <m/>
    <s v="BF"/>
    <s v="COU"/>
    <x v="2"/>
    <x v="4"/>
    <n v="8.9999999999999993E-3"/>
    <m/>
    <x v="0"/>
    <m/>
    <x v="1"/>
    <s v="MR"/>
    <s v=""/>
    <m/>
    <m/>
    <m/>
    <m/>
    <m/>
    <n v="1"/>
    <n v="1"/>
    <n v="0"/>
    <n v="0"/>
    <n v="0"/>
    <n v="0"/>
    <n v="0"/>
    <n v="1"/>
    <n v="1"/>
    <n v="0"/>
    <n v="0"/>
    <n v="0"/>
    <n v="0"/>
    <n v="0"/>
    <n v="0"/>
    <n v="0"/>
    <n v="0"/>
    <n v="0"/>
    <n v="0"/>
    <n v="0"/>
    <n v="0"/>
    <n v="0"/>
    <n v="0"/>
    <n v="0"/>
    <n v="0"/>
    <n v="0"/>
    <n v="0"/>
    <n v="0"/>
    <x v="1"/>
    <x v="0"/>
    <x v="2"/>
    <n v="15"/>
    <m/>
    <n v="0.5"/>
    <n v="0.5"/>
    <n v="0.5"/>
    <n v="0.5"/>
    <m/>
    <m/>
    <m/>
    <m/>
    <m/>
    <m/>
    <m/>
    <m/>
    <m/>
    <m/>
    <m/>
    <m/>
    <m/>
    <m/>
    <m/>
    <n v="2"/>
    <n v="2"/>
  </r>
  <r>
    <n v="8096"/>
    <x v="2"/>
    <s v="2023/4888"/>
    <s v="14 Dryburgh Road"/>
    <s v=""/>
    <n v="522957"/>
    <n v="175580"/>
    <x v="3"/>
    <m/>
    <m/>
    <n v="1"/>
    <x v="3"/>
    <x v="6"/>
    <n v="1"/>
    <n v="-2"/>
    <x v="1"/>
    <s v="Conversion of three flats into a 5-bedroom single-dwelling to include the demolition of the existing rear addition and erection of a single-storey rear/side extension. Installation of crittal style glazing and skylights, new side door to easter elevation alongside new window. Alterations to include brick renovation and redocoration of all brick elevations. All existing timber windows to be replaced with hardwood sash and casement windows and reinstatement of front door. Demolition of existing front boundary brick wall and replaced with 9 inch thickness brick wall and wrought iron railings. Installation of sliding wrought iron secure vehicle access gates, landscaping and all other associated works."/>
    <s v="PF"/>
    <d v="2023-12-20T00:00:00"/>
    <d v="2024-02-26T00:00:00"/>
    <x v="1"/>
    <s v="Nil"/>
    <m/>
    <s v="BF"/>
    <s v="CON"/>
    <x v="2"/>
    <x v="11"/>
    <n v="5.3206000000000003E-2"/>
    <m/>
    <x v="0"/>
    <m/>
    <x v="1"/>
    <s v="M"/>
    <s v=""/>
    <m/>
    <m/>
    <m/>
    <m/>
    <m/>
    <n v="0"/>
    <n v="0"/>
    <n v="0"/>
    <n v="0"/>
    <n v="-1"/>
    <n v="1"/>
    <n v="0"/>
    <n v="0"/>
    <n v="0"/>
    <n v="0"/>
    <n v="0"/>
    <n v="-1"/>
    <n v="0"/>
    <n v="0"/>
    <n v="0"/>
    <n v="0"/>
    <n v="0"/>
    <n v="0"/>
    <n v="0"/>
    <n v="1"/>
    <n v="0"/>
    <n v="0"/>
    <n v="0"/>
    <n v="0"/>
    <n v="0"/>
    <n v="0"/>
    <n v="0"/>
    <n v="0"/>
    <x v="1"/>
    <x v="0"/>
    <x v="2"/>
    <n v="15"/>
    <m/>
    <n v="0"/>
    <n v="0"/>
    <n v="0"/>
    <n v="0"/>
    <m/>
    <m/>
    <m/>
    <m/>
    <m/>
    <m/>
    <m/>
    <m/>
    <m/>
    <m/>
    <m/>
    <m/>
    <m/>
    <m/>
    <m/>
    <n v="0"/>
    <n v="0"/>
  </r>
  <r>
    <n v="8096"/>
    <x v="2"/>
    <s v="2023/4888"/>
    <s v="14 Dryburgh Road"/>
    <s v=""/>
    <n v="522957"/>
    <n v="175580"/>
    <x v="3"/>
    <m/>
    <m/>
    <n v="2"/>
    <x v="6"/>
    <x v="13"/>
    <n v="1"/>
    <n v="-2"/>
    <x v="1"/>
    <s v="Conversion of three flats into a 5-bedroom single-dwelling to include the demolition of the existing rear addition and erection of a single-storey rear/side extension. Installation of crittal style glazing and skylights, new side door to easter elevation alongside new window. Alterations to include brick renovation and redocoration of all brick elevations. All existing timber windows to be replaced with hardwood sash and casement windows and reinstatement of front door. Demolition of existing front boundary brick wall and replaced with 9 inch thickness brick wall and wrought iron railings. Installation of sliding wrought iron secure vehicle access gates, landscaping and all other associated works."/>
    <s v="PF"/>
    <d v="2023-12-20T00:00:00"/>
    <d v="2024-02-26T00:00:00"/>
    <x v="1"/>
    <s v="Nil"/>
    <m/>
    <s v="BF"/>
    <s v="CON"/>
    <x v="2"/>
    <x v="11"/>
    <n v="0"/>
    <m/>
    <x v="0"/>
    <m/>
    <x v="0"/>
    <s v="IRL"/>
    <s v=""/>
    <m/>
    <m/>
    <m/>
    <m/>
    <m/>
    <n v="-1"/>
    <n v="-1"/>
    <n v="0"/>
    <n v="0"/>
    <n v="0"/>
    <n v="0"/>
    <n v="0"/>
    <n v="-1"/>
    <n v="-1"/>
    <n v="0"/>
    <n v="0"/>
    <n v="0"/>
    <n v="0"/>
    <n v="0"/>
    <n v="0"/>
    <n v="0"/>
    <n v="0"/>
    <n v="0"/>
    <n v="0"/>
    <n v="0"/>
    <n v="0"/>
    <n v="0"/>
    <n v="0"/>
    <n v="0"/>
    <n v="0"/>
    <n v="0"/>
    <n v="0"/>
    <n v="0"/>
    <x v="1"/>
    <x v="0"/>
    <x v="2"/>
    <n v="15"/>
    <m/>
    <n v="-0.5"/>
    <n v="-0.5"/>
    <n v="-0.5"/>
    <n v="-0.5"/>
    <m/>
    <m/>
    <m/>
    <m/>
    <m/>
    <m/>
    <m/>
    <m/>
    <m/>
    <m/>
    <m/>
    <m/>
    <m/>
    <m/>
    <m/>
    <n v="-2"/>
    <n v="-2"/>
  </r>
  <r>
    <n v="5218"/>
    <x v="2"/>
    <s v="2024/0125"/>
    <s v="Tailors Court, 2 North Drive"/>
    <s v=""/>
    <n v="529350"/>
    <n v="171755"/>
    <x v="9"/>
    <m/>
    <m/>
    <n v="0"/>
    <x v="3"/>
    <x v="5"/>
    <n v="1"/>
    <n v="1"/>
    <x v="1"/>
    <s v="Conversion of assisted bathroom and ancillary rooms into a self-contained one-bedroom flat."/>
    <s v="PF"/>
    <d v="2024-01-22T00:00:00"/>
    <d v="2024-03-18T00:00:00"/>
    <x v="1"/>
    <s v="Nil"/>
    <m/>
    <s v="BF"/>
    <s v="CON"/>
    <x v="2"/>
    <x v="2"/>
    <n v="0"/>
    <m/>
    <x v="0"/>
    <m/>
    <x v="1"/>
    <s v="MR"/>
    <s v=""/>
    <m/>
    <m/>
    <m/>
    <m/>
    <m/>
    <n v="0"/>
    <n v="1"/>
    <n v="0"/>
    <n v="0"/>
    <n v="0"/>
    <n v="0"/>
    <n v="0"/>
    <n v="0"/>
    <n v="1"/>
    <n v="0"/>
    <n v="0"/>
    <n v="0"/>
    <n v="0"/>
    <n v="0"/>
    <n v="0"/>
    <n v="0"/>
    <n v="0"/>
    <n v="0"/>
    <n v="0"/>
    <n v="0"/>
    <n v="0"/>
    <n v="0"/>
    <n v="0"/>
    <n v="0"/>
    <n v="0"/>
    <n v="0"/>
    <n v="0"/>
    <n v="0"/>
    <x v="1"/>
    <x v="0"/>
    <x v="2"/>
    <n v="15"/>
    <m/>
    <n v="0.25"/>
    <n v="0.25"/>
    <n v="0.25"/>
    <n v="0.25"/>
    <m/>
    <m/>
    <m/>
    <m/>
    <m/>
    <m/>
    <m/>
    <m/>
    <m/>
    <m/>
    <m/>
    <m/>
    <m/>
    <m/>
    <m/>
    <n v="1"/>
    <n v="1"/>
  </r>
  <r>
    <n v="8108"/>
    <x v="2"/>
    <s v="2024/0257"/>
    <s v="71 Mysore Road"/>
    <s v="House to small HMO"/>
    <n v="527895"/>
    <n v="175352"/>
    <x v="8"/>
    <m/>
    <m/>
    <n v="1"/>
    <x v="3"/>
    <x v="6"/>
    <n v="1"/>
    <n v="0"/>
    <x v="1"/>
    <s v="Change of use from residential dwelling house (Class C3) to HMO use (Class C4)."/>
    <s v="LDC Prop"/>
    <d v="2024-01-25T00:00:00"/>
    <d v="2024-03-18T00:00:00"/>
    <x v="1"/>
    <s v="Nil"/>
    <m/>
    <s v="BF"/>
    <s v="COU"/>
    <x v="2"/>
    <x v="10"/>
    <n v="1.1512E-2"/>
    <m/>
    <x v="0"/>
    <m/>
    <x v="1"/>
    <s v="MR"/>
    <s v=""/>
    <m/>
    <m/>
    <m/>
    <m/>
    <m/>
    <n v="0"/>
    <n v="0"/>
    <n v="0"/>
    <n v="-1"/>
    <n v="0"/>
    <n v="1"/>
    <n v="0"/>
    <n v="0"/>
    <n v="0"/>
    <n v="0"/>
    <n v="0"/>
    <n v="0"/>
    <n v="0"/>
    <n v="0"/>
    <n v="0"/>
    <n v="0"/>
    <n v="0"/>
    <n v="-1"/>
    <n v="0"/>
    <n v="1"/>
    <n v="0"/>
    <n v="0"/>
    <n v="0"/>
    <n v="0"/>
    <n v="0"/>
    <n v="0"/>
    <n v="0"/>
    <n v="0"/>
    <x v="1"/>
    <x v="0"/>
    <x v="3"/>
    <n v="15"/>
    <m/>
    <n v="0"/>
    <n v="0"/>
    <n v="0"/>
    <n v="0"/>
    <m/>
    <m/>
    <m/>
    <m/>
    <m/>
    <m/>
    <m/>
    <m/>
    <m/>
    <m/>
    <m/>
    <m/>
    <m/>
    <m/>
    <m/>
    <n v="0"/>
    <n v="0"/>
  </r>
  <r>
    <n v="2502"/>
    <x v="3"/>
    <s v="2021/4679"/>
    <s v="Springfield Hospital site, 61 Glenburnie Road"/>
    <s v=""/>
    <n v="527221"/>
    <n v="172443"/>
    <x v="17"/>
    <m/>
    <m/>
    <n v="0"/>
    <x v="19"/>
    <x v="23"/>
    <n v="32"/>
    <n v="32"/>
    <x v="0"/>
    <s v="Alterations, restoration and repair works in connection with the proposed conversion of Fir Tower, Oak Tower and Teak Tower within part of the Main Building (Grade II listed) to  residential use (Class C3) to provide 32 flats (10 x one-bedroom; 16 x two-bedroom and 6 x three-bedroom), together with associated landscaping and servicing works. [See associated listed building application ref. 2021/4827]. NOTE: This is a standalone application that falls outside that covered by the outline planning permission (ref. 2010/3703 dated 20/06/2012, as varied by applications no. 2014/6585 dated 04/06/2015; 2016/4760 dated 24/04/2018 and 2019/2495 dated 28/02/2020, and associated Reserved Matters applications for the conversion of the remainder of the Main Building."/>
    <s v="SLA"/>
    <d v="2021-12-03T00:00:00"/>
    <m/>
    <x v="0"/>
    <s v="Nil"/>
    <m/>
    <s v="BF"/>
    <s v="CON"/>
    <x v="5"/>
    <x v="0"/>
    <n v="7.1199999999999999E-2"/>
    <m/>
    <x v="0"/>
    <m/>
    <x v="1"/>
    <s v="M"/>
    <s v="9.1"/>
    <m/>
    <m/>
    <m/>
    <m/>
    <m/>
    <n v="0"/>
    <n v="10"/>
    <n v="16"/>
    <n v="6"/>
    <n v="0"/>
    <n v="0"/>
    <n v="0"/>
    <n v="0"/>
    <n v="10"/>
    <n v="16"/>
    <n v="6"/>
    <n v="0"/>
    <n v="0"/>
    <n v="0"/>
    <n v="0"/>
    <n v="0"/>
    <n v="0"/>
    <n v="0"/>
    <n v="0"/>
    <n v="0"/>
    <n v="0"/>
    <n v="0"/>
    <n v="0"/>
    <n v="0"/>
    <n v="0"/>
    <n v="0"/>
    <n v="0"/>
    <n v="0"/>
    <x v="1"/>
    <x v="0"/>
    <x v="2"/>
    <n v="17"/>
    <m/>
    <m/>
    <m/>
    <m/>
    <m/>
    <m/>
    <n v="8"/>
    <n v="8"/>
    <n v="8"/>
    <n v="8"/>
    <m/>
    <m/>
    <m/>
    <m/>
    <m/>
    <m/>
    <m/>
    <m/>
    <m/>
    <m/>
    <n v="0"/>
    <n v="32"/>
  </r>
  <r>
    <n v="7911"/>
    <x v="3"/>
    <s v="2022/4356"/>
    <s v="The Kalos Centre, 48 Endlesham Road"/>
    <s v=""/>
    <n v="528292"/>
    <n v="173674"/>
    <x v="6"/>
    <m/>
    <m/>
    <n v="0"/>
    <x v="29"/>
    <x v="33"/>
    <n v="9"/>
    <n v="9"/>
    <x v="1"/>
    <s v="Demolition of the existing building and erection of a part-single, part-three storey building to provide a community centre at ground floor level (Class F), and 8 x studio and 1 x 1-bed flats above (Class C3), with associated landscaping, refuse and cycle storage."/>
    <s v="SLA"/>
    <d v="2022-10-26T00:00:00"/>
    <m/>
    <x v="0"/>
    <s v="Nil"/>
    <m/>
    <s v="BF"/>
    <s v="NB"/>
    <x v="2"/>
    <x v="3"/>
    <n v="1.7299999999999999E-2"/>
    <m/>
    <x v="0"/>
    <m/>
    <x v="2"/>
    <s v="AL"/>
    <s v=""/>
    <m/>
    <m/>
    <m/>
    <m/>
    <m/>
    <n v="8"/>
    <n v="1"/>
    <n v="0"/>
    <n v="0"/>
    <n v="0"/>
    <n v="0"/>
    <n v="0"/>
    <n v="8"/>
    <n v="1"/>
    <n v="0"/>
    <n v="0"/>
    <n v="0"/>
    <n v="0"/>
    <n v="0"/>
    <n v="0"/>
    <n v="0"/>
    <n v="0"/>
    <n v="0"/>
    <n v="0"/>
    <n v="0"/>
    <n v="0"/>
    <n v="0"/>
    <n v="0"/>
    <n v="0"/>
    <n v="0"/>
    <n v="0"/>
    <n v="0"/>
    <n v="0"/>
    <x v="1"/>
    <x v="0"/>
    <x v="2"/>
    <n v="9"/>
    <m/>
    <m/>
    <m/>
    <m/>
    <m/>
    <m/>
    <n v="3"/>
    <n v="3"/>
    <n v="3"/>
    <m/>
    <m/>
    <m/>
    <m/>
    <m/>
    <m/>
    <m/>
    <m/>
    <m/>
    <m/>
    <m/>
    <n v="0"/>
    <n v="9"/>
  </r>
  <r>
    <n v="7736"/>
    <x v="3"/>
    <s v="2023/0892"/>
    <s v="57-59 Lombard Road"/>
    <s v="Discount Market Rent"/>
    <n v="526746"/>
    <n v="176088"/>
    <x v="15"/>
    <m/>
    <m/>
    <n v="0"/>
    <x v="68"/>
    <x v="77"/>
    <n v="294"/>
    <n v="294"/>
    <x v="0"/>
    <s v="Proposed erection of a mixed-use development up to 24 storeys comprising of Build to Rent residential units (Class C3) with affordable housing, ground floor retail (approximately 316 sqm GIA floorspace Class E), landscaping and all associated works."/>
    <s v="SLA"/>
    <d v="2023-03-07T00:00:00"/>
    <m/>
    <x v="0"/>
    <s v="Nil"/>
    <m/>
    <s v="BF"/>
    <s v="NB"/>
    <x v="1"/>
    <x v="0"/>
    <n v="1.2200000000000001E-2"/>
    <m/>
    <x v="0"/>
    <m/>
    <x v="0"/>
    <s v="IRD"/>
    <s v=""/>
    <m/>
    <m/>
    <n v="24"/>
    <m/>
    <n v="4"/>
    <n v="0"/>
    <n v="8"/>
    <n v="20"/>
    <n v="0"/>
    <n v="0"/>
    <n v="0"/>
    <n v="0"/>
    <n v="0"/>
    <n v="8"/>
    <n v="20"/>
    <n v="0"/>
    <n v="0"/>
    <n v="0"/>
    <n v="0"/>
    <n v="0"/>
    <n v="0"/>
    <n v="0"/>
    <n v="0"/>
    <n v="0"/>
    <n v="0"/>
    <n v="0"/>
    <n v="0"/>
    <n v="0"/>
    <n v="0"/>
    <n v="0"/>
    <n v="0"/>
    <n v="0"/>
    <n v="0"/>
    <x v="1"/>
    <x v="0"/>
    <x v="3"/>
    <n v="9"/>
    <m/>
    <m/>
    <m/>
    <m/>
    <m/>
    <m/>
    <n v="9.3333333333333339"/>
    <n v="9.3333333333333339"/>
    <n v="9.3333333333333339"/>
    <m/>
    <m/>
    <m/>
    <m/>
    <m/>
    <m/>
    <m/>
    <m/>
    <m/>
    <m/>
    <m/>
    <n v="0"/>
    <n v="28"/>
  </r>
  <r>
    <n v="7736"/>
    <x v="3"/>
    <s v="2023/0892"/>
    <s v="57-59 Lombard Road"/>
    <s v="London Affordable Rent"/>
    <n v="526746"/>
    <n v="176088"/>
    <x v="15"/>
    <m/>
    <m/>
    <n v="0"/>
    <x v="113"/>
    <x v="130"/>
    <n v="294"/>
    <n v="294"/>
    <x v="0"/>
    <s v="Proposed erection of a mixed-use development up to 24 storeys comprising of Build to Rent residential units (Class C3) with affordable housing, ground floor retail (approximately 316 sqm GIA floorspace Class E), landscaping and all associated works."/>
    <s v="SLA"/>
    <d v="2023-03-07T00:00:00"/>
    <m/>
    <x v="0"/>
    <s v="Nil"/>
    <m/>
    <s v="BF"/>
    <s v="NB"/>
    <x v="1"/>
    <x v="0"/>
    <n v="2.7199999999999998E-2"/>
    <m/>
    <x v="0"/>
    <m/>
    <x v="2"/>
    <s v="AL"/>
    <s v=""/>
    <m/>
    <m/>
    <n v="52"/>
    <m/>
    <n v="10"/>
    <n v="0"/>
    <n v="13"/>
    <n v="33"/>
    <n v="16"/>
    <n v="0"/>
    <n v="0"/>
    <n v="0"/>
    <n v="0"/>
    <n v="13"/>
    <n v="33"/>
    <n v="16"/>
    <n v="0"/>
    <n v="0"/>
    <n v="0"/>
    <n v="0"/>
    <n v="0"/>
    <n v="0"/>
    <n v="0"/>
    <n v="0"/>
    <n v="0"/>
    <n v="0"/>
    <n v="0"/>
    <n v="0"/>
    <n v="0"/>
    <n v="0"/>
    <n v="0"/>
    <n v="0"/>
    <n v="0"/>
    <x v="1"/>
    <x v="0"/>
    <x v="3"/>
    <n v="9"/>
    <m/>
    <m/>
    <m/>
    <m/>
    <m/>
    <m/>
    <n v="20.666666666666668"/>
    <n v="20.666666666666668"/>
    <n v="20.666666666666668"/>
    <m/>
    <m/>
    <m/>
    <m/>
    <m/>
    <m/>
    <m/>
    <m/>
    <m/>
    <m/>
    <m/>
    <n v="0"/>
    <n v="62"/>
  </r>
  <r>
    <n v="7736"/>
    <x v="3"/>
    <s v="2023/0892"/>
    <s v="57-59 Lombard Road"/>
    <s v="Market"/>
    <n v="526746"/>
    <n v="176088"/>
    <x v="15"/>
    <m/>
    <m/>
    <n v="0"/>
    <x v="114"/>
    <x v="131"/>
    <n v="294"/>
    <n v="294"/>
    <x v="0"/>
    <s v="Proposed erection of a mixed-use development up to 24 storeys comprising of Build to Rent residential units (Class C3) with affordable housing, ground floor retail (approximately 316 sqm GIA floorspace Class E), landscaping and all associated works."/>
    <s v="SLA"/>
    <d v="2023-03-07T00:00:00"/>
    <m/>
    <x v="0"/>
    <s v="Nil"/>
    <m/>
    <s v="BF"/>
    <s v="NB"/>
    <x v="1"/>
    <x v="0"/>
    <n v="8.9499999999999996E-2"/>
    <m/>
    <x v="0"/>
    <m/>
    <x v="1"/>
    <s v="MR"/>
    <s v=""/>
    <m/>
    <m/>
    <n v="187"/>
    <m/>
    <n v="17"/>
    <n v="22"/>
    <n v="88"/>
    <n v="82"/>
    <n v="12"/>
    <n v="0"/>
    <n v="0"/>
    <n v="0"/>
    <n v="22"/>
    <n v="88"/>
    <n v="82"/>
    <n v="12"/>
    <n v="0"/>
    <n v="0"/>
    <n v="0"/>
    <n v="0"/>
    <n v="0"/>
    <n v="0"/>
    <n v="0"/>
    <n v="0"/>
    <n v="0"/>
    <n v="0"/>
    <n v="0"/>
    <n v="0"/>
    <n v="0"/>
    <n v="0"/>
    <n v="0"/>
    <n v="0"/>
    <n v="0"/>
    <x v="1"/>
    <x v="0"/>
    <x v="3"/>
    <n v="9"/>
    <m/>
    <m/>
    <m/>
    <m/>
    <m/>
    <m/>
    <n v="68"/>
    <n v="68"/>
    <n v="68"/>
    <m/>
    <m/>
    <m/>
    <m/>
    <m/>
    <m/>
    <m/>
    <m/>
    <m/>
    <m/>
    <m/>
    <n v="0"/>
    <n v="204"/>
  </r>
  <r>
    <n v="8087"/>
    <x v="3"/>
    <s v="2023/4762"/>
    <s v="Land adjacent to Farnborough House , Rushmere House &amp; Chilcombe House, Fontley Way"/>
    <s v="Social Rent"/>
    <n v="522170"/>
    <n v="173469"/>
    <x v="4"/>
    <m/>
    <m/>
    <n v="0"/>
    <x v="14"/>
    <x v="18"/>
    <n v="38"/>
    <n v="38"/>
    <x v="0"/>
    <s v="Demolition of all existing structures and erection of three, residential  blocks (five-storeys) comprising of 38 units (12 x 1-bedroom, 18 x 2-bedroom and 8 x 3-bedroom flats) with associated landscaping/tree planting, car parking, cycle, refuse storage and play area"/>
    <s v="SLA"/>
    <d v="2023-12-19T00:00:00"/>
    <m/>
    <x v="0"/>
    <s v="Nil"/>
    <m/>
    <s v="BF"/>
    <s v="NB"/>
    <x v="1"/>
    <x v="0"/>
    <n v="1.053879"/>
    <m/>
    <x v="0"/>
    <m/>
    <x v="2"/>
    <s v="AS"/>
    <s v=""/>
    <m/>
    <m/>
    <m/>
    <m/>
    <m/>
    <n v="0"/>
    <n v="12"/>
    <n v="18"/>
    <n v="8"/>
    <n v="0"/>
    <n v="0"/>
    <n v="0"/>
    <n v="0"/>
    <n v="12"/>
    <n v="18"/>
    <n v="8"/>
    <n v="0"/>
    <n v="0"/>
    <n v="0"/>
    <n v="0"/>
    <n v="0"/>
    <n v="0"/>
    <n v="0"/>
    <n v="0"/>
    <n v="0"/>
    <n v="0"/>
    <n v="0"/>
    <n v="0"/>
    <n v="0"/>
    <n v="0"/>
    <n v="0"/>
    <n v="0"/>
    <n v="0"/>
    <x v="1"/>
    <x v="0"/>
    <x v="2"/>
    <n v="9"/>
    <m/>
    <m/>
    <m/>
    <m/>
    <m/>
    <m/>
    <n v="12.666666666666666"/>
    <n v="12.666666666666666"/>
    <n v="12.666666666666666"/>
    <m/>
    <m/>
    <m/>
    <m/>
    <m/>
    <m/>
    <m/>
    <m/>
    <m/>
    <m/>
    <m/>
    <n v="0"/>
    <n v="38"/>
  </r>
  <r>
    <n v="7571"/>
    <x v="4"/>
    <m/>
    <s v="36-46 St John's Road and 17 Severus Road"/>
    <m/>
    <n v="527351"/>
    <n v="175329"/>
    <x v="8"/>
    <m/>
    <m/>
    <n v="0"/>
    <x v="10"/>
    <x v="14"/>
    <n v="10"/>
    <n v="10"/>
    <x v="0"/>
    <s v="Redevelopment"/>
    <s v="NONE"/>
    <m/>
    <m/>
    <x v="0"/>
    <s v="Nil"/>
    <m/>
    <s v="BF"/>
    <s v="NB"/>
    <x v="1"/>
    <x v="0"/>
    <n v="0"/>
    <m/>
    <x v="0"/>
    <m/>
    <x v="1"/>
    <s v="M"/>
    <s v="CJ7"/>
    <m/>
    <n v="0"/>
    <n v="0"/>
    <n v="0"/>
    <n v="0"/>
    <n v="0"/>
    <n v="0"/>
    <n v="0"/>
    <n v="0"/>
    <n v="0"/>
    <n v="0"/>
    <n v="7"/>
    <n v="0"/>
    <n v="0"/>
    <n v="0"/>
    <n v="0"/>
    <n v="0"/>
    <n v="0"/>
    <n v="7"/>
    <n v="0"/>
    <n v="0"/>
    <n v="0"/>
    <n v="0"/>
    <n v="0"/>
    <n v="0"/>
    <n v="0"/>
    <n v="0"/>
    <n v="0"/>
    <n v="0"/>
    <n v="0"/>
    <n v="0"/>
    <n v="0"/>
    <n v="0"/>
    <x v="3"/>
    <x v="0"/>
    <x v="11"/>
    <n v="19"/>
    <m/>
    <m/>
    <m/>
    <n v="7"/>
    <m/>
    <m/>
    <m/>
    <m/>
    <m/>
    <m/>
    <m/>
    <m/>
    <m/>
    <m/>
    <m/>
    <m/>
    <m/>
    <m/>
    <m/>
    <m/>
    <n v="7"/>
    <n v="7"/>
  </r>
  <r>
    <n v="7571"/>
    <x v="4"/>
    <m/>
    <s v="36-46 St John's Road and 17 Severus Road"/>
    <m/>
    <n v="527351"/>
    <n v="175329"/>
    <x v="8"/>
    <m/>
    <m/>
    <n v="0"/>
    <x v="5"/>
    <x v="7"/>
    <n v="10"/>
    <n v="10"/>
    <x v="0"/>
    <s v="Redevelopment"/>
    <s v="NONE"/>
    <m/>
    <m/>
    <x v="0"/>
    <s v="Nil"/>
    <m/>
    <s v="BF"/>
    <s v="NB"/>
    <x v="1"/>
    <x v="0"/>
    <n v="0"/>
    <m/>
    <x v="0"/>
    <m/>
    <x v="2"/>
    <s v="AA"/>
    <s v="CJ7"/>
    <m/>
    <n v="0"/>
    <n v="0"/>
    <n v="0"/>
    <n v="0"/>
    <n v="0"/>
    <n v="0"/>
    <n v="0"/>
    <n v="0"/>
    <n v="0"/>
    <n v="0"/>
    <n v="2"/>
    <n v="0"/>
    <n v="0"/>
    <n v="0"/>
    <n v="0"/>
    <n v="0"/>
    <n v="0"/>
    <n v="2"/>
    <n v="0"/>
    <n v="0"/>
    <n v="0"/>
    <n v="0"/>
    <n v="0"/>
    <n v="0"/>
    <n v="0"/>
    <n v="0"/>
    <n v="0"/>
    <n v="0"/>
    <n v="0"/>
    <n v="0"/>
    <n v="0"/>
    <n v="0"/>
    <x v="3"/>
    <x v="0"/>
    <x v="11"/>
    <n v="19"/>
    <m/>
    <m/>
    <m/>
    <n v="2"/>
    <m/>
    <m/>
    <m/>
    <m/>
    <m/>
    <m/>
    <m/>
    <m/>
    <m/>
    <m/>
    <m/>
    <m/>
    <m/>
    <m/>
    <m/>
    <m/>
    <n v="2"/>
    <n v="2"/>
  </r>
  <r>
    <n v="7571"/>
    <x v="4"/>
    <m/>
    <s v="36-46 St John's Road and 17 Severus Road"/>
    <m/>
    <n v="527351"/>
    <n v="175329"/>
    <x v="8"/>
    <m/>
    <m/>
    <n v="0"/>
    <x v="3"/>
    <x v="5"/>
    <n v="10"/>
    <n v="10"/>
    <x v="0"/>
    <s v="Redevelopment"/>
    <s v="NONE"/>
    <m/>
    <m/>
    <x v="0"/>
    <s v="Nil"/>
    <m/>
    <s v="BF"/>
    <s v="NB"/>
    <x v="1"/>
    <x v="0"/>
    <n v="0"/>
    <m/>
    <x v="0"/>
    <m/>
    <x v="0"/>
    <s v="IU"/>
    <s v="CJ7"/>
    <m/>
    <n v="0"/>
    <n v="0"/>
    <n v="0"/>
    <n v="0"/>
    <n v="0"/>
    <n v="0"/>
    <n v="0"/>
    <n v="0"/>
    <n v="0"/>
    <n v="0"/>
    <n v="1"/>
    <n v="0"/>
    <n v="0"/>
    <n v="0"/>
    <n v="0"/>
    <n v="0"/>
    <n v="0"/>
    <n v="1"/>
    <n v="0"/>
    <n v="0"/>
    <n v="0"/>
    <n v="0"/>
    <n v="0"/>
    <n v="0"/>
    <n v="0"/>
    <n v="0"/>
    <n v="0"/>
    <n v="0"/>
    <n v="0"/>
    <n v="0"/>
    <n v="0"/>
    <n v="0"/>
    <x v="3"/>
    <x v="0"/>
    <x v="11"/>
    <n v="19"/>
    <m/>
    <m/>
    <m/>
    <n v="1"/>
    <m/>
    <m/>
    <m/>
    <m/>
    <m/>
    <m/>
    <m/>
    <m/>
    <m/>
    <m/>
    <m/>
    <m/>
    <m/>
    <m/>
    <m/>
    <m/>
    <n v="1"/>
    <n v="1"/>
  </r>
  <r>
    <n v="7572"/>
    <x v="4"/>
    <m/>
    <s v="55-61 Putney High Road (Former M&amp;S site), SW15 1SP"/>
    <m/>
    <n v="524096"/>
    <n v="175411"/>
    <x v="3"/>
    <m/>
    <m/>
    <n v="0"/>
    <x v="24"/>
    <x v="28"/>
    <n v="5"/>
    <n v="5"/>
    <x v="1"/>
    <s v="Redevelopment"/>
    <s v="NONE"/>
    <m/>
    <m/>
    <x v="0"/>
    <s v="Nil"/>
    <m/>
    <s v="BF"/>
    <s v="NB"/>
    <x v="2"/>
    <x v="3"/>
    <n v="0"/>
    <m/>
    <x v="0"/>
    <m/>
    <x v="1"/>
    <s v="M"/>
    <s v="PUT6"/>
    <m/>
    <n v="0"/>
    <n v="0"/>
    <n v="0"/>
    <n v="0"/>
    <n v="0"/>
    <n v="0"/>
    <n v="0"/>
    <n v="0"/>
    <n v="0"/>
    <n v="0"/>
    <n v="5"/>
    <n v="0"/>
    <n v="0"/>
    <n v="0"/>
    <n v="0"/>
    <n v="0"/>
    <n v="0"/>
    <n v="5"/>
    <n v="0"/>
    <n v="0"/>
    <n v="0"/>
    <n v="0"/>
    <n v="0"/>
    <n v="0"/>
    <n v="0"/>
    <n v="0"/>
    <n v="0"/>
    <n v="0"/>
    <n v="0"/>
    <n v="0"/>
    <n v="0"/>
    <n v="0"/>
    <x v="2"/>
    <x v="0"/>
    <x v="12"/>
    <n v="19"/>
    <m/>
    <m/>
    <m/>
    <n v="5"/>
    <m/>
    <m/>
    <m/>
    <m/>
    <m/>
    <m/>
    <m/>
    <m/>
    <m/>
    <m/>
    <m/>
    <m/>
    <m/>
    <m/>
    <m/>
    <m/>
    <n v="5"/>
    <n v="5"/>
  </r>
  <r>
    <n v="7386"/>
    <x v="4"/>
    <m/>
    <s v="Crewkerne Court Garages, Battersea Church Road (Somerset Estate)"/>
    <m/>
    <n v="526944"/>
    <n v="176965"/>
    <x v="15"/>
    <m/>
    <m/>
    <n v="0"/>
    <x v="115"/>
    <x v="132"/>
    <n v="81"/>
    <n v="81"/>
    <x v="0"/>
    <s v="Redevelopment"/>
    <s v="NONE"/>
    <m/>
    <m/>
    <x v="0"/>
    <s v="Nil"/>
    <m/>
    <s v="BF"/>
    <s v="NB"/>
    <x v="1"/>
    <x v="0"/>
    <n v="0"/>
    <m/>
    <x v="0"/>
    <m/>
    <x v="1"/>
    <s v="M"/>
    <s v="RIV11"/>
    <m/>
    <n v="0"/>
    <n v="0"/>
    <n v="0"/>
    <n v="0"/>
    <n v="0"/>
    <n v="0"/>
    <n v="0"/>
    <n v="0"/>
    <n v="0"/>
    <n v="0"/>
    <n v="53"/>
    <n v="0"/>
    <n v="0"/>
    <n v="0"/>
    <n v="0"/>
    <n v="0"/>
    <n v="0"/>
    <n v="53"/>
    <n v="0"/>
    <n v="0"/>
    <n v="0"/>
    <n v="0"/>
    <n v="0"/>
    <n v="0"/>
    <n v="0"/>
    <n v="0"/>
    <n v="0"/>
    <n v="0"/>
    <n v="0"/>
    <n v="0"/>
    <n v="0"/>
    <n v="0"/>
    <x v="1"/>
    <x v="0"/>
    <x v="4"/>
    <n v="19"/>
    <m/>
    <m/>
    <m/>
    <n v="53"/>
    <m/>
    <m/>
    <m/>
    <m/>
    <m/>
    <m/>
    <m/>
    <m/>
    <m/>
    <m/>
    <m/>
    <m/>
    <m/>
    <m/>
    <m/>
    <m/>
    <n v="53"/>
    <n v="53"/>
  </r>
  <r>
    <n v="7386"/>
    <x v="4"/>
    <m/>
    <s v="Crewkerne Court Garages, Battersea Church Road (Somerset Estate)"/>
    <m/>
    <n v="526944"/>
    <n v="176965"/>
    <x v="15"/>
    <m/>
    <m/>
    <n v="0"/>
    <x v="46"/>
    <x v="55"/>
    <n v="81"/>
    <n v="81"/>
    <x v="0"/>
    <s v="Redevelopment"/>
    <s v="NONE"/>
    <m/>
    <m/>
    <x v="0"/>
    <s v="Nil"/>
    <m/>
    <s v="BF"/>
    <s v="NB"/>
    <x v="1"/>
    <x v="0"/>
    <n v="0"/>
    <m/>
    <x v="0"/>
    <m/>
    <x v="2"/>
    <s v="AA"/>
    <s v="RIV11"/>
    <m/>
    <n v="0"/>
    <n v="0"/>
    <n v="0"/>
    <n v="0"/>
    <n v="0"/>
    <n v="0"/>
    <n v="0"/>
    <n v="0"/>
    <n v="0"/>
    <n v="0"/>
    <n v="14"/>
    <n v="0"/>
    <n v="0"/>
    <n v="0"/>
    <n v="0"/>
    <n v="0"/>
    <n v="0"/>
    <n v="14"/>
    <n v="0"/>
    <n v="0"/>
    <n v="0"/>
    <n v="0"/>
    <n v="0"/>
    <n v="0"/>
    <n v="0"/>
    <n v="0"/>
    <n v="0"/>
    <n v="0"/>
    <n v="0"/>
    <n v="0"/>
    <n v="0"/>
    <n v="0"/>
    <x v="1"/>
    <x v="0"/>
    <x v="4"/>
    <n v="19"/>
    <m/>
    <m/>
    <m/>
    <n v="14"/>
    <m/>
    <m/>
    <m/>
    <m/>
    <m/>
    <m/>
    <m/>
    <m/>
    <m/>
    <m/>
    <m/>
    <m/>
    <m/>
    <m/>
    <m/>
    <m/>
    <n v="14"/>
    <n v="14"/>
  </r>
  <r>
    <n v="7386"/>
    <x v="4"/>
    <m/>
    <s v="Crewkerne Court Garages, Battersea Church Road (Somerset Estate)"/>
    <m/>
    <n v="526944"/>
    <n v="176965"/>
    <x v="15"/>
    <m/>
    <m/>
    <n v="0"/>
    <x v="46"/>
    <x v="55"/>
    <n v="81"/>
    <n v="81"/>
    <x v="0"/>
    <s v="Redevelopment"/>
    <s v="NONE"/>
    <m/>
    <m/>
    <x v="0"/>
    <s v="Nil"/>
    <m/>
    <s v="BF"/>
    <s v="NB"/>
    <x v="1"/>
    <x v="0"/>
    <n v="0"/>
    <m/>
    <x v="0"/>
    <m/>
    <x v="0"/>
    <s v="IU"/>
    <s v="RIV11"/>
    <m/>
    <n v="0"/>
    <n v="0"/>
    <n v="0"/>
    <n v="0"/>
    <n v="0"/>
    <n v="0"/>
    <n v="0"/>
    <n v="0"/>
    <n v="0"/>
    <n v="0"/>
    <n v="14"/>
    <n v="0"/>
    <n v="0"/>
    <n v="0"/>
    <n v="0"/>
    <n v="0"/>
    <n v="0"/>
    <n v="14"/>
    <n v="0"/>
    <n v="0"/>
    <n v="0"/>
    <n v="0"/>
    <n v="0"/>
    <n v="0"/>
    <n v="0"/>
    <n v="0"/>
    <n v="0"/>
    <n v="0"/>
    <n v="0"/>
    <n v="0"/>
    <n v="0"/>
    <n v="0"/>
    <x v="1"/>
    <x v="0"/>
    <x v="4"/>
    <n v="19"/>
    <m/>
    <m/>
    <m/>
    <n v="14"/>
    <m/>
    <m/>
    <m/>
    <m/>
    <m/>
    <m/>
    <m/>
    <m/>
    <m/>
    <m/>
    <m/>
    <m/>
    <m/>
    <m/>
    <m/>
    <m/>
    <n v="14"/>
    <n v="14"/>
  </r>
  <r>
    <n v="6899"/>
    <x v="4"/>
    <m/>
    <s v="Land on the corner of Grant Road and, Falcon Road"/>
    <m/>
    <n v="527207"/>
    <n v="175690"/>
    <x v="21"/>
    <m/>
    <m/>
    <n v="0"/>
    <x v="116"/>
    <x v="133"/>
    <n v="243"/>
    <n v="243"/>
    <x v="0"/>
    <s v="Redevelopment"/>
    <s v="NONE"/>
    <m/>
    <m/>
    <x v="0"/>
    <s v="Nil"/>
    <m/>
    <s v="BF"/>
    <s v="NB"/>
    <x v="1"/>
    <x v="0"/>
    <n v="0"/>
    <m/>
    <x v="0"/>
    <m/>
    <x v="1"/>
    <s v="M"/>
    <s v="CJ3"/>
    <m/>
    <n v="0"/>
    <n v="0"/>
    <n v="0"/>
    <n v="0"/>
    <n v="0"/>
    <n v="0"/>
    <n v="0"/>
    <n v="0"/>
    <n v="0"/>
    <n v="0"/>
    <n v="158"/>
    <n v="0"/>
    <n v="0"/>
    <n v="0"/>
    <n v="0"/>
    <n v="0"/>
    <n v="0"/>
    <n v="158"/>
    <n v="0"/>
    <n v="0"/>
    <n v="0"/>
    <n v="0"/>
    <n v="0"/>
    <n v="0"/>
    <n v="0"/>
    <n v="0"/>
    <n v="0"/>
    <n v="0"/>
    <n v="0"/>
    <n v="0"/>
    <n v="0"/>
    <n v="0"/>
    <x v="3"/>
    <x v="0"/>
    <x v="11"/>
    <n v="19"/>
    <m/>
    <m/>
    <m/>
    <n v="158"/>
    <m/>
    <m/>
    <m/>
    <m/>
    <m/>
    <m/>
    <m/>
    <m/>
    <m/>
    <m/>
    <m/>
    <m/>
    <m/>
    <m/>
    <m/>
    <m/>
    <n v="158"/>
    <n v="158"/>
  </r>
  <r>
    <n v="6899"/>
    <x v="4"/>
    <m/>
    <s v="Land on the corner of Grant Road and, Falcon Road"/>
    <m/>
    <n v="527207"/>
    <n v="175690"/>
    <x v="21"/>
    <m/>
    <m/>
    <n v="0"/>
    <x v="17"/>
    <x v="21"/>
    <n v="243"/>
    <n v="243"/>
    <x v="0"/>
    <s v="Redevelopment"/>
    <s v="NONE"/>
    <m/>
    <m/>
    <x v="0"/>
    <s v="Nil"/>
    <m/>
    <s v="BF"/>
    <s v="NB"/>
    <x v="1"/>
    <x v="0"/>
    <n v="0"/>
    <m/>
    <x v="0"/>
    <m/>
    <x v="2"/>
    <s v="AA"/>
    <s v="CJ3"/>
    <m/>
    <n v="0"/>
    <n v="0"/>
    <n v="0"/>
    <n v="0"/>
    <n v="0"/>
    <n v="0"/>
    <n v="0"/>
    <n v="0"/>
    <n v="0"/>
    <n v="0"/>
    <n v="43"/>
    <n v="0"/>
    <n v="0"/>
    <n v="0"/>
    <n v="0"/>
    <n v="0"/>
    <n v="0"/>
    <n v="43"/>
    <n v="0"/>
    <n v="0"/>
    <n v="0"/>
    <n v="0"/>
    <n v="0"/>
    <n v="0"/>
    <n v="0"/>
    <n v="0"/>
    <n v="0"/>
    <n v="0"/>
    <n v="0"/>
    <n v="0"/>
    <n v="0"/>
    <n v="0"/>
    <x v="3"/>
    <x v="0"/>
    <x v="11"/>
    <n v="19"/>
    <m/>
    <m/>
    <m/>
    <n v="43"/>
    <m/>
    <m/>
    <m/>
    <m/>
    <m/>
    <m/>
    <m/>
    <m/>
    <m/>
    <m/>
    <m/>
    <m/>
    <m/>
    <m/>
    <m/>
    <m/>
    <n v="43"/>
    <n v="43"/>
  </r>
  <r>
    <n v="6899"/>
    <x v="4"/>
    <m/>
    <s v="Land on the corner of Grant Road and, Falcon Road"/>
    <m/>
    <n v="527207"/>
    <n v="175690"/>
    <x v="21"/>
    <m/>
    <m/>
    <n v="0"/>
    <x v="16"/>
    <x v="20"/>
    <n v="243"/>
    <n v="243"/>
    <x v="0"/>
    <s v="Redevelopment"/>
    <s v="NONE"/>
    <m/>
    <m/>
    <x v="0"/>
    <s v="Nil"/>
    <m/>
    <s v="BF"/>
    <s v="NB"/>
    <x v="1"/>
    <x v="0"/>
    <n v="0"/>
    <m/>
    <x v="0"/>
    <m/>
    <x v="0"/>
    <s v="IU"/>
    <s v="CJ3"/>
    <m/>
    <n v="0"/>
    <n v="0"/>
    <n v="0"/>
    <n v="0"/>
    <n v="0"/>
    <n v="0"/>
    <n v="0"/>
    <n v="0"/>
    <n v="0"/>
    <n v="0"/>
    <n v="42"/>
    <n v="0"/>
    <n v="0"/>
    <n v="0"/>
    <n v="0"/>
    <n v="0"/>
    <n v="0"/>
    <n v="42"/>
    <n v="0"/>
    <n v="0"/>
    <n v="0"/>
    <n v="0"/>
    <n v="0"/>
    <n v="0"/>
    <n v="0"/>
    <n v="0"/>
    <n v="0"/>
    <n v="0"/>
    <n v="0"/>
    <n v="0"/>
    <n v="0"/>
    <n v="0"/>
    <x v="3"/>
    <x v="0"/>
    <x v="11"/>
    <n v="19"/>
    <m/>
    <m/>
    <m/>
    <n v="42"/>
    <m/>
    <m/>
    <m/>
    <m/>
    <m/>
    <m/>
    <m/>
    <m/>
    <m/>
    <m/>
    <m/>
    <m/>
    <m/>
    <m/>
    <m/>
    <m/>
    <n v="42"/>
    <n v="42"/>
  </r>
  <r>
    <n v="7541"/>
    <x v="4"/>
    <m/>
    <s v="104 Friars Avenue, Roehampton Vale Campus Kingston University, SW15 3DW"/>
    <m/>
    <n v="521608"/>
    <n v="172378"/>
    <x v="4"/>
    <m/>
    <m/>
    <n v="0"/>
    <x v="0"/>
    <x v="0"/>
    <n v="6"/>
    <n v="6"/>
    <x v="1"/>
    <s v="Redevelopment"/>
    <s v="NONE"/>
    <m/>
    <m/>
    <x v="0"/>
    <s v="Nil"/>
    <m/>
    <s v="BF"/>
    <s v="NB"/>
    <x v="2"/>
    <x v="3"/>
    <n v="0"/>
    <m/>
    <x v="0"/>
    <m/>
    <x v="1"/>
    <s v="M"/>
    <m/>
    <m/>
    <n v="0"/>
    <n v="0"/>
    <n v="0"/>
    <n v="0"/>
    <n v="0"/>
    <n v="0"/>
    <n v="0"/>
    <n v="0"/>
    <n v="0"/>
    <n v="0"/>
    <n v="6"/>
    <n v="0"/>
    <n v="0"/>
    <n v="0"/>
    <n v="0"/>
    <n v="0"/>
    <n v="0"/>
    <n v="6"/>
    <n v="0"/>
    <n v="0"/>
    <n v="0"/>
    <n v="0"/>
    <n v="0"/>
    <n v="0"/>
    <n v="0"/>
    <n v="0"/>
    <n v="0"/>
    <n v="0"/>
    <n v="0"/>
    <n v="0"/>
    <n v="0"/>
    <n v="0"/>
    <x v="1"/>
    <x v="0"/>
    <x v="2"/>
    <n v="19"/>
    <m/>
    <m/>
    <m/>
    <m/>
    <m/>
    <n v="6"/>
    <m/>
    <m/>
    <m/>
    <m/>
    <m/>
    <m/>
    <m/>
    <m/>
    <m/>
    <m/>
    <m/>
    <m/>
    <m/>
    <m/>
    <n v="6"/>
    <n v="6"/>
  </r>
  <r>
    <n v="6867"/>
    <x v="4"/>
    <m/>
    <s v="259-311 Battersea Park Road, SW 11 (Doddington Estate part)"/>
    <m/>
    <n v="528331.56229999894"/>
    <n v="176668.96749999901"/>
    <x v="2"/>
    <m/>
    <m/>
    <n v="0"/>
    <x v="1"/>
    <x v="1"/>
    <n v="20"/>
    <n v="20"/>
    <x v="0"/>
    <s v="Redevelopment"/>
    <s v="NONE"/>
    <m/>
    <m/>
    <x v="0"/>
    <s v="Nil"/>
    <m/>
    <s v="BF"/>
    <s v="NB"/>
    <x v="1"/>
    <x v="0"/>
    <n v="0"/>
    <m/>
    <x v="0"/>
    <m/>
    <x v="1"/>
    <s v="M"/>
    <s v="OUT2"/>
    <m/>
    <n v="0"/>
    <n v="0"/>
    <n v="0"/>
    <n v="0"/>
    <n v="0"/>
    <n v="0"/>
    <n v="0"/>
    <n v="0"/>
    <n v="0"/>
    <n v="0"/>
    <n v="13"/>
    <n v="0"/>
    <n v="0"/>
    <n v="0"/>
    <n v="0"/>
    <n v="0"/>
    <n v="0"/>
    <n v="13"/>
    <n v="0"/>
    <n v="0"/>
    <n v="0"/>
    <n v="0"/>
    <n v="0"/>
    <n v="0"/>
    <n v="0"/>
    <n v="0"/>
    <n v="0"/>
    <n v="0"/>
    <n v="0"/>
    <n v="0"/>
    <n v="0"/>
    <n v="0"/>
    <x v="1"/>
    <x v="0"/>
    <x v="2"/>
    <n v="19"/>
    <m/>
    <m/>
    <m/>
    <m/>
    <m/>
    <m/>
    <m/>
    <m/>
    <m/>
    <n v="1.0833333333333333"/>
    <n v="1.0833333333333333"/>
    <n v="1.0833333333333333"/>
    <n v="1.0833333333333333"/>
    <n v="1.0833333333333333"/>
    <n v="1.0833333333333333"/>
    <n v="1.0833333333333333"/>
    <n v="1.0833333333333333"/>
    <n v="1.0833333333333333"/>
    <n v="1.0833333333333333"/>
    <n v="1.0833333333333333"/>
    <n v="0"/>
    <n v="2.1666666666666665"/>
  </r>
  <r>
    <n v="6867"/>
    <x v="4"/>
    <m/>
    <s v="259-311 Battersea Park Road, SW 11 (Doddington Estate part)"/>
    <m/>
    <n v="528331.56229999894"/>
    <n v="176668.96749999901"/>
    <x v="2"/>
    <m/>
    <m/>
    <n v="0"/>
    <x v="12"/>
    <x v="15"/>
    <n v="20"/>
    <n v="20"/>
    <x v="0"/>
    <s v="Redevelopment"/>
    <s v="NONE"/>
    <m/>
    <m/>
    <x v="0"/>
    <s v="Nil"/>
    <m/>
    <s v="BF"/>
    <s v="NB"/>
    <x v="1"/>
    <x v="0"/>
    <n v="0"/>
    <m/>
    <x v="0"/>
    <m/>
    <x v="2"/>
    <s v="AA"/>
    <s v="OUT2"/>
    <m/>
    <n v="0"/>
    <n v="0"/>
    <n v="0"/>
    <n v="0"/>
    <n v="0"/>
    <n v="0"/>
    <n v="0"/>
    <n v="0"/>
    <n v="0"/>
    <n v="0"/>
    <n v="4"/>
    <n v="0"/>
    <n v="0"/>
    <n v="0"/>
    <n v="0"/>
    <n v="0"/>
    <n v="0"/>
    <n v="4"/>
    <n v="0"/>
    <n v="0"/>
    <n v="0"/>
    <n v="0"/>
    <n v="0"/>
    <n v="0"/>
    <n v="0"/>
    <n v="0"/>
    <n v="0"/>
    <n v="0"/>
    <n v="0"/>
    <n v="0"/>
    <n v="0"/>
    <n v="0"/>
    <x v="1"/>
    <x v="0"/>
    <x v="2"/>
    <n v="19"/>
    <m/>
    <m/>
    <m/>
    <m/>
    <m/>
    <m/>
    <m/>
    <m/>
    <m/>
    <n v="0.33333333333333331"/>
    <n v="0.33333333333333331"/>
    <n v="0.33333333333333331"/>
    <n v="0.33333333333333331"/>
    <n v="0.33333333333333331"/>
    <n v="0.33333333333333331"/>
    <n v="0.33333333333333331"/>
    <n v="0.33333333333333331"/>
    <n v="0.33333333333333331"/>
    <n v="0.33333333333333331"/>
    <n v="0.33333333333333331"/>
    <n v="0"/>
    <n v="0.66666666666666663"/>
  </r>
  <r>
    <n v="6867"/>
    <x v="4"/>
    <m/>
    <s v="259-311 Battersea Park Road, SW 11 (Doddington Estate part)"/>
    <m/>
    <n v="528331.56229999894"/>
    <n v="176668.96749999901"/>
    <x v="2"/>
    <m/>
    <m/>
    <n v="0"/>
    <x v="11"/>
    <x v="36"/>
    <n v="20"/>
    <n v="20"/>
    <x v="0"/>
    <s v="Redevelopment"/>
    <s v="NONE"/>
    <m/>
    <m/>
    <x v="0"/>
    <s v="Nil"/>
    <m/>
    <s v="BF"/>
    <s v="NB"/>
    <x v="1"/>
    <x v="0"/>
    <n v="0"/>
    <m/>
    <x v="0"/>
    <m/>
    <x v="0"/>
    <s v="IU"/>
    <s v="OUT2"/>
    <m/>
    <n v="0"/>
    <n v="0"/>
    <n v="0"/>
    <n v="0"/>
    <n v="0"/>
    <n v="0"/>
    <n v="0"/>
    <n v="0"/>
    <n v="0"/>
    <n v="0"/>
    <n v="3"/>
    <n v="0"/>
    <n v="0"/>
    <n v="0"/>
    <n v="0"/>
    <n v="0"/>
    <n v="0"/>
    <n v="3"/>
    <n v="0"/>
    <n v="0"/>
    <n v="0"/>
    <n v="0"/>
    <n v="0"/>
    <n v="0"/>
    <n v="0"/>
    <n v="0"/>
    <n v="0"/>
    <n v="0"/>
    <n v="0"/>
    <n v="0"/>
    <n v="0"/>
    <n v="0"/>
    <x v="1"/>
    <x v="0"/>
    <x v="2"/>
    <n v="19"/>
    <m/>
    <m/>
    <m/>
    <m/>
    <m/>
    <m/>
    <m/>
    <m/>
    <m/>
    <n v="0.25"/>
    <n v="0.25"/>
    <n v="0.25"/>
    <n v="0.25"/>
    <n v="0.25"/>
    <n v="0.25"/>
    <n v="0.25"/>
    <n v="0.25"/>
    <n v="0.25"/>
    <n v="0.25"/>
    <n v="0.25"/>
    <n v="0"/>
    <n v="0.5"/>
  </r>
  <r>
    <n v="223"/>
    <x v="4"/>
    <m/>
    <s v="282 Mitcham Lane, SW16"/>
    <m/>
    <n v="528890"/>
    <n v="170545"/>
    <x v="9"/>
    <m/>
    <m/>
    <n v="0"/>
    <x v="5"/>
    <x v="7"/>
    <n v="2"/>
    <n v="2"/>
    <x v="1"/>
    <s v="Redevelopment"/>
    <s v="NONE"/>
    <m/>
    <m/>
    <x v="0"/>
    <s v="Nil"/>
    <m/>
    <s v="BF"/>
    <s v="NB"/>
    <x v="2"/>
    <x v="3"/>
    <n v="0"/>
    <m/>
    <x v="0"/>
    <m/>
    <x v="1"/>
    <s v="M"/>
    <m/>
    <m/>
    <n v="0"/>
    <n v="0"/>
    <n v="0"/>
    <n v="0"/>
    <n v="0"/>
    <n v="0"/>
    <n v="0"/>
    <n v="0"/>
    <n v="0"/>
    <n v="0"/>
    <n v="2"/>
    <n v="0"/>
    <n v="0"/>
    <n v="0"/>
    <n v="0"/>
    <n v="0"/>
    <n v="0"/>
    <n v="2"/>
    <n v="0"/>
    <n v="0"/>
    <n v="0"/>
    <n v="0"/>
    <n v="0"/>
    <n v="0"/>
    <n v="0"/>
    <n v="0"/>
    <n v="0"/>
    <n v="0"/>
    <n v="0"/>
    <n v="0"/>
    <n v="0"/>
    <n v="0"/>
    <x v="1"/>
    <x v="0"/>
    <x v="2"/>
    <n v="19"/>
    <m/>
    <m/>
    <m/>
    <m/>
    <m/>
    <n v="2"/>
    <m/>
    <m/>
    <m/>
    <m/>
    <m/>
    <m/>
    <m/>
    <m/>
    <m/>
    <m/>
    <m/>
    <m/>
    <m/>
    <m/>
    <n v="2"/>
    <n v="2"/>
  </r>
  <r>
    <n v="6869"/>
    <x v="4"/>
    <m/>
    <s v="36 Lombard Road"/>
    <m/>
    <n v="526639"/>
    <n v="176128"/>
    <x v="15"/>
    <m/>
    <m/>
    <n v="0"/>
    <x v="16"/>
    <x v="20"/>
    <n v="64"/>
    <n v="64"/>
    <x v="0"/>
    <s v="Redevelopment"/>
    <s v="NONE"/>
    <m/>
    <m/>
    <x v="0"/>
    <s v="Nil"/>
    <m/>
    <s v="BF"/>
    <s v="NB"/>
    <x v="1"/>
    <x v="0"/>
    <n v="0"/>
    <m/>
    <x v="0"/>
    <m/>
    <x v="1"/>
    <s v="M"/>
    <s v="RIV6"/>
    <m/>
    <n v="0"/>
    <n v="0"/>
    <n v="0"/>
    <n v="0"/>
    <n v="0"/>
    <n v="0"/>
    <n v="0"/>
    <n v="0"/>
    <n v="0"/>
    <n v="0"/>
    <n v="42"/>
    <n v="0"/>
    <n v="0"/>
    <n v="0"/>
    <n v="0"/>
    <n v="0"/>
    <n v="0"/>
    <n v="42"/>
    <n v="0"/>
    <n v="0"/>
    <n v="0"/>
    <n v="0"/>
    <n v="0"/>
    <n v="0"/>
    <n v="0"/>
    <n v="0"/>
    <n v="0"/>
    <n v="0"/>
    <n v="0"/>
    <n v="0"/>
    <n v="0"/>
    <n v="0"/>
    <x v="1"/>
    <x v="0"/>
    <x v="4"/>
    <n v="19"/>
    <m/>
    <m/>
    <m/>
    <m/>
    <m/>
    <n v="2.625"/>
    <n v="2.625"/>
    <n v="2.625"/>
    <n v="2.625"/>
    <n v="2.625"/>
    <n v="2.625"/>
    <n v="2.625"/>
    <n v="2.625"/>
    <n v="2.625"/>
    <n v="2.625"/>
    <n v="2.625"/>
    <n v="2.625"/>
    <n v="2.625"/>
    <n v="2.625"/>
    <n v="2.625"/>
    <n v="2.625"/>
    <n v="15.75"/>
  </r>
  <r>
    <n v="6869"/>
    <x v="4"/>
    <m/>
    <s v="36 Lombard Road"/>
    <m/>
    <n v="526639"/>
    <n v="176128"/>
    <x v="15"/>
    <m/>
    <m/>
    <n v="0"/>
    <x v="31"/>
    <x v="35"/>
    <n v="64"/>
    <n v="64"/>
    <x v="0"/>
    <s v="Redevelopment"/>
    <s v="NONE"/>
    <m/>
    <m/>
    <x v="0"/>
    <s v="Nil"/>
    <m/>
    <s v="BF"/>
    <s v="NB"/>
    <x v="1"/>
    <x v="0"/>
    <n v="0"/>
    <m/>
    <x v="0"/>
    <m/>
    <x v="2"/>
    <s v="AA"/>
    <s v="RIV6"/>
    <m/>
    <n v="0"/>
    <n v="0"/>
    <n v="0"/>
    <n v="0"/>
    <n v="0"/>
    <n v="0"/>
    <n v="0"/>
    <n v="0"/>
    <n v="0"/>
    <n v="0"/>
    <n v="11"/>
    <n v="0"/>
    <n v="0"/>
    <n v="0"/>
    <n v="0"/>
    <n v="0"/>
    <n v="0"/>
    <n v="11"/>
    <n v="0"/>
    <n v="0"/>
    <n v="0"/>
    <n v="0"/>
    <n v="0"/>
    <n v="0"/>
    <n v="0"/>
    <n v="0"/>
    <n v="0"/>
    <n v="0"/>
    <n v="0"/>
    <n v="0"/>
    <n v="0"/>
    <n v="0"/>
    <x v="1"/>
    <x v="0"/>
    <x v="4"/>
    <n v="19"/>
    <m/>
    <m/>
    <m/>
    <m/>
    <m/>
    <n v="0.6875"/>
    <n v="0.6875"/>
    <n v="0.6875"/>
    <n v="0.6875"/>
    <n v="0.6875"/>
    <n v="0.6875"/>
    <n v="0.6875"/>
    <n v="0.6875"/>
    <n v="0.6875"/>
    <n v="0.6875"/>
    <n v="0.6875"/>
    <n v="0.6875"/>
    <n v="0.6875"/>
    <n v="0.6875"/>
    <n v="0.6875"/>
    <n v="0.6875"/>
    <n v="4.125"/>
  </r>
  <r>
    <n v="6869"/>
    <x v="4"/>
    <m/>
    <s v="36 Lombard Road"/>
    <m/>
    <n v="526639"/>
    <n v="176128"/>
    <x v="15"/>
    <m/>
    <m/>
    <n v="0"/>
    <x v="31"/>
    <x v="35"/>
    <n v="64"/>
    <n v="64"/>
    <x v="0"/>
    <s v="Redevelopment"/>
    <s v="NONE"/>
    <m/>
    <m/>
    <x v="0"/>
    <s v="Nil"/>
    <m/>
    <s v="BF"/>
    <s v="NB"/>
    <x v="1"/>
    <x v="0"/>
    <n v="0"/>
    <m/>
    <x v="0"/>
    <m/>
    <x v="0"/>
    <s v="IU"/>
    <s v="RIV6"/>
    <m/>
    <n v="0"/>
    <n v="0"/>
    <n v="0"/>
    <n v="0"/>
    <n v="0"/>
    <n v="0"/>
    <n v="0"/>
    <n v="0"/>
    <n v="0"/>
    <n v="0"/>
    <n v="11"/>
    <n v="0"/>
    <n v="0"/>
    <n v="0"/>
    <n v="0"/>
    <n v="0"/>
    <n v="0"/>
    <n v="11"/>
    <n v="0"/>
    <n v="0"/>
    <n v="0"/>
    <n v="0"/>
    <n v="0"/>
    <n v="0"/>
    <n v="0"/>
    <n v="0"/>
    <n v="0"/>
    <n v="0"/>
    <n v="0"/>
    <n v="0"/>
    <n v="0"/>
    <n v="0"/>
    <x v="1"/>
    <x v="0"/>
    <x v="4"/>
    <n v="19"/>
    <m/>
    <m/>
    <m/>
    <m/>
    <m/>
    <n v="0.6875"/>
    <n v="0.6875"/>
    <n v="0.6875"/>
    <n v="0.6875"/>
    <n v="0.6875"/>
    <n v="0.6875"/>
    <n v="0.6875"/>
    <n v="0.6875"/>
    <n v="0.6875"/>
    <n v="0.6875"/>
    <n v="0.6875"/>
    <n v="0.6875"/>
    <n v="0.6875"/>
    <n v="0.6875"/>
    <n v="0.6875"/>
    <n v="0.6875"/>
    <n v="4.125"/>
  </r>
  <r>
    <n v="7580"/>
    <x v="4"/>
    <m/>
    <s v="50  56 Tooting High Street, Tooting, SW17"/>
    <m/>
    <n v="527411.84160000004"/>
    <n v="171480.26829999901"/>
    <x v="0"/>
    <m/>
    <m/>
    <n v="0"/>
    <x v="24"/>
    <x v="28"/>
    <n v="5"/>
    <n v="5"/>
    <x v="1"/>
    <s v="Redevelopment"/>
    <s v="NONE"/>
    <m/>
    <m/>
    <x v="0"/>
    <s v="Nil"/>
    <m/>
    <s v="BF"/>
    <s v="NB"/>
    <x v="2"/>
    <x v="3"/>
    <n v="0"/>
    <m/>
    <x v="0"/>
    <m/>
    <x v="1"/>
    <s v="M"/>
    <s v="TO3"/>
    <m/>
    <n v="0"/>
    <n v="0"/>
    <n v="0"/>
    <n v="0"/>
    <n v="0"/>
    <n v="0"/>
    <n v="0"/>
    <n v="0"/>
    <n v="0"/>
    <n v="0"/>
    <n v="5"/>
    <n v="0"/>
    <n v="0"/>
    <n v="0"/>
    <n v="0"/>
    <n v="0"/>
    <n v="0"/>
    <n v="5"/>
    <n v="0"/>
    <n v="0"/>
    <n v="0"/>
    <n v="0"/>
    <n v="0"/>
    <n v="0"/>
    <n v="0"/>
    <n v="0"/>
    <n v="0"/>
    <n v="0"/>
    <n v="0"/>
    <n v="0"/>
    <n v="0"/>
    <n v="0"/>
    <x v="0"/>
    <x v="0"/>
    <x v="0"/>
    <n v="19"/>
    <m/>
    <m/>
    <m/>
    <m/>
    <n v="1"/>
    <n v="1"/>
    <n v="1"/>
    <n v="1"/>
    <n v="1"/>
    <m/>
    <m/>
    <m/>
    <m/>
    <m/>
    <m/>
    <m/>
    <m/>
    <m/>
    <m/>
    <m/>
    <n v="2"/>
    <n v="5"/>
  </r>
  <r>
    <n v="3515"/>
    <x v="4"/>
    <m/>
    <s v="56-70, 56-66 Putney High Street (Wereldhave Site)"/>
    <m/>
    <n v="524039"/>
    <n v="175460"/>
    <x v="3"/>
    <m/>
    <m/>
    <n v="0"/>
    <x v="44"/>
    <x v="53"/>
    <n v="97"/>
    <n v="97"/>
    <x v="0"/>
    <s v="Redevelopment"/>
    <s v="NONE"/>
    <m/>
    <m/>
    <x v="0"/>
    <s v="Nil"/>
    <m/>
    <s v="BF"/>
    <s v="NB"/>
    <x v="1"/>
    <x v="0"/>
    <n v="0"/>
    <m/>
    <x v="0"/>
    <m/>
    <x v="1"/>
    <s v="M"/>
    <s v="PUT1"/>
    <m/>
    <n v="0"/>
    <n v="0"/>
    <n v="0"/>
    <n v="0"/>
    <n v="0"/>
    <n v="0"/>
    <n v="0"/>
    <n v="0"/>
    <n v="0"/>
    <n v="0"/>
    <n v="63"/>
    <n v="0"/>
    <n v="0"/>
    <n v="0"/>
    <n v="0"/>
    <n v="0"/>
    <n v="0"/>
    <n v="63"/>
    <n v="0"/>
    <n v="0"/>
    <n v="0"/>
    <n v="0"/>
    <n v="0"/>
    <n v="0"/>
    <n v="0"/>
    <n v="0"/>
    <n v="0"/>
    <n v="0"/>
    <n v="0"/>
    <n v="0"/>
    <n v="0"/>
    <n v="0"/>
    <x v="2"/>
    <x v="0"/>
    <x v="12"/>
    <n v="19"/>
    <m/>
    <m/>
    <m/>
    <m/>
    <m/>
    <m/>
    <m/>
    <n v="15.75"/>
    <n v="15.75"/>
    <n v="15.75"/>
    <n v="15.75"/>
    <m/>
    <m/>
    <m/>
    <m/>
    <m/>
    <m/>
    <m/>
    <m/>
    <m/>
    <n v="0"/>
    <n v="63"/>
  </r>
  <r>
    <n v="3515"/>
    <x v="4"/>
    <m/>
    <s v="56-70, 56-66 Putney High Street (Wereldhave Site)"/>
    <m/>
    <n v="524039"/>
    <n v="175460"/>
    <x v="3"/>
    <m/>
    <m/>
    <n v="0"/>
    <x v="35"/>
    <x v="40"/>
    <n v="97"/>
    <n v="97"/>
    <x v="0"/>
    <s v="Redevelopment"/>
    <s v="NONE"/>
    <m/>
    <m/>
    <x v="0"/>
    <s v="Nil"/>
    <m/>
    <s v="BF"/>
    <s v="NB"/>
    <x v="1"/>
    <x v="0"/>
    <n v="0"/>
    <m/>
    <x v="0"/>
    <m/>
    <x v="2"/>
    <s v="AA"/>
    <s v="PUT1"/>
    <m/>
    <n v="0"/>
    <n v="0"/>
    <n v="0"/>
    <n v="0"/>
    <n v="0"/>
    <n v="0"/>
    <n v="0"/>
    <n v="0"/>
    <n v="0"/>
    <n v="0"/>
    <n v="17"/>
    <n v="0"/>
    <n v="0"/>
    <n v="0"/>
    <n v="0"/>
    <n v="0"/>
    <n v="0"/>
    <n v="17"/>
    <n v="0"/>
    <n v="0"/>
    <n v="0"/>
    <n v="0"/>
    <n v="0"/>
    <n v="0"/>
    <n v="0"/>
    <n v="0"/>
    <n v="0"/>
    <n v="0"/>
    <n v="0"/>
    <n v="0"/>
    <n v="0"/>
    <n v="0"/>
    <x v="2"/>
    <x v="0"/>
    <x v="12"/>
    <n v="19"/>
    <m/>
    <m/>
    <m/>
    <m/>
    <m/>
    <m/>
    <m/>
    <n v="4.25"/>
    <n v="4.25"/>
    <n v="4.25"/>
    <n v="4.25"/>
    <m/>
    <m/>
    <m/>
    <m/>
    <m/>
    <m/>
    <m/>
    <m/>
    <m/>
    <n v="0"/>
    <n v="17"/>
  </r>
  <r>
    <n v="3515"/>
    <x v="4"/>
    <m/>
    <s v="56-70, 56-66 Putney High Street (Wereldhave Site)"/>
    <m/>
    <n v="524039"/>
    <n v="175460"/>
    <x v="3"/>
    <m/>
    <m/>
    <n v="0"/>
    <x v="35"/>
    <x v="40"/>
    <n v="97"/>
    <n v="97"/>
    <x v="0"/>
    <s v="Redevelopment"/>
    <s v="NONE"/>
    <m/>
    <m/>
    <x v="0"/>
    <s v="Nil"/>
    <m/>
    <s v="BF"/>
    <s v="NB"/>
    <x v="1"/>
    <x v="0"/>
    <n v="0"/>
    <m/>
    <x v="0"/>
    <m/>
    <x v="0"/>
    <s v="IU"/>
    <s v="PUT1"/>
    <m/>
    <n v="0"/>
    <n v="0"/>
    <n v="0"/>
    <n v="0"/>
    <n v="0"/>
    <n v="0"/>
    <n v="0"/>
    <n v="0"/>
    <n v="0"/>
    <n v="0"/>
    <n v="17"/>
    <n v="0"/>
    <n v="0"/>
    <n v="0"/>
    <n v="0"/>
    <n v="0"/>
    <n v="0"/>
    <n v="17"/>
    <n v="0"/>
    <n v="0"/>
    <n v="0"/>
    <n v="0"/>
    <n v="0"/>
    <n v="0"/>
    <n v="0"/>
    <n v="0"/>
    <n v="0"/>
    <n v="0"/>
    <n v="0"/>
    <n v="0"/>
    <n v="0"/>
    <n v="0"/>
    <x v="2"/>
    <x v="0"/>
    <x v="12"/>
    <n v="19"/>
    <m/>
    <m/>
    <m/>
    <m/>
    <m/>
    <m/>
    <m/>
    <n v="4.25"/>
    <n v="4.25"/>
    <n v="4.25"/>
    <n v="4.25"/>
    <m/>
    <m/>
    <m/>
    <m/>
    <m/>
    <m/>
    <m/>
    <m/>
    <m/>
    <n v="0"/>
    <n v="17"/>
  </r>
  <r>
    <n v="7132"/>
    <x v="4"/>
    <m/>
    <s v="65-71 Wandsworth High Street incl. Spread Eagle Public House; Wandsworth High Street and 5 Garratt Lane, SW18"/>
    <m/>
    <n v="525690.77379999903"/>
    <n v="174603.17490000001"/>
    <x v="14"/>
    <m/>
    <m/>
    <n v="0"/>
    <x v="10"/>
    <x v="14"/>
    <n v="7"/>
    <n v="7"/>
    <x v="1"/>
    <s v="Redevelopment"/>
    <s v="NONE"/>
    <m/>
    <m/>
    <x v="0"/>
    <s v="Nil"/>
    <m/>
    <s v="BF"/>
    <s v="NB"/>
    <x v="2"/>
    <x v="3"/>
    <n v="0"/>
    <m/>
    <x v="0"/>
    <m/>
    <x v="1"/>
    <s v="M"/>
    <s v="WT18"/>
    <m/>
    <n v="0"/>
    <n v="0"/>
    <n v="0"/>
    <n v="0"/>
    <n v="0"/>
    <n v="0"/>
    <n v="0"/>
    <n v="0"/>
    <n v="0"/>
    <n v="0"/>
    <n v="7"/>
    <n v="0"/>
    <n v="0"/>
    <n v="0"/>
    <n v="0"/>
    <n v="0"/>
    <n v="0"/>
    <n v="7"/>
    <n v="0"/>
    <n v="0"/>
    <n v="0"/>
    <n v="0"/>
    <n v="0"/>
    <n v="0"/>
    <n v="0"/>
    <n v="0"/>
    <n v="0"/>
    <n v="0"/>
    <n v="0"/>
    <n v="0"/>
    <n v="0"/>
    <n v="0"/>
    <x v="4"/>
    <x v="0"/>
    <x v="7"/>
    <n v="19"/>
    <m/>
    <m/>
    <m/>
    <m/>
    <m/>
    <m/>
    <m/>
    <m/>
    <m/>
    <n v="0.58333333333333337"/>
    <n v="0.58333333333333337"/>
    <n v="0.58333333333333337"/>
    <n v="0.58333333333333337"/>
    <n v="0.58333333333333337"/>
    <n v="0.58333333333333337"/>
    <n v="0.58333333333333337"/>
    <n v="0.58333333333333337"/>
    <n v="0.58333333333333337"/>
    <n v="0.58333333333333337"/>
    <n v="0.58333333333333337"/>
    <n v="0"/>
    <n v="1.1666666666666667"/>
  </r>
  <r>
    <n v="7587"/>
    <x v="4"/>
    <m/>
    <s v="70 - 90 Putney Bridge Road and 1-2 Adelaide Road, SW18"/>
    <m/>
    <n v="525271.18099999905"/>
    <n v="174956.73670000001"/>
    <x v="14"/>
    <m/>
    <m/>
    <n v="0"/>
    <x v="39"/>
    <x v="103"/>
    <n v="25"/>
    <n v="25"/>
    <x v="0"/>
    <s v="Redevelopment"/>
    <s v="NONE"/>
    <m/>
    <m/>
    <x v="0"/>
    <s v="Nil"/>
    <m/>
    <s v="BF"/>
    <s v="NB"/>
    <x v="1"/>
    <x v="0"/>
    <n v="0"/>
    <m/>
    <x v="0"/>
    <m/>
    <x v="1"/>
    <s v="M"/>
    <s v="WT21"/>
    <m/>
    <n v="0"/>
    <n v="0"/>
    <n v="0"/>
    <n v="0"/>
    <n v="0"/>
    <n v="0"/>
    <n v="0"/>
    <n v="0"/>
    <n v="0"/>
    <n v="0"/>
    <n v="16"/>
    <n v="0"/>
    <n v="0"/>
    <n v="0"/>
    <n v="0"/>
    <n v="0"/>
    <n v="0"/>
    <n v="16"/>
    <n v="0"/>
    <n v="0"/>
    <n v="0"/>
    <n v="0"/>
    <n v="0"/>
    <n v="0"/>
    <n v="0"/>
    <n v="0"/>
    <n v="0"/>
    <n v="0"/>
    <n v="0"/>
    <n v="0"/>
    <n v="0"/>
    <n v="0"/>
    <x v="1"/>
    <x v="0"/>
    <x v="7"/>
    <n v="19"/>
    <m/>
    <m/>
    <m/>
    <m/>
    <n v="16"/>
    <m/>
    <m/>
    <m/>
    <m/>
    <m/>
    <m/>
    <m/>
    <m/>
    <m/>
    <m/>
    <m/>
    <m/>
    <m/>
    <m/>
    <m/>
    <n v="16"/>
    <n v="16"/>
  </r>
  <r>
    <n v="7587"/>
    <x v="4"/>
    <m/>
    <s v="70 - 90 Putney Bridge Road and 1-2 Adelaide Road, SW18"/>
    <m/>
    <n v="525271.18099999905"/>
    <n v="174956.73670000001"/>
    <x v="14"/>
    <m/>
    <m/>
    <n v="0"/>
    <x v="24"/>
    <x v="28"/>
    <n v="25"/>
    <n v="25"/>
    <x v="0"/>
    <s v="Redevelopment"/>
    <s v="NONE"/>
    <m/>
    <m/>
    <x v="0"/>
    <s v="Nil"/>
    <m/>
    <s v="BF"/>
    <s v="NB"/>
    <x v="1"/>
    <x v="0"/>
    <n v="0"/>
    <m/>
    <x v="0"/>
    <m/>
    <x v="2"/>
    <s v="AA"/>
    <s v="WT21"/>
    <m/>
    <n v="0"/>
    <n v="0"/>
    <n v="0"/>
    <n v="0"/>
    <n v="0"/>
    <n v="0"/>
    <n v="0"/>
    <n v="0"/>
    <n v="0"/>
    <n v="0"/>
    <n v="5"/>
    <n v="0"/>
    <n v="0"/>
    <n v="0"/>
    <n v="0"/>
    <n v="0"/>
    <n v="0"/>
    <n v="5"/>
    <n v="0"/>
    <n v="0"/>
    <n v="0"/>
    <n v="0"/>
    <n v="0"/>
    <n v="0"/>
    <n v="0"/>
    <n v="0"/>
    <n v="0"/>
    <n v="0"/>
    <n v="0"/>
    <n v="0"/>
    <n v="0"/>
    <n v="0"/>
    <x v="1"/>
    <x v="0"/>
    <x v="7"/>
    <n v="19"/>
    <m/>
    <m/>
    <m/>
    <m/>
    <n v="5"/>
    <m/>
    <m/>
    <m/>
    <m/>
    <m/>
    <m/>
    <m/>
    <m/>
    <m/>
    <m/>
    <m/>
    <m/>
    <m/>
    <m/>
    <m/>
    <n v="5"/>
    <n v="5"/>
  </r>
  <r>
    <n v="7587"/>
    <x v="4"/>
    <m/>
    <s v="70 - 90 Putney Bridge Road and 1-2 Adelaide Road, SW18"/>
    <m/>
    <n v="525271.18099999905"/>
    <n v="174956.73670000001"/>
    <x v="14"/>
    <m/>
    <m/>
    <n v="0"/>
    <x v="12"/>
    <x v="15"/>
    <n v="25"/>
    <n v="25"/>
    <x v="0"/>
    <s v="Redevelopment"/>
    <s v="NONE"/>
    <m/>
    <m/>
    <x v="0"/>
    <s v="Nil"/>
    <m/>
    <s v="BF"/>
    <s v="NB"/>
    <x v="1"/>
    <x v="0"/>
    <n v="0"/>
    <m/>
    <x v="0"/>
    <m/>
    <x v="0"/>
    <s v="IU"/>
    <s v="WT21"/>
    <m/>
    <n v="0"/>
    <n v="0"/>
    <n v="0"/>
    <n v="0"/>
    <n v="0"/>
    <n v="0"/>
    <n v="0"/>
    <n v="0"/>
    <n v="0"/>
    <n v="0"/>
    <n v="4"/>
    <n v="0"/>
    <n v="0"/>
    <n v="0"/>
    <n v="0"/>
    <n v="0"/>
    <n v="0"/>
    <n v="4"/>
    <n v="0"/>
    <n v="0"/>
    <n v="0"/>
    <n v="0"/>
    <n v="0"/>
    <n v="0"/>
    <n v="0"/>
    <n v="0"/>
    <n v="0"/>
    <n v="0"/>
    <n v="0"/>
    <n v="0"/>
    <n v="0"/>
    <n v="0"/>
    <x v="1"/>
    <x v="0"/>
    <x v="7"/>
    <n v="19"/>
    <m/>
    <m/>
    <m/>
    <m/>
    <n v="4"/>
    <m/>
    <m/>
    <m/>
    <m/>
    <m/>
    <m/>
    <m/>
    <m/>
    <m/>
    <m/>
    <m/>
    <m/>
    <m/>
    <m/>
    <m/>
    <n v="4"/>
    <n v="4"/>
  </r>
  <r>
    <n v="6871"/>
    <x v="4"/>
    <m/>
    <s v="80 Gwynne Road, 19 Lombard Road"/>
    <m/>
    <n v="526746"/>
    <n v="176345"/>
    <x v="15"/>
    <m/>
    <m/>
    <n v="0"/>
    <x v="32"/>
    <x v="37"/>
    <n v="71"/>
    <n v="71"/>
    <x v="0"/>
    <s v="Redevelopment"/>
    <s v="NONE"/>
    <m/>
    <m/>
    <x v="0"/>
    <s v="Nil"/>
    <m/>
    <s v="BF"/>
    <s v="NB"/>
    <x v="1"/>
    <x v="0"/>
    <n v="0"/>
    <m/>
    <x v="0"/>
    <m/>
    <x v="1"/>
    <s v="M"/>
    <s v="RIV8"/>
    <m/>
    <n v="0"/>
    <n v="0"/>
    <n v="0"/>
    <n v="0"/>
    <n v="0"/>
    <n v="0"/>
    <n v="0"/>
    <n v="0"/>
    <n v="0"/>
    <n v="0"/>
    <n v="46"/>
    <n v="0"/>
    <n v="0"/>
    <n v="0"/>
    <n v="0"/>
    <n v="0"/>
    <n v="0"/>
    <n v="46"/>
    <n v="0"/>
    <n v="0"/>
    <n v="0"/>
    <n v="0"/>
    <n v="0"/>
    <n v="0"/>
    <n v="0"/>
    <n v="0"/>
    <n v="0"/>
    <n v="0"/>
    <n v="0"/>
    <n v="0"/>
    <n v="0"/>
    <n v="0"/>
    <x v="1"/>
    <x v="0"/>
    <x v="4"/>
    <n v="19"/>
    <m/>
    <m/>
    <m/>
    <m/>
    <m/>
    <n v="2.875"/>
    <n v="2.875"/>
    <n v="2.875"/>
    <n v="2.875"/>
    <n v="2.875"/>
    <n v="2.875"/>
    <n v="2.875"/>
    <n v="2.875"/>
    <n v="2.875"/>
    <n v="2.875"/>
    <n v="2.875"/>
    <n v="2.875"/>
    <n v="2.875"/>
    <n v="2.875"/>
    <n v="2.875"/>
    <n v="2.875"/>
    <n v="17.25"/>
  </r>
  <r>
    <n v="6871"/>
    <x v="4"/>
    <m/>
    <s v="80 Gwynne Road, 19 Lombard Road"/>
    <m/>
    <n v="526746"/>
    <n v="176345"/>
    <x v="15"/>
    <m/>
    <m/>
    <n v="0"/>
    <x v="1"/>
    <x v="1"/>
    <n v="71"/>
    <n v="71"/>
    <x v="0"/>
    <s v="Redevelopment"/>
    <s v="NONE"/>
    <m/>
    <m/>
    <x v="0"/>
    <s v="Nil"/>
    <m/>
    <s v="BF"/>
    <s v="NB"/>
    <x v="1"/>
    <x v="0"/>
    <n v="0"/>
    <m/>
    <x v="0"/>
    <m/>
    <x v="2"/>
    <s v="AA"/>
    <s v="RIV8"/>
    <m/>
    <n v="0"/>
    <n v="0"/>
    <n v="0"/>
    <n v="0"/>
    <n v="0"/>
    <n v="0"/>
    <n v="0"/>
    <n v="0"/>
    <n v="0"/>
    <n v="0"/>
    <n v="13"/>
    <n v="0"/>
    <n v="0"/>
    <n v="0"/>
    <n v="0"/>
    <n v="0"/>
    <n v="0"/>
    <n v="13"/>
    <n v="0"/>
    <n v="0"/>
    <n v="0"/>
    <n v="0"/>
    <n v="0"/>
    <n v="0"/>
    <n v="0"/>
    <n v="0"/>
    <n v="0"/>
    <n v="0"/>
    <n v="0"/>
    <n v="0"/>
    <n v="0"/>
    <n v="0"/>
    <x v="1"/>
    <x v="0"/>
    <x v="4"/>
    <n v="19"/>
    <m/>
    <m/>
    <m/>
    <m/>
    <m/>
    <n v="0.8125"/>
    <n v="0.8125"/>
    <n v="0.8125"/>
    <n v="0.8125"/>
    <n v="0.8125"/>
    <n v="0.8125"/>
    <n v="0.8125"/>
    <n v="0.8125"/>
    <n v="0.8125"/>
    <n v="0.8125"/>
    <n v="0.8125"/>
    <n v="0.8125"/>
    <n v="0.8125"/>
    <n v="0.8125"/>
    <n v="0.8125"/>
    <n v="0.8125"/>
    <n v="4.875"/>
  </r>
  <r>
    <n v="6871"/>
    <x v="4"/>
    <m/>
    <s v="80 Gwynne Road, 19 Lombard Road"/>
    <m/>
    <n v="526746"/>
    <n v="176345"/>
    <x v="15"/>
    <m/>
    <m/>
    <n v="0"/>
    <x v="117"/>
    <x v="45"/>
    <n v="71"/>
    <n v="71"/>
    <x v="0"/>
    <s v="Redevelopment"/>
    <s v="NONE"/>
    <m/>
    <m/>
    <x v="0"/>
    <s v="Nil"/>
    <m/>
    <s v="BF"/>
    <s v="NB"/>
    <x v="1"/>
    <x v="0"/>
    <n v="0"/>
    <m/>
    <x v="0"/>
    <m/>
    <x v="0"/>
    <s v="IU"/>
    <s v="RIV8"/>
    <m/>
    <n v="0"/>
    <n v="0"/>
    <n v="0"/>
    <n v="0"/>
    <n v="0"/>
    <n v="0"/>
    <n v="0"/>
    <n v="0"/>
    <n v="0"/>
    <n v="0"/>
    <n v="12"/>
    <n v="0"/>
    <n v="0"/>
    <n v="0"/>
    <n v="0"/>
    <n v="0"/>
    <n v="0"/>
    <n v="12"/>
    <n v="0"/>
    <n v="0"/>
    <n v="0"/>
    <n v="0"/>
    <n v="0"/>
    <n v="0"/>
    <n v="0"/>
    <n v="0"/>
    <n v="0"/>
    <n v="0"/>
    <n v="0"/>
    <n v="0"/>
    <n v="0"/>
    <n v="0"/>
    <x v="1"/>
    <x v="0"/>
    <x v="4"/>
    <n v="19"/>
    <m/>
    <m/>
    <m/>
    <m/>
    <m/>
    <n v="0.75"/>
    <n v="0.75"/>
    <n v="0.75"/>
    <n v="0.75"/>
    <n v="0.75"/>
    <n v="0.75"/>
    <n v="0.75"/>
    <n v="0.75"/>
    <n v="0.75"/>
    <n v="0.75"/>
    <n v="0.75"/>
    <n v="0.75"/>
    <n v="0.75"/>
    <n v="0.75"/>
    <n v="0.75"/>
    <n v="0.75"/>
    <n v="4.5"/>
  </r>
  <r>
    <n v="7546"/>
    <x v="4"/>
    <m/>
    <s v="8-10 Chelverton Road, Putney Bus Garage, SW15 1RH"/>
    <m/>
    <n v="523936"/>
    <n v="175285"/>
    <x v="3"/>
    <m/>
    <m/>
    <n v="0"/>
    <x v="3"/>
    <x v="5"/>
    <n v="1"/>
    <n v="1"/>
    <x v="1"/>
    <s v="Redevelopment"/>
    <s v="NONE"/>
    <m/>
    <m/>
    <x v="0"/>
    <s v="Nil"/>
    <m/>
    <s v="BF"/>
    <s v="NB"/>
    <x v="2"/>
    <x v="3"/>
    <n v="0"/>
    <m/>
    <x v="0"/>
    <m/>
    <x v="1"/>
    <s v="M"/>
    <m/>
    <m/>
    <n v="0"/>
    <n v="0"/>
    <n v="0"/>
    <n v="0"/>
    <n v="0"/>
    <n v="0"/>
    <n v="0"/>
    <n v="0"/>
    <n v="0"/>
    <n v="0"/>
    <n v="1"/>
    <n v="0"/>
    <n v="0"/>
    <n v="0"/>
    <n v="0"/>
    <n v="0"/>
    <n v="0"/>
    <n v="1"/>
    <n v="0"/>
    <n v="0"/>
    <n v="0"/>
    <n v="0"/>
    <n v="0"/>
    <n v="0"/>
    <n v="0"/>
    <n v="0"/>
    <n v="0"/>
    <n v="0"/>
    <n v="0"/>
    <n v="0"/>
    <n v="0"/>
    <n v="0"/>
    <x v="2"/>
    <x v="0"/>
    <x v="12"/>
    <n v="19"/>
    <m/>
    <m/>
    <m/>
    <m/>
    <m/>
    <n v="1"/>
    <m/>
    <m/>
    <m/>
    <m/>
    <m/>
    <m/>
    <m/>
    <m/>
    <m/>
    <m/>
    <m/>
    <m/>
    <m/>
    <m/>
    <n v="1"/>
    <n v="1"/>
  </r>
  <r>
    <n v="6897"/>
    <x v="4"/>
    <m/>
    <s v="Asda, Lidl and Boots Sites, Falcon Lane"/>
    <m/>
    <n v="527569"/>
    <n v="175602"/>
    <x v="20"/>
    <m/>
    <m/>
    <n v="0"/>
    <x v="110"/>
    <x v="128"/>
    <n v="79"/>
    <n v="79"/>
    <x v="0"/>
    <s v="Redevelopment"/>
    <s v="NONE"/>
    <m/>
    <m/>
    <x v="0"/>
    <s v="Nil"/>
    <m/>
    <s v="BF"/>
    <s v="NB"/>
    <x v="1"/>
    <x v="0"/>
    <n v="0"/>
    <m/>
    <x v="0"/>
    <m/>
    <x v="1"/>
    <s v="M"/>
    <s v="CJ1"/>
    <m/>
    <n v="0"/>
    <n v="0"/>
    <n v="0"/>
    <n v="0"/>
    <n v="0"/>
    <n v="0"/>
    <n v="0"/>
    <n v="0"/>
    <n v="0"/>
    <n v="0"/>
    <n v="51"/>
    <n v="0"/>
    <n v="0"/>
    <n v="0"/>
    <n v="0"/>
    <n v="0"/>
    <n v="0"/>
    <n v="51"/>
    <n v="0"/>
    <n v="0"/>
    <n v="0"/>
    <n v="0"/>
    <n v="0"/>
    <n v="0"/>
    <n v="0"/>
    <n v="0"/>
    <n v="0"/>
    <n v="0"/>
    <n v="0"/>
    <n v="0"/>
    <n v="0"/>
    <n v="0"/>
    <x v="3"/>
    <x v="0"/>
    <x v="11"/>
    <n v="19"/>
    <m/>
    <m/>
    <m/>
    <m/>
    <m/>
    <m/>
    <m/>
    <m/>
    <m/>
    <n v="4.25"/>
    <n v="4.25"/>
    <n v="4.25"/>
    <n v="4.25"/>
    <n v="4.25"/>
    <n v="4.25"/>
    <n v="4.25"/>
    <n v="4.25"/>
    <n v="4.25"/>
    <n v="4.25"/>
    <n v="4.25"/>
    <n v="0"/>
    <n v="8.5"/>
  </r>
  <r>
    <n v="6897"/>
    <x v="4"/>
    <m/>
    <s v="Asda, Lidl and Boots Sites, Falcon Lane"/>
    <m/>
    <n v="527569"/>
    <n v="175602"/>
    <x v="20"/>
    <m/>
    <m/>
    <n v="0"/>
    <x v="46"/>
    <x v="55"/>
    <n v="79"/>
    <n v="79"/>
    <x v="0"/>
    <s v="Redevelopment"/>
    <s v="NONE"/>
    <m/>
    <m/>
    <x v="0"/>
    <s v="Nil"/>
    <m/>
    <s v="BF"/>
    <s v="NB"/>
    <x v="1"/>
    <x v="0"/>
    <n v="0"/>
    <m/>
    <x v="0"/>
    <m/>
    <x v="2"/>
    <s v="AA"/>
    <s v="CJ1"/>
    <m/>
    <n v="0"/>
    <n v="0"/>
    <n v="0"/>
    <n v="0"/>
    <n v="0"/>
    <n v="0"/>
    <n v="0"/>
    <n v="0"/>
    <n v="0"/>
    <n v="0"/>
    <n v="14"/>
    <n v="0"/>
    <n v="0"/>
    <n v="0"/>
    <n v="0"/>
    <n v="0"/>
    <n v="0"/>
    <n v="14"/>
    <n v="0"/>
    <n v="0"/>
    <n v="0"/>
    <n v="0"/>
    <n v="0"/>
    <n v="0"/>
    <n v="0"/>
    <n v="0"/>
    <n v="0"/>
    <n v="0"/>
    <n v="0"/>
    <n v="0"/>
    <n v="0"/>
    <n v="0"/>
    <x v="3"/>
    <x v="0"/>
    <x v="11"/>
    <n v="19"/>
    <m/>
    <m/>
    <m/>
    <m/>
    <m/>
    <m/>
    <m/>
    <m/>
    <m/>
    <n v="1.1666666666666667"/>
    <n v="1.1666666666666667"/>
    <n v="1.1666666666666667"/>
    <n v="1.1666666666666667"/>
    <n v="1.1666666666666667"/>
    <n v="1.1666666666666667"/>
    <n v="1.1666666666666667"/>
    <n v="1.1666666666666667"/>
    <n v="1.1666666666666667"/>
    <n v="1.1666666666666667"/>
    <n v="1.1666666666666667"/>
    <n v="0"/>
    <n v="2.3333333333333335"/>
  </r>
  <r>
    <n v="6897"/>
    <x v="4"/>
    <m/>
    <s v="Asda, Lidl and Boots Sites, Falcon Lane"/>
    <m/>
    <n v="527569"/>
    <n v="175602"/>
    <x v="20"/>
    <m/>
    <m/>
    <n v="0"/>
    <x v="46"/>
    <x v="55"/>
    <n v="79"/>
    <n v="79"/>
    <x v="0"/>
    <s v="Redevelopment"/>
    <s v="NONE"/>
    <m/>
    <m/>
    <x v="0"/>
    <s v="Nil"/>
    <m/>
    <s v="BF"/>
    <s v="NB"/>
    <x v="1"/>
    <x v="0"/>
    <n v="0"/>
    <m/>
    <x v="0"/>
    <m/>
    <x v="0"/>
    <s v="IU"/>
    <s v="CJ1"/>
    <m/>
    <n v="0"/>
    <n v="0"/>
    <n v="0"/>
    <n v="0"/>
    <n v="0"/>
    <n v="0"/>
    <n v="0"/>
    <n v="0"/>
    <n v="0"/>
    <n v="0"/>
    <n v="14"/>
    <n v="0"/>
    <n v="0"/>
    <n v="0"/>
    <n v="0"/>
    <n v="0"/>
    <n v="0"/>
    <n v="14"/>
    <n v="0"/>
    <n v="0"/>
    <n v="0"/>
    <n v="0"/>
    <n v="0"/>
    <n v="0"/>
    <n v="0"/>
    <n v="0"/>
    <n v="0"/>
    <n v="0"/>
    <n v="0"/>
    <n v="0"/>
    <n v="0"/>
    <n v="0"/>
    <x v="3"/>
    <x v="0"/>
    <x v="11"/>
    <n v="19"/>
    <m/>
    <m/>
    <m/>
    <m/>
    <m/>
    <m/>
    <m/>
    <m/>
    <m/>
    <n v="1.1666666666666667"/>
    <n v="1.1666666666666667"/>
    <n v="1.1666666666666667"/>
    <n v="1.1666666666666667"/>
    <n v="1.1666666666666667"/>
    <n v="1.1666666666666667"/>
    <n v="1.1666666666666667"/>
    <n v="1.1666666666666667"/>
    <n v="1.1666666666666667"/>
    <n v="1.1666666666666667"/>
    <n v="1.1666666666666667"/>
    <n v="0"/>
    <n v="2.3333333333333335"/>
  </r>
  <r>
    <n v="7387"/>
    <x v="4"/>
    <m/>
    <s v="Ashburton Community Centre, Westleigh Avenue (Ashburton South Estate)"/>
    <m/>
    <n v="523041"/>
    <n v="174501"/>
    <x v="16"/>
    <m/>
    <m/>
    <n v="0"/>
    <x v="3"/>
    <x v="5"/>
    <n v="1"/>
    <n v="1"/>
    <x v="1"/>
    <s v="Redevelopment"/>
    <s v="NONE"/>
    <m/>
    <m/>
    <x v="0"/>
    <s v="Nil"/>
    <m/>
    <s v="BF"/>
    <s v="NB"/>
    <x v="2"/>
    <x v="3"/>
    <n v="0"/>
    <m/>
    <x v="0"/>
    <m/>
    <x v="1"/>
    <s v="M"/>
    <m/>
    <m/>
    <n v="0"/>
    <n v="0"/>
    <n v="0"/>
    <n v="0"/>
    <n v="0"/>
    <n v="0"/>
    <n v="0"/>
    <n v="0"/>
    <n v="0"/>
    <n v="0"/>
    <n v="1"/>
    <n v="0"/>
    <n v="0"/>
    <n v="0"/>
    <n v="0"/>
    <n v="0"/>
    <n v="0"/>
    <n v="1"/>
    <n v="0"/>
    <n v="0"/>
    <n v="0"/>
    <n v="0"/>
    <n v="0"/>
    <n v="0"/>
    <n v="0"/>
    <n v="0"/>
    <n v="0"/>
    <n v="0"/>
    <n v="0"/>
    <n v="0"/>
    <n v="0"/>
    <n v="0"/>
    <x v="1"/>
    <x v="0"/>
    <x v="2"/>
    <n v="19"/>
    <m/>
    <m/>
    <m/>
    <m/>
    <m/>
    <n v="1"/>
    <m/>
    <m/>
    <m/>
    <m/>
    <m/>
    <m/>
    <m/>
    <m/>
    <m/>
    <m/>
    <m/>
    <m/>
    <m/>
    <m/>
    <n v="1"/>
    <n v="1"/>
  </r>
  <r>
    <n v="6910"/>
    <x v="4"/>
    <m/>
    <s v="Balham Health Centre, 120 Bedford Hill"/>
    <m/>
    <n v="528743"/>
    <n v="172931"/>
    <x v="18"/>
    <m/>
    <m/>
    <n v="0"/>
    <x v="27"/>
    <x v="31"/>
    <n v="44"/>
    <n v="44"/>
    <x v="0"/>
    <s v="Redevelopment"/>
    <s v="NONE"/>
    <m/>
    <m/>
    <x v="0"/>
    <s v="Nil"/>
    <m/>
    <s v="BF"/>
    <s v="NB"/>
    <x v="1"/>
    <x v="0"/>
    <n v="0"/>
    <m/>
    <x v="0"/>
    <m/>
    <x v="1"/>
    <s v="M"/>
    <s v="OUT1"/>
    <m/>
    <n v="0"/>
    <n v="0"/>
    <n v="0"/>
    <n v="0"/>
    <n v="0"/>
    <n v="0"/>
    <n v="0"/>
    <n v="0"/>
    <n v="0"/>
    <n v="0"/>
    <n v="29"/>
    <n v="0"/>
    <n v="0"/>
    <n v="0"/>
    <n v="0"/>
    <n v="0"/>
    <n v="0"/>
    <n v="29"/>
    <n v="0"/>
    <n v="0"/>
    <n v="0"/>
    <n v="0"/>
    <n v="0"/>
    <n v="0"/>
    <n v="0"/>
    <n v="0"/>
    <n v="0"/>
    <n v="0"/>
    <n v="0"/>
    <n v="0"/>
    <n v="0"/>
    <n v="0"/>
    <x v="1"/>
    <x v="0"/>
    <x v="2"/>
    <n v="19"/>
    <m/>
    <m/>
    <m/>
    <m/>
    <m/>
    <n v="1.8125"/>
    <n v="1.8125"/>
    <n v="1.8125"/>
    <n v="1.8125"/>
    <n v="1.8125"/>
    <n v="1.8125"/>
    <n v="1.8125"/>
    <n v="1.8125"/>
    <n v="1.8125"/>
    <n v="1.8125"/>
    <n v="1.8125"/>
    <n v="1.8125"/>
    <n v="1.8125"/>
    <n v="1.8125"/>
    <n v="1.8125"/>
    <n v="1.8125"/>
    <n v="10.875"/>
  </r>
  <r>
    <n v="6910"/>
    <x v="4"/>
    <m/>
    <s v="Balham Health Centre, 120 Bedford Hill"/>
    <m/>
    <n v="528743"/>
    <n v="172931"/>
    <x v="18"/>
    <m/>
    <m/>
    <n v="0"/>
    <x v="9"/>
    <x v="12"/>
    <n v="44"/>
    <n v="44"/>
    <x v="0"/>
    <s v="Redevelopment"/>
    <s v="NONE"/>
    <m/>
    <m/>
    <x v="0"/>
    <s v="Nil"/>
    <m/>
    <s v="BF"/>
    <s v="NB"/>
    <x v="1"/>
    <x v="0"/>
    <n v="0"/>
    <m/>
    <x v="0"/>
    <m/>
    <x v="2"/>
    <s v="AA"/>
    <s v="OUT1"/>
    <m/>
    <n v="0"/>
    <n v="0"/>
    <n v="0"/>
    <n v="0"/>
    <n v="0"/>
    <n v="0"/>
    <n v="0"/>
    <n v="0"/>
    <n v="0"/>
    <n v="0"/>
    <n v="8"/>
    <n v="0"/>
    <n v="0"/>
    <n v="0"/>
    <n v="0"/>
    <n v="0"/>
    <n v="0"/>
    <n v="8"/>
    <n v="0"/>
    <n v="0"/>
    <n v="0"/>
    <n v="0"/>
    <n v="0"/>
    <n v="0"/>
    <n v="0"/>
    <n v="0"/>
    <n v="0"/>
    <n v="0"/>
    <n v="0"/>
    <n v="0"/>
    <n v="0"/>
    <n v="0"/>
    <x v="1"/>
    <x v="0"/>
    <x v="2"/>
    <n v="19"/>
    <m/>
    <m/>
    <m/>
    <m/>
    <m/>
    <n v="0.5"/>
    <n v="0.5"/>
    <n v="0.5"/>
    <n v="0.5"/>
    <n v="0.5"/>
    <n v="0.5"/>
    <n v="0.5"/>
    <n v="0.5"/>
    <n v="0.5"/>
    <n v="0.5"/>
    <n v="0.5"/>
    <n v="0.5"/>
    <n v="0.5"/>
    <n v="0.5"/>
    <n v="0.5"/>
    <n v="0.5"/>
    <n v="3"/>
  </r>
  <r>
    <n v="6910"/>
    <x v="4"/>
    <m/>
    <s v="Balham Health Centre, 120 Bedford Hill"/>
    <m/>
    <n v="528743"/>
    <n v="172931"/>
    <x v="18"/>
    <m/>
    <m/>
    <n v="0"/>
    <x v="10"/>
    <x v="14"/>
    <n v="44"/>
    <n v="44"/>
    <x v="0"/>
    <s v="Redevelopment"/>
    <s v="NONE"/>
    <m/>
    <m/>
    <x v="0"/>
    <s v="Nil"/>
    <m/>
    <s v="BF"/>
    <s v="NB"/>
    <x v="1"/>
    <x v="0"/>
    <n v="0"/>
    <m/>
    <x v="0"/>
    <m/>
    <x v="0"/>
    <s v="IU"/>
    <s v="OUT1"/>
    <m/>
    <n v="0"/>
    <n v="0"/>
    <n v="0"/>
    <n v="0"/>
    <n v="0"/>
    <n v="0"/>
    <n v="0"/>
    <n v="0"/>
    <n v="0"/>
    <n v="0"/>
    <n v="7"/>
    <n v="0"/>
    <n v="0"/>
    <n v="0"/>
    <n v="0"/>
    <n v="0"/>
    <n v="0"/>
    <n v="7"/>
    <n v="0"/>
    <n v="0"/>
    <n v="0"/>
    <n v="0"/>
    <n v="0"/>
    <n v="0"/>
    <n v="0"/>
    <n v="0"/>
    <n v="0"/>
    <n v="0"/>
    <n v="0"/>
    <n v="0"/>
    <n v="0"/>
    <n v="0"/>
    <x v="1"/>
    <x v="0"/>
    <x v="2"/>
    <n v="19"/>
    <m/>
    <m/>
    <m/>
    <m/>
    <m/>
    <n v="0.4375"/>
    <n v="0.4375"/>
    <n v="0.4375"/>
    <n v="0.4375"/>
    <n v="0.4375"/>
    <n v="0.4375"/>
    <n v="0.4375"/>
    <n v="0.4375"/>
    <n v="0.4375"/>
    <n v="0.4375"/>
    <n v="0.4375"/>
    <n v="0.4375"/>
    <n v="0.4375"/>
    <n v="0.4375"/>
    <n v="0.4375"/>
    <n v="0.4375"/>
    <n v="2.625"/>
  </r>
  <r>
    <n v="7575"/>
    <x v="4"/>
    <m/>
    <s v="Battersea Park Road (between Stewarts Road and Thessally road)"/>
    <m/>
    <n v="529080.52989999903"/>
    <n v="177186.61449999901"/>
    <x v="20"/>
    <m/>
    <m/>
    <n v="0"/>
    <x v="118"/>
    <x v="134"/>
    <n v="168"/>
    <n v="168"/>
    <x v="0"/>
    <s v="Redevelopment"/>
    <s v="NONE"/>
    <m/>
    <m/>
    <x v="0"/>
    <s v="Nil"/>
    <m/>
    <s v="BF"/>
    <s v="NB"/>
    <x v="1"/>
    <x v="0"/>
    <n v="0"/>
    <m/>
    <x v="0"/>
    <m/>
    <x v="1"/>
    <s v="M"/>
    <s v="NE13"/>
    <m/>
    <n v="0"/>
    <n v="0"/>
    <n v="0"/>
    <n v="0"/>
    <n v="0"/>
    <n v="0"/>
    <n v="0"/>
    <n v="0"/>
    <n v="0"/>
    <n v="0"/>
    <n v="109"/>
    <n v="0"/>
    <n v="0"/>
    <n v="0"/>
    <n v="0"/>
    <n v="0"/>
    <n v="0"/>
    <n v="109"/>
    <n v="0"/>
    <n v="0"/>
    <n v="0"/>
    <n v="0"/>
    <n v="0"/>
    <n v="0"/>
    <n v="0"/>
    <n v="0"/>
    <n v="0"/>
    <n v="0"/>
    <n v="0"/>
    <n v="0"/>
    <n v="0"/>
    <n v="0"/>
    <x v="1"/>
    <x v="1"/>
    <x v="13"/>
    <n v="20"/>
    <m/>
    <m/>
    <m/>
    <m/>
    <n v="21.8"/>
    <n v="21.8"/>
    <n v="21.8"/>
    <n v="21.8"/>
    <n v="21.8"/>
    <m/>
    <m/>
    <m/>
    <m/>
    <m/>
    <m/>
    <m/>
    <m/>
    <m/>
    <m/>
    <m/>
    <n v="43.6"/>
    <n v="109"/>
  </r>
  <r>
    <n v="7575"/>
    <x v="4"/>
    <m/>
    <s v="Battersea Park Road (between Stewarts Road and Thessally road)"/>
    <m/>
    <n v="529080.52989999903"/>
    <n v="177186.61449999901"/>
    <x v="20"/>
    <m/>
    <m/>
    <n v="0"/>
    <x v="50"/>
    <x v="59"/>
    <n v="168"/>
    <n v="168"/>
    <x v="0"/>
    <s v="Redevelopment"/>
    <s v="NONE"/>
    <m/>
    <m/>
    <x v="0"/>
    <s v="Nil"/>
    <m/>
    <s v="BF"/>
    <s v="NB"/>
    <x v="1"/>
    <x v="0"/>
    <n v="0"/>
    <m/>
    <x v="0"/>
    <m/>
    <x v="2"/>
    <s v="AA"/>
    <s v="NE13"/>
    <m/>
    <n v="0"/>
    <n v="0"/>
    <n v="0"/>
    <n v="0"/>
    <n v="0"/>
    <n v="0"/>
    <n v="0"/>
    <n v="0"/>
    <n v="0"/>
    <n v="0"/>
    <n v="30"/>
    <n v="0"/>
    <n v="0"/>
    <n v="0"/>
    <n v="0"/>
    <n v="0"/>
    <n v="0"/>
    <n v="30"/>
    <n v="0"/>
    <n v="0"/>
    <n v="0"/>
    <n v="0"/>
    <n v="0"/>
    <n v="0"/>
    <n v="0"/>
    <n v="0"/>
    <n v="0"/>
    <n v="0"/>
    <n v="0"/>
    <n v="0"/>
    <n v="0"/>
    <n v="0"/>
    <x v="1"/>
    <x v="1"/>
    <x v="13"/>
    <n v="20"/>
    <m/>
    <m/>
    <m/>
    <m/>
    <n v="6"/>
    <n v="6"/>
    <n v="6"/>
    <n v="6"/>
    <n v="6"/>
    <m/>
    <m/>
    <m/>
    <m/>
    <m/>
    <m/>
    <m/>
    <m/>
    <m/>
    <m/>
    <m/>
    <n v="12"/>
    <n v="30"/>
  </r>
  <r>
    <n v="7575"/>
    <x v="4"/>
    <m/>
    <s v="Battersea Park Road (between Stewarts Road and Thessally road)"/>
    <m/>
    <n v="529080.52989999903"/>
    <n v="177186.61449999901"/>
    <x v="20"/>
    <m/>
    <m/>
    <n v="0"/>
    <x v="27"/>
    <x v="31"/>
    <n v="168"/>
    <n v="168"/>
    <x v="0"/>
    <s v="Redevelopment"/>
    <s v="NONE"/>
    <m/>
    <m/>
    <x v="0"/>
    <s v="Nil"/>
    <m/>
    <s v="BF"/>
    <s v="NB"/>
    <x v="1"/>
    <x v="0"/>
    <n v="0"/>
    <m/>
    <x v="0"/>
    <m/>
    <x v="0"/>
    <s v="IU"/>
    <s v="NE13"/>
    <m/>
    <n v="0"/>
    <n v="0"/>
    <n v="0"/>
    <n v="0"/>
    <n v="0"/>
    <n v="0"/>
    <n v="0"/>
    <n v="0"/>
    <n v="0"/>
    <n v="0"/>
    <n v="29"/>
    <n v="0"/>
    <n v="0"/>
    <n v="0"/>
    <n v="0"/>
    <n v="0"/>
    <n v="0"/>
    <n v="29"/>
    <n v="0"/>
    <n v="0"/>
    <n v="0"/>
    <n v="0"/>
    <n v="0"/>
    <n v="0"/>
    <n v="0"/>
    <n v="0"/>
    <n v="0"/>
    <n v="0"/>
    <n v="0"/>
    <n v="0"/>
    <n v="0"/>
    <n v="0"/>
    <x v="1"/>
    <x v="1"/>
    <x v="13"/>
    <n v="20"/>
    <m/>
    <m/>
    <m/>
    <m/>
    <n v="5.8"/>
    <n v="5.8"/>
    <n v="5.8"/>
    <n v="5.8"/>
    <n v="5.8"/>
    <m/>
    <m/>
    <m/>
    <m/>
    <m/>
    <m/>
    <m/>
    <m/>
    <m/>
    <m/>
    <m/>
    <n v="11.6"/>
    <n v="29"/>
  </r>
  <r>
    <n v="4437"/>
    <x v="4"/>
    <m/>
    <s v="Bridgelane Medical Group Practice, 20 Bridge Ln, Battersea, London SW11 3AD"/>
    <m/>
    <n v="527446.42059999902"/>
    <n v="176521.567799999"/>
    <x v="15"/>
    <m/>
    <m/>
    <n v="0"/>
    <x v="24"/>
    <x v="28"/>
    <n v="5"/>
    <n v="5"/>
    <x v="1"/>
    <s v="Redevelopment"/>
    <s v="NONE"/>
    <m/>
    <m/>
    <x v="0"/>
    <s v="Nil"/>
    <m/>
    <s v="BF"/>
    <s v="NB"/>
    <x v="2"/>
    <x v="3"/>
    <n v="0"/>
    <m/>
    <x v="0"/>
    <m/>
    <x v="1"/>
    <s v="M"/>
    <s v="OUT5"/>
    <m/>
    <n v="0"/>
    <n v="0"/>
    <n v="0"/>
    <n v="0"/>
    <n v="0"/>
    <n v="0"/>
    <n v="0"/>
    <n v="0"/>
    <n v="0"/>
    <n v="0"/>
    <n v="5"/>
    <n v="0"/>
    <n v="0"/>
    <n v="0"/>
    <n v="0"/>
    <n v="0"/>
    <n v="0"/>
    <n v="5"/>
    <n v="0"/>
    <n v="0"/>
    <n v="0"/>
    <n v="0"/>
    <n v="0"/>
    <n v="0"/>
    <n v="0"/>
    <n v="0"/>
    <n v="0"/>
    <n v="0"/>
    <n v="0"/>
    <n v="0"/>
    <n v="0"/>
    <n v="0"/>
    <x v="1"/>
    <x v="0"/>
    <x v="2"/>
    <n v="19"/>
    <m/>
    <m/>
    <m/>
    <m/>
    <n v="0.5"/>
    <n v="0.5"/>
    <n v="0.5"/>
    <n v="0.5"/>
    <n v="0.5"/>
    <n v="0.5"/>
    <n v="0.5"/>
    <n v="0.5"/>
    <n v="0.5"/>
    <n v="0.5"/>
    <m/>
    <m/>
    <m/>
    <m/>
    <m/>
    <m/>
    <n v="1"/>
    <n v="3.5"/>
  </r>
  <r>
    <n v="4472"/>
    <x v="4"/>
    <m/>
    <s v="Brooks Court, 1-10 Cringle Street"/>
    <m/>
    <n v="529267"/>
    <n v="177387"/>
    <x v="1"/>
    <m/>
    <m/>
    <n v="0"/>
    <x v="91"/>
    <x v="102"/>
    <n v="37"/>
    <n v="37"/>
    <x v="0"/>
    <s v="Redevelopment"/>
    <s v="NONE"/>
    <m/>
    <m/>
    <x v="0"/>
    <s v="Nil"/>
    <m/>
    <s v="BF"/>
    <s v="NB"/>
    <x v="1"/>
    <x v="0"/>
    <n v="0"/>
    <m/>
    <x v="0"/>
    <m/>
    <x v="1"/>
    <s v="M"/>
    <s v="NE5"/>
    <m/>
    <n v="0"/>
    <n v="0"/>
    <n v="0"/>
    <n v="0"/>
    <n v="0"/>
    <n v="0"/>
    <n v="0"/>
    <n v="0"/>
    <n v="0"/>
    <n v="0"/>
    <n v="24"/>
    <n v="0"/>
    <n v="0"/>
    <n v="0"/>
    <n v="0"/>
    <n v="0"/>
    <n v="0"/>
    <n v="24"/>
    <n v="0"/>
    <n v="0"/>
    <n v="0"/>
    <n v="0"/>
    <n v="0"/>
    <n v="0"/>
    <n v="0"/>
    <n v="0"/>
    <n v="0"/>
    <n v="0"/>
    <n v="0"/>
    <n v="0"/>
    <n v="0"/>
    <n v="0"/>
    <x v="1"/>
    <x v="1"/>
    <x v="13"/>
    <n v="20"/>
    <m/>
    <m/>
    <m/>
    <m/>
    <m/>
    <n v="24"/>
    <m/>
    <m/>
    <m/>
    <m/>
    <m/>
    <m/>
    <m/>
    <m/>
    <m/>
    <m/>
    <m/>
    <m/>
    <m/>
    <m/>
    <n v="24"/>
    <n v="24"/>
  </r>
  <r>
    <n v="4472"/>
    <x v="4"/>
    <m/>
    <s v="Brooks Court, 1-10 Cringle Street"/>
    <m/>
    <n v="529267"/>
    <n v="177387"/>
    <x v="1"/>
    <m/>
    <m/>
    <n v="0"/>
    <x v="10"/>
    <x v="14"/>
    <n v="37"/>
    <n v="37"/>
    <x v="0"/>
    <s v="Redevelopment"/>
    <s v="NONE"/>
    <m/>
    <m/>
    <x v="0"/>
    <s v="Nil"/>
    <m/>
    <s v="BF"/>
    <s v="NB"/>
    <x v="1"/>
    <x v="0"/>
    <n v="0"/>
    <m/>
    <x v="0"/>
    <m/>
    <x v="2"/>
    <s v="AA"/>
    <s v="NE5"/>
    <m/>
    <n v="0"/>
    <n v="0"/>
    <n v="0"/>
    <n v="0"/>
    <n v="0"/>
    <n v="0"/>
    <n v="0"/>
    <n v="0"/>
    <n v="0"/>
    <n v="0"/>
    <n v="7"/>
    <n v="0"/>
    <n v="0"/>
    <n v="0"/>
    <n v="0"/>
    <n v="0"/>
    <n v="0"/>
    <n v="7"/>
    <n v="0"/>
    <n v="0"/>
    <n v="0"/>
    <n v="0"/>
    <n v="0"/>
    <n v="0"/>
    <n v="0"/>
    <n v="0"/>
    <n v="0"/>
    <n v="0"/>
    <n v="0"/>
    <n v="0"/>
    <n v="0"/>
    <n v="0"/>
    <x v="1"/>
    <x v="1"/>
    <x v="13"/>
    <n v="20"/>
    <m/>
    <m/>
    <m/>
    <m/>
    <m/>
    <n v="7"/>
    <m/>
    <m/>
    <m/>
    <m/>
    <m/>
    <m/>
    <m/>
    <m/>
    <m/>
    <m/>
    <m/>
    <m/>
    <m/>
    <m/>
    <n v="7"/>
    <n v="7"/>
  </r>
  <r>
    <n v="4472"/>
    <x v="4"/>
    <m/>
    <s v="Brooks Court, 1-10 Cringle Street"/>
    <m/>
    <n v="529267"/>
    <n v="177387"/>
    <x v="1"/>
    <m/>
    <m/>
    <n v="0"/>
    <x v="0"/>
    <x v="0"/>
    <n v="37"/>
    <n v="37"/>
    <x v="0"/>
    <s v="Redevelopment"/>
    <s v="NONE"/>
    <m/>
    <m/>
    <x v="0"/>
    <s v="Nil"/>
    <m/>
    <s v="BF"/>
    <s v="NB"/>
    <x v="1"/>
    <x v="0"/>
    <n v="0"/>
    <m/>
    <x v="0"/>
    <m/>
    <x v="0"/>
    <s v="IU"/>
    <s v="NE5"/>
    <m/>
    <n v="0"/>
    <n v="0"/>
    <n v="0"/>
    <n v="0"/>
    <n v="0"/>
    <n v="0"/>
    <n v="0"/>
    <n v="0"/>
    <n v="0"/>
    <n v="0"/>
    <n v="6"/>
    <n v="0"/>
    <n v="0"/>
    <n v="0"/>
    <n v="0"/>
    <n v="0"/>
    <n v="0"/>
    <n v="6"/>
    <n v="0"/>
    <n v="0"/>
    <n v="0"/>
    <n v="0"/>
    <n v="0"/>
    <n v="0"/>
    <n v="0"/>
    <n v="0"/>
    <n v="0"/>
    <n v="0"/>
    <n v="0"/>
    <n v="0"/>
    <n v="0"/>
    <n v="0"/>
    <x v="1"/>
    <x v="1"/>
    <x v="13"/>
    <n v="20"/>
    <m/>
    <m/>
    <m/>
    <m/>
    <m/>
    <n v="6"/>
    <m/>
    <m/>
    <m/>
    <m/>
    <m/>
    <m/>
    <m/>
    <m/>
    <m/>
    <m/>
    <m/>
    <m/>
    <m/>
    <m/>
    <n v="6"/>
    <n v="6"/>
  </r>
  <r>
    <n v="6877"/>
    <x v="4"/>
    <m/>
    <s v="Cable and Wireless Ballymore Site 6, 2a Battersea Park Road"/>
    <m/>
    <n v="529311"/>
    <n v="177427"/>
    <x v="1"/>
    <m/>
    <m/>
    <n v="0"/>
    <x v="64"/>
    <x v="73"/>
    <n v="154"/>
    <n v="154"/>
    <x v="0"/>
    <s v="Redevelopment"/>
    <s v="NONE"/>
    <m/>
    <m/>
    <x v="0"/>
    <s v="Nil"/>
    <m/>
    <s v="BF"/>
    <s v="NB"/>
    <x v="1"/>
    <x v="0"/>
    <n v="0"/>
    <m/>
    <x v="0"/>
    <m/>
    <x v="1"/>
    <s v="M"/>
    <s v="NE1"/>
    <m/>
    <n v="0"/>
    <n v="0"/>
    <n v="0"/>
    <n v="0"/>
    <n v="0"/>
    <n v="0"/>
    <n v="0"/>
    <n v="0"/>
    <n v="0"/>
    <n v="0"/>
    <n v="100"/>
    <n v="0"/>
    <n v="0"/>
    <n v="0"/>
    <n v="0"/>
    <n v="0"/>
    <n v="0"/>
    <n v="100"/>
    <n v="0"/>
    <n v="0"/>
    <n v="0"/>
    <n v="0"/>
    <n v="0"/>
    <n v="0"/>
    <n v="0"/>
    <n v="0"/>
    <n v="0"/>
    <n v="0"/>
    <n v="0"/>
    <n v="0"/>
    <n v="0"/>
    <n v="0"/>
    <x v="1"/>
    <x v="1"/>
    <x v="13"/>
    <n v="20"/>
    <m/>
    <m/>
    <m/>
    <m/>
    <m/>
    <n v="100"/>
    <m/>
    <m/>
    <m/>
    <m/>
    <m/>
    <m/>
    <m/>
    <m/>
    <m/>
    <m/>
    <m/>
    <m/>
    <m/>
    <m/>
    <n v="100"/>
    <n v="100"/>
  </r>
  <r>
    <n v="6877"/>
    <x v="4"/>
    <m/>
    <s v="Cable and Wireless Ballymore Site 6, 2a Battersea Park Road"/>
    <m/>
    <n v="529311"/>
    <n v="177427"/>
    <x v="1"/>
    <m/>
    <m/>
    <n v="0"/>
    <x v="25"/>
    <x v="29"/>
    <n v="154"/>
    <n v="154"/>
    <x v="0"/>
    <s v="Redevelopment"/>
    <s v="NONE"/>
    <m/>
    <m/>
    <x v="0"/>
    <s v="Nil"/>
    <m/>
    <s v="BF"/>
    <s v="NB"/>
    <x v="1"/>
    <x v="0"/>
    <n v="0"/>
    <m/>
    <x v="0"/>
    <m/>
    <x v="2"/>
    <s v="AA"/>
    <s v="NE1"/>
    <m/>
    <n v="0"/>
    <n v="0"/>
    <n v="0"/>
    <n v="0"/>
    <n v="0"/>
    <n v="0"/>
    <n v="0"/>
    <n v="0"/>
    <n v="0"/>
    <n v="0"/>
    <n v="27"/>
    <n v="0"/>
    <n v="0"/>
    <n v="0"/>
    <n v="0"/>
    <n v="0"/>
    <n v="0"/>
    <n v="27"/>
    <n v="0"/>
    <n v="0"/>
    <n v="0"/>
    <n v="0"/>
    <n v="0"/>
    <n v="0"/>
    <n v="0"/>
    <n v="0"/>
    <n v="0"/>
    <n v="0"/>
    <n v="0"/>
    <n v="0"/>
    <n v="0"/>
    <n v="0"/>
    <x v="1"/>
    <x v="1"/>
    <x v="13"/>
    <n v="20"/>
    <m/>
    <m/>
    <m/>
    <m/>
    <m/>
    <n v="27"/>
    <m/>
    <m/>
    <m/>
    <m/>
    <m/>
    <m/>
    <m/>
    <m/>
    <m/>
    <m/>
    <m/>
    <m/>
    <m/>
    <m/>
    <n v="27"/>
    <n v="27"/>
  </r>
  <r>
    <n v="6877"/>
    <x v="4"/>
    <m/>
    <s v="Cable and Wireless Ballymore Site 6, 2a Battersea Park Road"/>
    <m/>
    <n v="529311"/>
    <n v="177427"/>
    <x v="1"/>
    <m/>
    <m/>
    <n v="0"/>
    <x v="25"/>
    <x v="29"/>
    <n v="154"/>
    <n v="154"/>
    <x v="0"/>
    <s v="Redevelopment"/>
    <s v="NONE"/>
    <m/>
    <m/>
    <x v="0"/>
    <s v="Nil"/>
    <m/>
    <s v="BF"/>
    <s v="NB"/>
    <x v="1"/>
    <x v="0"/>
    <n v="0"/>
    <m/>
    <x v="0"/>
    <m/>
    <x v="0"/>
    <s v="IU"/>
    <s v="NE1"/>
    <m/>
    <n v="0"/>
    <n v="0"/>
    <n v="0"/>
    <n v="0"/>
    <n v="0"/>
    <n v="0"/>
    <n v="0"/>
    <n v="0"/>
    <n v="0"/>
    <n v="0"/>
    <n v="27"/>
    <n v="0"/>
    <n v="0"/>
    <n v="0"/>
    <n v="0"/>
    <n v="0"/>
    <n v="0"/>
    <n v="27"/>
    <n v="0"/>
    <n v="0"/>
    <n v="0"/>
    <n v="0"/>
    <n v="0"/>
    <n v="0"/>
    <n v="0"/>
    <n v="0"/>
    <n v="0"/>
    <n v="0"/>
    <n v="0"/>
    <n v="0"/>
    <n v="0"/>
    <n v="0"/>
    <x v="1"/>
    <x v="1"/>
    <x v="13"/>
    <n v="20"/>
    <m/>
    <m/>
    <m/>
    <m/>
    <m/>
    <n v="27"/>
    <m/>
    <m/>
    <m/>
    <m/>
    <m/>
    <m/>
    <m/>
    <m/>
    <m/>
    <m/>
    <m/>
    <m/>
    <m/>
    <m/>
    <n v="27"/>
    <n v="27"/>
  </r>
  <r>
    <n v="4510"/>
    <x v="4"/>
    <m/>
    <s v="Cemex Battersea Plant, Cringle Street (Kirtling Wharf)"/>
    <m/>
    <n v="529218"/>
    <n v="177561"/>
    <x v="1"/>
    <m/>
    <m/>
    <n v="0"/>
    <x v="9"/>
    <x v="12"/>
    <n v="12"/>
    <n v="12"/>
    <x v="0"/>
    <s v="Redevelopment"/>
    <s v="NONE"/>
    <m/>
    <m/>
    <x v="0"/>
    <s v="Nil"/>
    <m/>
    <s v="BF"/>
    <s v="MIX"/>
    <x v="1"/>
    <x v="0"/>
    <n v="0"/>
    <m/>
    <x v="0"/>
    <m/>
    <x v="1"/>
    <s v="M"/>
    <s v="NE9"/>
    <m/>
    <n v="0"/>
    <n v="0"/>
    <n v="0"/>
    <n v="0"/>
    <n v="0"/>
    <n v="0"/>
    <n v="0"/>
    <n v="0"/>
    <n v="0"/>
    <n v="0"/>
    <n v="8"/>
    <n v="0"/>
    <n v="0"/>
    <n v="0"/>
    <n v="0"/>
    <n v="0"/>
    <n v="0"/>
    <n v="8"/>
    <n v="0"/>
    <n v="0"/>
    <n v="0"/>
    <n v="0"/>
    <n v="0"/>
    <n v="0"/>
    <n v="0"/>
    <n v="0"/>
    <n v="0"/>
    <n v="0"/>
    <n v="0"/>
    <n v="0"/>
    <n v="0"/>
    <n v="0"/>
    <x v="1"/>
    <x v="1"/>
    <x v="13"/>
    <n v="20"/>
    <m/>
    <m/>
    <m/>
    <m/>
    <n v="8"/>
    <m/>
    <m/>
    <m/>
    <m/>
    <m/>
    <m/>
    <m/>
    <m/>
    <m/>
    <m/>
    <m/>
    <m/>
    <m/>
    <m/>
    <m/>
    <n v="8"/>
    <n v="8"/>
  </r>
  <r>
    <n v="4510"/>
    <x v="4"/>
    <m/>
    <s v="Cemex Battersea Plant, Cringle Street (Kirtling Wharf)"/>
    <m/>
    <n v="529218"/>
    <n v="177561"/>
    <x v="1"/>
    <m/>
    <m/>
    <n v="0"/>
    <x v="5"/>
    <x v="7"/>
    <n v="12"/>
    <n v="12"/>
    <x v="0"/>
    <s v="Redevelopment"/>
    <s v="NONE"/>
    <m/>
    <m/>
    <x v="0"/>
    <s v="Nil"/>
    <m/>
    <s v="BF"/>
    <s v="MIX"/>
    <x v="1"/>
    <x v="0"/>
    <n v="0"/>
    <m/>
    <x v="0"/>
    <m/>
    <x v="0"/>
    <s v="IU"/>
    <s v="NE9"/>
    <m/>
    <n v="0"/>
    <n v="0"/>
    <n v="0"/>
    <n v="0"/>
    <n v="0"/>
    <n v="0"/>
    <n v="0"/>
    <n v="0"/>
    <n v="0"/>
    <n v="0"/>
    <n v="2"/>
    <n v="0"/>
    <n v="0"/>
    <n v="0"/>
    <n v="0"/>
    <n v="0"/>
    <n v="0"/>
    <n v="2"/>
    <n v="0"/>
    <n v="0"/>
    <n v="0"/>
    <n v="0"/>
    <n v="0"/>
    <n v="0"/>
    <n v="0"/>
    <n v="0"/>
    <n v="0"/>
    <n v="0"/>
    <n v="0"/>
    <n v="0"/>
    <n v="0"/>
    <n v="0"/>
    <x v="1"/>
    <x v="1"/>
    <x v="13"/>
    <n v="20"/>
    <m/>
    <m/>
    <m/>
    <m/>
    <n v="2"/>
    <m/>
    <m/>
    <m/>
    <m/>
    <m/>
    <m/>
    <m/>
    <m/>
    <m/>
    <m/>
    <m/>
    <m/>
    <m/>
    <m/>
    <m/>
    <n v="2"/>
    <n v="2"/>
  </r>
  <r>
    <n v="4510"/>
    <x v="4"/>
    <m/>
    <s v="Cemex Battersea Plant, Cringle Street (Kirtling Wharf)"/>
    <m/>
    <n v="529218"/>
    <n v="177561"/>
    <x v="1"/>
    <m/>
    <m/>
    <n v="0"/>
    <x v="5"/>
    <x v="7"/>
    <n v="12"/>
    <n v="12"/>
    <x v="0"/>
    <s v="Redevelopment"/>
    <s v="NONE"/>
    <m/>
    <m/>
    <x v="0"/>
    <s v="Nil"/>
    <m/>
    <s v="BF"/>
    <s v="MIX"/>
    <x v="1"/>
    <x v="0"/>
    <n v="0"/>
    <m/>
    <x v="0"/>
    <m/>
    <x v="2"/>
    <s v="AA"/>
    <s v="NE9"/>
    <m/>
    <n v="0"/>
    <n v="0"/>
    <n v="0"/>
    <n v="0"/>
    <n v="0"/>
    <n v="0"/>
    <n v="0"/>
    <n v="0"/>
    <n v="0"/>
    <n v="0"/>
    <n v="2"/>
    <n v="0"/>
    <n v="0"/>
    <n v="0"/>
    <n v="0"/>
    <n v="0"/>
    <n v="0"/>
    <n v="2"/>
    <n v="0"/>
    <n v="0"/>
    <n v="0"/>
    <n v="0"/>
    <n v="0"/>
    <n v="0"/>
    <n v="0"/>
    <n v="0"/>
    <n v="0"/>
    <n v="0"/>
    <n v="0"/>
    <n v="0"/>
    <n v="0"/>
    <n v="0"/>
    <x v="1"/>
    <x v="1"/>
    <x v="13"/>
    <n v="20"/>
    <m/>
    <m/>
    <m/>
    <m/>
    <n v="2"/>
    <m/>
    <m/>
    <m/>
    <m/>
    <m/>
    <m/>
    <m/>
    <m/>
    <m/>
    <m/>
    <m/>
    <m/>
    <m/>
    <m/>
    <m/>
    <n v="2"/>
    <n v="2"/>
  </r>
  <r>
    <n v="6904"/>
    <x v="4"/>
    <m/>
    <s v="Chelsea Cars and KwikFit, Armoury Way"/>
    <m/>
    <n v="525354"/>
    <n v="174734"/>
    <x v="14"/>
    <m/>
    <m/>
    <n v="0"/>
    <x v="10"/>
    <x v="14"/>
    <n v="11"/>
    <n v="11"/>
    <x v="0"/>
    <s v="Redevelopment"/>
    <s v="NONE"/>
    <m/>
    <m/>
    <x v="0"/>
    <s v="Nil"/>
    <m/>
    <s v="BF"/>
    <s v="NB"/>
    <x v="1"/>
    <x v="0"/>
    <n v="0"/>
    <m/>
    <x v="0"/>
    <m/>
    <x v="1"/>
    <s v="M"/>
    <s v="WT1"/>
    <m/>
    <n v="0"/>
    <n v="0"/>
    <n v="0"/>
    <n v="0"/>
    <n v="0"/>
    <n v="0"/>
    <n v="0"/>
    <n v="0"/>
    <n v="0"/>
    <n v="0"/>
    <n v="7"/>
    <n v="0"/>
    <n v="0"/>
    <n v="0"/>
    <n v="0"/>
    <n v="0"/>
    <n v="0"/>
    <n v="7"/>
    <n v="0"/>
    <n v="0"/>
    <n v="0"/>
    <n v="0"/>
    <n v="0"/>
    <n v="0"/>
    <n v="0"/>
    <n v="0"/>
    <n v="0"/>
    <n v="0"/>
    <n v="0"/>
    <n v="0"/>
    <n v="0"/>
    <n v="0"/>
    <x v="4"/>
    <x v="0"/>
    <x v="7"/>
    <n v="19"/>
    <m/>
    <m/>
    <m/>
    <m/>
    <m/>
    <n v="1.4"/>
    <n v="1.4"/>
    <n v="1.4"/>
    <n v="1.4"/>
    <n v="1.4"/>
    <m/>
    <m/>
    <m/>
    <m/>
    <m/>
    <m/>
    <m/>
    <m/>
    <m/>
    <m/>
    <n v="1.4"/>
    <n v="7"/>
  </r>
  <r>
    <n v="6904"/>
    <x v="4"/>
    <m/>
    <s v="Chelsea Cars and KwikFit, Armoury Way"/>
    <m/>
    <n v="525354"/>
    <n v="174734"/>
    <x v="14"/>
    <m/>
    <m/>
    <n v="0"/>
    <x v="5"/>
    <x v="7"/>
    <n v="11"/>
    <n v="11"/>
    <x v="0"/>
    <s v="Redevelopment"/>
    <s v="NONE"/>
    <m/>
    <m/>
    <x v="0"/>
    <s v="Nil"/>
    <m/>
    <s v="BF"/>
    <s v="NB"/>
    <x v="1"/>
    <x v="0"/>
    <n v="0"/>
    <m/>
    <x v="0"/>
    <m/>
    <x v="2"/>
    <s v="AA"/>
    <s v="WT1"/>
    <m/>
    <n v="0"/>
    <n v="0"/>
    <n v="0"/>
    <n v="0"/>
    <n v="0"/>
    <n v="0"/>
    <n v="0"/>
    <n v="0"/>
    <n v="0"/>
    <n v="0"/>
    <n v="2"/>
    <n v="0"/>
    <n v="0"/>
    <n v="0"/>
    <n v="0"/>
    <n v="0"/>
    <n v="0"/>
    <n v="2"/>
    <n v="0"/>
    <n v="0"/>
    <n v="0"/>
    <n v="0"/>
    <n v="0"/>
    <n v="0"/>
    <n v="0"/>
    <n v="0"/>
    <n v="0"/>
    <n v="0"/>
    <n v="0"/>
    <n v="0"/>
    <n v="0"/>
    <n v="0"/>
    <x v="4"/>
    <x v="0"/>
    <x v="7"/>
    <n v="19"/>
    <m/>
    <m/>
    <m/>
    <m/>
    <m/>
    <n v="0.4"/>
    <n v="0.4"/>
    <n v="0.4"/>
    <n v="0.4"/>
    <n v="0.4"/>
    <m/>
    <m/>
    <m/>
    <m/>
    <m/>
    <m/>
    <m/>
    <m/>
    <m/>
    <m/>
    <n v="0.4"/>
    <n v="2"/>
  </r>
  <r>
    <n v="6904"/>
    <x v="4"/>
    <m/>
    <s v="Chelsea Cars and KwikFit, Armoury Way"/>
    <m/>
    <n v="525354"/>
    <n v="174734"/>
    <x v="14"/>
    <m/>
    <m/>
    <n v="0"/>
    <x v="5"/>
    <x v="7"/>
    <n v="11"/>
    <n v="11"/>
    <x v="0"/>
    <s v="Redevelopment"/>
    <s v="NONE"/>
    <m/>
    <m/>
    <x v="0"/>
    <s v="Nil"/>
    <m/>
    <s v="BF"/>
    <s v="NB"/>
    <x v="1"/>
    <x v="0"/>
    <n v="0"/>
    <m/>
    <x v="0"/>
    <m/>
    <x v="0"/>
    <s v="IU"/>
    <s v="WT1"/>
    <m/>
    <n v="0"/>
    <n v="0"/>
    <n v="0"/>
    <n v="0"/>
    <n v="0"/>
    <n v="0"/>
    <n v="0"/>
    <n v="0"/>
    <n v="0"/>
    <n v="0"/>
    <n v="2"/>
    <n v="0"/>
    <n v="0"/>
    <n v="0"/>
    <n v="0"/>
    <n v="0"/>
    <n v="0"/>
    <n v="2"/>
    <n v="0"/>
    <n v="0"/>
    <n v="0"/>
    <n v="0"/>
    <n v="0"/>
    <n v="0"/>
    <n v="0"/>
    <n v="0"/>
    <n v="0"/>
    <n v="0"/>
    <n v="0"/>
    <n v="0"/>
    <n v="0"/>
    <n v="0"/>
    <x v="4"/>
    <x v="0"/>
    <x v="7"/>
    <n v="19"/>
    <m/>
    <m/>
    <m/>
    <m/>
    <m/>
    <n v="0.4"/>
    <n v="0.4"/>
    <n v="0.4"/>
    <n v="0.4"/>
    <n v="0.4"/>
    <m/>
    <m/>
    <m/>
    <m/>
    <m/>
    <m/>
    <m/>
    <m/>
    <m/>
    <m/>
    <n v="0.4"/>
    <n v="2"/>
  </r>
  <r>
    <n v="7573"/>
    <x v="4"/>
    <m/>
    <s v="Clapham Junction Station Approach, SW12"/>
    <m/>
    <n v="527299.08160000003"/>
    <n v="175481.82680000001"/>
    <x v="21"/>
    <m/>
    <m/>
    <n v="0"/>
    <x v="7"/>
    <x v="10"/>
    <n v="202"/>
    <n v="202"/>
    <x v="0"/>
    <s v="Redevelopment"/>
    <s v="NONE"/>
    <m/>
    <m/>
    <x v="0"/>
    <s v="Nil"/>
    <m/>
    <s v="BF"/>
    <s v="NB"/>
    <x v="1"/>
    <x v="0"/>
    <n v="0"/>
    <m/>
    <x v="0"/>
    <m/>
    <x v="1"/>
    <s v="M"/>
    <s v="CJ2"/>
    <m/>
    <n v="0"/>
    <n v="0"/>
    <n v="0"/>
    <n v="0"/>
    <n v="0"/>
    <n v="0"/>
    <n v="0"/>
    <n v="0"/>
    <n v="0"/>
    <n v="0"/>
    <n v="131"/>
    <n v="0"/>
    <n v="0"/>
    <n v="0"/>
    <n v="0"/>
    <n v="0"/>
    <n v="0"/>
    <n v="131"/>
    <n v="0"/>
    <n v="0"/>
    <n v="0"/>
    <n v="0"/>
    <n v="0"/>
    <n v="0"/>
    <n v="0"/>
    <n v="0"/>
    <n v="0"/>
    <n v="0"/>
    <n v="0"/>
    <n v="0"/>
    <n v="0"/>
    <n v="0"/>
    <x v="3"/>
    <x v="0"/>
    <x v="11"/>
    <n v="19"/>
    <m/>
    <m/>
    <m/>
    <m/>
    <m/>
    <n v="13.1"/>
    <n v="13.1"/>
    <n v="13.1"/>
    <n v="13.1"/>
    <n v="13.1"/>
    <n v="13.1"/>
    <n v="13.1"/>
    <n v="13.1"/>
    <n v="13.1"/>
    <n v="13.1"/>
    <m/>
    <m/>
    <m/>
    <m/>
    <m/>
    <n v="13.1"/>
    <n v="78.599999999999994"/>
  </r>
  <r>
    <n v="7573"/>
    <x v="4"/>
    <m/>
    <s v="Clapham Junction Station Approach, SW12"/>
    <m/>
    <n v="527299.08160000003"/>
    <n v="175481.82680000001"/>
    <x v="21"/>
    <m/>
    <m/>
    <n v="0"/>
    <x v="71"/>
    <x v="81"/>
    <n v="202"/>
    <n v="202"/>
    <x v="0"/>
    <s v="Redevelopment"/>
    <s v="NONE"/>
    <m/>
    <m/>
    <x v="0"/>
    <s v="Nil"/>
    <m/>
    <s v="BF"/>
    <s v="NB"/>
    <x v="1"/>
    <x v="0"/>
    <n v="0"/>
    <m/>
    <x v="0"/>
    <m/>
    <x v="2"/>
    <s v="AA"/>
    <s v="CJ2"/>
    <m/>
    <n v="0"/>
    <n v="0"/>
    <n v="0"/>
    <n v="0"/>
    <n v="0"/>
    <n v="0"/>
    <n v="0"/>
    <n v="0"/>
    <n v="0"/>
    <n v="0"/>
    <n v="36"/>
    <n v="0"/>
    <n v="0"/>
    <n v="0"/>
    <n v="0"/>
    <n v="0"/>
    <n v="0"/>
    <n v="36"/>
    <n v="0"/>
    <n v="0"/>
    <n v="0"/>
    <n v="0"/>
    <n v="0"/>
    <n v="0"/>
    <n v="0"/>
    <n v="0"/>
    <n v="0"/>
    <n v="0"/>
    <n v="0"/>
    <n v="0"/>
    <n v="0"/>
    <n v="0"/>
    <x v="3"/>
    <x v="0"/>
    <x v="11"/>
    <n v="19"/>
    <m/>
    <m/>
    <m/>
    <m/>
    <m/>
    <n v="3.6"/>
    <n v="3.6"/>
    <n v="3.6"/>
    <n v="3.6"/>
    <n v="3.6"/>
    <n v="3.6"/>
    <n v="3.6"/>
    <n v="3.6"/>
    <n v="3.6"/>
    <n v="3.6"/>
    <m/>
    <m/>
    <m/>
    <m/>
    <m/>
    <n v="3.6"/>
    <n v="21.6"/>
  </r>
  <r>
    <n v="7573"/>
    <x v="4"/>
    <m/>
    <s v="Clapham Junction Station Approach, SW12"/>
    <m/>
    <n v="527299.08160000003"/>
    <n v="175481.82680000001"/>
    <x v="21"/>
    <m/>
    <m/>
    <n v="0"/>
    <x v="18"/>
    <x v="22"/>
    <n v="202"/>
    <n v="202"/>
    <x v="0"/>
    <s v="Redevelopment"/>
    <s v="NONE"/>
    <m/>
    <m/>
    <x v="0"/>
    <s v="Nil"/>
    <m/>
    <s v="BF"/>
    <s v="NB"/>
    <x v="1"/>
    <x v="0"/>
    <n v="0"/>
    <m/>
    <x v="0"/>
    <m/>
    <x v="0"/>
    <s v="IU"/>
    <s v="CJ2"/>
    <m/>
    <n v="0"/>
    <n v="0"/>
    <n v="0"/>
    <n v="0"/>
    <n v="0"/>
    <n v="0"/>
    <n v="0"/>
    <n v="0"/>
    <n v="0"/>
    <n v="0"/>
    <n v="35"/>
    <n v="0"/>
    <n v="0"/>
    <n v="0"/>
    <n v="0"/>
    <n v="0"/>
    <n v="0"/>
    <n v="35"/>
    <n v="0"/>
    <n v="0"/>
    <n v="0"/>
    <n v="0"/>
    <n v="0"/>
    <n v="0"/>
    <n v="0"/>
    <n v="0"/>
    <n v="0"/>
    <n v="0"/>
    <n v="0"/>
    <n v="0"/>
    <n v="0"/>
    <n v="0"/>
    <x v="3"/>
    <x v="0"/>
    <x v="11"/>
    <n v="19"/>
    <m/>
    <m/>
    <m/>
    <m/>
    <m/>
    <n v="3.5"/>
    <n v="3.5"/>
    <n v="3.5"/>
    <n v="3.5"/>
    <n v="3.5"/>
    <n v="3.5"/>
    <n v="3.5"/>
    <n v="3.5"/>
    <n v="3.5"/>
    <n v="3.5"/>
    <m/>
    <m/>
    <m/>
    <m/>
    <m/>
    <n v="3.5"/>
    <n v="21"/>
  </r>
  <r>
    <n v="58"/>
    <x v="4"/>
    <m/>
    <s v="Cloisters Business Centre, Battersea Park Road"/>
    <m/>
    <n v="528810"/>
    <n v="177019"/>
    <x v="1"/>
    <m/>
    <m/>
    <n v="0"/>
    <x v="5"/>
    <x v="7"/>
    <n v="2"/>
    <n v="2"/>
    <x v="1"/>
    <s v="Redevelopment"/>
    <s v="NONE"/>
    <m/>
    <m/>
    <x v="0"/>
    <s v="Nil"/>
    <m/>
    <s v="BF"/>
    <s v="NB"/>
    <x v="2"/>
    <x v="3"/>
    <n v="0"/>
    <m/>
    <x v="0"/>
    <m/>
    <x v="1"/>
    <s v="M"/>
    <m/>
    <m/>
    <n v="0"/>
    <n v="0"/>
    <n v="0"/>
    <n v="0"/>
    <n v="0"/>
    <n v="0"/>
    <n v="0"/>
    <n v="0"/>
    <n v="0"/>
    <n v="0"/>
    <n v="2"/>
    <n v="0"/>
    <n v="0"/>
    <n v="0"/>
    <n v="0"/>
    <n v="0"/>
    <n v="0"/>
    <n v="2"/>
    <n v="0"/>
    <n v="0"/>
    <n v="0"/>
    <n v="0"/>
    <n v="0"/>
    <n v="0"/>
    <n v="0"/>
    <n v="0"/>
    <n v="0"/>
    <n v="0"/>
    <n v="0"/>
    <n v="0"/>
    <n v="0"/>
    <n v="0"/>
    <x v="1"/>
    <x v="1"/>
    <x v="13"/>
    <n v="20"/>
    <m/>
    <m/>
    <m/>
    <m/>
    <m/>
    <m/>
    <n v="2"/>
    <m/>
    <m/>
    <m/>
    <m/>
    <m/>
    <m/>
    <m/>
    <m/>
    <m/>
    <m/>
    <m/>
    <m/>
    <m/>
    <n v="0"/>
    <n v="2"/>
  </r>
  <r>
    <n v="8056"/>
    <x v="4"/>
    <m/>
    <s v="Battersea Ring Main"/>
    <m/>
    <n v="529149"/>
    <n v="177464"/>
    <x v="1"/>
    <m/>
    <m/>
    <n v="0"/>
    <x v="104"/>
    <x v="121"/>
    <n v="100"/>
    <n v="100"/>
    <x v="0"/>
    <s v="Redevelopment"/>
    <s v="NONE"/>
    <m/>
    <m/>
    <x v="0"/>
    <s v="Nil"/>
    <m/>
    <s v="BF"/>
    <s v="MIX"/>
    <x v="1"/>
    <x v="0"/>
    <n v="0"/>
    <m/>
    <x v="0"/>
    <m/>
    <x v="1"/>
    <s v="M"/>
    <s v="NE14"/>
    <m/>
    <n v="0"/>
    <n v="0"/>
    <n v="0"/>
    <n v="0"/>
    <n v="0"/>
    <n v="0"/>
    <n v="0"/>
    <n v="0"/>
    <n v="0"/>
    <n v="0"/>
    <n v="65"/>
    <n v="0"/>
    <n v="0"/>
    <n v="0"/>
    <n v="0"/>
    <n v="0"/>
    <n v="0"/>
    <n v="65"/>
    <n v="0"/>
    <n v="0"/>
    <n v="0"/>
    <n v="0"/>
    <n v="0"/>
    <n v="0"/>
    <n v="0"/>
    <n v="0"/>
    <n v="0"/>
    <n v="0"/>
    <n v="0"/>
    <n v="0"/>
    <n v="0"/>
    <n v="0"/>
    <x v="1"/>
    <x v="1"/>
    <x v="13"/>
    <n v="20"/>
    <m/>
    <m/>
    <m/>
    <m/>
    <m/>
    <m/>
    <n v="21.666666666666668"/>
    <n v="21.666666666666668"/>
    <n v="21.666666666666668"/>
    <m/>
    <m/>
    <m/>
    <m/>
    <m/>
    <m/>
    <m/>
    <m/>
    <m/>
    <m/>
    <m/>
    <n v="0"/>
    <n v="65"/>
  </r>
  <r>
    <n v="8056"/>
    <x v="4"/>
    <m/>
    <s v="Battersea Ring Main"/>
    <m/>
    <n v="529149"/>
    <n v="177464"/>
    <x v="1"/>
    <m/>
    <m/>
    <n v="0"/>
    <x v="74"/>
    <x v="85"/>
    <n v="100"/>
    <n v="100"/>
    <x v="0"/>
    <s v="Redevelopment"/>
    <s v="NONE"/>
    <m/>
    <m/>
    <x v="0"/>
    <s v="Nil"/>
    <m/>
    <s v="BF"/>
    <s v="MIX"/>
    <x v="1"/>
    <x v="0"/>
    <n v="0"/>
    <m/>
    <x v="0"/>
    <m/>
    <x v="2"/>
    <s v="AA"/>
    <s v="NE14"/>
    <m/>
    <n v="0"/>
    <n v="0"/>
    <n v="0"/>
    <n v="0"/>
    <n v="0"/>
    <n v="0"/>
    <n v="0"/>
    <n v="0"/>
    <n v="0"/>
    <n v="0"/>
    <n v="18"/>
    <n v="0"/>
    <n v="0"/>
    <n v="0"/>
    <n v="0"/>
    <n v="0"/>
    <n v="0"/>
    <n v="18"/>
    <n v="0"/>
    <n v="0"/>
    <n v="0"/>
    <n v="0"/>
    <n v="0"/>
    <n v="0"/>
    <n v="0"/>
    <n v="0"/>
    <n v="0"/>
    <n v="0"/>
    <n v="0"/>
    <n v="0"/>
    <n v="0"/>
    <n v="0"/>
    <x v="1"/>
    <x v="1"/>
    <x v="13"/>
    <n v="20"/>
    <m/>
    <m/>
    <m/>
    <m/>
    <m/>
    <m/>
    <n v="6"/>
    <n v="6"/>
    <n v="6"/>
    <m/>
    <m/>
    <m/>
    <m/>
    <m/>
    <m/>
    <m/>
    <m/>
    <m/>
    <m/>
    <m/>
    <n v="0"/>
    <n v="18"/>
  </r>
  <r>
    <n v="8056"/>
    <x v="4"/>
    <m/>
    <s v="Battersea Ring Main"/>
    <m/>
    <n v="529149"/>
    <n v="177464"/>
    <x v="1"/>
    <m/>
    <m/>
    <n v="0"/>
    <x v="35"/>
    <x v="40"/>
    <n v="100"/>
    <n v="100"/>
    <x v="0"/>
    <s v="Redevelopment"/>
    <s v="NONE"/>
    <m/>
    <m/>
    <x v="0"/>
    <s v="Nil"/>
    <m/>
    <s v="BF"/>
    <s v="MIX"/>
    <x v="1"/>
    <x v="0"/>
    <n v="0"/>
    <m/>
    <x v="0"/>
    <m/>
    <x v="0"/>
    <s v="IU"/>
    <s v="NE14"/>
    <m/>
    <n v="0"/>
    <n v="0"/>
    <n v="0"/>
    <n v="0"/>
    <n v="0"/>
    <n v="0"/>
    <n v="0"/>
    <n v="0"/>
    <n v="0"/>
    <n v="0"/>
    <n v="17"/>
    <n v="0"/>
    <n v="0"/>
    <n v="0"/>
    <n v="0"/>
    <n v="0"/>
    <n v="0"/>
    <n v="17"/>
    <n v="0"/>
    <n v="0"/>
    <n v="0"/>
    <n v="0"/>
    <n v="0"/>
    <n v="0"/>
    <n v="0"/>
    <n v="0"/>
    <n v="0"/>
    <n v="0"/>
    <n v="0"/>
    <n v="0"/>
    <n v="0"/>
    <n v="0"/>
    <x v="1"/>
    <x v="1"/>
    <x v="13"/>
    <n v="20"/>
    <m/>
    <m/>
    <m/>
    <m/>
    <m/>
    <m/>
    <n v="5.666666666666667"/>
    <n v="5.666666666666667"/>
    <n v="5.666666666666667"/>
    <m/>
    <m/>
    <m/>
    <m/>
    <m/>
    <m/>
    <m/>
    <m/>
    <m/>
    <m/>
    <m/>
    <n v="0"/>
    <n v="17"/>
  </r>
  <r>
    <n v="4509"/>
    <x v="4"/>
    <m/>
    <s v="Cringle Dock, Nine Elms, SW8"/>
    <m/>
    <n v="529144.33070000005"/>
    <n v="177568.643099999"/>
    <x v="1"/>
    <m/>
    <m/>
    <n v="0"/>
    <x v="46"/>
    <x v="55"/>
    <n v="21"/>
    <n v="21"/>
    <x v="0"/>
    <s v="Redevelopment"/>
    <s v="NONE"/>
    <m/>
    <m/>
    <x v="0"/>
    <s v="Nil"/>
    <m/>
    <s v="BF"/>
    <s v="NB"/>
    <x v="1"/>
    <x v="0"/>
    <n v="0"/>
    <m/>
    <x v="0"/>
    <m/>
    <x v="1"/>
    <s v="M"/>
    <s v="NE11"/>
    <m/>
    <n v="0"/>
    <n v="0"/>
    <n v="0"/>
    <n v="0"/>
    <n v="0"/>
    <n v="0"/>
    <n v="0"/>
    <n v="0"/>
    <n v="0"/>
    <n v="0"/>
    <n v="14"/>
    <n v="0"/>
    <n v="0"/>
    <n v="0"/>
    <n v="0"/>
    <n v="0"/>
    <n v="0"/>
    <n v="14"/>
    <n v="0"/>
    <n v="0"/>
    <n v="0"/>
    <n v="0"/>
    <n v="0"/>
    <n v="0"/>
    <n v="0"/>
    <n v="0"/>
    <n v="0"/>
    <n v="0"/>
    <n v="0"/>
    <n v="0"/>
    <n v="0"/>
    <n v="0"/>
    <x v="1"/>
    <x v="1"/>
    <x v="13"/>
    <n v="20"/>
    <m/>
    <m/>
    <m/>
    <m/>
    <n v="2.8"/>
    <n v="2.8"/>
    <n v="2.8"/>
    <n v="2.8"/>
    <n v="2.8"/>
    <m/>
    <m/>
    <m/>
    <m/>
    <m/>
    <m/>
    <m/>
    <m/>
    <m/>
    <m/>
    <m/>
    <n v="5.6"/>
    <n v="14"/>
  </r>
  <r>
    <n v="4509"/>
    <x v="4"/>
    <m/>
    <s v="Cringle Dock, Nine Elms, SW8"/>
    <m/>
    <n v="529144.33070000005"/>
    <n v="177568.643099999"/>
    <x v="1"/>
    <m/>
    <m/>
    <n v="0"/>
    <x v="12"/>
    <x v="15"/>
    <n v="21"/>
    <n v="21"/>
    <x v="0"/>
    <s v="Redevelopment"/>
    <s v="NONE"/>
    <m/>
    <m/>
    <x v="0"/>
    <s v="Nil"/>
    <m/>
    <s v="BF"/>
    <s v="NB"/>
    <x v="1"/>
    <x v="0"/>
    <n v="0"/>
    <m/>
    <x v="0"/>
    <m/>
    <x v="2"/>
    <s v="AA"/>
    <s v="NE11"/>
    <m/>
    <n v="0"/>
    <n v="0"/>
    <n v="0"/>
    <n v="0"/>
    <n v="0"/>
    <n v="0"/>
    <n v="0"/>
    <n v="0"/>
    <n v="0"/>
    <n v="0"/>
    <n v="4"/>
    <n v="0"/>
    <n v="0"/>
    <n v="0"/>
    <n v="0"/>
    <n v="0"/>
    <n v="0"/>
    <n v="4"/>
    <n v="0"/>
    <n v="0"/>
    <n v="0"/>
    <n v="0"/>
    <n v="0"/>
    <n v="0"/>
    <n v="0"/>
    <n v="0"/>
    <n v="0"/>
    <n v="0"/>
    <n v="0"/>
    <n v="0"/>
    <n v="0"/>
    <n v="0"/>
    <x v="1"/>
    <x v="1"/>
    <x v="13"/>
    <n v="20"/>
    <m/>
    <m/>
    <m/>
    <m/>
    <n v="0.8"/>
    <n v="0.8"/>
    <n v="0.8"/>
    <n v="0.8"/>
    <n v="0.8"/>
    <m/>
    <m/>
    <m/>
    <m/>
    <m/>
    <m/>
    <m/>
    <m/>
    <m/>
    <m/>
    <m/>
    <n v="1.6"/>
    <n v="4"/>
  </r>
  <r>
    <n v="4509"/>
    <x v="4"/>
    <m/>
    <s v="Cringle Dock, Nine Elms, SW8"/>
    <m/>
    <n v="529144.33070000005"/>
    <n v="177568.643099999"/>
    <x v="1"/>
    <m/>
    <m/>
    <n v="0"/>
    <x v="11"/>
    <x v="36"/>
    <n v="21"/>
    <n v="21"/>
    <x v="0"/>
    <s v="Redevelopment"/>
    <s v="NONE"/>
    <m/>
    <m/>
    <x v="0"/>
    <s v="Nil"/>
    <m/>
    <s v="BF"/>
    <s v="NB"/>
    <x v="1"/>
    <x v="0"/>
    <n v="0"/>
    <m/>
    <x v="0"/>
    <m/>
    <x v="0"/>
    <s v="IU"/>
    <s v="NE11"/>
    <m/>
    <n v="0"/>
    <n v="0"/>
    <n v="0"/>
    <n v="0"/>
    <n v="0"/>
    <n v="0"/>
    <n v="0"/>
    <n v="0"/>
    <n v="0"/>
    <n v="0"/>
    <n v="3"/>
    <n v="0"/>
    <n v="0"/>
    <n v="0"/>
    <n v="0"/>
    <n v="0"/>
    <n v="0"/>
    <n v="3"/>
    <n v="0"/>
    <n v="0"/>
    <n v="0"/>
    <n v="0"/>
    <n v="0"/>
    <n v="0"/>
    <n v="0"/>
    <n v="0"/>
    <n v="0"/>
    <n v="0"/>
    <n v="0"/>
    <n v="0"/>
    <n v="0"/>
    <n v="0"/>
    <x v="1"/>
    <x v="1"/>
    <x v="13"/>
    <n v="20"/>
    <m/>
    <m/>
    <m/>
    <m/>
    <n v="0.6"/>
    <n v="0.6"/>
    <n v="0.6"/>
    <n v="0.6"/>
    <n v="0.6"/>
    <m/>
    <m/>
    <m/>
    <m/>
    <m/>
    <m/>
    <m/>
    <m/>
    <m/>
    <m/>
    <m/>
    <n v="1.2"/>
    <n v="3"/>
  </r>
  <r>
    <n v="6876"/>
    <x v="4"/>
    <m/>
    <s v="Dovercourt site, York Road, SW11"/>
    <m/>
    <n v="526665"/>
    <n v="176051"/>
    <x v="15"/>
    <m/>
    <m/>
    <n v="0"/>
    <x v="119"/>
    <x v="135"/>
    <n v="280"/>
    <n v="280"/>
    <x v="0"/>
    <s v="Redevelopment"/>
    <s v="NONE"/>
    <m/>
    <m/>
    <x v="0"/>
    <s v="Nil"/>
    <m/>
    <s v="BF"/>
    <s v="NB"/>
    <x v="1"/>
    <x v="0"/>
    <n v="0"/>
    <m/>
    <x v="0"/>
    <m/>
    <x v="1"/>
    <s v="M"/>
    <s v="RIV2"/>
    <m/>
    <n v="0"/>
    <n v="0"/>
    <n v="0"/>
    <n v="0"/>
    <n v="0"/>
    <n v="0"/>
    <n v="0"/>
    <n v="0"/>
    <n v="0"/>
    <n v="0"/>
    <n v="182"/>
    <n v="0"/>
    <n v="0"/>
    <n v="0"/>
    <n v="0"/>
    <n v="0"/>
    <n v="0"/>
    <n v="182"/>
    <n v="0"/>
    <n v="0"/>
    <n v="0"/>
    <n v="0"/>
    <n v="0"/>
    <n v="0"/>
    <n v="0"/>
    <n v="0"/>
    <n v="0"/>
    <n v="0"/>
    <n v="0"/>
    <n v="0"/>
    <n v="0"/>
    <n v="0"/>
    <x v="1"/>
    <x v="0"/>
    <x v="11"/>
    <n v="19"/>
    <m/>
    <m/>
    <m/>
    <m/>
    <m/>
    <n v="11.375"/>
    <n v="11.375"/>
    <n v="11.375"/>
    <n v="11.375"/>
    <n v="11.375"/>
    <n v="11.375"/>
    <n v="11.375"/>
    <n v="11.375"/>
    <n v="11.375"/>
    <n v="11.375"/>
    <n v="11.375"/>
    <n v="11.375"/>
    <n v="11.375"/>
    <n v="11.375"/>
    <n v="11.375"/>
    <n v="11.375"/>
    <n v="68.25"/>
  </r>
  <r>
    <n v="6876"/>
    <x v="4"/>
    <m/>
    <s v="Dovercourt site, York Road, SW11"/>
    <m/>
    <n v="526665"/>
    <n v="176051"/>
    <x v="15"/>
    <m/>
    <m/>
    <n v="0"/>
    <x v="15"/>
    <x v="19"/>
    <n v="280"/>
    <n v="280"/>
    <x v="0"/>
    <s v="Redevelopment"/>
    <s v="NONE"/>
    <m/>
    <m/>
    <x v="0"/>
    <s v="Nil"/>
    <m/>
    <s v="BF"/>
    <s v="NB"/>
    <x v="1"/>
    <x v="0"/>
    <n v="0"/>
    <m/>
    <x v="0"/>
    <m/>
    <x v="2"/>
    <s v="AA"/>
    <s v="RIV2"/>
    <m/>
    <n v="0"/>
    <n v="0"/>
    <n v="0"/>
    <n v="0"/>
    <n v="0"/>
    <n v="0"/>
    <n v="0"/>
    <n v="0"/>
    <n v="0"/>
    <n v="0"/>
    <n v="49"/>
    <n v="0"/>
    <n v="0"/>
    <n v="0"/>
    <n v="0"/>
    <n v="0"/>
    <n v="0"/>
    <n v="49"/>
    <n v="0"/>
    <n v="0"/>
    <n v="0"/>
    <n v="0"/>
    <n v="0"/>
    <n v="0"/>
    <n v="0"/>
    <n v="0"/>
    <n v="0"/>
    <n v="0"/>
    <n v="0"/>
    <n v="0"/>
    <n v="0"/>
    <n v="0"/>
    <x v="1"/>
    <x v="0"/>
    <x v="11"/>
    <n v="19"/>
    <m/>
    <m/>
    <m/>
    <m/>
    <m/>
    <n v="3.0625"/>
    <n v="3.0625"/>
    <n v="3.0625"/>
    <n v="3.0625"/>
    <n v="3.0625"/>
    <n v="3.0625"/>
    <n v="3.0625"/>
    <n v="3.0625"/>
    <n v="3.0625"/>
    <n v="3.0625"/>
    <n v="3.0625"/>
    <n v="3.0625"/>
    <n v="3.0625"/>
    <n v="3.0625"/>
    <n v="3.0625"/>
    <n v="3.0625"/>
    <n v="18.375"/>
  </r>
  <r>
    <n v="6876"/>
    <x v="4"/>
    <m/>
    <s v="Dovercourt site, York Road, SW11"/>
    <m/>
    <n v="526665"/>
    <n v="176051"/>
    <x v="15"/>
    <m/>
    <m/>
    <n v="0"/>
    <x v="15"/>
    <x v="19"/>
    <n v="280"/>
    <n v="280"/>
    <x v="0"/>
    <s v="Redevelopment"/>
    <s v="NONE"/>
    <m/>
    <m/>
    <x v="0"/>
    <s v="Nil"/>
    <m/>
    <s v="BF"/>
    <s v="NB"/>
    <x v="1"/>
    <x v="0"/>
    <n v="0"/>
    <m/>
    <x v="0"/>
    <m/>
    <x v="0"/>
    <s v="IU"/>
    <s v="RIV2"/>
    <m/>
    <n v="0"/>
    <n v="0"/>
    <n v="0"/>
    <n v="0"/>
    <n v="0"/>
    <n v="0"/>
    <n v="0"/>
    <n v="0"/>
    <n v="0"/>
    <n v="0"/>
    <n v="49"/>
    <n v="0"/>
    <n v="0"/>
    <n v="0"/>
    <n v="0"/>
    <n v="0"/>
    <n v="0"/>
    <n v="49"/>
    <n v="0"/>
    <n v="0"/>
    <n v="0"/>
    <n v="0"/>
    <n v="0"/>
    <n v="0"/>
    <n v="0"/>
    <n v="0"/>
    <n v="0"/>
    <n v="0"/>
    <n v="0"/>
    <n v="0"/>
    <n v="0"/>
    <n v="0"/>
    <x v="1"/>
    <x v="0"/>
    <x v="11"/>
    <n v="19"/>
    <m/>
    <m/>
    <m/>
    <m/>
    <m/>
    <n v="3.0625"/>
    <n v="3.0625"/>
    <n v="3.0625"/>
    <n v="3.0625"/>
    <n v="3.0625"/>
    <n v="3.0625"/>
    <n v="3.0625"/>
    <n v="3.0625"/>
    <n v="3.0625"/>
    <n v="3.0625"/>
    <n v="3.0625"/>
    <n v="3.0625"/>
    <n v="3.0625"/>
    <n v="3.0625"/>
    <n v="3.0625"/>
    <n v="3.0625"/>
    <n v="18.375"/>
  </r>
  <r>
    <n v="6895"/>
    <x v="4"/>
    <m/>
    <s v="Feathers Wharf, The Causeway"/>
    <m/>
    <n v="525545"/>
    <n v="175231"/>
    <x v="15"/>
    <m/>
    <m/>
    <n v="0"/>
    <x v="34"/>
    <x v="39"/>
    <n v="141"/>
    <n v="141"/>
    <x v="0"/>
    <s v="Redevelopment"/>
    <s v="NONE"/>
    <m/>
    <m/>
    <x v="0"/>
    <s v="Nil"/>
    <m/>
    <s v="BF"/>
    <s v="NB"/>
    <x v="1"/>
    <x v="0"/>
    <n v="0"/>
    <m/>
    <x v="0"/>
    <m/>
    <x v="1"/>
    <s v="M"/>
    <s v="WT9"/>
    <m/>
    <n v="0"/>
    <n v="0"/>
    <n v="0"/>
    <n v="0"/>
    <n v="0"/>
    <n v="0"/>
    <n v="0"/>
    <n v="0"/>
    <n v="0"/>
    <n v="0"/>
    <n v="92"/>
    <n v="0"/>
    <n v="0"/>
    <n v="0"/>
    <n v="0"/>
    <n v="0"/>
    <n v="0"/>
    <n v="92"/>
    <n v="0"/>
    <n v="0"/>
    <n v="0"/>
    <n v="0"/>
    <n v="0"/>
    <n v="0"/>
    <n v="0"/>
    <n v="0"/>
    <n v="0"/>
    <n v="0"/>
    <n v="0"/>
    <n v="0"/>
    <n v="0"/>
    <n v="0"/>
    <x v="1"/>
    <x v="0"/>
    <x v="7"/>
    <n v="19"/>
    <m/>
    <m/>
    <m/>
    <m/>
    <m/>
    <m/>
    <m/>
    <m/>
    <m/>
    <n v="7.666666666666667"/>
    <n v="7.666666666666667"/>
    <n v="7.666666666666667"/>
    <n v="7.666666666666667"/>
    <n v="7.666666666666667"/>
    <n v="7.666666666666667"/>
    <n v="7.666666666666667"/>
    <n v="7.666666666666667"/>
    <n v="7.666666666666667"/>
    <n v="7.666666666666667"/>
    <n v="7.666666666666667"/>
    <n v="0"/>
    <n v="15.333333333333334"/>
  </r>
  <r>
    <n v="6895"/>
    <x v="4"/>
    <m/>
    <s v="Feathers Wharf, The Causeway"/>
    <m/>
    <n v="525545"/>
    <n v="175231"/>
    <x v="15"/>
    <m/>
    <m/>
    <n v="0"/>
    <x v="20"/>
    <x v="24"/>
    <n v="141"/>
    <n v="141"/>
    <x v="0"/>
    <s v="Redevelopment"/>
    <s v="NONE"/>
    <m/>
    <m/>
    <x v="0"/>
    <s v="Nil"/>
    <m/>
    <s v="BF"/>
    <s v="NB"/>
    <x v="1"/>
    <x v="0"/>
    <n v="0"/>
    <m/>
    <x v="0"/>
    <m/>
    <x v="2"/>
    <s v="AA"/>
    <s v="WT9"/>
    <m/>
    <n v="0"/>
    <n v="0"/>
    <n v="0"/>
    <n v="0"/>
    <n v="0"/>
    <n v="0"/>
    <n v="0"/>
    <n v="0"/>
    <n v="0"/>
    <n v="0"/>
    <n v="25"/>
    <n v="0"/>
    <n v="0"/>
    <n v="0"/>
    <n v="0"/>
    <n v="0"/>
    <n v="0"/>
    <n v="25"/>
    <n v="0"/>
    <n v="0"/>
    <n v="0"/>
    <n v="0"/>
    <n v="0"/>
    <n v="0"/>
    <n v="0"/>
    <n v="0"/>
    <n v="0"/>
    <n v="0"/>
    <n v="0"/>
    <n v="0"/>
    <n v="0"/>
    <n v="0"/>
    <x v="1"/>
    <x v="0"/>
    <x v="7"/>
    <n v="19"/>
    <m/>
    <m/>
    <m/>
    <m/>
    <m/>
    <m/>
    <m/>
    <m/>
    <m/>
    <n v="2.0833333333333335"/>
    <n v="2.0833333333333335"/>
    <n v="2.0833333333333335"/>
    <n v="2.0833333333333335"/>
    <n v="2.0833333333333335"/>
    <n v="2.0833333333333335"/>
    <n v="2.0833333333333335"/>
    <n v="2.0833333333333335"/>
    <n v="2.0833333333333335"/>
    <n v="2.0833333333333335"/>
    <n v="2.0833333333333335"/>
    <n v="0"/>
    <n v="4.166666666666667"/>
  </r>
  <r>
    <n v="6895"/>
    <x v="4"/>
    <m/>
    <s v="Feathers Wharf, The Causeway"/>
    <m/>
    <n v="525545"/>
    <n v="175231"/>
    <x v="15"/>
    <m/>
    <m/>
    <n v="0"/>
    <x v="91"/>
    <x v="102"/>
    <n v="141"/>
    <n v="141"/>
    <x v="0"/>
    <s v="Redevelopment"/>
    <s v="NONE"/>
    <m/>
    <m/>
    <x v="0"/>
    <s v="Nil"/>
    <m/>
    <s v="BF"/>
    <s v="NB"/>
    <x v="1"/>
    <x v="0"/>
    <n v="0"/>
    <m/>
    <x v="0"/>
    <m/>
    <x v="0"/>
    <s v="IU"/>
    <s v="WT9"/>
    <m/>
    <n v="0"/>
    <n v="0"/>
    <n v="0"/>
    <n v="0"/>
    <n v="0"/>
    <n v="0"/>
    <n v="0"/>
    <n v="0"/>
    <n v="0"/>
    <n v="0"/>
    <n v="24"/>
    <n v="0"/>
    <n v="0"/>
    <n v="0"/>
    <n v="0"/>
    <n v="0"/>
    <n v="0"/>
    <n v="24"/>
    <n v="0"/>
    <n v="0"/>
    <n v="0"/>
    <n v="0"/>
    <n v="0"/>
    <n v="0"/>
    <n v="0"/>
    <n v="0"/>
    <n v="0"/>
    <n v="0"/>
    <n v="0"/>
    <n v="0"/>
    <n v="0"/>
    <n v="0"/>
    <x v="1"/>
    <x v="0"/>
    <x v="7"/>
    <n v="19"/>
    <m/>
    <m/>
    <m/>
    <m/>
    <m/>
    <m/>
    <m/>
    <m/>
    <m/>
    <n v="2"/>
    <n v="2"/>
    <n v="2"/>
    <n v="2"/>
    <n v="2"/>
    <n v="2"/>
    <n v="2"/>
    <n v="2"/>
    <n v="2"/>
    <n v="2"/>
    <n v="2"/>
    <n v="0"/>
    <n v="4"/>
  </r>
  <r>
    <n v="6905"/>
    <x v="4"/>
    <m/>
    <s v="Frogmore Depot, Dormay Street"/>
    <m/>
    <n v="525428"/>
    <n v="174978"/>
    <x v="14"/>
    <m/>
    <m/>
    <n v="0"/>
    <x v="120"/>
    <x v="136"/>
    <n v="172"/>
    <n v="172"/>
    <x v="0"/>
    <s v="Redevelopment"/>
    <s v="NONE"/>
    <m/>
    <m/>
    <x v="0"/>
    <s v="Nil"/>
    <m/>
    <s v="BF"/>
    <s v="NB"/>
    <x v="1"/>
    <x v="0"/>
    <n v="0"/>
    <m/>
    <x v="0"/>
    <m/>
    <x v="1"/>
    <s v="M"/>
    <s v="WT6"/>
    <m/>
    <n v="0"/>
    <n v="0"/>
    <n v="0"/>
    <n v="0"/>
    <n v="0"/>
    <n v="0"/>
    <n v="0"/>
    <n v="0"/>
    <n v="0"/>
    <n v="0"/>
    <n v="112"/>
    <n v="0"/>
    <n v="0"/>
    <n v="0"/>
    <n v="0"/>
    <n v="0"/>
    <n v="0"/>
    <n v="112"/>
    <n v="0"/>
    <n v="0"/>
    <n v="0"/>
    <n v="0"/>
    <n v="0"/>
    <n v="0"/>
    <n v="0"/>
    <n v="0"/>
    <n v="0"/>
    <n v="0"/>
    <n v="0"/>
    <n v="0"/>
    <n v="0"/>
    <n v="0"/>
    <x v="1"/>
    <x v="0"/>
    <x v="7"/>
    <n v="19"/>
    <m/>
    <m/>
    <m/>
    <m/>
    <m/>
    <n v="11.2"/>
    <n v="11.2"/>
    <n v="11.2"/>
    <n v="11.2"/>
    <n v="11.2"/>
    <n v="11.2"/>
    <n v="11.2"/>
    <n v="11.2"/>
    <n v="11.2"/>
    <n v="11.2"/>
    <m/>
    <m/>
    <m/>
    <m/>
    <m/>
    <n v="11.2"/>
    <n v="67.2"/>
  </r>
  <r>
    <n v="6905"/>
    <x v="4"/>
    <m/>
    <s v="Frogmore Depot, Dormay Street"/>
    <m/>
    <n v="525428"/>
    <n v="174978"/>
    <x v="14"/>
    <m/>
    <m/>
    <n v="0"/>
    <x v="50"/>
    <x v="59"/>
    <n v="172"/>
    <n v="172"/>
    <x v="0"/>
    <s v="Redevelopment"/>
    <s v="NONE"/>
    <m/>
    <m/>
    <x v="0"/>
    <s v="Nil"/>
    <m/>
    <s v="BF"/>
    <s v="NB"/>
    <x v="1"/>
    <x v="0"/>
    <n v="0"/>
    <m/>
    <x v="0"/>
    <m/>
    <x v="2"/>
    <s v="AA"/>
    <s v="WT6"/>
    <m/>
    <n v="0"/>
    <n v="0"/>
    <n v="0"/>
    <n v="0"/>
    <n v="0"/>
    <n v="0"/>
    <n v="0"/>
    <n v="0"/>
    <n v="0"/>
    <n v="0"/>
    <n v="30"/>
    <n v="0"/>
    <n v="0"/>
    <n v="0"/>
    <n v="0"/>
    <n v="0"/>
    <n v="0"/>
    <n v="30"/>
    <n v="0"/>
    <n v="0"/>
    <n v="0"/>
    <n v="0"/>
    <n v="0"/>
    <n v="0"/>
    <n v="0"/>
    <n v="0"/>
    <n v="0"/>
    <n v="0"/>
    <n v="0"/>
    <n v="0"/>
    <n v="0"/>
    <n v="0"/>
    <x v="1"/>
    <x v="0"/>
    <x v="7"/>
    <n v="19"/>
    <m/>
    <m/>
    <m/>
    <m/>
    <m/>
    <n v="3"/>
    <n v="3"/>
    <n v="3"/>
    <n v="3"/>
    <n v="3"/>
    <n v="3"/>
    <n v="3"/>
    <n v="3"/>
    <n v="3"/>
    <n v="3"/>
    <m/>
    <m/>
    <m/>
    <m/>
    <m/>
    <n v="3"/>
    <n v="18"/>
  </r>
  <r>
    <n v="6905"/>
    <x v="4"/>
    <m/>
    <s v="Frogmore Depot, Dormay Street"/>
    <m/>
    <n v="525428"/>
    <n v="174978"/>
    <x v="14"/>
    <m/>
    <m/>
    <n v="0"/>
    <x v="50"/>
    <x v="59"/>
    <n v="172"/>
    <n v="172"/>
    <x v="0"/>
    <s v="Redevelopment"/>
    <s v="NONE"/>
    <m/>
    <m/>
    <x v="0"/>
    <s v="Nil"/>
    <m/>
    <s v="BF"/>
    <s v="NB"/>
    <x v="1"/>
    <x v="0"/>
    <n v="0"/>
    <m/>
    <x v="0"/>
    <m/>
    <x v="0"/>
    <s v="IU"/>
    <s v="WT6"/>
    <m/>
    <n v="0"/>
    <n v="0"/>
    <n v="0"/>
    <n v="0"/>
    <n v="0"/>
    <n v="0"/>
    <n v="0"/>
    <n v="0"/>
    <n v="0"/>
    <n v="0"/>
    <n v="30"/>
    <n v="0"/>
    <n v="0"/>
    <n v="0"/>
    <n v="0"/>
    <n v="0"/>
    <n v="0"/>
    <n v="30"/>
    <n v="0"/>
    <n v="0"/>
    <n v="0"/>
    <n v="0"/>
    <n v="0"/>
    <n v="0"/>
    <n v="0"/>
    <n v="0"/>
    <n v="0"/>
    <n v="0"/>
    <n v="0"/>
    <n v="0"/>
    <n v="0"/>
    <n v="0"/>
    <x v="1"/>
    <x v="0"/>
    <x v="7"/>
    <n v="19"/>
    <m/>
    <m/>
    <m/>
    <m/>
    <m/>
    <n v="3"/>
    <n v="3"/>
    <n v="3"/>
    <n v="3"/>
    <n v="3"/>
    <n v="3"/>
    <n v="3"/>
    <n v="3"/>
    <n v="3"/>
    <n v="3"/>
    <m/>
    <m/>
    <m/>
    <m/>
    <m/>
    <n v="3"/>
    <n v="18"/>
  </r>
  <r>
    <n v="6874"/>
    <x v="4"/>
    <m/>
    <s v="Gartons Industrial Estate, Gartons Way"/>
    <m/>
    <n v="526442"/>
    <n v="175680"/>
    <x v="15"/>
    <m/>
    <m/>
    <n v="0"/>
    <x v="51"/>
    <x v="60"/>
    <n v="77"/>
    <n v="77"/>
    <x v="0"/>
    <s v="Redevelopment"/>
    <s v="NONE"/>
    <m/>
    <m/>
    <x v="0"/>
    <s v="Nil"/>
    <m/>
    <s v="BF"/>
    <s v="NB"/>
    <x v="1"/>
    <x v="0"/>
    <n v="0"/>
    <m/>
    <x v="0"/>
    <m/>
    <x v="1"/>
    <s v="M"/>
    <s v="RIV4"/>
    <m/>
    <n v="0"/>
    <n v="0"/>
    <n v="0"/>
    <n v="0"/>
    <n v="0"/>
    <n v="0"/>
    <n v="0"/>
    <n v="0"/>
    <n v="0"/>
    <n v="0"/>
    <n v="50"/>
    <n v="0"/>
    <n v="0"/>
    <n v="0"/>
    <n v="0"/>
    <n v="0"/>
    <n v="0"/>
    <n v="50"/>
    <n v="0"/>
    <n v="0"/>
    <n v="0"/>
    <n v="0"/>
    <n v="0"/>
    <n v="0"/>
    <n v="0"/>
    <n v="0"/>
    <n v="0"/>
    <n v="0"/>
    <n v="0"/>
    <n v="0"/>
    <n v="0"/>
    <n v="0"/>
    <x v="1"/>
    <x v="0"/>
    <x v="4"/>
    <n v="19"/>
    <m/>
    <m/>
    <m/>
    <m/>
    <m/>
    <n v="3.125"/>
    <n v="3.125"/>
    <n v="3.125"/>
    <n v="3.125"/>
    <n v="3.125"/>
    <n v="3.125"/>
    <n v="3.125"/>
    <n v="3.125"/>
    <n v="3.125"/>
    <n v="3.125"/>
    <n v="3.125"/>
    <n v="3.125"/>
    <n v="3.125"/>
    <n v="3.125"/>
    <n v="3.125"/>
    <n v="3.125"/>
    <n v="18.75"/>
  </r>
  <r>
    <n v="6874"/>
    <x v="4"/>
    <m/>
    <s v="Gartons Industrial Estate, Gartons Way"/>
    <m/>
    <n v="526442"/>
    <n v="175680"/>
    <x v="15"/>
    <m/>
    <m/>
    <n v="0"/>
    <x v="46"/>
    <x v="55"/>
    <n v="77"/>
    <n v="77"/>
    <x v="0"/>
    <s v="Redevelopment"/>
    <s v="NONE"/>
    <m/>
    <m/>
    <x v="0"/>
    <s v="Nil"/>
    <m/>
    <s v="BF"/>
    <s v="NB"/>
    <x v="1"/>
    <x v="0"/>
    <n v="0"/>
    <m/>
    <x v="0"/>
    <m/>
    <x v="2"/>
    <s v="AA"/>
    <s v="RIV4"/>
    <m/>
    <n v="0"/>
    <n v="0"/>
    <n v="0"/>
    <n v="0"/>
    <n v="0"/>
    <n v="0"/>
    <n v="0"/>
    <n v="0"/>
    <n v="0"/>
    <n v="0"/>
    <n v="14"/>
    <n v="0"/>
    <n v="0"/>
    <n v="0"/>
    <n v="0"/>
    <n v="0"/>
    <n v="0"/>
    <n v="14"/>
    <n v="0"/>
    <n v="0"/>
    <n v="0"/>
    <n v="0"/>
    <n v="0"/>
    <n v="0"/>
    <n v="0"/>
    <n v="0"/>
    <n v="0"/>
    <n v="0"/>
    <n v="0"/>
    <n v="0"/>
    <n v="0"/>
    <n v="0"/>
    <x v="1"/>
    <x v="0"/>
    <x v="4"/>
    <n v="19"/>
    <m/>
    <m/>
    <m/>
    <m/>
    <m/>
    <n v="0.875"/>
    <n v="0.875"/>
    <n v="0.875"/>
    <n v="0.875"/>
    <n v="0.875"/>
    <n v="0.875"/>
    <n v="0.875"/>
    <n v="0.875"/>
    <n v="0.875"/>
    <n v="0.875"/>
    <n v="0.875"/>
    <n v="0.875"/>
    <n v="0.875"/>
    <n v="0.875"/>
    <n v="0.875"/>
    <n v="0.875"/>
    <n v="5.25"/>
  </r>
  <r>
    <n v="6874"/>
    <x v="4"/>
    <m/>
    <s v="Gartons Industrial Estate, Gartons Way"/>
    <m/>
    <n v="526442"/>
    <n v="175680"/>
    <x v="15"/>
    <m/>
    <m/>
    <n v="0"/>
    <x v="1"/>
    <x v="1"/>
    <n v="77"/>
    <n v="77"/>
    <x v="0"/>
    <s v="Redevelopment"/>
    <s v="NONE"/>
    <m/>
    <m/>
    <x v="0"/>
    <s v="Nil"/>
    <m/>
    <s v="BF"/>
    <s v="NB"/>
    <x v="1"/>
    <x v="0"/>
    <n v="0"/>
    <m/>
    <x v="0"/>
    <m/>
    <x v="0"/>
    <s v="IU"/>
    <s v="RIV4"/>
    <m/>
    <n v="0"/>
    <n v="0"/>
    <n v="0"/>
    <n v="0"/>
    <n v="0"/>
    <n v="0"/>
    <n v="0"/>
    <n v="0"/>
    <n v="0"/>
    <n v="0"/>
    <n v="13"/>
    <n v="0"/>
    <n v="0"/>
    <n v="0"/>
    <n v="0"/>
    <n v="0"/>
    <n v="0"/>
    <n v="13"/>
    <n v="0"/>
    <n v="0"/>
    <n v="0"/>
    <n v="0"/>
    <n v="0"/>
    <n v="0"/>
    <n v="0"/>
    <n v="0"/>
    <n v="0"/>
    <n v="0"/>
    <n v="0"/>
    <n v="0"/>
    <n v="0"/>
    <n v="0"/>
    <x v="1"/>
    <x v="0"/>
    <x v="4"/>
    <n v="19"/>
    <m/>
    <m/>
    <m/>
    <m/>
    <m/>
    <n v="0.8125"/>
    <n v="0.8125"/>
    <n v="0.8125"/>
    <n v="0.8125"/>
    <n v="0.8125"/>
    <n v="0.8125"/>
    <n v="0.8125"/>
    <n v="0.8125"/>
    <n v="0.8125"/>
    <n v="0.8125"/>
    <n v="0.8125"/>
    <n v="0.8125"/>
    <n v="0.8125"/>
    <n v="0.8125"/>
    <n v="0.8125"/>
    <n v="0.8125"/>
    <n v="4.875"/>
  </r>
  <r>
    <n v="6892"/>
    <x v="4"/>
    <m/>
    <s v="Hunts Trucks and adjoining gasholder, Armoury Way"/>
    <m/>
    <n v="525690"/>
    <n v="174971"/>
    <x v="14"/>
    <m/>
    <m/>
    <n v="0"/>
    <x v="121"/>
    <x v="137"/>
    <n v="462"/>
    <n v="462"/>
    <x v="0"/>
    <s v="Redevelopment"/>
    <s v="NONE"/>
    <m/>
    <m/>
    <x v="0"/>
    <s v="Nil"/>
    <m/>
    <s v="BF"/>
    <s v="NB"/>
    <x v="1"/>
    <x v="0"/>
    <n v="0"/>
    <m/>
    <x v="0"/>
    <m/>
    <x v="1"/>
    <s v="M"/>
    <s v="WT4"/>
    <m/>
    <n v="0"/>
    <n v="0"/>
    <n v="0"/>
    <n v="0"/>
    <n v="0"/>
    <n v="0"/>
    <n v="0"/>
    <n v="0"/>
    <n v="0"/>
    <n v="0"/>
    <n v="300"/>
    <n v="0"/>
    <n v="0"/>
    <n v="0"/>
    <n v="0"/>
    <n v="0"/>
    <n v="0"/>
    <n v="300"/>
    <n v="0"/>
    <n v="0"/>
    <n v="0"/>
    <n v="0"/>
    <n v="0"/>
    <n v="0"/>
    <n v="0"/>
    <n v="0"/>
    <n v="0"/>
    <n v="0"/>
    <n v="0"/>
    <n v="0"/>
    <n v="0"/>
    <n v="0"/>
    <x v="1"/>
    <x v="0"/>
    <x v="7"/>
    <n v="19"/>
    <m/>
    <m/>
    <m/>
    <n v="30"/>
    <n v="30"/>
    <n v="30"/>
    <n v="30"/>
    <n v="30"/>
    <n v="30"/>
    <n v="30"/>
    <n v="30"/>
    <n v="30"/>
    <n v="30"/>
    <m/>
    <m/>
    <m/>
    <m/>
    <m/>
    <m/>
    <m/>
    <n v="90"/>
    <n v="240"/>
  </r>
  <r>
    <n v="6892"/>
    <x v="4"/>
    <m/>
    <s v="Hunts Trucks and adjoining gasholder, Armoury Way"/>
    <m/>
    <n v="525690"/>
    <n v="174971"/>
    <x v="14"/>
    <m/>
    <m/>
    <n v="0"/>
    <x v="70"/>
    <x v="80"/>
    <n v="462"/>
    <n v="462"/>
    <x v="0"/>
    <s v="Redevelopment"/>
    <s v="NONE"/>
    <m/>
    <m/>
    <x v="0"/>
    <s v="Nil"/>
    <m/>
    <s v="BF"/>
    <s v="NB"/>
    <x v="1"/>
    <x v="0"/>
    <n v="0"/>
    <m/>
    <x v="0"/>
    <m/>
    <x v="2"/>
    <s v="AA"/>
    <s v="WT4"/>
    <m/>
    <n v="0"/>
    <n v="0"/>
    <n v="0"/>
    <n v="0"/>
    <n v="0"/>
    <n v="0"/>
    <n v="0"/>
    <n v="0"/>
    <n v="0"/>
    <n v="0"/>
    <n v="81"/>
    <n v="0"/>
    <n v="0"/>
    <n v="0"/>
    <n v="0"/>
    <n v="0"/>
    <n v="0"/>
    <n v="81"/>
    <n v="0"/>
    <n v="0"/>
    <n v="0"/>
    <n v="0"/>
    <n v="0"/>
    <n v="0"/>
    <n v="0"/>
    <n v="0"/>
    <n v="0"/>
    <n v="0"/>
    <n v="0"/>
    <n v="0"/>
    <n v="0"/>
    <n v="0"/>
    <x v="1"/>
    <x v="0"/>
    <x v="7"/>
    <n v="19"/>
    <m/>
    <m/>
    <m/>
    <n v="8.1"/>
    <n v="8.1"/>
    <n v="8.1"/>
    <n v="8.1"/>
    <n v="8.1"/>
    <n v="8.1"/>
    <n v="8.1"/>
    <n v="8.1"/>
    <n v="8.1"/>
    <n v="8.1"/>
    <m/>
    <m/>
    <m/>
    <m/>
    <m/>
    <m/>
    <m/>
    <n v="24.299999999999997"/>
    <n v="64.8"/>
  </r>
  <r>
    <n v="6892"/>
    <x v="4"/>
    <m/>
    <s v="Hunts Trucks and adjoining gasholder, Armoury Way"/>
    <m/>
    <n v="525690"/>
    <n v="174971"/>
    <x v="14"/>
    <m/>
    <m/>
    <n v="0"/>
    <x v="70"/>
    <x v="80"/>
    <n v="462"/>
    <n v="462"/>
    <x v="0"/>
    <s v="Redevelopment"/>
    <s v="NONE"/>
    <m/>
    <m/>
    <x v="0"/>
    <s v="Nil"/>
    <m/>
    <s v="BF"/>
    <s v="NB"/>
    <x v="1"/>
    <x v="0"/>
    <n v="0"/>
    <m/>
    <x v="0"/>
    <m/>
    <x v="0"/>
    <s v="IU"/>
    <s v="WT4"/>
    <m/>
    <n v="0"/>
    <n v="0"/>
    <n v="0"/>
    <n v="0"/>
    <n v="0"/>
    <n v="0"/>
    <n v="0"/>
    <n v="0"/>
    <n v="0"/>
    <n v="0"/>
    <n v="81"/>
    <n v="0"/>
    <n v="0"/>
    <n v="0"/>
    <n v="0"/>
    <n v="0"/>
    <n v="0"/>
    <n v="81"/>
    <n v="0"/>
    <n v="0"/>
    <n v="0"/>
    <n v="0"/>
    <n v="0"/>
    <n v="0"/>
    <n v="0"/>
    <n v="0"/>
    <n v="0"/>
    <n v="0"/>
    <n v="0"/>
    <n v="0"/>
    <n v="0"/>
    <n v="0"/>
    <x v="1"/>
    <x v="0"/>
    <x v="7"/>
    <n v="19"/>
    <m/>
    <m/>
    <m/>
    <n v="8.1"/>
    <n v="8.1"/>
    <n v="8.1"/>
    <n v="8.1"/>
    <n v="8.1"/>
    <n v="8.1"/>
    <n v="8.1"/>
    <n v="8.1"/>
    <n v="8.1"/>
    <n v="8.1"/>
    <m/>
    <m/>
    <m/>
    <m/>
    <m/>
    <m/>
    <m/>
    <n v="24.299999999999997"/>
    <n v="64.8"/>
  </r>
  <r>
    <n v="6901"/>
    <x v="4"/>
    <m/>
    <s v="Jubilee House and cinema, 230-232 Putney Bridge Road"/>
    <m/>
    <n v="524170"/>
    <n v="175517"/>
    <x v="3"/>
    <m/>
    <m/>
    <n v="0"/>
    <x v="24"/>
    <x v="28"/>
    <n v="5"/>
    <n v="5"/>
    <x v="1"/>
    <s v="Redevelopment"/>
    <s v="NONE"/>
    <m/>
    <m/>
    <x v="0"/>
    <s v="Nil"/>
    <m/>
    <s v="BF"/>
    <s v="NB"/>
    <x v="2"/>
    <x v="3"/>
    <n v="0"/>
    <m/>
    <x v="0"/>
    <m/>
    <x v="1"/>
    <s v="M"/>
    <s v="PUT2"/>
    <m/>
    <n v="0"/>
    <n v="0"/>
    <n v="0"/>
    <n v="0"/>
    <n v="0"/>
    <n v="0"/>
    <n v="0"/>
    <n v="0"/>
    <n v="0"/>
    <n v="0"/>
    <n v="5"/>
    <n v="0"/>
    <n v="0"/>
    <n v="0"/>
    <n v="0"/>
    <n v="0"/>
    <n v="0"/>
    <n v="5"/>
    <n v="0"/>
    <n v="0"/>
    <n v="0"/>
    <n v="0"/>
    <n v="0"/>
    <n v="0"/>
    <n v="0"/>
    <n v="0"/>
    <n v="0"/>
    <n v="0"/>
    <n v="0"/>
    <n v="0"/>
    <n v="0"/>
    <n v="0"/>
    <x v="2"/>
    <x v="0"/>
    <x v="12"/>
    <n v="19"/>
    <m/>
    <m/>
    <m/>
    <m/>
    <m/>
    <m/>
    <m/>
    <m/>
    <m/>
    <n v="0.41666666666666669"/>
    <n v="0.41666666666666669"/>
    <n v="0.41666666666666669"/>
    <n v="0.41666666666666669"/>
    <n v="0.41666666666666669"/>
    <n v="0.41666666666666669"/>
    <n v="0.41666666666666669"/>
    <n v="0.41666666666666669"/>
    <n v="0.41666666666666669"/>
    <n v="0.41666666666666669"/>
    <n v="0.41666666666666669"/>
    <n v="0"/>
    <n v="0.83333333333333337"/>
  </r>
  <r>
    <n v="6893"/>
    <x v="4"/>
    <m/>
    <s v="Keltbray Site Wentworth House and adjacent land at, Dormay Street"/>
    <m/>
    <n v="525561"/>
    <n v="174936"/>
    <x v="14"/>
    <m/>
    <m/>
    <n v="0"/>
    <x v="30"/>
    <x v="34"/>
    <n v="31"/>
    <n v="31"/>
    <x v="0"/>
    <s v="Redevelopment"/>
    <s v="NONE"/>
    <m/>
    <m/>
    <x v="0"/>
    <s v="Nil"/>
    <m/>
    <s v="BF"/>
    <s v="NB"/>
    <x v="1"/>
    <x v="0"/>
    <n v="0"/>
    <m/>
    <x v="0"/>
    <m/>
    <x v="1"/>
    <s v="M"/>
    <s v="WT5"/>
    <m/>
    <n v="0"/>
    <n v="0"/>
    <n v="0"/>
    <n v="0"/>
    <n v="0"/>
    <n v="0"/>
    <n v="0"/>
    <n v="0"/>
    <n v="0"/>
    <n v="0"/>
    <n v="20"/>
    <n v="0"/>
    <n v="0"/>
    <n v="0"/>
    <n v="0"/>
    <n v="0"/>
    <n v="0"/>
    <n v="20"/>
    <n v="0"/>
    <n v="0"/>
    <n v="0"/>
    <n v="0"/>
    <n v="0"/>
    <n v="0"/>
    <n v="0"/>
    <n v="0"/>
    <n v="0"/>
    <n v="0"/>
    <n v="0"/>
    <n v="0"/>
    <n v="0"/>
    <n v="0"/>
    <x v="1"/>
    <x v="0"/>
    <x v="7"/>
    <n v="19"/>
    <m/>
    <m/>
    <m/>
    <m/>
    <m/>
    <n v="1.25"/>
    <n v="1.25"/>
    <n v="1.25"/>
    <n v="1.25"/>
    <n v="1.25"/>
    <n v="1.25"/>
    <n v="1.25"/>
    <n v="1.25"/>
    <n v="1.25"/>
    <n v="1.25"/>
    <n v="1.25"/>
    <n v="1.25"/>
    <n v="1.25"/>
    <n v="1.25"/>
    <n v="1.25"/>
    <n v="1.25"/>
    <n v="7.5"/>
  </r>
  <r>
    <n v="6893"/>
    <x v="4"/>
    <m/>
    <s v="Keltbray Site Wentworth House and adjacent land at, Dormay Street"/>
    <m/>
    <n v="525561"/>
    <n v="174936"/>
    <x v="14"/>
    <m/>
    <m/>
    <n v="0"/>
    <x v="0"/>
    <x v="0"/>
    <n v="31"/>
    <n v="31"/>
    <x v="0"/>
    <s v="Redevelopment"/>
    <s v="NONE"/>
    <m/>
    <m/>
    <x v="0"/>
    <s v="Nil"/>
    <m/>
    <s v="BF"/>
    <s v="NB"/>
    <x v="1"/>
    <x v="0"/>
    <n v="0"/>
    <m/>
    <x v="0"/>
    <m/>
    <x v="2"/>
    <s v="AA"/>
    <s v="WT5"/>
    <m/>
    <n v="0"/>
    <n v="0"/>
    <n v="0"/>
    <n v="0"/>
    <n v="0"/>
    <n v="0"/>
    <n v="0"/>
    <n v="0"/>
    <n v="0"/>
    <n v="0"/>
    <n v="6"/>
    <n v="0"/>
    <n v="0"/>
    <n v="0"/>
    <n v="0"/>
    <n v="0"/>
    <n v="0"/>
    <n v="6"/>
    <n v="0"/>
    <n v="0"/>
    <n v="0"/>
    <n v="0"/>
    <n v="0"/>
    <n v="0"/>
    <n v="0"/>
    <n v="0"/>
    <n v="0"/>
    <n v="0"/>
    <n v="0"/>
    <n v="0"/>
    <n v="0"/>
    <n v="0"/>
    <x v="1"/>
    <x v="0"/>
    <x v="7"/>
    <n v="19"/>
    <m/>
    <m/>
    <m/>
    <m/>
    <m/>
    <n v="0.375"/>
    <n v="0.375"/>
    <n v="0.375"/>
    <n v="0.375"/>
    <n v="0.375"/>
    <n v="0.375"/>
    <n v="0.375"/>
    <n v="0.375"/>
    <n v="0.375"/>
    <n v="0.375"/>
    <n v="0.375"/>
    <n v="0.375"/>
    <n v="0.375"/>
    <n v="0.375"/>
    <n v="0.375"/>
    <n v="0.375"/>
    <n v="2.25"/>
  </r>
  <r>
    <n v="6893"/>
    <x v="4"/>
    <m/>
    <s v="Keltbray Site Wentworth House and adjacent land at, Dormay Street"/>
    <m/>
    <n v="525561"/>
    <n v="174936"/>
    <x v="14"/>
    <m/>
    <m/>
    <n v="0"/>
    <x v="24"/>
    <x v="28"/>
    <n v="31"/>
    <n v="31"/>
    <x v="0"/>
    <s v="Redevelopment"/>
    <s v="NONE"/>
    <m/>
    <m/>
    <x v="0"/>
    <s v="Nil"/>
    <m/>
    <s v="BF"/>
    <s v="NB"/>
    <x v="1"/>
    <x v="0"/>
    <n v="0"/>
    <m/>
    <x v="0"/>
    <m/>
    <x v="0"/>
    <s v="IU"/>
    <s v="WT5"/>
    <m/>
    <n v="0"/>
    <n v="0"/>
    <n v="0"/>
    <n v="0"/>
    <n v="0"/>
    <n v="0"/>
    <n v="0"/>
    <n v="0"/>
    <n v="0"/>
    <n v="0"/>
    <n v="5"/>
    <n v="0"/>
    <n v="0"/>
    <n v="0"/>
    <n v="0"/>
    <n v="0"/>
    <n v="0"/>
    <n v="5"/>
    <n v="0"/>
    <n v="0"/>
    <n v="0"/>
    <n v="0"/>
    <n v="0"/>
    <n v="0"/>
    <n v="0"/>
    <n v="0"/>
    <n v="0"/>
    <n v="0"/>
    <n v="0"/>
    <n v="0"/>
    <n v="0"/>
    <n v="0"/>
    <x v="1"/>
    <x v="0"/>
    <x v="7"/>
    <n v="19"/>
    <m/>
    <m/>
    <m/>
    <m/>
    <m/>
    <n v="0.3125"/>
    <n v="0.3125"/>
    <n v="0.3125"/>
    <n v="0.3125"/>
    <n v="0.3125"/>
    <n v="0.3125"/>
    <n v="0.3125"/>
    <n v="0.3125"/>
    <n v="0.3125"/>
    <n v="0.3125"/>
    <n v="0.3125"/>
    <n v="0.3125"/>
    <n v="0.3125"/>
    <n v="0.3125"/>
    <n v="0.3125"/>
    <n v="0.3125"/>
    <n v="1.875"/>
  </r>
  <r>
    <n v="7542"/>
    <x v="4"/>
    <m/>
    <s v="Land adjacent to 102 Roehampton Vale, SW15 3RX"/>
    <m/>
    <n v="521741"/>
    <n v="172550"/>
    <x v="4"/>
    <m/>
    <m/>
    <n v="0"/>
    <x v="5"/>
    <x v="7"/>
    <n v="2"/>
    <n v="2"/>
    <x v="1"/>
    <s v="Redevelopment"/>
    <s v="NONE"/>
    <m/>
    <m/>
    <x v="0"/>
    <s v="Nil"/>
    <m/>
    <s v="BF"/>
    <s v="NB"/>
    <x v="2"/>
    <x v="3"/>
    <n v="0"/>
    <m/>
    <x v="0"/>
    <m/>
    <x v="1"/>
    <s v="M"/>
    <m/>
    <m/>
    <n v="0"/>
    <n v="0"/>
    <n v="0"/>
    <n v="0"/>
    <n v="0"/>
    <n v="0"/>
    <n v="0"/>
    <n v="0"/>
    <n v="0"/>
    <n v="0"/>
    <n v="2"/>
    <n v="0"/>
    <n v="0"/>
    <n v="0"/>
    <n v="0"/>
    <n v="0"/>
    <n v="0"/>
    <n v="2"/>
    <n v="0"/>
    <n v="0"/>
    <n v="0"/>
    <n v="0"/>
    <n v="0"/>
    <n v="0"/>
    <n v="0"/>
    <n v="0"/>
    <n v="0"/>
    <n v="0"/>
    <n v="0"/>
    <n v="0"/>
    <n v="0"/>
    <n v="0"/>
    <x v="1"/>
    <x v="0"/>
    <x v="2"/>
    <n v="19"/>
    <m/>
    <m/>
    <m/>
    <m/>
    <m/>
    <n v="2"/>
    <m/>
    <m/>
    <m/>
    <m/>
    <m/>
    <m/>
    <m/>
    <m/>
    <m/>
    <m/>
    <m/>
    <m/>
    <m/>
    <m/>
    <n v="2"/>
    <n v="2"/>
  </r>
  <r>
    <n v="4484"/>
    <x v="4"/>
    <m/>
    <s v="Land at Clapham Junction station, SW11"/>
    <m/>
    <n v="526998.49629999895"/>
    <n v="175370.1955"/>
    <x v="21"/>
    <m/>
    <m/>
    <n v="0"/>
    <x v="83"/>
    <x v="94"/>
    <n v="83"/>
    <n v="83"/>
    <x v="0"/>
    <s v="Redevelopment"/>
    <s v="NONE"/>
    <m/>
    <m/>
    <x v="0"/>
    <s v="Nil"/>
    <m/>
    <s v="BF"/>
    <s v="NB"/>
    <x v="1"/>
    <x v="0"/>
    <n v="0"/>
    <m/>
    <x v="0"/>
    <m/>
    <x v="1"/>
    <s v="M"/>
    <s v="CJ4"/>
    <m/>
    <n v="0"/>
    <n v="0"/>
    <n v="0"/>
    <n v="0"/>
    <n v="0"/>
    <n v="0"/>
    <n v="0"/>
    <n v="0"/>
    <n v="0"/>
    <n v="0"/>
    <n v="54"/>
    <n v="0"/>
    <n v="0"/>
    <n v="0"/>
    <n v="0"/>
    <n v="0"/>
    <n v="0"/>
    <n v="54"/>
    <n v="0"/>
    <n v="0"/>
    <n v="0"/>
    <n v="0"/>
    <n v="0"/>
    <n v="0"/>
    <n v="0"/>
    <n v="0"/>
    <n v="0"/>
    <n v="0"/>
    <n v="0"/>
    <n v="0"/>
    <n v="0"/>
    <n v="0"/>
    <x v="1"/>
    <x v="0"/>
    <x v="11"/>
    <n v="19"/>
    <m/>
    <m/>
    <m/>
    <m/>
    <m/>
    <m/>
    <m/>
    <m/>
    <m/>
    <m/>
    <m/>
    <m/>
    <m/>
    <m/>
    <n v="7.7142857142857144"/>
    <n v="7.7142857142857144"/>
    <n v="7.7142857142857144"/>
    <n v="7.7142857142857144"/>
    <n v="7.7142857142857144"/>
    <n v="7.7142857142857144"/>
    <n v="0"/>
    <n v="0"/>
  </r>
  <r>
    <n v="4484"/>
    <x v="4"/>
    <m/>
    <s v="Land at Clapham Junction station, SW11"/>
    <m/>
    <n v="526998.49629999895"/>
    <n v="175370.1955"/>
    <x v="21"/>
    <m/>
    <m/>
    <n v="0"/>
    <x v="28"/>
    <x v="32"/>
    <n v="83"/>
    <n v="83"/>
    <x v="0"/>
    <s v="Redevelopment"/>
    <s v="NONE"/>
    <m/>
    <m/>
    <x v="0"/>
    <s v="Nil"/>
    <m/>
    <s v="BF"/>
    <s v="NB"/>
    <x v="1"/>
    <x v="0"/>
    <n v="0"/>
    <m/>
    <x v="0"/>
    <m/>
    <x v="2"/>
    <s v="AA"/>
    <s v="CJ4"/>
    <m/>
    <n v="0"/>
    <n v="0"/>
    <n v="0"/>
    <n v="0"/>
    <n v="0"/>
    <n v="0"/>
    <n v="0"/>
    <n v="0"/>
    <n v="0"/>
    <n v="0"/>
    <n v="15"/>
    <n v="0"/>
    <n v="0"/>
    <n v="0"/>
    <n v="0"/>
    <n v="0"/>
    <n v="0"/>
    <n v="15"/>
    <n v="0"/>
    <n v="0"/>
    <n v="0"/>
    <n v="0"/>
    <n v="0"/>
    <n v="0"/>
    <n v="0"/>
    <n v="0"/>
    <n v="0"/>
    <n v="0"/>
    <n v="0"/>
    <n v="0"/>
    <n v="0"/>
    <n v="0"/>
    <x v="1"/>
    <x v="0"/>
    <x v="11"/>
    <n v="19"/>
    <m/>
    <m/>
    <m/>
    <m/>
    <m/>
    <m/>
    <m/>
    <m/>
    <m/>
    <m/>
    <m/>
    <m/>
    <m/>
    <m/>
    <n v="2.1428571428571428"/>
    <n v="2.1428571428571428"/>
    <n v="2.1428571428571428"/>
    <n v="2.1428571428571428"/>
    <n v="2.1428571428571428"/>
    <n v="2.1428571428571428"/>
    <n v="0"/>
    <n v="0"/>
  </r>
  <r>
    <n v="4484"/>
    <x v="4"/>
    <m/>
    <s v="Land at Clapham Junction station, SW11"/>
    <m/>
    <n v="526998.49629999895"/>
    <n v="175370.1955"/>
    <x v="21"/>
    <m/>
    <m/>
    <n v="0"/>
    <x v="46"/>
    <x v="55"/>
    <n v="83"/>
    <n v="83"/>
    <x v="0"/>
    <s v="Redevelopment"/>
    <s v="NONE"/>
    <m/>
    <m/>
    <x v="0"/>
    <s v="Nil"/>
    <m/>
    <s v="BF"/>
    <s v="NB"/>
    <x v="1"/>
    <x v="0"/>
    <n v="0"/>
    <m/>
    <x v="0"/>
    <m/>
    <x v="0"/>
    <s v="IU"/>
    <s v="CJ4"/>
    <m/>
    <n v="0"/>
    <n v="0"/>
    <n v="0"/>
    <n v="0"/>
    <n v="0"/>
    <n v="0"/>
    <n v="0"/>
    <n v="0"/>
    <n v="0"/>
    <n v="0"/>
    <n v="14"/>
    <n v="0"/>
    <n v="0"/>
    <n v="0"/>
    <n v="0"/>
    <n v="0"/>
    <n v="0"/>
    <n v="14"/>
    <n v="0"/>
    <n v="0"/>
    <n v="0"/>
    <n v="0"/>
    <n v="0"/>
    <n v="0"/>
    <n v="0"/>
    <n v="0"/>
    <n v="0"/>
    <n v="0"/>
    <n v="0"/>
    <n v="0"/>
    <n v="0"/>
    <n v="0"/>
    <x v="1"/>
    <x v="0"/>
    <x v="11"/>
    <n v="19"/>
    <m/>
    <m/>
    <m/>
    <m/>
    <m/>
    <m/>
    <m/>
    <m/>
    <m/>
    <m/>
    <m/>
    <m/>
    <m/>
    <m/>
    <n v="2"/>
    <n v="2"/>
    <n v="2"/>
    <n v="2"/>
    <n v="2"/>
    <n v="2"/>
    <n v="0"/>
    <n v="0"/>
  </r>
  <r>
    <n v="6896"/>
    <x v="4"/>
    <m/>
    <s v="Land at the Causeway, The Causeway"/>
    <m/>
    <n v="525597"/>
    <n v="175113"/>
    <x v="15"/>
    <m/>
    <m/>
    <n v="0"/>
    <x v="67"/>
    <x v="76"/>
    <n v="36"/>
    <n v="36"/>
    <x v="0"/>
    <s v="Redevelopment"/>
    <s v="NONE"/>
    <m/>
    <m/>
    <x v="0"/>
    <s v="Nil"/>
    <m/>
    <s v="BF"/>
    <s v="NB"/>
    <x v="1"/>
    <x v="0"/>
    <n v="0"/>
    <m/>
    <x v="0"/>
    <m/>
    <x v="1"/>
    <s v="M"/>
    <s v="WT10"/>
    <m/>
    <n v="0"/>
    <n v="0"/>
    <n v="0"/>
    <n v="0"/>
    <n v="0"/>
    <n v="0"/>
    <n v="0"/>
    <n v="0"/>
    <n v="0"/>
    <n v="0"/>
    <n v="23"/>
    <n v="0"/>
    <n v="0"/>
    <n v="0"/>
    <n v="0"/>
    <n v="0"/>
    <n v="0"/>
    <n v="23"/>
    <n v="0"/>
    <n v="0"/>
    <n v="0"/>
    <n v="0"/>
    <n v="0"/>
    <n v="0"/>
    <n v="0"/>
    <n v="0"/>
    <n v="0"/>
    <n v="0"/>
    <n v="0"/>
    <n v="0"/>
    <n v="0"/>
    <n v="0"/>
    <x v="1"/>
    <x v="0"/>
    <x v="7"/>
    <n v="19"/>
    <m/>
    <m/>
    <m/>
    <m/>
    <m/>
    <m/>
    <m/>
    <m/>
    <m/>
    <m/>
    <m/>
    <m/>
    <m/>
    <m/>
    <n v="3.2857142857142856"/>
    <n v="3.2857142857142856"/>
    <n v="3.2857142857142856"/>
    <n v="3.2857142857142856"/>
    <n v="3.2857142857142856"/>
    <n v="3.2857142857142856"/>
    <n v="0"/>
    <n v="0"/>
  </r>
  <r>
    <n v="6896"/>
    <x v="4"/>
    <m/>
    <s v="Land at the Causeway, The Causeway"/>
    <m/>
    <n v="525597"/>
    <n v="175113"/>
    <x v="15"/>
    <m/>
    <m/>
    <n v="0"/>
    <x v="10"/>
    <x v="14"/>
    <n v="36"/>
    <n v="36"/>
    <x v="0"/>
    <s v="Redevelopment"/>
    <s v="NONE"/>
    <m/>
    <m/>
    <x v="0"/>
    <s v="Nil"/>
    <m/>
    <s v="BF"/>
    <s v="NB"/>
    <x v="1"/>
    <x v="0"/>
    <n v="0"/>
    <m/>
    <x v="0"/>
    <m/>
    <x v="2"/>
    <s v="AA"/>
    <s v="WT10"/>
    <m/>
    <n v="0"/>
    <n v="0"/>
    <n v="0"/>
    <n v="0"/>
    <n v="0"/>
    <n v="0"/>
    <n v="0"/>
    <n v="0"/>
    <n v="0"/>
    <n v="0"/>
    <n v="7"/>
    <n v="0"/>
    <n v="0"/>
    <n v="0"/>
    <n v="0"/>
    <n v="0"/>
    <n v="0"/>
    <n v="7"/>
    <n v="0"/>
    <n v="0"/>
    <n v="0"/>
    <n v="0"/>
    <n v="0"/>
    <n v="0"/>
    <n v="0"/>
    <n v="0"/>
    <n v="0"/>
    <n v="0"/>
    <n v="0"/>
    <n v="0"/>
    <n v="0"/>
    <n v="0"/>
    <x v="1"/>
    <x v="0"/>
    <x v="7"/>
    <n v="19"/>
    <m/>
    <m/>
    <m/>
    <m/>
    <m/>
    <m/>
    <m/>
    <m/>
    <m/>
    <m/>
    <m/>
    <m/>
    <m/>
    <m/>
    <n v="1"/>
    <n v="1"/>
    <n v="1"/>
    <n v="1"/>
    <n v="1"/>
    <n v="1"/>
    <n v="0"/>
    <n v="0"/>
  </r>
  <r>
    <n v="6896"/>
    <x v="4"/>
    <m/>
    <s v="Land at the Causeway, The Causeway"/>
    <m/>
    <n v="525597"/>
    <n v="175113"/>
    <x v="15"/>
    <m/>
    <m/>
    <n v="0"/>
    <x v="0"/>
    <x v="0"/>
    <n v="36"/>
    <n v="36"/>
    <x v="0"/>
    <s v="Redevelopment"/>
    <s v="NONE"/>
    <m/>
    <m/>
    <x v="0"/>
    <s v="Nil"/>
    <m/>
    <s v="BF"/>
    <s v="NB"/>
    <x v="1"/>
    <x v="0"/>
    <n v="0"/>
    <m/>
    <x v="0"/>
    <m/>
    <x v="0"/>
    <s v="IU"/>
    <s v="WT10"/>
    <m/>
    <n v="0"/>
    <n v="0"/>
    <n v="0"/>
    <n v="0"/>
    <n v="0"/>
    <n v="0"/>
    <n v="0"/>
    <n v="0"/>
    <n v="0"/>
    <n v="0"/>
    <n v="6"/>
    <n v="0"/>
    <n v="0"/>
    <n v="0"/>
    <n v="0"/>
    <n v="0"/>
    <n v="0"/>
    <n v="6"/>
    <n v="0"/>
    <n v="0"/>
    <n v="0"/>
    <n v="0"/>
    <n v="0"/>
    <n v="0"/>
    <n v="0"/>
    <n v="0"/>
    <n v="0"/>
    <n v="0"/>
    <n v="0"/>
    <n v="0"/>
    <n v="0"/>
    <n v="0"/>
    <x v="1"/>
    <x v="0"/>
    <x v="7"/>
    <n v="19"/>
    <m/>
    <m/>
    <m/>
    <m/>
    <m/>
    <m/>
    <m/>
    <m/>
    <m/>
    <m/>
    <m/>
    <m/>
    <m/>
    <m/>
    <n v="0.8571428571428571"/>
    <n v="0.8571428571428571"/>
    <n v="0.8571428571428571"/>
    <n v="0.8571428571428571"/>
    <n v="0.8571428571428571"/>
    <n v="0.8571428571428571"/>
    <n v="0"/>
    <n v="0"/>
  </r>
  <r>
    <n v="7540"/>
    <x v="4"/>
    <m/>
    <s v="Land South of Fawe Park Road, London, SW15 2EG"/>
    <m/>
    <n v="524772"/>
    <n v="175005"/>
    <x v="3"/>
    <m/>
    <m/>
    <n v="0"/>
    <x v="29"/>
    <x v="33"/>
    <n v="9"/>
    <n v="9"/>
    <x v="1"/>
    <s v="Redevelopment"/>
    <s v="NONE"/>
    <m/>
    <m/>
    <x v="0"/>
    <s v="Nil"/>
    <m/>
    <s v="BF"/>
    <s v="NB"/>
    <x v="2"/>
    <x v="3"/>
    <n v="0"/>
    <m/>
    <x v="0"/>
    <m/>
    <x v="1"/>
    <s v="M"/>
    <m/>
    <m/>
    <n v="0"/>
    <n v="0"/>
    <n v="0"/>
    <n v="0"/>
    <n v="0"/>
    <n v="0"/>
    <n v="0"/>
    <n v="0"/>
    <n v="0"/>
    <n v="0"/>
    <n v="9"/>
    <n v="0"/>
    <n v="0"/>
    <n v="0"/>
    <n v="0"/>
    <n v="0"/>
    <n v="0"/>
    <n v="9"/>
    <n v="0"/>
    <n v="0"/>
    <n v="0"/>
    <n v="0"/>
    <n v="0"/>
    <n v="0"/>
    <n v="0"/>
    <n v="0"/>
    <n v="0"/>
    <n v="0"/>
    <n v="0"/>
    <n v="0"/>
    <n v="0"/>
    <n v="0"/>
    <x v="1"/>
    <x v="0"/>
    <x v="2"/>
    <n v="19"/>
    <m/>
    <m/>
    <m/>
    <m/>
    <m/>
    <n v="9"/>
    <m/>
    <m/>
    <m/>
    <m/>
    <m/>
    <m/>
    <m/>
    <m/>
    <m/>
    <m/>
    <m/>
    <m/>
    <m/>
    <m/>
    <n v="9"/>
    <n v="9"/>
  </r>
  <r>
    <n v="6864"/>
    <x v="4"/>
    <m/>
    <s v="Market Area, Tooting High Street"/>
    <m/>
    <n v="527562"/>
    <n v="171554"/>
    <x v="0"/>
    <m/>
    <m/>
    <n v="0"/>
    <x v="18"/>
    <x v="22"/>
    <n v="54"/>
    <n v="54"/>
    <x v="0"/>
    <s v="Redevelopment"/>
    <s v="NONE"/>
    <m/>
    <m/>
    <x v="0"/>
    <s v="Nil"/>
    <m/>
    <s v="BF"/>
    <s v="NB"/>
    <x v="1"/>
    <x v="0"/>
    <n v="0"/>
    <m/>
    <x v="0"/>
    <m/>
    <x v="1"/>
    <s v="M"/>
    <s v="TO1"/>
    <m/>
    <n v="0"/>
    <n v="0"/>
    <n v="0"/>
    <n v="0"/>
    <n v="0"/>
    <n v="0"/>
    <n v="0"/>
    <n v="0"/>
    <n v="0"/>
    <n v="0"/>
    <n v="35"/>
    <n v="0"/>
    <n v="0"/>
    <n v="0"/>
    <n v="0"/>
    <n v="0"/>
    <n v="0"/>
    <n v="35"/>
    <n v="0"/>
    <n v="0"/>
    <n v="0"/>
    <n v="0"/>
    <n v="0"/>
    <n v="0"/>
    <n v="0"/>
    <n v="0"/>
    <n v="0"/>
    <n v="0"/>
    <n v="0"/>
    <n v="0"/>
    <n v="0"/>
    <n v="0"/>
    <x v="0"/>
    <x v="0"/>
    <x v="0"/>
    <n v="19"/>
    <m/>
    <m/>
    <m/>
    <m/>
    <m/>
    <m/>
    <m/>
    <m/>
    <m/>
    <n v="2.9166666666666665"/>
    <n v="2.9166666666666665"/>
    <n v="2.9166666666666665"/>
    <n v="2.9166666666666665"/>
    <n v="2.9166666666666665"/>
    <n v="2.9166666666666665"/>
    <n v="2.9166666666666665"/>
    <n v="2.9166666666666665"/>
    <n v="2.9166666666666665"/>
    <n v="2.9166666666666665"/>
    <n v="2.9166666666666665"/>
    <n v="0"/>
    <n v="5.833333333333333"/>
  </r>
  <r>
    <n v="6864"/>
    <x v="4"/>
    <m/>
    <s v="Market Area, Tooting High Street"/>
    <m/>
    <n v="527562"/>
    <n v="171554"/>
    <x v="0"/>
    <m/>
    <m/>
    <n v="0"/>
    <x v="43"/>
    <x v="52"/>
    <n v="54"/>
    <n v="54"/>
    <x v="0"/>
    <s v="Redevelopment"/>
    <s v="NONE"/>
    <m/>
    <m/>
    <x v="0"/>
    <s v="Nil"/>
    <m/>
    <s v="BF"/>
    <s v="NB"/>
    <x v="1"/>
    <x v="0"/>
    <n v="0"/>
    <m/>
    <x v="0"/>
    <m/>
    <x v="2"/>
    <s v="AA"/>
    <s v="TO1"/>
    <m/>
    <n v="0"/>
    <n v="0"/>
    <n v="0"/>
    <n v="0"/>
    <n v="0"/>
    <n v="0"/>
    <n v="0"/>
    <n v="0"/>
    <n v="0"/>
    <n v="0"/>
    <n v="10"/>
    <n v="0"/>
    <n v="0"/>
    <n v="0"/>
    <n v="0"/>
    <n v="0"/>
    <n v="0"/>
    <n v="10"/>
    <n v="0"/>
    <n v="0"/>
    <n v="0"/>
    <n v="0"/>
    <n v="0"/>
    <n v="0"/>
    <n v="0"/>
    <n v="0"/>
    <n v="0"/>
    <n v="0"/>
    <n v="0"/>
    <n v="0"/>
    <n v="0"/>
    <n v="0"/>
    <x v="0"/>
    <x v="0"/>
    <x v="0"/>
    <n v="19"/>
    <m/>
    <m/>
    <m/>
    <m/>
    <m/>
    <m/>
    <m/>
    <m/>
    <m/>
    <n v="0.83333333333333337"/>
    <n v="0.83333333333333337"/>
    <n v="0.83333333333333337"/>
    <n v="0.83333333333333337"/>
    <n v="0.83333333333333337"/>
    <n v="0.83333333333333337"/>
    <n v="0.83333333333333337"/>
    <n v="0.83333333333333337"/>
    <n v="0.83333333333333337"/>
    <n v="0.83333333333333337"/>
    <n v="0.83333333333333337"/>
    <n v="0"/>
    <n v="1.6666666666666667"/>
  </r>
  <r>
    <n v="6864"/>
    <x v="4"/>
    <m/>
    <s v="Market Area, Tooting High Street"/>
    <m/>
    <n v="527562"/>
    <n v="171554"/>
    <x v="0"/>
    <m/>
    <m/>
    <n v="0"/>
    <x v="29"/>
    <x v="33"/>
    <n v="54"/>
    <n v="54"/>
    <x v="0"/>
    <s v="Redevelopment"/>
    <s v="NONE"/>
    <m/>
    <m/>
    <x v="0"/>
    <s v="Nil"/>
    <m/>
    <s v="BF"/>
    <s v="NB"/>
    <x v="1"/>
    <x v="0"/>
    <n v="0"/>
    <m/>
    <x v="0"/>
    <m/>
    <x v="0"/>
    <s v="IU"/>
    <s v="TO1"/>
    <m/>
    <n v="0"/>
    <n v="0"/>
    <n v="0"/>
    <n v="0"/>
    <n v="0"/>
    <n v="0"/>
    <n v="0"/>
    <n v="0"/>
    <n v="0"/>
    <n v="0"/>
    <n v="9"/>
    <n v="0"/>
    <n v="0"/>
    <n v="0"/>
    <n v="0"/>
    <n v="0"/>
    <n v="0"/>
    <n v="9"/>
    <n v="0"/>
    <n v="0"/>
    <n v="0"/>
    <n v="0"/>
    <n v="0"/>
    <n v="0"/>
    <n v="0"/>
    <n v="0"/>
    <n v="0"/>
    <n v="0"/>
    <n v="0"/>
    <n v="0"/>
    <n v="0"/>
    <n v="0"/>
    <x v="0"/>
    <x v="0"/>
    <x v="0"/>
    <n v="19"/>
    <m/>
    <m/>
    <m/>
    <m/>
    <m/>
    <m/>
    <m/>
    <m/>
    <m/>
    <n v="0.75"/>
    <n v="0.75"/>
    <n v="0.75"/>
    <n v="0.75"/>
    <n v="0.75"/>
    <n v="0.75"/>
    <n v="0.75"/>
    <n v="0.75"/>
    <n v="0.75"/>
    <n v="0.75"/>
    <n v="0.75"/>
    <n v="0"/>
    <n v="1.5"/>
  </r>
  <r>
    <n v="3523"/>
    <x v="4"/>
    <m/>
    <s v="McDonald's, Swandon Way (1 Marl Road)"/>
    <m/>
    <n v="526043"/>
    <n v="175254"/>
    <x v="15"/>
    <m/>
    <m/>
    <n v="0"/>
    <x v="10"/>
    <x v="14"/>
    <n v="10"/>
    <n v="10"/>
    <x v="0"/>
    <s v="Redevelopment"/>
    <s v="NONE"/>
    <m/>
    <m/>
    <x v="0"/>
    <s v="Nil"/>
    <m/>
    <s v="BF"/>
    <s v="NB"/>
    <x v="1"/>
    <x v="0"/>
    <n v="0"/>
    <m/>
    <x v="0"/>
    <m/>
    <x v="1"/>
    <s v="M"/>
    <s v="WT14"/>
    <m/>
    <n v="0"/>
    <n v="0"/>
    <n v="0"/>
    <n v="0"/>
    <n v="0"/>
    <n v="0"/>
    <n v="0"/>
    <n v="0"/>
    <n v="0"/>
    <n v="0"/>
    <n v="7"/>
    <n v="0"/>
    <n v="0"/>
    <n v="0"/>
    <n v="0"/>
    <n v="0"/>
    <n v="0"/>
    <n v="7"/>
    <n v="0"/>
    <n v="0"/>
    <n v="0"/>
    <n v="0"/>
    <n v="0"/>
    <n v="0"/>
    <n v="0"/>
    <n v="0"/>
    <n v="0"/>
    <n v="0"/>
    <n v="0"/>
    <n v="0"/>
    <n v="0"/>
    <n v="0"/>
    <x v="1"/>
    <x v="0"/>
    <x v="7"/>
    <n v="19"/>
    <m/>
    <m/>
    <m/>
    <m/>
    <m/>
    <m/>
    <m/>
    <m/>
    <m/>
    <n v="0.58333333333333337"/>
    <n v="0.58333333333333337"/>
    <n v="0.58333333333333337"/>
    <n v="0.58333333333333337"/>
    <n v="0.58333333333333337"/>
    <n v="0.58333333333333337"/>
    <n v="0.58333333333333337"/>
    <n v="0.58333333333333337"/>
    <n v="0.58333333333333337"/>
    <n v="0.58333333333333337"/>
    <n v="0.58333333333333337"/>
    <n v="0"/>
    <n v="1.1666666666666667"/>
  </r>
  <r>
    <n v="3523"/>
    <x v="4"/>
    <m/>
    <s v="McDonald's, Swandon Way (1 Marl Road)"/>
    <m/>
    <n v="526043"/>
    <n v="175254"/>
    <x v="15"/>
    <m/>
    <m/>
    <n v="0"/>
    <x v="5"/>
    <x v="7"/>
    <n v="10"/>
    <n v="10"/>
    <x v="0"/>
    <s v="Redevelopment"/>
    <s v="NONE"/>
    <m/>
    <m/>
    <x v="0"/>
    <s v="Nil"/>
    <m/>
    <s v="BF"/>
    <s v="NB"/>
    <x v="1"/>
    <x v="0"/>
    <n v="0"/>
    <m/>
    <x v="0"/>
    <m/>
    <x v="2"/>
    <s v="AA"/>
    <s v="WT14"/>
    <m/>
    <n v="0"/>
    <n v="0"/>
    <n v="0"/>
    <n v="0"/>
    <n v="0"/>
    <n v="0"/>
    <n v="0"/>
    <n v="0"/>
    <n v="0"/>
    <n v="0"/>
    <n v="2"/>
    <n v="0"/>
    <n v="0"/>
    <n v="0"/>
    <n v="0"/>
    <n v="0"/>
    <n v="0"/>
    <n v="2"/>
    <n v="0"/>
    <n v="0"/>
    <n v="0"/>
    <n v="0"/>
    <n v="0"/>
    <n v="0"/>
    <n v="0"/>
    <n v="0"/>
    <n v="0"/>
    <n v="0"/>
    <n v="0"/>
    <n v="0"/>
    <n v="0"/>
    <n v="0"/>
    <x v="1"/>
    <x v="0"/>
    <x v="7"/>
    <n v="19"/>
    <m/>
    <m/>
    <m/>
    <m/>
    <m/>
    <m/>
    <m/>
    <m/>
    <m/>
    <n v="0.16666666666666666"/>
    <n v="0.16666666666666666"/>
    <n v="0.16666666666666666"/>
    <n v="0.16666666666666666"/>
    <n v="0.16666666666666666"/>
    <n v="0.16666666666666666"/>
    <n v="0.16666666666666666"/>
    <n v="0.16666666666666666"/>
    <n v="0.16666666666666666"/>
    <n v="0.16666666666666666"/>
    <n v="0.16666666666666666"/>
    <n v="0"/>
    <n v="0.33333333333333331"/>
  </r>
  <r>
    <n v="3523"/>
    <x v="4"/>
    <m/>
    <s v="McDonald's, Swandon Way (1 Marl Road)"/>
    <m/>
    <n v="526043"/>
    <n v="175254"/>
    <x v="15"/>
    <m/>
    <m/>
    <n v="0"/>
    <x v="3"/>
    <x v="5"/>
    <n v="10"/>
    <n v="10"/>
    <x v="0"/>
    <s v="Redevelopment"/>
    <s v="NONE"/>
    <m/>
    <m/>
    <x v="0"/>
    <s v="Nil"/>
    <m/>
    <s v="BF"/>
    <s v="NB"/>
    <x v="1"/>
    <x v="0"/>
    <n v="0"/>
    <m/>
    <x v="0"/>
    <m/>
    <x v="0"/>
    <s v="IU"/>
    <s v="WT14"/>
    <m/>
    <n v="0"/>
    <n v="0"/>
    <n v="0"/>
    <n v="0"/>
    <n v="0"/>
    <n v="0"/>
    <n v="0"/>
    <n v="0"/>
    <n v="0"/>
    <n v="0"/>
    <n v="1"/>
    <n v="0"/>
    <n v="0"/>
    <n v="0"/>
    <n v="0"/>
    <n v="0"/>
    <n v="0"/>
    <n v="1"/>
    <n v="0"/>
    <n v="0"/>
    <n v="0"/>
    <n v="0"/>
    <n v="0"/>
    <n v="0"/>
    <n v="0"/>
    <n v="0"/>
    <n v="0"/>
    <n v="0"/>
    <n v="0"/>
    <n v="0"/>
    <n v="0"/>
    <n v="0"/>
    <x v="1"/>
    <x v="0"/>
    <x v="7"/>
    <n v="19"/>
    <m/>
    <m/>
    <m/>
    <m/>
    <m/>
    <m/>
    <m/>
    <m/>
    <m/>
    <n v="8.3333333333333329E-2"/>
    <n v="8.3333333333333329E-2"/>
    <n v="8.3333333333333329E-2"/>
    <n v="8.3333333333333329E-2"/>
    <n v="8.3333333333333329E-2"/>
    <n v="8.3333333333333329E-2"/>
    <n v="8.3333333333333329E-2"/>
    <n v="8.3333333333333329E-2"/>
    <n v="8.3333333333333329E-2"/>
    <n v="8.3333333333333329E-2"/>
    <n v="8.3333333333333329E-2"/>
    <n v="0"/>
    <n v="0.16666666666666666"/>
  </r>
  <r>
    <n v="3955"/>
    <x v="4"/>
    <m/>
    <s v="Mercedes Benz and Bemco, Bridgend Road"/>
    <m/>
    <n v="526045"/>
    <n v="175348"/>
    <x v="15"/>
    <m/>
    <m/>
    <n v="0"/>
    <x v="122"/>
    <x v="138"/>
    <n v="191"/>
    <n v="191"/>
    <x v="0"/>
    <s v="Redevelopment"/>
    <s v="NONE"/>
    <m/>
    <m/>
    <x v="0"/>
    <s v="Nil"/>
    <m/>
    <s v="BF"/>
    <s v="NB"/>
    <x v="1"/>
    <x v="0"/>
    <n v="0"/>
    <m/>
    <x v="0"/>
    <m/>
    <x v="1"/>
    <s v="M"/>
    <s v="WT15"/>
    <m/>
    <n v="0"/>
    <n v="0"/>
    <n v="0"/>
    <n v="0"/>
    <n v="0"/>
    <n v="0"/>
    <n v="0"/>
    <n v="0"/>
    <n v="0"/>
    <n v="0"/>
    <n v="124"/>
    <n v="0"/>
    <n v="0"/>
    <n v="0"/>
    <n v="0"/>
    <n v="0"/>
    <n v="0"/>
    <n v="124"/>
    <n v="0"/>
    <n v="0"/>
    <n v="0"/>
    <n v="0"/>
    <n v="0"/>
    <n v="0"/>
    <n v="0"/>
    <n v="0"/>
    <n v="0"/>
    <n v="0"/>
    <n v="0"/>
    <n v="0"/>
    <n v="0"/>
    <n v="0"/>
    <x v="1"/>
    <x v="0"/>
    <x v="7"/>
    <n v="19"/>
    <m/>
    <m/>
    <m/>
    <m/>
    <m/>
    <n v="7.75"/>
    <n v="7.75"/>
    <n v="7.75"/>
    <n v="7.75"/>
    <n v="7.75"/>
    <n v="7.75"/>
    <n v="7.75"/>
    <n v="7.75"/>
    <n v="7.75"/>
    <n v="7.75"/>
    <n v="7.75"/>
    <n v="7.75"/>
    <n v="7.75"/>
    <n v="7.75"/>
    <n v="7.75"/>
    <n v="7.75"/>
    <n v="46.5"/>
  </r>
  <r>
    <n v="3955"/>
    <x v="4"/>
    <m/>
    <s v="Mercedes Benz and Bemco, Bridgend Road"/>
    <m/>
    <n v="526045"/>
    <n v="175348"/>
    <x v="15"/>
    <m/>
    <m/>
    <n v="0"/>
    <x v="62"/>
    <x v="71"/>
    <n v="191"/>
    <n v="191"/>
    <x v="0"/>
    <s v="Redevelopment"/>
    <s v="NONE"/>
    <m/>
    <m/>
    <x v="0"/>
    <s v="Nil"/>
    <m/>
    <s v="BF"/>
    <s v="NB"/>
    <x v="1"/>
    <x v="0"/>
    <n v="0"/>
    <m/>
    <x v="0"/>
    <m/>
    <x v="2"/>
    <s v="AA"/>
    <s v="WT15"/>
    <m/>
    <n v="0"/>
    <n v="0"/>
    <n v="0"/>
    <n v="0"/>
    <n v="0"/>
    <n v="0"/>
    <n v="0"/>
    <n v="0"/>
    <n v="0"/>
    <n v="0"/>
    <n v="34"/>
    <n v="0"/>
    <n v="0"/>
    <n v="0"/>
    <n v="0"/>
    <n v="0"/>
    <n v="0"/>
    <n v="34"/>
    <n v="0"/>
    <n v="0"/>
    <n v="0"/>
    <n v="0"/>
    <n v="0"/>
    <n v="0"/>
    <n v="0"/>
    <n v="0"/>
    <n v="0"/>
    <n v="0"/>
    <n v="0"/>
    <n v="0"/>
    <n v="0"/>
    <n v="0"/>
    <x v="1"/>
    <x v="0"/>
    <x v="7"/>
    <n v="19"/>
    <m/>
    <m/>
    <m/>
    <m/>
    <m/>
    <n v="2.125"/>
    <n v="2.125"/>
    <n v="2.125"/>
    <n v="2.125"/>
    <n v="2.125"/>
    <n v="2.125"/>
    <n v="2.125"/>
    <n v="2.125"/>
    <n v="2.125"/>
    <n v="2.125"/>
    <n v="2.125"/>
    <n v="2.125"/>
    <n v="2.125"/>
    <n v="2.125"/>
    <n v="2.125"/>
    <n v="2.125"/>
    <n v="12.75"/>
  </r>
  <r>
    <n v="3955"/>
    <x v="4"/>
    <m/>
    <s v="Mercedes Benz and Bemco, Bridgend Road"/>
    <m/>
    <n v="526045"/>
    <n v="175348"/>
    <x v="15"/>
    <m/>
    <m/>
    <n v="0"/>
    <x v="105"/>
    <x v="122"/>
    <n v="191"/>
    <n v="191"/>
    <x v="0"/>
    <s v="Redevelopment"/>
    <s v="NONE"/>
    <m/>
    <m/>
    <x v="0"/>
    <s v="Nil"/>
    <m/>
    <s v="BF"/>
    <s v="NB"/>
    <x v="1"/>
    <x v="0"/>
    <n v="0"/>
    <m/>
    <x v="0"/>
    <m/>
    <x v="0"/>
    <s v="IU"/>
    <s v="WT15"/>
    <m/>
    <n v="0"/>
    <n v="0"/>
    <n v="0"/>
    <n v="0"/>
    <n v="0"/>
    <n v="0"/>
    <n v="0"/>
    <n v="0"/>
    <n v="0"/>
    <n v="0"/>
    <n v="33"/>
    <n v="0"/>
    <n v="0"/>
    <n v="0"/>
    <n v="0"/>
    <n v="0"/>
    <n v="0"/>
    <n v="33"/>
    <n v="0"/>
    <n v="0"/>
    <n v="0"/>
    <n v="0"/>
    <n v="0"/>
    <n v="0"/>
    <n v="0"/>
    <n v="0"/>
    <n v="0"/>
    <n v="0"/>
    <n v="0"/>
    <n v="0"/>
    <n v="0"/>
    <n v="0"/>
    <x v="1"/>
    <x v="0"/>
    <x v="7"/>
    <n v="19"/>
    <m/>
    <m/>
    <m/>
    <m/>
    <m/>
    <n v="2.0625"/>
    <n v="2.0625"/>
    <n v="2.0625"/>
    <n v="2.0625"/>
    <n v="2.0625"/>
    <n v="2.0625"/>
    <n v="2.0625"/>
    <n v="2.0625"/>
    <n v="2.0625"/>
    <n v="2.0625"/>
    <n v="2.0625"/>
    <n v="2.0625"/>
    <n v="2.0625"/>
    <n v="2.0625"/>
    <n v="2.0625"/>
    <n v="2.0625"/>
    <n v="12.375"/>
  </r>
  <r>
    <n v="6890"/>
    <x v="4"/>
    <m/>
    <s v="Metropolitan Police Warehouse Garage, Ponton Road"/>
    <m/>
    <n v="529517"/>
    <n v="177263"/>
    <x v="1"/>
    <m/>
    <m/>
    <n v="0"/>
    <x v="123"/>
    <x v="139"/>
    <n v="184"/>
    <n v="184"/>
    <x v="0"/>
    <s v="Redevelopment"/>
    <s v="NONE"/>
    <m/>
    <m/>
    <x v="0"/>
    <s v="Nil"/>
    <m/>
    <s v="BF"/>
    <s v="NB"/>
    <x v="1"/>
    <x v="0"/>
    <n v="0"/>
    <m/>
    <x v="0"/>
    <m/>
    <x v="1"/>
    <s v="M"/>
    <s v="NE4"/>
    <m/>
    <n v="0"/>
    <n v="0"/>
    <n v="0"/>
    <n v="0"/>
    <n v="0"/>
    <n v="0"/>
    <n v="0"/>
    <n v="0"/>
    <n v="0"/>
    <n v="0"/>
    <n v="120"/>
    <n v="0"/>
    <n v="0"/>
    <n v="0"/>
    <n v="0"/>
    <n v="0"/>
    <n v="0"/>
    <n v="120"/>
    <n v="0"/>
    <n v="0"/>
    <n v="0"/>
    <n v="0"/>
    <n v="0"/>
    <n v="0"/>
    <n v="0"/>
    <n v="0"/>
    <n v="0"/>
    <n v="0"/>
    <n v="0"/>
    <n v="0"/>
    <n v="0"/>
    <n v="0"/>
    <x v="1"/>
    <x v="1"/>
    <x v="13"/>
    <n v="20"/>
    <m/>
    <m/>
    <m/>
    <m/>
    <n v="120"/>
    <m/>
    <m/>
    <m/>
    <m/>
    <m/>
    <m/>
    <m/>
    <m/>
    <m/>
    <m/>
    <m/>
    <m/>
    <m/>
    <m/>
    <m/>
    <n v="120"/>
    <n v="120"/>
  </r>
  <r>
    <n v="6890"/>
    <x v="4"/>
    <m/>
    <s v="Metropolitan Police Warehouse Garage, Ponton Road"/>
    <m/>
    <n v="529517"/>
    <n v="177263"/>
    <x v="1"/>
    <m/>
    <m/>
    <n v="0"/>
    <x v="19"/>
    <x v="23"/>
    <n v="184"/>
    <n v="184"/>
    <x v="0"/>
    <s v="Redevelopment"/>
    <s v="NONE"/>
    <m/>
    <m/>
    <x v="0"/>
    <s v="Nil"/>
    <m/>
    <s v="BF"/>
    <s v="NB"/>
    <x v="1"/>
    <x v="0"/>
    <n v="0"/>
    <m/>
    <x v="0"/>
    <m/>
    <x v="2"/>
    <s v="AA"/>
    <s v="NE4"/>
    <m/>
    <n v="0"/>
    <n v="0"/>
    <n v="0"/>
    <n v="0"/>
    <n v="0"/>
    <n v="0"/>
    <n v="0"/>
    <n v="0"/>
    <n v="0"/>
    <n v="0"/>
    <n v="32"/>
    <n v="0"/>
    <n v="0"/>
    <n v="0"/>
    <n v="0"/>
    <n v="0"/>
    <n v="0"/>
    <n v="32"/>
    <n v="0"/>
    <n v="0"/>
    <n v="0"/>
    <n v="0"/>
    <n v="0"/>
    <n v="0"/>
    <n v="0"/>
    <n v="0"/>
    <n v="0"/>
    <n v="0"/>
    <n v="0"/>
    <n v="0"/>
    <n v="0"/>
    <n v="0"/>
    <x v="1"/>
    <x v="1"/>
    <x v="13"/>
    <n v="20"/>
    <m/>
    <m/>
    <m/>
    <m/>
    <n v="32"/>
    <m/>
    <m/>
    <m/>
    <m/>
    <m/>
    <m/>
    <m/>
    <m/>
    <m/>
    <m/>
    <m/>
    <m/>
    <m/>
    <m/>
    <m/>
    <n v="32"/>
    <n v="32"/>
  </r>
  <r>
    <n v="6890"/>
    <x v="4"/>
    <m/>
    <s v="Metropolitan Police Warehouse Garage, Ponton Road"/>
    <m/>
    <n v="529517"/>
    <n v="177263"/>
    <x v="1"/>
    <m/>
    <m/>
    <n v="0"/>
    <x v="19"/>
    <x v="23"/>
    <n v="184"/>
    <n v="184"/>
    <x v="0"/>
    <s v="Redevelopment"/>
    <s v="NONE"/>
    <m/>
    <m/>
    <x v="0"/>
    <s v="Nil"/>
    <m/>
    <s v="BF"/>
    <s v="NB"/>
    <x v="1"/>
    <x v="0"/>
    <n v="0"/>
    <m/>
    <x v="0"/>
    <m/>
    <x v="0"/>
    <s v="IU"/>
    <s v="NE4"/>
    <m/>
    <n v="0"/>
    <n v="0"/>
    <n v="0"/>
    <n v="0"/>
    <n v="0"/>
    <n v="0"/>
    <n v="0"/>
    <n v="0"/>
    <n v="0"/>
    <n v="0"/>
    <n v="32"/>
    <n v="0"/>
    <n v="0"/>
    <n v="0"/>
    <n v="0"/>
    <n v="0"/>
    <n v="0"/>
    <n v="32"/>
    <n v="0"/>
    <n v="0"/>
    <n v="0"/>
    <n v="0"/>
    <n v="0"/>
    <n v="0"/>
    <n v="0"/>
    <n v="0"/>
    <n v="0"/>
    <n v="0"/>
    <n v="0"/>
    <n v="0"/>
    <n v="0"/>
    <n v="0"/>
    <x v="1"/>
    <x v="1"/>
    <x v="13"/>
    <n v="20"/>
    <m/>
    <m/>
    <m/>
    <m/>
    <n v="32"/>
    <m/>
    <m/>
    <m/>
    <m/>
    <m/>
    <m/>
    <m/>
    <m/>
    <m/>
    <m/>
    <m/>
    <m/>
    <m/>
    <m/>
    <m/>
    <n v="32"/>
    <n v="32"/>
  </r>
  <r>
    <n v="7574"/>
    <x v="4"/>
    <m/>
    <s v="Middle Wharf, Nine Elms, SW8"/>
    <m/>
    <n v="529574.49120000005"/>
    <n v="177639.5822"/>
    <x v="1"/>
    <m/>
    <m/>
    <n v="0"/>
    <x v="3"/>
    <x v="5"/>
    <n v="1"/>
    <n v="1"/>
    <x v="1"/>
    <s v="Redevelopment"/>
    <s v="NONE"/>
    <m/>
    <m/>
    <x v="0"/>
    <s v="Nil"/>
    <m/>
    <s v="BF"/>
    <s v="NB"/>
    <x v="2"/>
    <x v="3"/>
    <n v="0"/>
    <m/>
    <x v="0"/>
    <m/>
    <x v="1"/>
    <s v="M"/>
    <s v="NE10"/>
    <m/>
    <n v="0"/>
    <n v="0"/>
    <n v="0"/>
    <n v="0"/>
    <n v="0"/>
    <n v="0"/>
    <n v="0"/>
    <n v="0"/>
    <n v="0"/>
    <n v="0"/>
    <n v="1"/>
    <n v="0"/>
    <n v="0"/>
    <n v="0"/>
    <n v="0"/>
    <n v="0"/>
    <n v="0"/>
    <n v="1"/>
    <n v="0"/>
    <n v="0"/>
    <n v="0"/>
    <n v="0"/>
    <n v="0"/>
    <n v="0"/>
    <n v="0"/>
    <n v="0"/>
    <n v="0"/>
    <n v="0"/>
    <n v="0"/>
    <n v="0"/>
    <n v="0"/>
    <n v="0"/>
    <x v="1"/>
    <x v="1"/>
    <x v="13"/>
    <n v="20"/>
    <m/>
    <m/>
    <m/>
    <m/>
    <m/>
    <m/>
    <m/>
    <m/>
    <m/>
    <m/>
    <m/>
    <m/>
    <m/>
    <m/>
    <n v="0.14285714285714285"/>
    <n v="0.14285714285714285"/>
    <n v="0.14285714285714285"/>
    <n v="0.14285714285714285"/>
    <n v="0.14285714285714285"/>
    <n v="0.14285714285714285"/>
    <n v="0"/>
    <n v="0"/>
  </r>
  <r>
    <n v="7581"/>
    <x v="4"/>
    <m/>
    <s v="Mount Clare, Minstead Gardens, Roehampton, SW15"/>
    <m/>
    <n v="521612.7733"/>
    <n v="173961.022399999"/>
    <x v="4"/>
    <m/>
    <m/>
    <n v="0"/>
    <x v="66"/>
    <x v="75"/>
    <n v="130"/>
    <n v="130"/>
    <x v="0"/>
    <s v="Redevelopment"/>
    <s v="NONE"/>
    <m/>
    <m/>
    <x v="0"/>
    <s v="Nil"/>
    <m/>
    <s v="BF"/>
    <s v="NB"/>
    <x v="1"/>
    <x v="0"/>
    <n v="0"/>
    <m/>
    <x v="0"/>
    <m/>
    <x v="1"/>
    <s v="M"/>
    <s v="RO2"/>
    <m/>
    <n v="0"/>
    <n v="0"/>
    <n v="0"/>
    <n v="0"/>
    <n v="0"/>
    <n v="0"/>
    <n v="0"/>
    <n v="0"/>
    <n v="0"/>
    <n v="0"/>
    <n v="85"/>
    <n v="0"/>
    <n v="0"/>
    <n v="0"/>
    <n v="0"/>
    <n v="0"/>
    <n v="0"/>
    <n v="85"/>
    <n v="0"/>
    <n v="0"/>
    <n v="0"/>
    <n v="0"/>
    <n v="0"/>
    <n v="0"/>
    <n v="0"/>
    <n v="0"/>
    <n v="0"/>
    <n v="0"/>
    <n v="0"/>
    <n v="0"/>
    <n v="0"/>
    <n v="0"/>
    <x v="1"/>
    <x v="0"/>
    <x v="14"/>
    <n v="19"/>
    <m/>
    <m/>
    <m/>
    <m/>
    <n v="5"/>
    <n v="5"/>
    <n v="5"/>
    <n v="5"/>
    <n v="5"/>
    <n v="5"/>
    <n v="5"/>
    <n v="5"/>
    <n v="5"/>
    <n v="5"/>
    <n v="5"/>
    <n v="5"/>
    <n v="5"/>
    <n v="5"/>
    <n v="5"/>
    <n v="5"/>
    <n v="10"/>
    <n v="35"/>
  </r>
  <r>
    <n v="7581"/>
    <x v="4"/>
    <m/>
    <s v="Mount Clare, Minstead Gardens, Roehampton, SW15"/>
    <m/>
    <n v="521612.7733"/>
    <n v="173961.022399999"/>
    <x v="4"/>
    <m/>
    <m/>
    <n v="0"/>
    <x v="67"/>
    <x v="76"/>
    <n v="130"/>
    <n v="130"/>
    <x v="0"/>
    <s v="Redevelopment"/>
    <s v="NONE"/>
    <m/>
    <m/>
    <x v="0"/>
    <s v="Nil"/>
    <m/>
    <s v="BF"/>
    <s v="NB"/>
    <x v="1"/>
    <x v="0"/>
    <n v="0"/>
    <m/>
    <x v="0"/>
    <m/>
    <x v="2"/>
    <s v="AA"/>
    <s v="RO2"/>
    <m/>
    <n v="0"/>
    <n v="0"/>
    <n v="0"/>
    <n v="0"/>
    <n v="0"/>
    <n v="0"/>
    <n v="0"/>
    <n v="0"/>
    <n v="0"/>
    <n v="0"/>
    <n v="23"/>
    <n v="0"/>
    <n v="0"/>
    <n v="0"/>
    <n v="0"/>
    <n v="0"/>
    <n v="0"/>
    <n v="23"/>
    <n v="0"/>
    <n v="0"/>
    <n v="0"/>
    <n v="0"/>
    <n v="0"/>
    <n v="0"/>
    <n v="0"/>
    <n v="0"/>
    <n v="0"/>
    <n v="0"/>
    <n v="0"/>
    <n v="0"/>
    <n v="0"/>
    <n v="0"/>
    <x v="1"/>
    <x v="0"/>
    <x v="14"/>
    <n v="19"/>
    <m/>
    <m/>
    <m/>
    <m/>
    <n v="1.3529411764705883"/>
    <n v="1.3529411764705883"/>
    <n v="1.3529411764705883"/>
    <n v="1.3529411764705883"/>
    <n v="1.3529411764705883"/>
    <n v="1.3529411764705883"/>
    <n v="1.3529411764705883"/>
    <n v="1.3529411764705883"/>
    <n v="1.3529411764705883"/>
    <n v="1.3529411764705883"/>
    <n v="1.3529411764705883"/>
    <n v="1.3529411764705883"/>
    <n v="1.3529411764705883"/>
    <n v="1.3529411764705883"/>
    <n v="1.3529411764705883"/>
    <n v="1.3529411764705883"/>
    <n v="2.7058823529411766"/>
    <n v="9.4705882352941195"/>
  </r>
  <r>
    <n v="7581"/>
    <x v="4"/>
    <m/>
    <s v="Mount Clare, Minstead Gardens, Roehampton, SW15"/>
    <m/>
    <n v="521612.7733"/>
    <n v="173961.022399999"/>
    <x v="4"/>
    <m/>
    <m/>
    <n v="0"/>
    <x v="21"/>
    <x v="25"/>
    <n v="130"/>
    <n v="130"/>
    <x v="0"/>
    <s v="Redevelopment"/>
    <s v="NONE"/>
    <m/>
    <m/>
    <x v="0"/>
    <s v="Nil"/>
    <m/>
    <s v="BF"/>
    <s v="NB"/>
    <x v="1"/>
    <x v="0"/>
    <n v="0"/>
    <m/>
    <x v="0"/>
    <m/>
    <x v="0"/>
    <s v="IU"/>
    <s v="RO2"/>
    <m/>
    <n v="0"/>
    <n v="0"/>
    <n v="0"/>
    <n v="0"/>
    <n v="0"/>
    <n v="0"/>
    <n v="0"/>
    <n v="0"/>
    <n v="0"/>
    <n v="0"/>
    <n v="22"/>
    <n v="0"/>
    <n v="0"/>
    <n v="0"/>
    <n v="0"/>
    <n v="0"/>
    <n v="0"/>
    <n v="22"/>
    <n v="0"/>
    <n v="0"/>
    <n v="0"/>
    <n v="0"/>
    <n v="0"/>
    <n v="0"/>
    <n v="0"/>
    <n v="0"/>
    <n v="0"/>
    <n v="0"/>
    <n v="0"/>
    <n v="0"/>
    <n v="0"/>
    <n v="0"/>
    <x v="1"/>
    <x v="0"/>
    <x v="14"/>
    <n v="19"/>
    <m/>
    <m/>
    <m/>
    <m/>
    <n v="1.2941176470588236"/>
    <n v="1.2941176470588236"/>
    <n v="1.2941176470588236"/>
    <n v="1.2941176470588236"/>
    <n v="1.2941176470588236"/>
    <n v="1.2941176470588236"/>
    <n v="1.2941176470588236"/>
    <n v="1.2941176470588236"/>
    <n v="1.2941176470588236"/>
    <n v="1.2941176470588236"/>
    <n v="1.2941176470588236"/>
    <n v="1.2941176470588236"/>
    <n v="1.2941176470588236"/>
    <n v="1.2941176470588236"/>
    <n v="1.2941176470588236"/>
    <n v="1.2941176470588236"/>
    <n v="2.5882352941176472"/>
    <n v="9.0588235294117645"/>
  </r>
  <r>
    <n v="6906"/>
    <x v="4"/>
    <m/>
    <s v="Panorama Antennas, Dormay Street"/>
    <m/>
    <n v="525504"/>
    <n v="174901"/>
    <x v="14"/>
    <m/>
    <m/>
    <n v="0"/>
    <x v="10"/>
    <x v="14"/>
    <n v="7"/>
    <n v="7"/>
    <x v="1"/>
    <s v="Redevelopment"/>
    <s v="NONE"/>
    <m/>
    <m/>
    <x v="0"/>
    <s v="Nil"/>
    <m/>
    <s v="BF"/>
    <s v="NB"/>
    <x v="2"/>
    <x v="3"/>
    <n v="0"/>
    <m/>
    <x v="0"/>
    <m/>
    <x v="1"/>
    <s v="M"/>
    <s v="WT7"/>
    <m/>
    <n v="0"/>
    <n v="0"/>
    <n v="0"/>
    <n v="0"/>
    <n v="0"/>
    <n v="0"/>
    <n v="0"/>
    <n v="0"/>
    <n v="0"/>
    <n v="0"/>
    <n v="7"/>
    <n v="0"/>
    <n v="0"/>
    <n v="0"/>
    <n v="0"/>
    <n v="0"/>
    <n v="0"/>
    <n v="7"/>
    <n v="0"/>
    <n v="0"/>
    <n v="0"/>
    <n v="0"/>
    <n v="0"/>
    <n v="0"/>
    <n v="0"/>
    <n v="0"/>
    <n v="0"/>
    <n v="0"/>
    <n v="0"/>
    <n v="0"/>
    <n v="0"/>
    <n v="0"/>
    <x v="1"/>
    <x v="0"/>
    <x v="7"/>
    <n v="19"/>
    <m/>
    <m/>
    <m/>
    <m/>
    <m/>
    <n v="0.7"/>
    <n v="0.7"/>
    <n v="0.7"/>
    <n v="0.7"/>
    <n v="0.7"/>
    <n v="0.7"/>
    <n v="0.7"/>
    <n v="0.7"/>
    <n v="0.7"/>
    <n v="0.7"/>
    <m/>
    <m/>
    <m/>
    <m/>
    <m/>
    <n v="0.7"/>
    <n v="4.2"/>
  </r>
  <r>
    <n v="7535"/>
    <x v="4"/>
    <m/>
    <s v="Patmore Estate, Stewart's Road, Thessaly Road, SW8 4LB"/>
    <m/>
    <n v="529321"/>
    <n v="176863"/>
    <x v="20"/>
    <m/>
    <m/>
    <n v="0"/>
    <x v="17"/>
    <x v="21"/>
    <n v="66"/>
    <n v="66"/>
    <x v="0"/>
    <s v="Redevelopment"/>
    <s v="NONE"/>
    <m/>
    <m/>
    <x v="0"/>
    <s v="Nil"/>
    <m/>
    <s v="BF"/>
    <s v="NB"/>
    <x v="1"/>
    <x v="0"/>
    <n v="0"/>
    <m/>
    <x v="0"/>
    <m/>
    <x v="1"/>
    <s v="M"/>
    <m/>
    <m/>
    <n v="0"/>
    <n v="0"/>
    <n v="0"/>
    <n v="0"/>
    <n v="0"/>
    <n v="0"/>
    <n v="0"/>
    <n v="0"/>
    <n v="0"/>
    <n v="0"/>
    <n v="43"/>
    <n v="0"/>
    <n v="0"/>
    <n v="0"/>
    <n v="0"/>
    <n v="0"/>
    <n v="0"/>
    <n v="43"/>
    <n v="0"/>
    <n v="0"/>
    <n v="0"/>
    <n v="0"/>
    <n v="0"/>
    <n v="0"/>
    <n v="0"/>
    <n v="0"/>
    <n v="0"/>
    <n v="0"/>
    <n v="0"/>
    <n v="0"/>
    <n v="0"/>
    <n v="0"/>
    <x v="1"/>
    <x v="1"/>
    <x v="13"/>
    <n v="20"/>
    <m/>
    <m/>
    <m/>
    <m/>
    <m/>
    <m/>
    <n v="43"/>
    <m/>
    <m/>
    <m/>
    <m/>
    <m/>
    <m/>
    <m/>
    <m/>
    <m/>
    <m/>
    <m/>
    <m/>
    <m/>
    <n v="0"/>
    <n v="43"/>
  </r>
  <r>
    <n v="7535"/>
    <x v="4"/>
    <m/>
    <s v="Patmore Estate, Stewart's Road, Thessaly Road, SW8 4LB"/>
    <m/>
    <n v="529321"/>
    <n v="176863"/>
    <x v="20"/>
    <m/>
    <m/>
    <n v="0"/>
    <x v="117"/>
    <x v="45"/>
    <n v="66"/>
    <n v="66"/>
    <x v="0"/>
    <s v="Redevelopment"/>
    <s v="NONE"/>
    <m/>
    <m/>
    <x v="0"/>
    <s v="Nil"/>
    <m/>
    <s v="BF"/>
    <s v="NB"/>
    <x v="1"/>
    <x v="0"/>
    <n v="0"/>
    <m/>
    <x v="0"/>
    <m/>
    <x v="2"/>
    <s v="AA"/>
    <m/>
    <m/>
    <n v="0"/>
    <n v="0"/>
    <n v="0"/>
    <n v="0"/>
    <n v="0"/>
    <n v="0"/>
    <n v="0"/>
    <n v="0"/>
    <n v="0"/>
    <n v="0"/>
    <n v="12"/>
    <n v="0"/>
    <n v="0"/>
    <n v="0"/>
    <n v="0"/>
    <n v="0"/>
    <n v="0"/>
    <n v="12"/>
    <n v="0"/>
    <n v="0"/>
    <n v="0"/>
    <n v="0"/>
    <n v="0"/>
    <n v="0"/>
    <n v="0"/>
    <n v="0"/>
    <n v="0"/>
    <n v="0"/>
    <n v="0"/>
    <n v="0"/>
    <n v="0"/>
    <n v="0"/>
    <x v="1"/>
    <x v="1"/>
    <x v="13"/>
    <n v="20"/>
    <m/>
    <m/>
    <m/>
    <m/>
    <m/>
    <m/>
    <n v="12"/>
    <m/>
    <m/>
    <m/>
    <m/>
    <m/>
    <m/>
    <m/>
    <m/>
    <m/>
    <m/>
    <m/>
    <m/>
    <m/>
    <n v="0"/>
    <n v="12"/>
  </r>
  <r>
    <n v="7535"/>
    <x v="4"/>
    <m/>
    <s v="Patmore Estate, Stewart's Road, Thessaly Road, SW8 4LB"/>
    <m/>
    <n v="529321"/>
    <n v="176863"/>
    <x v="20"/>
    <m/>
    <m/>
    <n v="0"/>
    <x v="31"/>
    <x v="35"/>
    <n v="66"/>
    <n v="66"/>
    <x v="0"/>
    <s v="Redevelopment"/>
    <s v="NONE"/>
    <m/>
    <m/>
    <x v="0"/>
    <s v="Nil"/>
    <m/>
    <s v="BF"/>
    <s v="NB"/>
    <x v="1"/>
    <x v="0"/>
    <n v="0"/>
    <m/>
    <x v="0"/>
    <m/>
    <x v="0"/>
    <s v="IU"/>
    <m/>
    <m/>
    <n v="0"/>
    <n v="0"/>
    <n v="0"/>
    <n v="0"/>
    <n v="0"/>
    <n v="0"/>
    <n v="0"/>
    <n v="0"/>
    <n v="0"/>
    <n v="0"/>
    <n v="11"/>
    <n v="0"/>
    <n v="0"/>
    <n v="0"/>
    <n v="0"/>
    <n v="0"/>
    <n v="0"/>
    <n v="11"/>
    <n v="0"/>
    <n v="0"/>
    <n v="0"/>
    <n v="0"/>
    <n v="0"/>
    <n v="0"/>
    <n v="0"/>
    <n v="0"/>
    <n v="0"/>
    <n v="0"/>
    <n v="0"/>
    <n v="0"/>
    <n v="0"/>
    <n v="0"/>
    <x v="1"/>
    <x v="1"/>
    <x v="13"/>
    <n v="20"/>
    <m/>
    <m/>
    <m/>
    <m/>
    <m/>
    <m/>
    <n v="11"/>
    <m/>
    <m/>
    <m/>
    <m/>
    <m/>
    <m/>
    <m/>
    <m/>
    <m/>
    <m/>
    <m/>
    <m/>
    <m/>
    <n v="0"/>
    <n v="11"/>
  </r>
  <r>
    <n v="4508"/>
    <x v="4"/>
    <m/>
    <s v="Pier Wharf, SW18"/>
    <m/>
    <n v="526001.90130000003"/>
    <n v="175434.07680000001"/>
    <x v="15"/>
    <m/>
    <m/>
    <n v="0"/>
    <x v="5"/>
    <x v="7"/>
    <n v="2"/>
    <n v="2"/>
    <x v="1"/>
    <s v="Redevelopment"/>
    <s v="NONE"/>
    <m/>
    <m/>
    <x v="0"/>
    <s v="Nil"/>
    <m/>
    <s v="BF"/>
    <s v="NB"/>
    <x v="2"/>
    <x v="3"/>
    <n v="0"/>
    <m/>
    <x v="0"/>
    <m/>
    <x v="1"/>
    <s v="M"/>
    <s v="WT22"/>
    <m/>
    <n v="0"/>
    <n v="0"/>
    <n v="0"/>
    <n v="0"/>
    <n v="0"/>
    <n v="0"/>
    <n v="0"/>
    <n v="0"/>
    <n v="0"/>
    <n v="0"/>
    <n v="2"/>
    <n v="0"/>
    <n v="0"/>
    <n v="0"/>
    <n v="0"/>
    <n v="0"/>
    <n v="0"/>
    <n v="2"/>
    <n v="0"/>
    <n v="0"/>
    <n v="0"/>
    <n v="0"/>
    <n v="0"/>
    <n v="0"/>
    <n v="0"/>
    <n v="0"/>
    <n v="0"/>
    <n v="0"/>
    <n v="0"/>
    <n v="0"/>
    <n v="0"/>
    <n v="0"/>
    <x v="1"/>
    <x v="0"/>
    <x v="7"/>
    <n v="19"/>
    <m/>
    <m/>
    <m/>
    <m/>
    <m/>
    <m/>
    <m/>
    <m/>
    <m/>
    <m/>
    <m/>
    <m/>
    <m/>
    <m/>
    <m/>
    <m/>
    <m/>
    <m/>
    <m/>
    <n v="2"/>
    <n v="0"/>
    <n v="0"/>
  </r>
  <r>
    <n v="6902"/>
    <x v="4"/>
    <m/>
    <s v="Putney Telephone Exchange, Montserrat Road"/>
    <m/>
    <n v="524118"/>
    <n v="175366"/>
    <x v="3"/>
    <m/>
    <m/>
    <n v="0"/>
    <x v="3"/>
    <x v="5"/>
    <n v="1"/>
    <n v="1"/>
    <x v="1"/>
    <s v="Redevelopment"/>
    <s v="NONE"/>
    <m/>
    <m/>
    <x v="0"/>
    <s v="Nil"/>
    <m/>
    <s v="BF"/>
    <s v="NB"/>
    <x v="2"/>
    <x v="3"/>
    <n v="0"/>
    <m/>
    <x v="0"/>
    <m/>
    <x v="1"/>
    <s v="M"/>
    <s v="PUT4"/>
    <m/>
    <n v="0"/>
    <n v="0"/>
    <n v="0"/>
    <n v="0"/>
    <n v="0"/>
    <n v="0"/>
    <n v="0"/>
    <n v="0"/>
    <n v="0"/>
    <n v="0"/>
    <n v="1"/>
    <n v="0"/>
    <n v="0"/>
    <n v="0"/>
    <n v="0"/>
    <n v="0"/>
    <n v="0"/>
    <n v="1"/>
    <n v="0"/>
    <n v="0"/>
    <n v="0"/>
    <n v="0"/>
    <n v="0"/>
    <n v="0"/>
    <n v="0"/>
    <n v="0"/>
    <n v="0"/>
    <n v="0"/>
    <n v="0"/>
    <n v="0"/>
    <n v="0"/>
    <n v="0"/>
    <x v="2"/>
    <x v="0"/>
    <x v="12"/>
    <n v="19"/>
    <m/>
    <m/>
    <m/>
    <m/>
    <m/>
    <n v="6.25E-2"/>
    <n v="6.25E-2"/>
    <n v="6.25E-2"/>
    <n v="6.25E-2"/>
    <n v="6.25E-2"/>
    <n v="6.25E-2"/>
    <n v="6.25E-2"/>
    <n v="6.25E-2"/>
    <n v="6.25E-2"/>
    <n v="6.25E-2"/>
    <n v="6.25E-2"/>
    <n v="6.25E-2"/>
    <n v="6.25E-2"/>
    <n v="6.25E-2"/>
    <n v="6.25E-2"/>
    <n v="6.25E-2"/>
    <n v="0.375"/>
  </r>
  <r>
    <n v="7582"/>
    <x v="4"/>
    <m/>
    <s v="Queen Mary's Hospital car park, SW15"/>
    <m/>
    <n v="522287.01610000001"/>
    <n v="174318.467299999"/>
    <x v="4"/>
    <m/>
    <m/>
    <n v="0"/>
    <x v="48"/>
    <x v="57"/>
    <n v="303"/>
    <n v="303"/>
    <x v="0"/>
    <s v="Redevelopment"/>
    <s v="NONE"/>
    <m/>
    <m/>
    <x v="0"/>
    <s v="Nil"/>
    <m/>
    <s v="BF"/>
    <s v="NB"/>
    <x v="1"/>
    <x v="0"/>
    <n v="0"/>
    <m/>
    <x v="0"/>
    <m/>
    <x v="1"/>
    <s v="M"/>
    <s v="RO3"/>
    <m/>
    <n v="0"/>
    <n v="0"/>
    <n v="0"/>
    <n v="0"/>
    <n v="0"/>
    <n v="0"/>
    <n v="0"/>
    <n v="0"/>
    <n v="0"/>
    <n v="0"/>
    <n v="197"/>
    <n v="0"/>
    <n v="0"/>
    <n v="0"/>
    <n v="0"/>
    <n v="0"/>
    <n v="0"/>
    <n v="197"/>
    <n v="0"/>
    <n v="0"/>
    <n v="0"/>
    <n v="0"/>
    <n v="0"/>
    <n v="0"/>
    <n v="0"/>
    <n v="0"/>
    <n v="0"/>
    <n v="0"/>
    <n v="0"/>
    <n v="0"/>
    <n v="0"/>
    <n v="0"/>
    <x v="1"/>
    <x v="0"/>
    <x v="14"/>
    <n v="19"/>
    <m/>
    <m/>
    <m/>
    <m/>
    <m/>
    <m/>
    <m/>
    <m/>
    <n v="16.416666666666668"/>
    <n v="16.416666666666668"/>
    <n v="16.416666666666668"/>
    <n v="16.416666666666668"/>
    <n v="16.416666666666668"/>
    <n v="16.416666666666668"/>
    <n v="16.416666666666668"/>
    <n v="16.416666666666668"/>
    <n v="16.416666666666668"/>
    <n v="16.416666666666668"/>
    <n v="16.416666666666668"/>
    <n v="16.416666666666668"/>
    <n v="0"/>
    <n v="49.25"/>
  </r>
  <r>
    <n v="7582"/>
    <x v="4"/>
    <m/>
    <s v="Queen Mary's Hospital car park, SW15"/>
    <m/>
    <n v="522287.01610000001"/>
    <n v="174318.467299999"/>
    <x v="4"/>
    <m/>
    <m/>
    <n v="0"/>
    <x v="115"/>
    <x v="132"/>
    <n v="303"/>
    <n v="303"/>
    <x v="0"/>
    <s v="Redevelopment"/>
    <s v="NONE"/>
    <m/>
    <m/>
    <x v="0"/>
    <s v="Nil"/>
    <m/>
    <s v="BF"/>
    <s v="NB"/>
    <x v="1"/>
    <x v="0"/>
    <n v="0"/>
    <m/>
    <x v="0"/>
    <m/>
    <x v="2"/>
    <s v="AA"/>
    <s v="RO3"/>
    <m/>
    <n v="0"/>
    <n v="0"/>
    <n v="0"/>
    <n v="0"/>
    <n v="0"/>
    <n v="0"/>
    <n v="0"/>
    <n v="0"/>
    <n v="0"/>
    <n v="0"/>
    <n v="53"/>
    <n v="0"/>
    <n v="0"/>
    <n v="0"/>
    <n v="0"/>
    <n v="0"/>
    <n v="0"/>
    <n v="53"/>
    <n v="0"/>
    <n v="0"/>
    <n v="0"/>
    <n v="0"/>
    <n v="0"/>
    <n v="0"/>
    <n v="0"/>
    <n v="0"/>
    <n v="0"/>
    <n v="0"/>
    <n v="0"/>
    <n v="0"/>
    <n v="0"/>
    <n v="0"/>
    <x v="1"/>
    <x v="0"/>
    <x v="14"/>
    <n v="19"/>
    <m/>
    <m/>
    <m/>
    <m/>
    <m/>
    <m/>
    <m/>
    <m/>
    <n v="4.416666666666667"/>
    <n v="4.416666666666667"/>
    <n v="4.416666666666667"/>
    <n v="4.416666666666667"/>
    <n v="4.416666666666667"/>
    <n v="4.416666666666667"/>
    <n v="4.416666666666667"/>
    <n v="4.416666666666667"/>
    <n v="4.416666666666667"/>
    <n v="4.416666666666667"/>
    <n v="4.416666666666667"/>
    <n v="4.416666666666667"/>
    <n v="0"/>
    <n v="13.25"/>
  </r>
  <r>
    <n v="7582"/>
    <x v="4"/>
    <m/>
    <s v="Queen Mary's Hospital car park, SW15"/>
    <m/>
    <n v="522287.01610000001"/>
    <n v="174318.467299999"/>
    <x v="4"/>
    <m/>
    <m/>
    <n v="0"/>
    <x v="115"/>
    <x v="132"/>
    <n v="303"/>
    <n v="303"/>
    <x v="0"/>
    <s v="Redevelopment"/>
    <s v="NONE"/>
    <m/>
    <m/>
    <x v="0"/>
    <s v="Nil"/>
    <m/>
    <s v="BF"/>
    <s v="NB"/>
    <x v="1"/>
    <x v="0"/>
    <n v="0"/>
    <m/>
    <x v="0"/>
    <m/>
    <x v="0"/>
    <s v="IU"/>
    <s v="RO3"/>
    <m/>
    <n v="0"/>
    <n v="0"/>
    <n v="0"/>
    <n v="0"/>
    <n v="0"/>
    <n v="0"/>
    <n v="0"/>
    <n v="0"/>
    <n v="0"/>
    <n v="0"/>
    <n v="53"/>
    <n v="0"/>
    <n v="0"/>
    <n v="0"/>
    <n v="0"/>
    <n v="0"/>
    <n v="0"/>
    <n v="53"/>
    <n v="0"/>
    <n v="0"/>
    <n v="0"/>
    <n v="0"/>
    <n v="0"/>
    <n v="0"/>
    <n v="0"/>
    <n v="0"/>
    <n v="0"/>
    <n v="0"/>
    <n v="0"/>
    <n v="0"/>
    <n v="0"/>
    <n v="0"/>
    <x v="1"/>
    <x v="0"/>
    <x v="14"/>
    <n v="19"/>
    <m/>
    <m/>
    <m/>
    <m/>
    <m/>
    <m/>
    <m/>
    <m/>
    <n v="4.416666666666667"/>
    <n v="4.416666666666667"/>
    <n v="4.416666666666667"/>
    <n v="4.416666666666667"/>
    <n v="4.416666666666667"/>
    <n v="4.416666666666667"/>
    <n v="4.416666666666667"/>
    <n v="4.416666666666667"/>
    <n v="4.416666666666667"/>
    <n v="4.416666666666667"/>
    <n v="4.416666666666667"/>
    <n v="4.416666666666667"/>
    <n v="0"/>
    <n v="13.25"/>
  </r>
  <r>
    <n v="7547"/>
    <x v="4"/>
    <m/>
    <s v="Railway arches , Grant Road, SW11 2NU"/>
    <m/>
    <n v="527126"/>
    <n v="175600"/>
    <x v="21"/>
    <m/>
    <m/>
    <n v="0"/>
    <x v="29"/>
    <x v="33"/>
    <n v="14"/>
    <n v="14"/>
    <x v="0"/>
    <s v="Redevelopment"/>
    <s v="NONE"/>
    <m/>
    <m/>
    <x v="0"/>
    <s v="Nil"/>
    <m/>
    <s v="BF"/>
    <s v="NB"/>
    <x v="1"/>
    <x v="0"/>
    <n v="0"/>
    <m/>
    <x v="0"/>
    <m/>
    <x v="1"/>
    <s v="M"/>
    <m/>
    <m/>
    <n v="0"/>
    <n v="0"/>
    <n v="0"/>
    <n v="0"/>
    <n v="0"/>
    <n v="0"/>
    <n v="0"/>
    <n v="0"/>
    <n v="0"/>
    <n v="0"/>
    <n v="9"/>
    <n v="0"/>
    <n v="0"/>
    <n v="0"/>
    <n v="0"/>
    <n v="0"/>
    <n v="0"/>
    <n v="9"/>
    <n v="0"/>
    <n v="0"/>
    <n v="0"/>
    <n v="0"/>
    <n v="0"/>
    <n v="0"/>
    <n v="0"/>
    <n v="0"/>
    <n v="0"/>
    <n v="0"/>
    <n v="0"/>
    <n v="0"/>
    <n v="0"/>
    <n v="0"/>
    <x v="3"/>
    <x v="0"/>
    <x v="11"/>
    <n v="19"/>
    <m/>
    <m/>
    <m/>
    <m/>
    <m/>
    <n v="9"/>
    <m/>
    <m/>
    <m/>
    <m/>
    <m/>
    <m/>
    <m/>
    <m/>
    <m/>
    <m/>
    <m/>
    <m/>
    <m/>
    <m/>
    <n v="9"/>
    <n v="9"/>
  </r>
  <r>
    <n v="7547"/>
    <x v="4"/>
    <m/>
    <s v="Railway arches , Grant Road, SW11 2NU"/>
    <m/>
    <n v="527126"/>
    <n v="175600"/>
    <x v="21"/>
    <m/>
    <m/>
    <n v="0"/>
    <x v="11"/>
    <x v="36"/>
    <n v="14"/>
    <n v="14"/>
    <x v="0"/>
    <s v="Redevelopment"/>
    <s v="NONE"/>
    <m/>
    <m/>
    <x v="0"/>
    <s v="Nil"/>
    <m/>
    <s v="BF"/>
    <s v="NB"/>
    <x v="1"/>
    <x v="0"/>
    <n v="0"/>
    <m/>
    <x v="0"/>
    <m/>
    <x v="2"/>
    <s v="AA"/>
    <m/>
    <m/>
    <n v="0"/>
    <n v="0"/>
    <n v="0"/>
    <n v="0"/>
    <n v="0"/>
    <n v="0"/>
    <n v="0"/>
    <n v="0"/>
    <n v="0"/>
    <n v="0"/>
    <n v="3"/>
    <n v="0"/>
    <n v="0"/>
    <n v="0"/>
    <n v="0"/>
    <n v="0"/>
    <n v="0"/>
    <n v="3"/>
    <n v="0"/>
    <n v="0"/>
    <n v="0"/>
    <n v="0"/>
    <n v="0"/>
    <n v="0"/>
    <n v="0"/>
    <n v="0"/>
    <n v="0"/>
    <n v="0"/>
    <n v="0"/>
    <n v="0"/>
    <n v="0"/>
    <n v="0"/>
    <x v="3"/>
    <x v="0"/>
    <x v="11"/>
    <n v="19"/>
    <m/>
    <m/>
    <m/>
    <m/>
    <m/>
    <n v="3"/>
    <m/>
    <m/>
    <m/>
    <m/>
    <m/>
    <m/>
    <m/>
    <m/>
    <m/>
    <m/>
    <m/>
    <m/>
    <m/>
    <m/>
    <n v="3"/>
    <n v="3"/>
  </r>
  <r>
    <n v="7547"/>
    <x v="4"/>
    <m/>
    <s v="Railway arches , Grant Road, SW11 2NU"/>
    <m/>
    <n v="527126"/>
    <n v="175600"/>
    <x v="21"/>
    <m/>
    <m/>
    <n v="0"/>
    <x v="5"/>
    <x v="7"/>
    <n v="14"/>
    <n v="14"/>
    <x v="0"/>
    <s v="Redevelopment"/>
    <s v="NONE"/>
    <m/>
    <m/>
    <x v="0"/>
    <s v="Nil"/>
    <m/>
    <s v="BF"/>
    <s v="NB"/>
    <x v="1"/>
    <x v="0"/>
    <n v="0"/>
    <m/>
    <x v="0"/>
    <m/>
    <x v="0"/>
    <s v="IU"/>
    <m/>
    <m/>
    <n v="0"/>
    <n v="0"/>
    <n v="0"/>
    <n v="0"/>
    <n v="0"/>
    <n v="0"/>
    <n v="0"/>
    <n v="0"/>
    <n v="0"/>
    <n v="0"/>
    <n v="2"/>
    <n v="0"/>
    <n v="0"/>
    <n v="0"/>
    <n v="0"/>
    <n v="0"/>
    <n v="0"/>
    <n v="2"/>
    <n v="0"/>
    <n v="0"/>
    <n v="0"/>
    <n v="0"/>
    <n v="0"/>
    <n v="0"/>
    <n v="0"/>
    <n v="0"/>
    <n v="0"/>
    <n v="0"/>
    <n v="0"/>
    <n v="0"/>
    <n v="0"/>
    <n v="0"/>
    <x v="3"/>
    <x v="0"/>
    <x v="11"/>
    <n v="19"/>
    <m/>
    <m/>
    <m/>
    <m/>
    <m/>
    <n v="2"/>
    <m/>
    <m/>
    <m/>
    <m/>
    <m/>
    <m/>
    <m/>
    <m/>
    <m/>
    <m/>
    <m/>
    <m/>
    <m/>
    <m/>
    <n v="2"/>
    <n v="2"/>
  </r>
  <r>
    <n v="7545"/>
    <x v="4"/>
    <m/>
    <s v="Railway arches adjacent to Battersea Dogs and Cats Home, 6 Battersea Park Road, SW8 4AA"/>
    <m/>
    <n v="528896"/>
    <n v="177124"/>
    <x v="1"/>
    <m/>
    <m/>
    <n v="0"/>
    <x v="29"/>
    <x v="33"/>
    <n v="9"/>
    <n v="9"/>
    <x v="1"/>
    <s v="Redevelopment"/>
    <s v="NONE"/>
    <m/>
    <m/>
    <x v="0"/>
    <s v="Nil"/>
    <m/>
    <s v="BF"/>
    <s v="NB"/>
    <x v="2"/>
    <x v="3"/>
    <n v="0"/>
    <m/>
    <x v="0"/>
    <m/>
    <x v="1"/>
    <s v="M"/>
    <m/>
    <m/>
    <n v="0"/>
    <n v="0"/>
    <n v="0"/>
    <n v="0"/>
    <n v="0"/>
    <n v="0"/>
    <n v="0"/>
    <n v="0"/>
    <n v="0"/>
    <n v="0"/>
    <n v="9"/>
    <n v="0"/>
    <n v="0"/>
    <n v="0"/>
    <n v="0"/>
    <n v="0"/>
    <n v="0"/>
    <n v="9"/>
    <n v="0"/>
    <n v="0"/>
    <n v="0"/>
    <n v="0"/>
    <n v="0"/>
    <n v="0"/>
    <n v="0"/>
    <n v="0"/>
    <n v="0"/>
    <n v="0"/>
    <n v="0"/>
    <n v="0"/>
    <n v="0"/>
    <n v="0"/>
    <x v="1"/>
    <x v="1"/>
    <x v="13"/>
    <n v="20"/>
    <m/>
    <m/>
    <m/>
    <m/>
    <m/>
    <m/>
    <n v="9"/>
    <m/>
    <m/>
    <m/>
    <m/>
    <m/>
    <m/>
    <m/>
    <m/>
    <m/>
    <m/>
    <m/>
    <m/>
    <m/>
    <n v="0"/>
    <n v="9"/>
  </r>
  <r>
    <n v="7544"/>
    <x v="4"/>
    <m/>
    <s v="Railway arches, 14 Winthorpe Road, SW15 2LW"/>
    <m/>
    <n v="524433"/>
    <n v="175204"/>
    <x v="3"/>
    <m/>
    <m/>
    <n v="0"/>
    <x v="24"/>
    <x v="28"/>
    <n v="5"/>
    <n v="5"/>
    <x v="1"/>
    <s v="Redevelopment"/>
    <s v="NONE"/>
    <m/>
    <m/>
    <x v="0"/>
    <s v="Nil"/>
    <m/>
    <s v="BF"/>
    <s v="NB"/>
    <x v="2"/>
    <x v="3"/>
    <n v="0"/>
    <m/>
    <x v="0"/>
    <m/>
    <x v="1"/>
    <s v="M"/>
    <m/>
    <m/>
    <n v="0"/>
    <n v="0"/>
    <n v="0"/>
    <n v="0"/>
    <n v="0"/>
    <n v="0"/>
    <n v="0"/>
    <n v="0"/>
    <n v="0"/>
    <n v="0"/>
    <n v="5"/>
    <n v="0"/>
    <n v="0"/>
    <n v="0"/>
    <n v="0"/>
    <n v="0"/>
    <n v="0"/>
    <n v="5"/>
    <n v="0"/>
    <n v="0"/>
    <n v="0"/>
    <n v="0"/>
    <n v="0"/>
    <n v="0"/>
    <n v="0"/>
    <n v="0"/>
    <n v="0"/>
    <n v="0"/>
    <n v="0"/>
    <n v="0"/>
    <n v="0"/>
    <n v="0"/>
    <x v="1"/>
    <x v="0"/>
    <x v="2"/>
    <n v="19"/>
    <m/>
    <m/>
    <m/>
    <m/>
    <m/>
    <n v="5"/>
    <m/>
    <m/>
    <m/>
    <m/>
    <m/>
    <m/>
    <m/>
    <m/>
    <m/>
    <m/>
    <m/>
    <m/>
    <m/>
    <m/>
    <n v="5"/>
    <n v="5"/>
  </r>
  <r>
    <n v="7538"/>
    <x v="4"/>
    <m/>
    <s v="Railway land, Falcon Lane, SW11 2LG"/>
    <m/>
    <n v="527505"/>
    <n v="175729"/>
    <x v="21"/>
    <m/>
    <m/>
    <n v="0"/>
    <x v="9"/>
    <x v="12"/>
    <n v="8"/>
    <n v="8"/>
    <x v="1"/>
    <s v="Redevelopment"/>
    <s v="NONE"/>
    <m/>
    <m/>
    <x v="0"/>
    <s v="Nil"/>
    <m/>
    <s v="BF"/>
    <s v="NB"/>
    <x v="2"/>
    <x v="3"/>
    <n v="0"/>
    <m/>
    <x v="0"/>
    <m/>
    <x v="1"/>
    <s v="M"/>
    <m/>
    <m/>
    <n v="0"/>
    <n v="0"/>
    <n v="0"/>
    <n v="0"/>
    <n v="0"/>
    <n v="0"/>
    <n v="0"/>
    <n v="0"/>
    <n v="0"/>
    <n v="0"/>
    <n v="8"/>
    <n v="0"/>
    <n v="0"/>
    <n v="0"/>
    <n v="0"/>
    <n v="0"/>
    <n v="0"/>
    <n v="8"/>
    <n v="0"/>
    <n v="0"/>
    <n v="0"/>
    <n v="0"/>
    <n v="0"/>
    <n v="0"/>
    <n v="0"/>
    <n v="0"/>
    <n v="0"/>
    <n v="0"/>
    <n v="0"/>
    <n v="0"/>
    <n v="0"/>
    <n v="0"/>
    <x v="1"/>
    <x v="0"/>
    <x v="11"/>
    <n v="19"/>
    <m/>
    <m/>
    <m/>
    <m/>
    <m/>
    <n v="8"/>
    <m/>
    <m/>
    <m/>
    <m/>
    <m/>
    <m/>
    <m/>
    <m/>
    <m/>
    <m/>
    <m/>
    <m/>
    <m/>
    <m/>
    <n v="8"/>
    <n v="8"/>
  </r>
  <r>
    <n v="6866"/>
    <x v="4"/>
    <m/>
    <s v="Sainsbury's Car Park, Bedford Hill"/>
    <m/>
    <n v="528627"/>
    <n v="173224"/>
    <x v="6"/>
    <m/>
    <m/>
    <n v="0"/>
    <x v="14"/>
    <x v="18"/>
    <n v="59"/>
    <n v="59"/>
    <x v="0"/>
    <s v="Redevelopment"/>
    <s v="NONE"/>
    <m/>
    <m/>
    <x v="0"/>
    <s v="Nil"/>
    <m/>
    <s v="BF"/>
    <s v="NB"/>
    <x v="1"/>
    <x v="0"/>
    <n v="0"/>
    <m/>
    <x v="0"/>
    <m/>
    <x v="1"/>
    <s v="M"/>
    <s v="BA1"/>
    <m/>
    <n v="0"/>
    <n v="0"/>
    <n v="0"/>
    <n v="0"/>
    <n v="0"/>
    <n v="0"/>
    <n v="0"/>
    <n v="0"/>
    <n v="0"/>
    <n v="0"/>
    <n v="38"/>
    <n v="0"/>
    <n v="0"/>
    <n v="0"/>
    <n v="0"/>
    <n v="0"/>
    <n v="0"/>
    <n v="38"/>
    <n v="0"/>
    <n v="0"/>
    <n v="0"/>
    <n v="0"/>
    <n v="0"/>
    <n v="0"/>
    <n v="0"/>
    <n v="0"/>
    <n v="0"/>
    <n v="0"/>
    <n v="0"/>
    <n v="0"/>
    <n v="0"/>
    <n v="0"/>
    <x v="5"/>
    <x v="0"/>
    <x v="9"/>
    <n v="19"/>
    <m/>
    <m/>
    <m/>
    <m/>
    <m/>
    <m/>
    <m/>
    <m/>
    <m/>
    <n v="3.1666666666666665"/>
    <n v="3.1666666666666665"/>
    <n v="3.1666666666666665"/>
    <n v="3.1666666666666665"/>
    <n v="3.1666666666666665"/>
    <n v="3.1666666666666665"/>
    <n v="3.1666666666666665"/>
    <n v="3.1666666666666665"/>
    <n v="3.1666666666666665"/>
    <n v="3.1666666666666665"/>
    <n v="3.1666666666666665"/>
    <n v="0"/>
    <n v="6.333333333333333"/>
  </r>
  <r>
    <n v="6866"/>
    <x v="4"/>
    <m/>
    <s v="Sainsbury's Car Park, Bedford Hill"/>
    <m/>
    <n v="528627"/>
    <n v="173224"/>
    <x v="6"/>
    <m/>
    <m/>
    <n v="0"/>
    <x v="31"/>
    <x v="35"/>
    <n v="59"/>
    <n v="59"/>
    <x v="0"/>
    <s v="Redevelopment"/>
    <s v="NONE"/>
    <m/>
    <m/>
    <x v="0"/>
    <s v="Nil"/>
    <m/>
    <s v="BF"/>
    <s v="NB"/>
    <x v="1"/>
    <x v="0"/>
    <n v="0"/>
    <m/>
    <x v="0"/>
    <m/>
    <x v="2"/>
    <s v="AA"/>
    <s v="BA1"/>
    <m/>
    <n v="0"/>
    <n v="0"/>
    <n v="0"/>
    <n v="0"/>
    <n v="0"/>
    <n v="0"/>
    <n v="0"/>
    <n v="0"/>
    <n v="0"/>
    <n v="0"/>
    <n v="11"/>
    <n v="0"/>
    <n v="0"/>
    <n v="0"/>
    <n v="0"/>
    <n v="0"/>
    <n v="0"/>
    <n v="11"/>
    <n v="0"/>
    <n v="0"/>
    <n v="0"/>
    <n v="0"/>
    <n v="0"/>
    <n v="0"/>
    <n v="0"/>
    <n v="0"/>
    <n v="0"/>
    <n v="0"/>
    <n v="0"/>
    <n v="0"/>
    <n v="0"/>
    <n v="0"/>
    <x v="5"/>
    <x v="0"/>
    <x v="9"/>
    <n v="19"/>
    <m/>
    <m/>
    <m/>
    <m/>
    <m/>
    <m/>
    <m/>
    <m/>
    <m/>
    <n v="0.91666666666666663"/>
    <n v="0.91666666666666663"/>
    <n v="0.91666666666666663"/>
    <n v="0.91666666666666663"/>
    <n v="0.91666666666666663"/>
    <n v="0.91666666666666663"/>
    <n v="0.91666666666666663"/>
    <n v="0.91666666666666663"/>
    <n v="0.91666666666666663"/>
    <n v="0.91666666666666663"/>
    <n v="0.91666666666666663"/>
    <n v="0"/>
    <n v="1.8333333333333333"/>
  </r>
  <r>
    <n v="6866"/>
    <x v="4"/>
    <m/>
    <s v="Sainsbury's Car Park, Bedford Hill"/>
    <m/>
    <n v="528627"/>
    <n v="173224"/>
    <x v="6"/>
    <m/>
    <m/>
    <n v="0"/>
    <x v="43"/>
    <x v="52"/>
    <n v="59"/>
    <n v="59"/>
    <x v="0"/>
    <s v="Redevelopment"/>
    <s v="NONE"/>
    <m/>
    <m/>
    <x v="0"/>
    <s v="Nil"/>
    <m/>
    <s v="BF"/>
    <s v="NB"/>
    <x v="1"/>
    <x v="0"/>
    <n v="0"/>
    <m/>
    <x v="0"/>
    <m/>
    <x v="0"/>
    <s v="IU"/>
    <s v="BA1"/>
    <m/>
    <n v="0"/>
    <n v="0"/>
    <n v="0"/>
    <n v="0"/>
    <n v="0"/>
    <n v="0"/>
    <n v="0"/>
    <n v="0"/>
    <n v="0"/>
    <n v="0"/>
    <n v="10"/>
    <n v="0"/>
    <n v="0"/>
    <n v="0"/>
    <n v="0"/>
    <n v="0"/>
    <n v="0"/>
    <n v="10"/>
    <n v="0"/>
    <n v="0"/>
    <n v="0"/>
    <n v="0"/>
    <n v="0"/>
    <n v="0"/>
    <n v="0"/>
    <n v="0"/>
    <n v="0"/>
    <n v="0"/>
    <n v="0"/>
    <n v="0"/>
    <n v="0"/>
    <n v="0"/>
    <x v="5"/>
    <x v="0"/>
    <x v="9"/>
    <n v="19"/>
    <m/>
    <m/>
    <m/>
    <m/>
    <m/>
    <m/>
    <m/>
    <m/>
    <m/>
    <n v="0.83333333333333337"/>
    <n v="0.83333333333333337"/>
    <n v="0.83333333333333337"/>
    <n v="0.83333333333333337"/>
    <n v="0.83333333333333337"/>
    <n v="0.83333333333333337"/>
    <n v="0.83333333333333337"/>
    <n v="0.83333333333333337"/>
    <n v="0.83333333333333337"/>
    <n v="0.83333333333333337"/>
    <n v="0.83333333333333337"/>
    <n v="0"/>
    <n v="1.6666666666666667"/>
  </r>
  <r>
    <n v="3970"/>
    <x v="4"/>
    <m/>
    <s v="Sainsbury's, 2-6 Werter Road"/>
    <m/>
    <n v="524058"/>
    <n v="175199"/>
    <x v="3"/>
    <m/>
    <m/>
    <n v="0"/>
    <x v="11"/>
    <x v="36"/>
    <n v="3"/>
    <n v="3"/>
    <x v="1"/>
    <s v="Redevelopment"/>
    <s v="NONE"/>
    <m/>
    <m/>
    <x v="0"/>
    <s v="Nil"/>
    <m/>
    <s v="BF"/>
    <s v="NB"/>
    <x v="2"/>
    <x v="3"/>
    <n v="0"/>
    <m/>
    <x v="0"/>
    <m/>
    <x v="1"/>
    <s v="M"/>
    <s v="PUT5"/>
    <m/>
    <n v="0"/>
    <n v="0"/>
    <n v="0"/>
    <n v="0"/>
    <n v="0"/>
    <n v="0"/>
    <n v="0"/>
    <n v="0"/>
    <n v="0"/>
    <n v="0"/>
    <n v="3"/>
    <n v="0"/>
    <n v="0"/>
    <n v="0"/>
    <n v="0"/>
    <n v="0"/>
    <n v="0"/>
    <n v="3"/>
    <n v="0"/>
    <n v="0"/>
    <n v="0"/>
    <n v="0"/>
    <n v="0"/>
    <n v="0"/>
    <n v="0"/>
    <n v="0"/>
    <n v="0"/>
    <n v="0"/>
    <n v="0"/>
    <n v="0"/>
    <n v="0"/>
    <n v="0"/>
    <x v="2"/>
    <x v="0"/>
    <x v="12"/>
    <n v="19"/>
    <m/>
    <m/>
    <m/>
    <m/>
    <m/>
    <m/>
    <m/>
    <m/>
    <m/>
    <n v="0.25"/>
    <n v="0.25"/>
    <n v="0.25"/>
    <n v="0.25"/>
    <n v="0.25"/>
    <n v="0.25"/>
    <n v="0.25"/>
    <n v="0.25"/>
    <n v="0.25"/>
    <n v="0.25"/>
    <n v="0.25"/>
    <n v="0"/>
    <n v="0.5"/>
  </r>
  <r>
    <n v="3942"/>
    <x v="4"/>
    <m/>
    <s v="Securicor Site, 80 Kirtling Street"/>
    <m/>
    <n v="529292"/>
    <n v="177503"/>
    <x v="1"/>
    <m/>
    <m/>
    <n v="0"/>
    <x v="124"/>
    <x v="140"/>
    <n v="208"/>
    <n v="208"/>
    <x v="0"/>
    <s v="Redevelopment"/>
    <s v="NONE"/>
    <m/>
    <m/>
    <x v="0"/>
    <s v="Nil"/>
    <m/>
    <s v="BF"/>
    <s v="NB"/>
    <x v="1"/>
    <x v="0"/>
    <n v="0"/>
    <m/>
    <x v="0"/>
    <m/>
    <x v="1"/>
    <s v="M"/>
    <s v="NE3"/>
    <m/>
    <n v="0"/>
    <n v="0"/>
    <n v="0"/>
    <n v="0"/>
    <n v="0"/>
    <n v="0"/>
    <n v="0"/>
    <n v="0"/>
    <n v="0"/>
    <n v="0"/>
    <n v="135"/>
    <n v="0"/>
    <n v="0"/>
    <n v="0"/>
    <n v="0"/>
    <n v="0"/>
    <n v="0"/>
    <n v="135"/>
    <n v="0"/>
    <n v="0"/>
    <n v="0"/>
    <n v="0"/>
    <n v="0"/>
    <n v="0"/>
    <n v="0"/>
    <n v="0"/>
    <n v="0"/>
    <n v="0"/>
    <n v="0"/>
    <n v="0"/>
    <n v="0"/>
    <n v="0"/>
    <x v="1"/>
    <x v="1"/>
    <x v="13"/>
    <n v="20"/>
    <m/>
    <m/>
    <m/>
    <m/>
    <m/>
    <n v="135"/>
    <m/>
    <m/>
    <m/>
    <m/>
    <m/>
    <m/>
    <m/>
    <m/>
    <m/>
    <m/>
    <m/>
    <m/>
    <m/>
    <m/>
    <n v="135"/>
    <n v="135"/>
  </r>
  <r>
    <n v="3942"/>
    <x v="4"/>
    <m/>
    <s v="Securicor Site, 80 Kirtling Street"/>
    <m/>
    <n v="529292"/>
    <n v="177503"/>
    <x v="1"/>
    <m/>
    <m/>
    <n v="0"/>
    <x v="42"/>
    <x v="50"/>
    <n v="208"/>
    <n v="208"/>
    <x v="0"/>
    <s v="Redevelopment"/>
    <s v="NONE"/>
    <m/>
    <m/>
    <x v="0"/>
    <s v="Nil"/>
    <m/>
    <s v="BF"/>
    <s v="NB"/>
    <x v="1"/>
    <x v="0"/>
    <n v="0"/>
    <m/>
    <x v="0"/>
    <m/>
    <x v="2"/>
    <s v="AA"/>
    <s v="NE3"/>
    <m/>
    <n v="0"/>
    <n v="0"/>
    <n v="0"/>
    <n v="0"/>
    <n v="0"/>
    <n v="0"/>
    <n v="0"/>
    <n v="0"/>
    <n v="0"/>
    <n v="0"/>
    <n v="37"/>
    <n v="0"/>
    <n v="0"/>
    <n v="0"/>
    <n v="0"/>
    <n v="0"/>
    <n v="0"/>
    <n v="37"/>
    <n v="0"/>
    <n v="0"/>
    <n v="0"/>
    <n v="0"/>
    <n v="0"/>
    <n v="0"/>
    <n v="0"/>
    <n v="0"/>
    <n v="0"/>
    <n v="0"/>
    <n v="0"/>
    <n v="0"/>
    <n v="0"/>
    <n v="0"/>
    <x v="1"/>
    <x v="1"/>
    <x v="13"/>
    <n v="20"/>
    <m/>
    <m/>
    <m/>
    <m/>
    <m/>
    <n v="37"/>
    <m/>
    <m/>
    <m/>
    <m/>
    <m/>
    <m/>
    <m/>
    <m/>
    <m/>
    <m/>
    <m/>
    <m/>
    <m/>
    <m/>
    <n v="37"/>
    <n v="37"/>
  </r>
  <r>
    <n v="3942"/>
    <x v="4"/>
    <m/>
    <s v="Securicor Site, 80 Kirtling Street"/>
    <m/>
    <n v="529292"/>
    <n v="177503"/>
    <x v="1"/>
    <m/>
    <m/>
    <n v="0"/>
    <x v="71"/>
    <x v="81"/>
    <n v="208"/>
    <n v="208"/>
    <x v="0"/>
    <s v="Redevelopment"/>
    <s v="NONE"/>
    <m/>
    <m/>
    <x v="0"/>
    <s v="Nil"/>
    <m/>
    <s v="BF"/>
    <s v="NB"/>
    <x v="1"/>
    <x v="0"/>
    <n v="0"/>
    <m/>
    <x v="0"/>
    <m/>
    <x v="0"/>
    <s v="IU"/>
    <s v="NE3"/>
    <m/>
    <n v="0"/>
    <n v="0"/>
    <n v="0"/>
    <n v="0"/>
    <n v="0"/>
    <n v="0"/>
    <n v="0"/>
    <n v="0"/>
    <n v="0"/>
    <n v="0"/>
    <n v="36"/>
    <n v="0"/>
    <n v="0"/>
    <n v="0"/>
    <n v="0"/>
    <n v="0"/>
    <n v="0"/>
    <n v="36"/>
    <n v="0"/>
    <n v="0"/>
    <n v="0"/>
    <n v="0"/>
    <n v="0"/>
    <n v="0"/>
    <n v="0"/>
    <n v="0"/>
    <n v="0"/>
    <n v="0"/>
    <n v="0"/>
    <n v="0"/>
    <n v="0"/>
    <n v="0"/>
    <x v="1"/>
    <x v="1"/>
    <x v="13"/>
    <n v="20"/>
    <m/>
    <m/>
    <m/>
    <m/>
    <m/>
    <n v="36"/>
    <m/>
    <m/>
    <m/>
    <m/>
    <m/>
    <m/>
    <m/>
    <m/>
    <m/>
    <m/>
    <m/>
    <m/>
    <m/>
    <m/>
    <n v="36"/>
    <n v="36"/>
  </r>
  <r>
    <n v="7543"/>
    <x v="4"/>
    <m/>
    <s v="Southfields Library  and adjoining carpark to the west, 300 Wimbledon Park Road, SW19 6NL"/>
    <m/>
    <n v="524585"/>
    <n v="173139"/>
    <x v="5"/>
    <m/>
    <m/>
    <n v="0"/>
    <x v="0"/>
    <x v="0"/>
    <n v="6"/>
    <n v="6"/>
    <x v="1"/>
    <s v="Redevelopment"/>
    <s v="NONE"/>
    <m/>
    <m/>
    <x v="0"/>
    <s v="Nil"/>
    <m/>
    <s v="BF"/>
    <s v="NB"/>
    <x v="2"/>
    <x v="3"/>
    <n v="0"/>
    <m/>
    <x v="0"/>
    <m/>
    <x v="1"/>
    <s v="M"/>
    <m/>
    <m/>
    <n v="0"/>
    <n v="0"/>
    <n v="0"/>
    <n v="0"/>
    <n v="0"/>
    <n v="0"/>
    <n v="0"/>
    <n v="0"/>
    <n v="0"/>
    <n v="0"/>
    <n v="6"/>
    <n v="0"/>
    <n v="0"/>
    <n v="0"/>
    <n v="0"/>
    <n v="0"/>
    <n v="0"/>
    <n v="6"/>
    <n v="0"/>
    <n v="0"/>
    <n v="0"/>
    <n v="0"/>
    <n v="0"/>
    <n v="0"/>
    <n v="0"/>
    <n v="0"/>
    <n v="0"/>
    <n v="0"/>
    <n v="0"/>
    <n v="0"/>
    <n v="0"/>
    <n v="0"/>
    <x v="1"/>
    <x v="0"/>
    <x v="2"/>
    <n v="19"/>
    <m/>
    <m/>
    <m/>
    <m/>
    <m/>
    <n v="6"/>
    <m/>
    <m/>
    <m/>
    <m/>
    <m/>
    <m/>
    <m/>
    <m/>
    <m/>
    <m/>
    <m/>
    <m/>
    <m/>
    <m/>
    <n v="6"/>
    <n v="6"/>
  </r>
  <r>
    <n v="7586"/>
    <x v="4"/>
    <m/>
    <s v="Southside Shopping Centre, Wandsworth High Street, SW18"/>
    <m/>
    <n v="525580.16070000001"/>
    <n v="174464.45579999901"/>
    <x v="14"/>
    <m/>
    <m/>
    <n v="0"/>
    <x v="125"/>
    <x v="141"/>
    <n v="910"/>
    <n v="910"/>
    <x v="0"/>
    <s v="Redevelopment"/>
    <s v="NONE"/>
    <m/>
    <m/>
    <x v="0"/>
    <s v="Nil"/>
    <m/>
    <s v="BF"/>
    <s v="NB"/>
    <x v="1"/>
    <x v="0"/>
    <n v="0"/>
    <m/>
    <x v="0"/>
    <m/>
    <x v="1"/>
    <s v="M"/>
    <s v="WT20"/>
    <m/>
    <n v="0"/>
    <n v="0"/>
    <n v="0"/>
    <n v="0"/>
    <n v="0"/>
    <n v="0"/>
    <n v="0"/>
    <n v="0"/>
    <n v="0"/>
    <n v="0"/>
    <n v="592"/>
    <n v="0"/>
    <n v="0"/>
    <n v="0"/>
    <n v="0"/>
    <n v="0"/>
    <n v="0"/>
    <n v="592"/>
    <n v="0"/>
    <n v="0"/>
    <n v="0"/>
    <n v="0"/>
    <n v="0"/>
    <n v="0"/>
    <n v="0"/>
    <n v="0"/>
    <n v="0"/>
    <n v="0"/>
    <n v="0"/>
    <n v="0"/>
    <n v="0"/>
    <n v="0"/>
    <x v="4"/>
    <x v="0"/>
    <x v="7"/>
    <n v="19"/>
    <m/>
    <m/>
    <m/>
    <n v="59.2"/>
    <n v="59.2"/>
    <n v="59.2"/>
    <n v="59.2"/>
    <n v="59.2"/>
    <n v="59.2"/>
    <n v="59.2"/>
    <n v="59.2"/>
    <n v="59.2"/>
    <n v="59.2"/>
    <m/>
    <m/>
    <m/>
    <m/>
    <m/>
    <m/>
    <m/>
    <n v="177.60000000000002"/>
    <n v="473.59999999999997"/>
  </r>
  <r>
    <n v="7586"/>
    <x v="4"/>
    <m/>
    <s v="Southside Shopping Centre, Wandsworth High Street, SW18"/>
    <m/>
    <n v="525580.16070000001"/>
    <n v="174464.45579999901"/>
    <x v="14"/>
    <m/>
    <m/>
    <n v="0"/>
    <x v="126"/>
    <x v="142"/>
    <n v="910"/>
    <n v="910"/>
    <x v="0"/>
    <s v="Redevelopment"/>
    <s v="NONE"/>
    <m/>
    <m/>
    <x v="0"/>
    <s v="Nil"/>
    <m/>
    <s v="BF"/>
    <s v="NB"/>
    <x v="1"/>
    <x v="0"/>
    <n v="0"/>
    <m/>
    <x v="0"/>
    <m/>
    <x v="2"/>
    <s v="AA"/>
    <s v="WT20"/>
    <m/>
    <n v="0"/>
    <n v="0"/>
    <n v="0"/>
    <n v="0"/>
    <n v="0"/>
    <n v="0"/>
    <n v="0"/>
    <n v="0"/>
    <n v="0"/>
    <n v="0"/>
    <n v="159"/>
    <n v="0"/>
    <n v="0"/>
    <n v="0"/>
    <n v="0"/>
    <n v="0"/>
    <n v="0"/>
    <n v="159"/>
    <n v="0"/>
    <n v="0"/>
    <n v="0"/>
    <n v="0"/>
    <n v="0"/>
    <n v="0"/>
    <n v="0"/>
    <n v="0"/>
    <n v="0"/>
    <n v="0"/>
    <n v="0"/>
    <n v="0"/>
    <n v="0"/>
    <n v="0"/>
    <x v="4"/>
    <x v="0"/>
    <x v="7"/>
    <n v="19"/>
    <m/>
    <m/>
    <m/>
    <n v="15.9"/>
    <n v="15.9"/>
    <n v="15.9"/>
    <n v="15.9"/>
    <n v="15.9"/>
    <n v="15.9"/>
    <n v="15.9"/>
    <n v="15.9"/>
    <n v="15.9"/>
    <n v="15.9"/>
    <m/>
    <m/>
    <m/>
    <m/>
    <m/>
    <m/>
    <m/>
    <n v="47.7"/>
    <n v="127.20000000000002"/>
  </r>
  <r>
    <n v="7586"/>
    <x v="4"/>
    <m/>
    <s v="Southside Shopping Centre, Wandsworth High Street, SW18"/>
    <m/>
    <n v="525580.16070000001"/>
    <n v="174464.45579999901"/>
    <x v="14"/>
    <m/>
    <m/>
    <n v="0"/>
    <x v="126"/>
    <x v="142"/>
    <n v="910"/>
    <n v="910"/>
    <x v="0"/>
    <s v="Redevelopment"/>
    <s v="NONE"/>
    <m/>
    <m/>
    <x v="0"/>
    <s v="Nil"/>
    <m/>
    <s v="BF"/>
    <s v="NB"/>
    <x v="1"/>
    <x v="0"/>
    <n v="0"/>
    <m/>
    <x v="0"/>
    <m/>
    <x v="0"/>
    <s v="IU"/>
    <s v="WT20"/>
    <m/>
    <n v="0"/>
    <n v="0"/>
    <n v="0"/>
    <n v="0"/>
    <n v="0"/>
    <n v="0"/>
    <n v="0"/>
    <n v="0"/>
    <n v="0"/>
    <n v="0"/>
    <n v="159"/>
    <n v="0"/>
    <n v="0"/>
    <n v="0"/>
    <n v="0"/>
    <n v="0"/>
    <n v="0"/>
    <n v="159"/>
    <n v="0"/>
    <n v="0"/>
    <n v="0"/>
    <n v="0"/>
    <n v="0"/>
    <n v="0"/>
    <n v="0"/>
    <n v="0"/>
    <n v="0"/>
    <n v="0"/>
    <n v="0"/>
    <n v="0"/>
    <n v="0"/>
    <n v="0"/>
    <x v="4"/>
    <x v="0"/>
    <x v="7"/>
    <n v="19"/>
    <m/>
    <m/>
    <m/>
    <n v="15.9"/>
    <n v="15.9"/>
    <n v="15.9"/>
    <n v="15.9"/>
    <n v="15.9"/>
    <n v="15.9"/>
    <n v="15.9"/>
    <n v="15.9"/>
    <n v="15.9"/>
    <n v="15.9"/>
    <m/>
    <m/>
    <m/>
    <m/>
    <m/>
    <m/>
    <m/>
    <n v="47.7"/>
    <n v="127.20000000000002"/>
  </r>
  <r>
    <n v="7579"/>
    <x v="4"/>
    <m/>
    <s v="St George's Hospital, Blackshaw SW17"/>
    <m/>
    <n v="526984"/>
    <n v="171324"/>
    <x v="0"/>
    <m/>
    <m/>
    <n v="0"/>
    <x v="127"/>
    <x v="143"/>
    <n v="94"/>
    <n v="94"/>
    <x v="0"/>
    <s v="Redevelopment"/>
    <s v="NONE"/>
    <m/>
    <m/>
    <x v="0"/>
    <s v="Nil"/>
    <m/>
    <s v="BF"/>
    <s v="NB"/>
    <x v="1"/>
    <x v="0"/>
    <n v="0"/>
    <m/>
    <x v="0"/>
    <m/>
    <x v="1"/>
    <s v="M"/>
    <s v="TO2"/>
    <m/>
    <n v="0"/>
    <n v="0"/>
    <n v="0"/>
    <n v="0"/>
    <n v="0"/>
    <n v="0"/>
    <n v="0"/>
    <n v="0"/>
    <n v="0"/>
    <n v="0"/>
    <n v="61"/>
    <n v="0"/>
    <n v="0"/>
    <n v="0"/>
    <n v="0"/>
    <n v="0"/>
    <n v="0"/>
    <n v="61"/>
    <n v="0"/>
    <n v="0"/>
    <n v="0"/>
    <n v="0"/>
    <n v="0"/>
    <n v="0"/>
    <n v="0"/>
    <n v="0"/>
    <n v="0"/>
    <n v="0"/>
    <n v="0"/>
    <n v="0"/>
    <n v="0"/>
    <n v="0"/>
    <x v="1"/>
    <x v="0"/>
    <x v="0"/>
    <n v="19"/>
    <m/>
    <m/>
    <m/>
    <m/>
    <m/>
    <n v="3.8125"/>
    <n v="3.8125"/>
    <n v="3.8125"/>
    <n v="3.8125"/>
    <n v="3.8125"/>
    <n v="3.8125"/>
    <n v="3.8125"/>
    <n v="3.8125"/>
    <n v="3.8125"/>
    <n v="3.8125"/>
    <n v="3.8125"/>
    <n v="3.8125"/>
    <n v="3.8125"/>
    <n v="3.8125"/>
    <n v="3.8125"/>
    <n v="3.8125"/>
    <n v="22.875"/>
  </r>
  <r>
    <n v="7579"/>
    <x v="4"/>
    <m/>
    <s v="St George's Hospital, Blackshaw SW17"/>
    <m/>
    <n v="526984"/>
    <n v="171324"/>
    <x v="0"/>
    <m/>
    <m/>
    <n v="0"/>
    <x v="35"/>
    <x v="40"/>
    <n v="94"/>
    <n v="94"/>
    <x v="0"/>
    <s v="Redevelopment"/>
    <s v="NONE"/>
    <m/>
    <m/>
    <x v="0"/>
    <s v="Nil"/>
    <m/>
    <s v="BF"/>
    <s v="NB"/>
    <x v="1"/>
    <x v="0"/>
    <n v="0"/>
    <m/>
    <x v="0"/>
    <m/>
    <x v="2"/>
    <s v="AA"/>
    <s v="TO2"/>
    <m/>
    <n v="0"/>
    <n v="0"/>
    <n v="0"/>
    <n v="0"/>
    <n v="0"/>
    <n v="0"/>
    <n v="0"/>
    <n v="0"/>
    <n v="0"/>
    <n v="0"/>
    <n v="17"/>
    <n v="0"/>
    <n v="0"/>
    <n v="0"/>
    <n v="0"/>
    <n v="0"/>
    <n v="0"/>
    <n v="17"/>
    <n v="0"/>
    <n v="0"/>
    <n v="0"/>
    <n v="0"/>
    <n v="0"/>
    <n v="0"/>
    <n v="0"/>
    <n v="0"/>
    <n v="0"/>
    <n v="0"/>
    <n v="0"/>
    <n v="0"/>
    <n v="0"/>
    <n v="0"/>
    <x v="1"/>
    <x v="0"/>
    <x v="0"/>
    <n v="19"/>
    <m/>
    <m/>
    <m/>
    <m/>
    <m/>
    <n v="1.0625"/>
    <n v="1.0625"/>
    <n v="1.0625"/>
    <n v="1.0625"/>
    <n v="1.0625"/>
    <n v="1.0625"/>
    <n v="1.0625"/>
    <n v="1.0625"/>
    <n v="1.0625"/>
    <n v="1.0625"/>
    <n v="1.0625"/>
    <n v="1.0625"/>
    <n v="1.0625"/>
    <n v="1.0625"/>
    <n v="1.0625"/>
    <n v="1.0625"/>
    <n v="6.375"/>
  </r>
  <r>
    <n v="7579"/>
    <x v="4"/>
    <m/>
    <s v="St George's Hospital, Blackshaw SW17"/>
    <m/>
    <n v="526984"/>
    <n v="171324"/>
    <x v="0"/>
    <m/>
    <m/>
    <n v="0"/>
    <x v="39"/>
    <x v="103"/>
    <n v="94"/>
    <n v="94"/>
    <x v="0"/>
    <s v="Redevelopment"/>
    <s v="NONE"/>
    <m/>
    <m/>
    <x v="0"/>
    <s v="Nil"/>
    <m/>
    <s v="BF"/>
    <s v="NB"/>
    <x v="1"/>
    <x v="0"/>
    <n v="0"/>
    <m/>
    <x v="0"/>
    <m/>
    <x v="0"/>
    <s v="IU"/>
    <s v="TO2"/>
    <m/>
    <n v="0"/>
    <n v="0"/>
    <n v="0"/>
    <n v="0"/>
    <n v="0"/>
    <n v="0"/>
    <n v="0"/>
    <n v="0"/>
    <n v="0"/>
    <n v="0"/>
    <n v="16"/>
    <n v="0"/>
    <n v="0"/>
    <n v="0"/>
    <n v="0"/>
    <n v="0"/>
    <n v="0"/>
    <n v="16"/>
    <n v="0"/>
    <n v="0"/>
    <n v="0"/>
    <n v="0"/>
    <n v="0"/>
    <n v="0"/>
    <n v="0"/>
    <n v="0"/>
    <n v="0"/>
    <n v="0"/>
    <n v="0"/>
    <n v="0"/>
    <n v="0"/>
    <n v="0"/>
    <x v="1"/>
    <x v="0"/>
    <x v="0"/>
    <n v="19"/>
    <m/>
    <m/>
    <m/>
    <m/>
    <m/>
    <n v="1"/>
    <n v="1"/>
    <n v="1"/>
    <n v="1"/>
    <n v="1"/>
    <n v="1"/>
    <n v="1"/>
    <n v="1"/>
    <n v="1"/>
    <n v="1"/>
    <n v="1"/>
    <n v="1"/>
    <n v="1"/>
    <n v="1"/>
    <n v="1"/>
    <n v="1"/>
    <n v="6"/>
  </r>
  <r>
    <n v="6872"/>
    <x v="4"/>
    <m/>
    <s v="Travelodge Hotel, 200 York Road"/>
    <m/>
    <n v="526497"/>
    <n v="175661"/>
    <x v="15"/>
    <m/>
    <m/>
    <n v="0"/>
    <x v="29"/>
    <x v="33"/>
    <n v="9"/>
    <n v="9"/>
    <x v="1"/>
    <s v="Redevelopment"/>
    <s v="NONE"/>
    <m/>
    <m/>
    <x v="0"/>
    <s v="Nil"/>
    <m/>
    <s v="BF"/>
    <s v="NB"/>
    <x v="2"/>
    <x v="3"/>
    <n v="0"/>
    <m/>
    <x v="0"/>
    <m/>
    <x v="1"/>
    <s v="M"/>
    <s v="RIV10"/>
    <m/>
    <n v="0"/>
    <n v="0"/>
    <n v="0"/>
    <n v="0"/>
    <n v="0"/>
    <n v="0"/>
    <n v="0"/>
    <n v="0"/>
    <n v="0"/>
    <n v="0"/>
    <n v="9"/>
    <n v="0"/>
    <n v="0"/>
    <n v="0"/>
    <n v="0"/>
    <n v="0"/>
    <n v="0"/>
    <n v="9"/>
    <n v="0"/>
    <n v="0"/>
    <n v="0"/>
    <n v="0"/>
    <n v="0"/>
    <n v="0"/>
    <n v="0"/>
    <n v="0"/>
    <n v="0"/>
    <n v="0"/>
    <n v="0"/>
    <n v="0"/>
    <n v="0"/>
    <n v="0"/>
    <x v="1"/>
    <x v="0"/>
    <x v="4"/>
    <n v="19"/>
    <m/>
    <m/>
    <m/>
    <m/>
    <m/>
    <m/>
    <m/>
    <m/>
    <m/>
    <n v="0.75"/>
    <n v="0.75"/>
    <n v="0.75"/>
    <n v="0.75"/>
    <n v="0.75"/>
    <n v="0.75"/>
    <n v="0.75"/>
    <n v="0.75"/>
    <n v="0.75"/>
    <n v="0.75"/>
    <n v="0.75"/>
    <n v="0"/>
    <n v="1.5"/>
  </r>
  <r>
    <n v="6870"/>
    <x v="4"/>
    <m/>
    <s v="Travis Perkins, 37 Lombard Road"/>
    <m/>
    <n v="526722"/>
    <n v="176263"/>
    <x v="15"/>
    <m/>
    <m/>
    <n v="0"/>
    <x v="124"/>
    <x v="140"/>
    <n v="207"/>
    <n v="207"/>
    <x v="0"/>
    <s v="Redevelopment"/>
    <s v="NONE"/>
    <m/>
    <m/>
    <x v="0"/>
    <s v="Nil"/>
    <m/>
    <s v="BF"/>
    <s v="NB"/>
    <x v="1"/>
    <x v="0"/>
    <n v="0"/>
    <m/>
    <x v="0"/>
    <m/>
    <x v="1"/>
    <s v="M"/>
    <s v="RIV7"/>
    <m/>
    <n v="0"/>
    <n v="0"/>
    <n v="0"/>
    <n v="0"/>
    <n v="0"/>
    <n v="0"/>
    <n v="0"/>
    <n v="0"/>
    <n v="0"/>
    <n v="0"/>
    <n v="135"/>
    <n v="0"/>
    <n v="0"/>
    <n v="0"/>
    <n v="0"/>
    <n v="0"/>
    <n v="0"/>
    <n v="135"/>
    <n v="0"/>
    <n v="0"/>
    <n v="0"/>
    <n v="0"/>
    <n v="0"/>
    <n v="0"/>
    <n v="0"/>
    <n v="0"/>
    <n v="0"/>
    <n v="0"/>
    <n v="0"/>
    <n v="0"/>
    <n v="0"/>
    <n v="0"/>
    <x v="1"/>
    <x v="0"/>
    <x v="4"/>
    <n v="19"/>
    <m/>
    <m/>
    <m/>
    <m/>
    <m/>
    <n v="8.4375"/>
    <n v="8.4375"/>
    <n v="8.4375"/>
    <n v="8.4375"/>
    <n v="8.4375"/>
    <n v="8.4375"/>
    <n v="8.4375"/>
    <n v="8.4375"/>
    <n v="8.4375"/>
    <n v="8.4375"/>
    <n v="8.4375"/>
    <n v="8.4375"/>
    <n v="8.4375"/>
    <n v="8.4375"/>
    <n v="8.4375"/>
    <n v="8.4375"/>
    <n v="50.625"/>
  </r>
  <r>
    <n v="6870"/>
    <x v="4"/>
    <m/>
    <s v="Travis Perkins, 37 Lombard Road"/>
    <m/>
    <n v="526722"/>
    <n v="176263"/>
    <x v="15"/>
    <m/>
    <m/>
    <n v="0"/>
    <x v="71"/>
    <x v="81"/>
    <n v="207"/>
    <n v="207"/>
    <x v="0"/>
    <s v="Redevelopment"/>
    <s v="NONE"/>
    <m/>
    <m/>
    <x v="0"/>
    <s v="Nil"/>
    <m/>
    <s v="BF"/>
    <s v="NB"/>
    <x v="1"/>
    <x v="0"/>
    <n v="0"/>
    <m/>
    <x v="0"/>
    <m/>
    <x v="2"/>
    <s v="AA"/>
    <s v="RIV7"/>
    <m/>
    <n v="0"/>
    <n v="0"/>
    <n v="0"/>
    <n v="0"/>
    <n v="0"/>
    <n v="0"/>
    <n v="0"/>
    <n v="0"/>
    <n v="0"/>
    <n v="0"/>
    <n v="36"/>
    <n v="0"/>
    <n v="0"/>
    <n v="0"/>
    <n v="0"/>
    <n v="0"/>
    <n v="0"/>
    <n v="36"/>
    <n v="0"/>
    <n v="0"/>
    <n v="0"/>
    <n v="0"/>
    <n v="0"/>
    <n v="0"/>
    <n v="0"/>
    <n v="0"/>
    <n v="0"/>
    <n v="0"/>
    <n v="0"/>
    <n v="0"/>
    <n v="0"/>
    <n v="0"/>
    <x v="1"/>
    <x v="0"/>
    <x v="4"/>
    <n v="19"/>
    <m/>
    <m/>
    <m/>
    <m/>
    <m/>
    <n v="2.25"/>
    <n v="2.25"/>
    <n v="2.25"/>
    <n v="2.25"/>
    <n v="2.25"/>
    <n v="2.25"/>
    <n v="2.25"/>
    <n v="2.25"/>
    <n v="2.25"/>
    <n v="2.25"/>
    <n v="2.25"/>
    <n v="2.25"/>
    <n v="2.25"/>
    <n v="2.25"/>
    <n v="2.25"/>
    <n v="2.25"/>
    <n v="13.5"/>
  </r>
  <r>
    <n v="6870"/>
    <x v="4"/>
    <m/>
    <s v="Travis Perkins, 37 Lombard Road"/>
    <m/>
    <n v="526722"/>
    <n v="176263"/>
    <x v="15"/>
    <m/>
    <m/>
    <n v="0"/>
    <x v="71"/>
    <x v="81"/>
    <n v="207"/>
    <n v="207"/>
    <x v="0"/>
    <s v="Redevelopment"/>
    <s v="NONE"/>
    <m/>
    <m/>
    <x v="0"/>
    <s v="Nil"/>
    <m/>
    <s v="BF"/>
    <s v="NB"/>
    <x v="1"/>
    <x v="0"/>
    <n v="0"/>
    <m/>
    <x v="0"/>
    <m/>
    <x v="0"/>
    <s v="IU"/>
    <s v="RIV7"/>
    <m/>
    <n v="0"/>
    <n v="0"/>
    <n v="0"/>
    <n v="0"/>
    <n v="0"/>
    <n v="0"/>
    <n v="0"/>
    <n v="0"/>
    <n v="0"/>
    <n v="0"/>
    <n v="36"/>
    <n v="0"/>
    <n v="0"/>
    <n v="0"/>
    <n v="0"/>
    <n v="0"/>
    <n v="0"/>
    <n v="36"/>
    <n v="0"/>
    <n v="0"/>
    <n v="0"/>
    <n v="0"/>
    <n v="0"/>
    <n v="0"/>
    <n v="0"/>
    <n v="0"/>
    <n v="0"/>
    <n v="0"/>
    <n v="0"/>
    <n v="0"/>
    <n v="0"/>
    <n v="0"/>
    <x v="1"/>
    <x v="0"/>
    <x v="4"/>
    <n v="19"/>
    <m/>
    <m/>
    <m/>
    <m/>
    <m/>
    <n v="2.25"/>
    <n v="2.25"/>
    <n v="2.25"/>
    <n v="2.25"/>
    <n v="2.25"/>
    <n v="2.25"/>
    <n v="2.25"/>
    <n v="2.25"/>
    <n v="2.25"/>
    <n v="2.25"/>
    <n v="2.25"/>
    <n v="2.25"/>
    <n v="2.25"/>
    <n v="2.25"/>
    <n v="2.25"/>
    <n v="2.25"/>
    <n v="13.5"/>
  </r>
  <r>
    <n v="3956"/>
    <x v="4"/>
    <m/>
    <s v="Wandsworth Bridge Roundabout"/>
    <m/>
    <n v="526150"/>
    <n v="175269"/>
    <x v="15"/>
    <m/>
    <m/>
    <n v="0"/>
    <x v="46"/>
    <x v="55"/>
    <n v="21"/>
    <n v="21"/>
    <x v="0"/>
    <s v="Redevelopment"/>
    <s v="NONE"/>
    <m/>
    <m/>
    <x v="0"/>
    <s v="Nil"/>
    <m/>
    <s v="BF"/>
    <s v="NB"/>
    <x v="1"/>
    <x v="0"/>
    <n v="0"/>
    <m/>
    <x v="0"/>
    <m/>
    <x v="1"/>
    <s v="M"/>
    <s v="WT16"/>
    <m/>
    <n v="0"/>
    <n v="0"/>
    <n v="0"/>
    <n v="0"/>
    <n v="0"/>
    <n v="0"/>
    <n v="0"/>
    <n v="0"/>
    <n v="0"/>
    <n v="0"/>
    <n v="14"/>
    <n v="0"/>
    <n v="0"/>
    <n v="0"/>
    <n v="0"/>
    <n v="0"/>
    <n v="0"/>
    <n v="14"/>
    <n v="0"/>
    <n v="0"/>
    <n v="0"/>
    <n v="0"/>
    <n v="0"/>
    <n v="0"/>
    <n v="0"/>
    <n v="0"/>
    <n v="0"/>
    <n v="0"/>
    <n v="0"/>
    <n v="0"/>
    <n v="0"/>
    <n v="0"/>
    <x v="1"/>
    <x v="0"/>
    <x v="7"/>
    <n v="19"/>
    <m/>
    <m/>
    <m/>
    <m/>
    <m/>
    <m/>
    <m/>
    <m/>
    <m/>
    <n v="1.1666666666666667"/>
    <n v="1.1666666666666667"/>
    <n v="1.1666666666666667"/>
    <n v="1.1666666666666667"/>
    <n v="1.1666666666666667"/>
    <n v="1.1666666666666667"/>
    <n v="1.1666666666666667"/>
    <n v="1.1666666666666667"/>
    <n v="1.1666666666666667"/>
    <n v="1.1666666666666667"/>
    <n v="1.1666666666666667"/>
    <n v="0"/>
    <n v="2.3333333333333335"/>
  </r>
  <r>
    <n v="3956"/>
    <x v="4"/>
    <m/>
    <s v="Wandsworth Bridge Roundabout"/>
    <m/>
    <n v="526150"/>
    <n v="175269"/>
    <x v="15"/>
    <m/>
    <m/>
    <n v="0"/>
    <x v="12"/>
    <x v="15"/>
    <n v="21"/>
    <n v="21"/>
    <x v="0"/>
    <s v="Redevelopment"/>
    <s v="NONE"/>
    <m/>
    <m/>
    <x v="0"/>
    <s v="Nil"/>
    <m/>
    <s v="BF"/>
    <s v="NB"/>
    <x v="1"/>
    <x v="0"/>
    <n v="0"/>
    <m/>
    <x v="0"/>
    <m/>
    <x v="2"/>
    <s v="AA"/>
    <s v="WT16"/>
    <m/>
    <n v="0"/>
    <n v="0"/>
    <n v="0"/>
    <n v="0"/>
    <n v="0"/>
    <n v="0"/>
    <n v="0"/>
    <n v="0"/>
    <n v="0"/>
    <n v="0"/>
    <n v="4"/>
    <n v="0"/>
    <n v="0"/>
    <n v="0"/>
    <n v="0"/>
    <n v="0"/>
    <n v="0"/>
    <n v="4"/>
    <n v="0"/>
    <n v="0"/>
    <n v="0"/>
    <n v="0"/>
    <n v="0"/>
    <n v="0"/>
    <n v="0"/>
    <n v="0"/>
    <n v="0"/>
    <n v="0"/>
    <n v="0"/>
    <n v="0"/>
    <n v="0"/>
    <n v="0"/>
    <x v="1"/>
    <x v="0"/>
    <x v="7"/>
    <n v="19"/>
    <m/>
    <m/>
    <m/>
    <m/>
    <m/>
    <m/>
    <m/>
    <m/>
    <m/>
    <n v="0.33333333333333331"/>
    <n v="0.33333333333333331"/>
    <n v="0.33333333333333331"/>
    <n v="0.33333333333333331"/>
    <n v="0.33333333333333331"/>
    <n v="0.33333333333333331"/>
    <n v="0.33333333333333331"/>
    <n v="0.33333333333333331"/>
    <n v="0.33333333333333331"/>
    <n v="0.33333333333333331"/>
    <n v="0.33333333333333331"/>
    <n v="0"/>
    <n v="0.66666666666666663"/>
  </r>
  <r>
    <n v="3956"/>
    <x v="4"/>
    <m/>
    <s v="Wandsworth Bridge Roundabout"/>
    <m/>
    <n v="526150"/>
    <n v="175269"/>
    <x v="15"/>
    <m/>
    <m/>
    <n v="0"/>
    <x v="11"/>
    <x v="36"/>
    <n v="21"/>
    <n v="21"/>
    <x v="0"/>
    <s v="Redevelopment"/>
    <s v="NONE"/>
    <m/>
    <m/>
    <x v="0"/>
    <s v="Nil"/>
    <m/>
    <s v="BF"/>
    <s v="NB"/>
    <x v="1"/>
    <x v="0"/>
    <n v="0"/>
    <m/>
    <x v="0"/>
    <m/>
    <x v="0"/>
    <s v="IU"/>
    <s v="WT16"/>
    <m/>
    <n v="0"/>
    <n v="0"/>
    <n v="0"/>
    <n v="0"/>
    <n v="0"/>
    <n v="0"/>
    <n v="0"/>
    <n v="0"/>
    <n v="0"/>
    <n v="0"/>
    <n v="3"/>
    <n v="0"/>
    <n v="0"/>
    <n v="0"/>
    <n v="0"/>
    <n v="0"/>
    <n v="0"/>
    <n v="3"/>
    <n v="0"/>
    <n v="0"/>
    <n v="0"/>
    <n v="0"/>
    <n v="0"/>
    <n v="0"/>
    <n v="0"/>
    <n v="0"/>
    <n v="0"/>
    <n v="0"/>
    <n v="0"/>
    <n v="0"/>
    <n v="0"/>
    <n v="0"/>
    <x v="1"/>
    <x v="0"/>
    <x v="7"/>
    <n v="19"/>
    <m/>
    <m/>
    <m/>
    <m/>
    <m/>
    <m/>
    <m/>
    <m/>
    <m/>
    <n v="0.25"/>
    <n v="0.25"/>
    <n v="0.25"/>
    <n v="0.25"/>
    <n v="0.25"/>
    <n v="0.25"/>
    <n v="0.25"/>
    <n v="0.25"/>
    <n v="0.25"/>
    <n v="0.25"/>
    <n v="0.25"/>
    <n v="0"/>
    <n v="0.5"/>
  </r>
  <r>
    <n v="4283"/>
    <x v="4"/>
    <m/>
    <s v="Wandsworth Bus Garage, Jews Row"/>
    <m/>
    <n v="525979"/>
    <n v="175334"/>
    <x v="15"/>
    <m/>
    <m/>
    <n v="0"/>
    <x v="11"/>
    <x v="36"/>
    <n v="3"/>
    <n v="3"/>
    <x v="1"/>
    <s v="Redevelopment"/>
    <s v="NONE"/>
    <m/>
    <m/>
    <x v="0"/>
    <s v="Nil"/>
    <m/>
    <s v="BF"/>
    <s v="MIX"/>
    <x v="2"/>
    <x v="3"/>
    <n v="0"/>
    <m/>
    <x v="0"/>
    <m/>
    <x v="1"/>
    <s v="M"/>
    <s v="WT17"/>
    <m/>
    <n v="0"/>
    <n v="0"/>
    <n v="0"/>
    <n v="0"/>
    <n v="0"/>
    <n v="0"/>
    <n v="0"/>
    <n v="0"/>
    <n v="0"/>
    <n v="0"/>
    <n v="3"/>
    <n v="0"/>
    <n v="0"/>
    <n v="0"/>
    <n v="0"/>
    <n v="0"/>
    <n v="0"/>
    <n v="3"/>
    <n v="0"/>
    <n v="0"/>
    <n v="0"/>
    <n v="0"/>
    <n v="0"/>
    <n v="0"/>
    <n v="0"/>
    <n v="0"/>
    <n v="0"/>
    <n v="0"/>
    <n v="0"/>
    <n v="0"/>
    <n v="0"/>
    <n v="0"/>
    <x v="1"/>
    <x v="0"/>
    <x v="7"/>
    <n v="19"/>
    <m/>
    <m/>
    <m/>
    <m/>
    <m/>
    <m/>
    <m/>
    <m/>
    <m/>
    <n v="0.25"/>
    <n v="0.25"/>
    <n v="0.25"/>
    <n v="0.25"/>
    <n v="0.25"/>
    <n v="0.25"/>
    <n v="0.25"/>
    <n v="0.25"/>
    <n v="0.25"/>
    <n v="0.25"/>
    <n v="0.25"/>
    <n v="0"/>
    <n v="0.5"/>
  </r>
  <r>
    <n v="7584"/>
    <x v="4"/>
    <m/>
    <s v="Wandsworth Town Hall, Wandsworth High Street, SW18"/>
    <m/>
    <n v="525773.66240000003"/>
    <n v="174729.85870000001"/>
    <x v="14"/>
    <m/>
    <m/>
    <n v="0"/>
    <x v="39"/>
    <x v="103"/>
    <n v="24"/>
    <n v="24"/>
    <x v="0"/>
    <s v="Redevelopment"/>
    <s v="NONE"/>
    <m/>
    <m/>
    <x v="0"/>
    <s v="Nil"/>
    <m/>
    <s v="BF"/>
    <s v="NB"/>
    <x v="1"/>
    <x v="0"/>
    <n v="0"/>
    <m/>
    <x v="0"/>
    <m/>
    <x v="1"/>
    <s v="M"/>
    <s v="WT19"/>
    <m/>
    <n v="0"/>
    <n v="0"/>
    <n v="0"/>
    <n v="0"/>
    <n v="0"/>
    <n v="0"/>
    <n v="0"/>
    <n v="0"/>
    <n v="0"/>
    <n v="0"/>
    <n v="16"/>
    <n v="0"/>
    <n v="0"/>
    <n v="0"/>
    <n v="0"/>
    <n v="0"/>
    <n v="0"/>
    <n v="16"/>
    <n v="0"/>
    <n v="0"/>
    <n v="0"/>
    <n v="0"/>
    <n v="0"/>
    <n v="0"/>
    <n v="0"/>
    <n v="0"/>
    <n v="0"/>
    <n v="0"/>
    <n v="0"/>
    <n v="0"/>
    <n v="0"/>
    <n v="0"/>
    <x v="4"/>
    <x v="0"/>
    <x v="7"/>
    <n v="19"/>
    <m/>
    <m/>
    <m/>
    <m/>
    <n v="1.6"/>
    <n v="1.6"/>
    <n v="1.6"/>
    <n v="1.6"/>
    <n v="1.6"/>
    <n v="1.6"/>
    <n v="1.6"/>
    <n v="1.6"/>
    <n v="1.6"/>
    <n v="1.6"/>
    <m/>
    <m/>
    <m/>
    <m/>
    <m/>
    <m/>
    <n v="3.2"/>
    <n v="11.2"/>
  </r>
  <r>
    <n v="7584"/>
    <x v="4"/>
    <m/>
    <s v="Wandsworth Town Hall, Wandsworth High Street, SW18"/>
    <m/>
    <n v="525773.66240000003"/>
    <n v="174729.85870000001"/>
    <x v="14"/>
    <m/>
    <m/>
    <n v="0"/>
    <x v="12"/>
    <x v="15"/>
    <n v="24"/>
    <n v="24"/>
    <x v="0"/>
    <s v="Redevelopment"/>
    <s v="NONE"/>
    <m/>
    <m/>
    <x v="0"/>
    <s v="Nil"/>
    <m/>
    <s v="BF"/>
    <s v="NB"/>
    <x v="1"/>
    <x v="0"/>
    <n v="0"/>
    <m/>
    <x v="0"/>
    <m/>
    <x v="2"/>
    <s v="AA"/>
    <s v="WT19"/>
    <m/>
    <n v="0"/>
    <n v="0"/>
    <n v="0"/>
    <n v="0"/>
    <n v="0"/>
    <n v="0"/>
    <n v="0"/>
    <n v="0"/>
    <n v="0"/>
    <n v="0"/>
    <n v="4"/>
    <n v="0"/>
    <n v="0"/>
    <n v="0"/>
    <n v="0"/>
    <n v="0"/>
    <n v="0"/>
    <n v="4"/>
    <n v="0"/>
    <n v="0"/>
    <n v="0"/>
    <n v="0"/>
    <n v="0"/>
    <n v="0"/>
    <n v="0"/>
    <n v="0"/>
    <n v="0"/>
    <n v="0"/>
    <n v="0"/>
    <n v="0"/>
    <n v="0"/>
    <n v="0"/>
    <x v="4"/>
    <x v="0"/>
    <x v="7"/>
    <n v="19"/>
    <m/>
    <m/>
    <m/>
    <m/>
    <n v="0.4"/>
    <n v="0.4"/>
    <n v="0.4"/>
    <n v="0.4"/>
    <n v="0.4"/>
    <n v="0.4"/>
    <n v="0.4"/>
    <n v="0.4"/>
    <n v="0.4"/>
    <n v="0.4"/>
    <m/>
    <m/>
    <m/>
    <m/>
    <m/>
    <m/>
    <n v="0.8"/>
    <n v="2.8"/>
  </r>
  <r>
    <n v="7584"/>
    <x v="4"/>
    <m/>
    <s v="Wandsworth Town Hall, Wandsworth High Street, SW18"/>
    <m/>
    <n v="525773.66240000003"/>
    <n v="174729.85870000001"/>
    <x v="14"/>
    <m/>
    <m/>
    <n v="0"/>
    <x v="12"/>
    <x v="15"/>
    <n v="24"/>
    <n v="24"/>
    <x v="0"/>
    <s v="Redevelopment"/>
    <s v="NONE"/>
    <m/>
    <m/>
    <x v="0"/>
    <s v="Nil"/>
    <m/>
    <s v="BF"/>
    <s v="NB"/>
    <x v="1"/>
    <x v="0"/>
    <n v="0"/>
    <m/>
    <x v="0"/>
    <m/>
    <x v="0"/>
    <s v="IU"/>
    <s v="WT19"/>
    <m/>
    <n v="0"/>
    <n v="0"/>
    <n v="0"/>
    <n v="0"/>
    <n v="0"/>
    <n v="0"/>
    <n v="0"/>
    <n v="0"/>
    <n v="0"/>
    <n v="0"/>
    <n v="4"/>
    <n v="0"/>
    <n v="0"/>
    <n v="0"/>
    <n v="0"/>
    <n v="0"/>
    <n v="0"/>
    <n v="4"/>
    <n v="0"/>
    <n v="0"/>
    <n v="0"/>
    <n v="0"/>
    <n v="0"/>
    <n v="0"/>
    <n v="0"/>
    <n v="0"/>
    <n v="0"/>
    <n v="0"/>
    <n v="0"/>
    <n v="0"/>
    <n v="0"/>
    <n v="0"/>
    <x v="4"/>
    <x v="0"/>
    <x v="7"/>
    <n v="19"/>
    <m/>
    <m/>
    <m/>
    <m/>
    <n v="0.4"/>
    <n v="0.4"/>
    <n v="0.4"/>
    <n v="0.4"/>
    <n v="0.4"/>
    <n v="0.4"/>
    <n v="0.4"/>
    <n v="0.4"/>
    <n v="0.4"/>
    <n v="0.4"/>
    <m/>
    <m/>
    <m/>
    <m/>
    <m/>
    <m/>
    <n v="0.8"/>
    <n v="2.8"/>
  </r>
  <r>
    <n v="7539"/>
    <x v="4"/>
    <m/>
    <s v="Wimbledon Park Estate, Wimbledon Park Road, SW19 6PF"/>
    <m/>
    <n v="524520"/>
    <n v="173088"/>
    <x v="5"/>
    <m/>
    <m/>
    <n v="0"/>
    <x v="67"/>
    <x v="76"/>
    <n v="35"/>
    <n v="35"/>
    <x v="0"/>
    <s v="Redevelopment"/>
    <s v="NONE"/>
    <m/>
    <m/>
    <x v="0"/>
    <s v="Nil"/>
    <m/>
    <s v="BF"/>
    <s v="NB"/>
    <x v="1"/>
    <x v="0"/>
    <n v="0"/>
    <m/>
    <x v="0"/>
    <m/>
    <x v="1"/>
    <s v="M"/>
    <m/>
    <m/>
    <n v="0"/>
    <n v="0"/>
    <n v="0"/>
    <n v="0"/>
    <n v="0"/>
    <n v="0"/>
    <n v="0"/>
    <n v="0"/>
    <n v="0"/>
    <n v="0"/>
    <n v="23"/>
    <n v="0"/>
    <n v="0"/>
    <n v="0"/>
    <n v="0"/>
    <n v="0"/>
    <n v="0"/>
    <n v="23"/>
    <n v="0"/>
    <n v="0"/>
    <n v="0"/>
    <n v="0"/>
    <n v="0"/>
    <n v="0"/>
    <n v="0"/>
    <n v="0"/>
    <n v="0"/>
    <n v="0"/>
    <n v="0"/>
    <n v="0"/>
    <n v="0"/>
    <n v="0"/>
    <x v="1"/>
    <x v="0"/>
    <x v="2"/>
    <n v="19"/>
    <m/>
    <m/>
    <m/>
    <m/>
    <m/>
    <n v="23"/>
    <m/>
    <m/>
    <m/>
    <m/>
    <m/>
    <m/>
    <m/>
    <m/>
    <m/>
    <m/>
    <m/>
    <m/>
    <m/>
    <m/>
    <n v="23"/>
    <n v="23"/>
  </r>
  <r>
    <n v="7539"/>
    <x v="4"/>
    <m/>
    <s v="Wimbledon Park Estate, Wimbledon Park Road, SW19 6PF"/>
    <m/>
    <n v="524520"/>
    <n v="173088"/>
    <x v="5"/>
    <m/>
    <m/>
    <n v="0"/>
    <x v="0"/>
    <x v="0"/>
    <n v="35"/>
    <n v="35"/>
    <x v="0"/>
    <s v="Redevelopment"/>
    <s v="NONE"/>
    <m/>
    <m/>
    <x v="0"/>
    <s v="Nil"/>
    <m/>
    <s v="BF"/>
    <s v="NB"/>
    <x v="1"/>
    <x v="0"/>
    <n v="0"/>
    <m/>
    <x v="0"/>
    <m/>
    <x v="2"/>
    <s v="AA"/>
    <m/>
    <m/>
    <n v="0"/>
    <n v="0"/>
    <n v="0"/>
    <n v="0"/>
    <n v="0"/>
    <n v="0"/>
    <n v="0"/>
    <n v="0"/>
    <n v="0"/>
    <n v="0"/>
    <n v="6"/>
    <n v="0"/>
    <n v="0"/>
    <n v="0"/>
    <n v="0"/>
    <n v="0"/>
    <n v="0"/>
    <n v="6"/>
    <n v="0"/>
    <n v="0"/>
    <n v="0"/>
    <n v="0"/>
    <n v="0"/>
    <n v="0"/>
    <n v="0"/>
    <n v="0"/>
    <n v="0"/>
    <n v="0"/>
    <n v="0"/>
    <n v="0"/>
    <n v="0"/>
    <n v="0"/>
    <x v="1"/>
    <x v="0"/>
    <x v="2"/>
    <n v="19"/>
    <m/>
    <m/>
    <m/>
    <m/>
    <m/>
    <n v="6"/>
    <m/>
    <m/>
    <m/>
    <m/>
    <m/>
    <m/>
    <m/>
    <m/>
    <m/>
    <m/>
    <m/>
    <m/>
    <m/>
    <m/>
    <n v="6"/>
    <n v="6"/>
  </r>
  <r>
    <n v="7539"/>
    <x v="4"/>
    <m/>
    <s v="Wimbledon Park Estate, Wimbledon Park Road, SW19 6PF"/>
    <m/>
    <n v="524520"/>
    <n v="173088"/>
    <x v="5"/>
    <m/>
    <m/>
    <n v="0"/>
    <x v="0"/>
    <x v="0"/>
    <n v="35"/>
    <n v="35"/>
    <x v="0"/>
    <s v="Redevelopment"/>
    <s v="NONE"/>
    <m/>
    <m/>
    <x v="0"/>
    <s v="Nil"/>
    <m/>
    <s v="BF"/>
    <s v="NB"/>
    <x v="1"/>
    <x v="0"/>
    <n v="0"/>
    <m/>
    <x v="0"/>
    <m/>
    <x v="0"/>
    <s v="IU"/>
    <m/>
    <m/>
    <n v="0"/>
    <n v="0"/>
    <n v="0"/>
    <n v="0"/>
    <n v="0"/>
    <n v="0"/>
    <n v="0"/>
    <n v="0"/>
    <n v="0"/>
    <n v="0"/>
    <n v="6"/>
    <n v="0"/>
    <n v="0"/>
    <n v="0"/>
    <n v="0"/>
    <n v="0"/>
    <n v="0"/>
    <n v="6"/>
    <n v="0"/>
    <n v="0"/>
    <n v="0"/>
    <n v="0"/>
    <n v="0"/>
    <n v="0"/>
    <n v="0"/>
    <n v="0"/>
    <n v="0"/>
    <n v="0"/>
    <n v="0"/>
    <n v="0"/>
    <n v="0"/>
    <n v="0"/>
    <x v="1"/>
    <x v="0"/>
    <x v="2"/>
    <n v="19"/>
    <m/>
    <m/>
    <m/>
    <m/>
    <m/>
    <n v="6"/>
    <m/>
    <m/>
    <m/>
    <m/>
    <m/>
    <m/>
    <m/>
    <m/>
    <m/>
    <m/>
    <m/>
    <m/>
    <m/>
    <m/>
    <n v="6"/>
    <n v="6"/>
  </r>
  <r>
    <m/>
    <x v="5"/>
    <m/>
    <m/>
    <m/>
    <m/>
    <m/>
    <x v="22"/>
    <m/>
    <m/>
    <n v="0"/>
    <x v="128"/>
    <x v="144"/>
    <n v="0"/>
    <n v="0"/>
    <x v="0"/>
    <s v="Redevelopment"/>
    <s v="NONE"/>
    <m/>
    <m/>
    <x v="0"/>
    <s v="Nil"/>
    <m/>
    <s v="BF"/>
    <s v="NB"/>
    <x v="1"/>
    <x v="0"/>
    <n v="0"/>
    <m/>
    <x v="0"/>
    <m/>
    <x v="1"/>
    <s v="M"/>
    <m/>
    <m/>
    <n v="0"/>
    <n v="0"/>
    <n v="0"/>
    <n v="0"/>
    <n v="0"/>
    <n v="0"/>
    <n v="0"/>
    <n v="0"/>
    <n v="0"/>
    <n v="0"/>
    <n v="203"/>
    <n v="0"/>
    <n v="0"/>
    <n v="0"/>
    <n v="0"/>
    <n v="0"/>
    <n v="0"/>
    <n v="203"/>
    <n v="0"/>
    <n v="0"/>
    <n v="0"/>
    <n v="0"/>
    <n v="0"/>
    <n v="0"/>
    <n v="0"/>
    <n v="0"/>
    <n v="0"/>
    <n v="0"/>
    <n v="0"/>
    <n v="0"/>
    <n v="0"/>
    <n v="0"/>
    <x v="1"/>
    <x v="0"/>
    <x v="15"/>
    <n v="21"/>
    <m/>
    <m/>
    <m/>
    <m/>
    <m/>
    <n v="14.5"/>
    <n v="14.5"/>
    <n v="14.5"/>
    <n v="14.5"/>
    <n v="14.5"/>
    <n v="14.5"/>
    <n v="14.5"/>
    <n v="14.5"/>
    <n v="14.5"/>
    <n v="14.5"/>
    <n v="14.5"/>
    <n v="14.5"/>
    <n v="14.5"/>
    <n v="14.5"/>
    <m/>
    <n v="14.5"/>
    <n v="87"/>
  </r>
  <r>
    <m/>
    <x v="5"/>
    <m/>
    <m/>
    <m/>
    <m/>
    <m/>
    <x v="22"/>
    <m/>
    <m/>
    <n v="0"/>
    <x v="83"/>
    <x v="94"/>
    <n v="0"/>
    <n v="0"/>
    <x v="0"/>
    <s v="Redevelopment"/>
    <s v="NONE"/>
    <m/>
    <m/>
    <x v="0"/>
    <s v="Nil"/>
    <m/>
    <s v="BF"/>
    <s v="NB"/>
    <x v="1"/>
    <x v="0"/>
    <n v="0"/>
    <m/>
    <x v="0"/>
    <m/>
    <x v="2"/>
    <s v="AA"/>
    <m/>
    <m/>
    <n v="0"/>
    <n v="0"/>
    <n v="0"/>
    <n v="0"/>
    <n v="0"/>
    <n v="0"/>
    <n v="0"/>
    <n v="0"/>
    <n v="0"/>
    <n v="0"/>
    <n v="54"/>
    <n v="0"/>
    <n v="0"/>
    <n v="0"/>
    <n v="0"/>
    <n v="0"/>
    <n v="0"/>
    <n v="54"/>
    <n v="0"/>
    <n v="0"/>
    <n v="0"/>
    <n v="0"/>
    <n v="0"/>
    <n v="0"/>
    <n v="0"/>
    <n v="0"/>
    <n v="0"/>
    <n v="0"/>
    <n v="0"/>
    <n v="0"/>
    <n v="0"/>
    <n v="0"/>
    <x v="1"/>
    <x v="0"/>
    <x v="15"/>
    <n v="21"/>
    <m/>
    <m/>
    <m/>
    <m/>
    <m/>
    <n v="3.8571428571428572"/>
    <n v="3.8571428571428572"/>
    <n v="3.8571428571428572"/>
    <n v="3.8571428571428572"/>
    <n v="3.8571428571428572"/>
    <n v="3.8571428571428572"/>
    <n v="3.8571428571428572"/>
    <n v="3.8571428571428572"/>
    <n v="3.8571428571428572"/>
    <n v="3.8571428571428572"/>
    <n v="3.8571428571428572"/>
    <n v="3.8571428571428572"/>
    <n v="3.8571428571428572"/>
    <n v="3.8571428571428572"/>
    <m/>
    <n v="3.8571428571428572"/>
    <n v="23.142857142857142"/>
  </r>
  <r>
    <m/>
    <x v="5"/>
    <m/>
    <m/>
    <m/>
    <m/>
    <m/>
    <x v="22"/>
    <m/>
    <m/>
    <n v="0"/>
    <x v="83"/>
    <x v="94"/>
    <n v="0"/>
    <n v="0"/>
    <x v="0"/>
    <s v="Redevelopment"/>
    <s v="NONE"/>
    <m/>
    <m/>
    <x v="0"/>
    <s v="Nil"/>
    <m/>
    <s v="BF"/>
    <s v="NB"/>
    <x v="1"/>
    <x v="0"/>
    <n v="0"/>
    <m/>
    <x v="0"/>
    <m/>
    <x v="0"/>
    <s v="IU"/>
    <m/>
    <m/>
    <n v="0"/>
    <n v="0"/>
    <n v="0"/>
    <n v="0"/>
    <n v="0"/>
    <n v="0"/>
    <n v="0"/>
    <n v="0"/>
    <n v="0"/>
    <n v="0"/>
    <n v="54"/>
    <n v="0"/>
    <n v="0"/>
    <n v="0"/>
    <n v="0"/>
    <n v="0"/>
    <n v="0"/>
    <n v="54"/>
    <n v="0"/>
    <n v="0"/>
    <n v="0"/>
    <n v="0"/>
    <n v="0"/>
    <n v="0"/>
    <n v="0"/>
    <n v="0"/>
    <n v="0"/>
    <n v="0"/>
    <n v="0"/>
    <n v="0"/>
    <n v="0"/>
    <n v="0"/>
    <x v="1"/>
    <x v="0"/>
    <x v="15"/>
    <n v="21"/>
    <m/>
    <m/>
    <m/>
    <m/>
    <m/>
    <n v="3.8571428571428572"/>
    <n v="3.8571428571428572"/>
    <n v="3.8571428571428572"/>
    <n v="3.8571428571428572"/>
    <n v="3.8571428571428572"/>
    <n v="3.8571428571428572"/>
    <n v="3.8571428571428572"/>
    <n v="3.8571428571428572"/>
    <n v="3.8571428571428572"/>
    <n v="3.8571428571428572"/>
    <n v="3.8571428571428572"/>
    <n v="3.8571428571428572"/>
    <n v="3.8571428571428572"/>
    <n v="3.8571428571428572"/>
    <m/>
    <n v="3.8571428571428572"/>
    <n v="23.142857142857142"/>
  </r>
  <r>
    <m/>
    <x v="6"/>
    <m/>
    <m/>
    <m/>
    <m/>
    <m/>
    <x v="22"/>
    <m/>
    <m/>
    <n v="0"/>
    <x v="129"/>
    <x v="145"/>
    <n v="0"/>
    <n v="0"/>
    <x v="1"/>
    <s v="Redevelopment"/>
    <s v="NONE"/>
    <m/>
    <m/>
    <x v="0"/>
    <s v="Nil"/>
    <m/>
    <s v="BF"/>
    <s v="CON"/>
    <x v="2"/>
    <x v="10"/>
    <n v="0"/>
    <m/>
    <x v="0"/>
    <m/>
    <x v="3"/>
    <s v="UK"/>
    <m/>
    <m/>
    <n v="0"/>
    <n v="0"/>
    <n v="0"/>
    <n v="0"/>
    <n v="0"/>
    <n v="0"/>
    <n v="0"/>
    <n v="0"/>
    <n v="0"/>
    <n v="0"/>
    <n v="4611"/>
    <n v="0"/>
    <n v="0"/>
    <n v="0"/>
    <n v="0"/>
    <n v="0"/>
    <n v="0"/>
    <n v="4611"/>
    <n v="0"/>
    <n v="0"/>
    <n v="0"/>
    <n v="0"/>
    <n v="0"/>
    <n v="0"/>
    <n v="0"/>
    <n v="0"/>
    <n v="0"/>
    <n v="0"/>
    <n v="0"/>
    <n v="0"/>
    <n v="0"/>
    <n v="0"/>
    <x v="1"/>
    <x v="0"/>
    <x v="15"/>
    <n v="22"/>
    <m/>
    <n v="177"/>
    <n v="177"/>
    <n v="177"/>
    <n v="177"/>
    <n v="177"/>
    <n v="414"/>
    <n v="414"/>
    <n v="414"/>
    <n v="414"/>
    <n v="414"/>
    <n v="414"/>
    <n v="414"/>
    <n v="414"/>
    <n v="414"/>
    <m/>
    <m/>
    <m/>
    <m/>
    <m/>
    <n v="885"/>
    <n v="2955"/>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8.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9.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10.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1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12.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1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14.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15.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16.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17.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18.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19.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0.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2.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3.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4.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5.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6.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7.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9A766131-3987-4F80-ACBB-A45F421CDC19}" name="PivotTable2" cacheId="2" applyNumberFormats="0" applyBorderFormats="0" applyFontFormats="0" applyPatternFormats="0" applyAlignmentFormats="0" applyWidthHeightFormats="1" dataCaption="Values" updatedVersion="8" minRefreshableVersion="3" useAutoFormatting="1" itemPrintTitles="1" createdVersion="4" indent="0" outline="1" outlineData="1" multipleFieldFilters="0">
  <location ref="A1:B3" firstHeaderRow="1" firstDataRow="1" firstDataCol="1"/>
  <pivotFields count="93">
    <pivotField showAll="0"/>
    <pivotField axis="axisRow" showAll="0">
      <items count="9">
        <item x="0"/>
        <item h="1" x="1"/>
        <item h="1" x="2"/>
        <item h="1" x="3"/>
        <item h="1" m="1" x="7"/>
        <item h="1" x="4"/>
        <item h="1" x="6"/>
        <item h="1" x="5"/>
        <item t="default"/>
      </items>
    </pivotField>
    <pivotField showAll="0"/>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1"/>
  </rowFields>
  <rowItems count="2">
    <i>
      <x/>
    </i>
    <i t="grand">
      <x/>
    </i>
  </rowItems>
  <colItems count="1">
    <i/>
  </colItems>
  <dataFields count="1">
    <dataField name="Sum of Phase Net Units" fld="12" baseField="1"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A02E1421-3258-43F0-91C3-940A4A7C9B43}" name="PivotTable3" cacheId="0" applyNumberFormats="0" applyBorderFormats="0" applyFontFormats="0" applyPatternFormats="0" applyAlignmentFormats="0" applyWidthHeightFormats="1" dataCaption="Values" updatedVersion="8" minRefreshableVersion="3" useAutoFormatting="1" itemPrintTitles="1" createdVersion="4" indent="0" outline="1" outlineData="1" multipleFieldFilters="0">
  <location ref="A1:B3" firstHeaderRow="1" firstDataRow="1" firstDataCol="1"/>
  <pivotFields count="66">
    <pivotField showAll="0"/>
    <pivotField axis="axisRow" showAll="0">
      <items count="7">
        <item x="3"/>
        <item h="1" x="0"/>
        <item h="1" x="1"/>
        <item h="1" m="1" x="5"/>
        <item h="1" x="2"/>
        <item h="1" x="4"/>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showAll="0"/>
    <pivotField showAll="0"/>
    <pivotField numFmtId="14"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3" showAll="0"/>
    <pivotField showAll="0"/>
    <pivotField showAll="0"/>
    <pivotField showAll="0"/>
    <pivotField showAll="0"/>
    <pivotField showAll="0"/>
  </pivotFields>
  <rowFields count="1">
    <field x="1"/>
  </rowFields>
  <rowItems count="2">
    <i>
      <x/>
    </i>
    <i t="grand">
      <x/>
    </i>
  </rowItems>
  <colItems count="1">
    <i/>
  </colItems>
  <dataFields count="1">
    <dataField name="Sum of Net Non-Self-Contained Rooms ratio applied" fld="29" baseField="0" baseItem="0" numFmtId="1"/>
  </dataFields>
  <formats count="2">
    <format dxfId="1">
      <pivotArea dataOnly="0" labelOnly="1" outline="0" axis="axisValues" fieldPosition="0"/>
    </format>
    <format dxfId="0">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049149D2-8AF0-4D9C-B2A9-9A3DE28695D1}" name="PivotTable4" cacheId="2" applyNumberFormats="0" applyBorderFormats="0" applyFontFormats="0" applyPatternFormats="0" applyAlignmentFormats="0" applyWidthHeightFormats="1" dataCaption="Values" updatedVersion="8" minRefreshableVersion="3" useAutoFormatting="1" itemPrintTitles="1" createdVersion="4" indent="0" outline="1" outlineData="1" multipleFieldFilters="0">
  <location ref="A1:E4" firstHeaderRow="1" firstDataRow="2" firstDataCol="1"/>
  <pivotFields count="93">
    <pivotField showAll="0"/>
    <pivotField axis="axisRow" showAll="0">
      <items count="9">
        <item x="0"/>
        <item h="1" x="1"/>
        <item h="1" x="2"/>
        <item h="1" x="3"/>
        <item h="1" m="1" x="7"/>
        <item h="1" x="4"/>
        <item h="1" x="6"/>
        <item h="1" x="5"/>
        <item t="default"/>
      </items>
    </pivotField>
    <pivotField showAll="0"/>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Col" showAll="0">
      <items count="5">
        <item x="0"/>
        <item x="1"/>
        <item x="2"/>
        <item x="3"/>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1"/>
  </rowFields>
  <rowItems count="2">
    <i>
      <x/>
    </i>
    <i t="grand">
      <x/>
    </i>
  </rowItems>
  <colFields count="1">
    <field x="31"/>
  </colFields>
  <colItems count="4">
    <i>
      <x/>
    </i>
    <i>
      <x v="1"/>
    </i>
    <i>
      <x v="2"/>
    </i>
    <i t="grand">
      <x/>
    </i>
  </colItems>
  <dataFields count="1">
    <dataField name="Sum of Phase Net Units" fld="12" baseField="1"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8EFAF54E-CA1A-4198-83EA-7B04CD66779E}" name="PivotTable1" cacheId="2" applyNumberFormats="0" applyBorderFormats="0" applyFontFormats="0" applyPatternFormats="0" applyAlignmentFormats="0" applyWidthHeightFormats="1" dataCaption="Values" updatedVersion="8" minRefreshableVersion="3" useAutoFormatting="1" itemPrintTitles="1" createdVersion="4" indent="0" outline="1" outlineData="1" multipleFieldFilters="0">
  <location ref="A4:C11" firstHeaderRow="0" firstDataRow="1" firstDataCol="1" rowPageCount="2" colPageCount="1"/>
  <pivotFields count="93">
    <pivotField showAll="0"/>
    <pivotField axis="axisRow" showAll="0">
      <items count="9">
        <item x="0"/>
        <item x="1"/>
        <item x="2"/>
        <item x="3"/>
        <item m="1" x="7"/>
        <item x="4"/>
        <item x="6"/>
        <item x="5"/>
        <item t="default"/>
      </items>
    </pivotField>
    <pivotField showAll="0"/>
    <pivotField showAll="0"/>
    <pivotField showAll="0"/>
    <pivotField showAll="0"/>
    <pivotField showAll="0"/>
    <pivotField showAll="0"/>
    <pivotField showAll="0"/>
    <pivotField showAll="0"/>
    <pivotField showAll="0"/>
    <pivotField dataField="1"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axis="axisPage" multipleItemSelectionAllowed="1" showAll="0">
      <items count="8">
        <item h="1" x="6"/>
        <item h="1" x="5"/>
        <item x="2"/>
        <item x="1"/>
        <item h="1" x="4"/>
        <item h="1" x="0"/>
        <item h="1" x="3"/>
        <item t="default"/>
      </items>
    </pivotField>
    <pivotField axis="axisPage" multipleItemSelectionAllowed="1" showAll="0">
      <items count="16">
        <item h="1" x="10"/>
        <item h="1" x="11"/>
        <item h="1" x="1"/>
        <item h="1" x="5"/>
        <item h="1" x="2"/>
        <item h="1" x="4"/>
        <item h="1" x="6"/>
        <item h="1" x="8"/>
        <item h="1" x="9"/>
        <item h="1" x="13"/>
        <item h="1" x="12"/>
        <item h="1" x="7"/>
        <item x="3"/>
        <item x="0"/>
        <item h="1" m="1" x="14"/>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1"/>
  </rowFields>
  <rowItems count="7">
    <i>
      <x/>
    </i>
    <i>
      <x v="1"/>
    </i>
    <i>
      <x v="2"/>
    </i>
    <i>
      <x v="3"/>
    </i>
    <i>
      <x v="5"/>
    </i>
    <i>
      <x v="7"/>
    </i>
    <i t="grand">
      <x/>
    </i>
  </rowItems>
  <colFields count="1">
    <field x="-2"/>
  </colFields>
  <colItems count="2">
    <i>
      <x/>
    </i>
    <i i="1">
      <x v="1"/>
    </i>
  </colItems>
  <pageFields count="2">
    <pageField fld="25" hier="-1"/>
    <pageField fld="26" hier="-1"/>
  </pageFields>
  <dataFields count="2">
    <dataField name="Sum of Phase Net Units" fld="12" baseField="1" baseItem="0"/>
    <dataField name="Sum of Phase Proposed Units" fld="11"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99A422EA-A1BF-489F-B43C-D15183F6E0DD}" name="PivotTable2" cacheId="2" applyNumberFormats="0" applyBorderFormats="0" applyFontFormats="0" applyPatternFormats="0" applyAlignmentFormats="0" applyWidthHeightFormats="1" dataCaption="Values" updatedVersion="8" minRefreshableVersion="3" useAutoFormatting="1" itemPrintTitles="1" createdVersion="4" indent="0" outline="1" outlineData="1" multipleFieldFilters="0">
  <location ref="A4:C10" firstHeaderRow="0" firstDataRow="1" firstDataCol="1" rowPageCount="2" colPageCount="1"/>
  <pivotFields count="93">
    <pivotField showAll="0"/>
    <pivotField axis="axisRow" showAll="0">
      <items count="9">
        <item x="0"/>
        <item x="1"/>
        <item x="2"/>
        <item x="3"/>
        <item m="1" x="7"/>
        <item x="4"/>
        <item x="6"/>
        <item x="5"/>
        <item t="default"/>
      </items>
    </pivotField>
    <pivotField showAll="0"/>
    <pivotField showAll="0"/>
    <pivotField showAll="0"/>
    <pivotField showAll="0"/>
    <pivotField showAll="0"/>
    <pivotField showAll="0"/>
    <pivotField showAll="0"/>
    <pivotField showAll="0"/>
    <pivotField showAll="0"/>
    <pivotField dataField="1"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axis="axisPage" multipleItemSelectionAllowed="1" showAll="0">
      <items count="8">
        <item x="6"/>
        <item x="5"/>
        <item x="2"/>
        <item h="1" x="1"/>
        <item x="4"/>
        <item x="0"/>
        <item x="3"/>
        <item t="default"/>
      </items>
    </pivotField>
    <pivotField axis="axisPage" multipleItemSelectionAllowed="1" showAll="0">
      <items count="16">
        <item x="10"/>
        <item x="11"/>
        <item x="1"/>
        <item x="5"/>
        <item x="2"/>
        <item x="4"/>
        <item x="6"/>
        <item x="8"/>
        <item x="9"/>
        <item x="13"/>
        <item x="12"/>
        <item x="7"/>
        <item h="1" x="3"/>
        <item x="0"/>
        <item h="1" m="1" x="14"/>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1"/>
  </rowFields>
  <rowItems count="6">
    <i>
      <x/>
    </i>
    <i>
      <x v="1"/>
    </i>
    <i>
      <x v="2"/>
    </i>
    <i>
      <x v="3"/>
    </i>
    <i>
      <x v="6"/>
    </i>
    <i t="grand">
      <x/>
    </i>
  </rowItems>
  <colFields count="1">
    <field x="-2"/>
  </colFields>
  <colItems count="2">
    <i>
      <x/>
    </i>
    <i i="1">
      <x v="1"/>
    </i>
  </colItems>
  <pageFields count="2">
    <pageField fld="25" hier="-1"/>
    <pageField fld="26" hier="-1"/>
  </pageFields>
  <dataFields count="2">
    <dataField name="Sum of Phase Net Units" fld="12" baseField="1" baseItem="0"/>
    <dataField name="Sum of Phase Proposed Units" fld="11"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6.xml><?xml version="1.0" encoding="utf-8"?>
<pivotTableDefinition xmlns="http://schemas.openxmlformats.org/spreadsheetml/2006/main" xmlns:mc="http://schemas.openxmlformats.org/markup-compatibility/2006" xmlns:xr="http://schemas.microsoft.com/office/spreadsheetml/2014/revision" mc:Ignorable="xr" xr:uid="{49F6F1CD-DC27-4CED-9684-5B9A6CF7C2F6}" name="PivotTable7" cacheId="2" applyNumberFormats="0" applyBorderFormats="0" applyFontFormats="0" applyPatternFormats="0" applyAlignmentFormats="0" applyWidthHeightFormats="1" dataCaption="Values" updatedVersion="8" minRefreshableVersion="3" useAutoFormatting="1" itemPrintTitles="1" createdVersion="4" indent="0" outline="1" outlineData="1" multipleFieldFilters="0">
  <location ref="A1:K11" firstHeaderRow="1" firstDataRow="3" firstDataCol="1"/>
  <pivotFields count="93">
    <pivotField showAll="0"/>
    <pivotField axis="axisRow" showAll="0">
      <items count="9">
        <item x="0"/>
        <item x="1"/>
        <item x="2"/>
        <item x="3"/>
        <item m="1" x="7"/>
        <item x="4"/>
        <item x="6"/>
        <item x="5"/>
        <item t="default"/>
      </items>
    </pivotField>
    <pivotField showAll="0"/>
    <pivotField showAll="0"/>
    <pivotField showAll="0"/>
    <pivotField showAll="0"/>
    <pivotField showAll="0"/>
    <pivotField showAll="0"/>
    <pivotField showAll="0"/>
    <pivotField showAll="0"/>
    <pivotField showAll="0"/>
    <pivotField dataField="1"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multipleItemSelectionAllowed="1" showAll="0"/>
    <pivotField multipleItemSelectionAllowed="1" showAll="0"/>
    <pivotField showAll="0"/>
    <pivotField showAll="0"/>
    <pivotField showAll="0"/>
    <pivotField showAll="0"/>
    <pivotField axis="axisCol" showAll="0">
      <items count="5">
        <item x="1"/>
        <item x="0"/>
        <item x="3"/>
        <item x="2"/>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1"/>
  </rowFields>
  <rowItems count="8">
    <i>
      <x/>
    </i>
    <i>
      <x v="1"/>
    </i>
    <i>
      <x v="2"/>
    </i>
    <i>
      <x v="3"/>
    </i>
    <i>
      <x v="5"/>
    </i>
    <i>
      <x v="6"/>
    </i>
    <i>
      <x v="7"/>
    </i>
    <i t="grand">
      <x/>
    </i>
  </rowItems>
  <colFields count="2">
    <field x="31"/>
    <field x="-2"/>
  </colFields>
  <colItems count="10">
    <i>
      <x/>
      <x/>
    </i>
    <i r="1" i="1">
      <x v="1"/>
    </i>
    <i>
      <x v="1"/>
      <x/>
    </i>
    <i r="1" i="1">
      <x v="1"/>
    </i>
    <i>
      <x v="2"/>
      <x/>
    </i>
    <i r="1" i="1">
      <x v="1"/>
    </i>
    <i>
      <x v="3"/>
      <x/>
    </i>
    <i r="1" i="1">
      <x v="1"/>
    </i>
    <i t="grand">
      <x/>
    </i>
    <i t="grand" i="1">
      <x/>
    </i>
  </colItems>
  <dataFields count="2">
    <dataField name="Sum of Phase Proposed Units" fld="11" baseField="0" baseItem="0"/>
    <dataField name="Sum of Phase Net Units" fld="12" baseField="1"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7.xml><?xml version="1.0" encoding="utf-8"?>
<pivotTableDefinition xmlns="http://schemas.openxmlformats.org/spreadsheetml/2006/main" xmlns:mc="http://schemas.openxmlformats.org/markup-compatibility/2006" xmlns:xr="http://schemas.microsoft.com/office/spreadsheetml/2014/revision" mc:Ignorable="xr" xr:uid="{D70D6EC7-FF1E-42E1-B31E-B055C26D31DB}" name="PivotTable8" cacheId="2" applyNumberFormats="0" applyBorderFormats="0" applyFontFormats="0" applyPatternFormats="0" applyAlignmentFormats="0" applyWidthHeightFormats="1" dataCaption="Values" updatedVersion="8" minRefreshableVersion="3" showDrill="0" useAutoFormatting="1" itemPrintTitles="1" createdVersion="4" indent="0" outline="1" outlineData="1" multipleFieldFilters="0">
  <location ref="A4:I13" firstHeaderRow="1" firstDataRow="3" firstDataCol="1" rowPageCount="2" colPageCount="1"/>
  <pivotFields count="93">
    <pivotField showAll="0"/>
    <pivotField axis="axisRow" showAll="0">
      <items count="9">
        <item x="0"/>
        <item x="1"/>
        <item x="2"/>
        <item x="3"/>
        <item m="1" x="7"/>
        <item x="4"/>
        <item x="6"/>
        <item x="5"/>
        <item t="default"/>
      </items>
    </pivotField>
    <pivotField showAll="0"/>
    <pivotField showAll="0"/>
    <pivotField showAll="0"/>
    <pivotField showAll="0"/>
    <pivotField showAll="0"/>
    <pivotField showAll="0"/>
    <pivotField showAll="0"/>
    <pivotField showAll="0"/>
    <pivotField showAll="0"/>
    <pivotField dataField="1"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axis="axisPage" multipleItemSelectionAllowed="1" showAll="0">
      <items count="8">
        <item h="1" x="6"/>
        <item h="1" x="5"/>
        <item x="2"/>
        <item x="1"/>
        <item h="1" x="4"/>
        <item h="1" x="0"/>
        <item h="1" x="3"/>
        <item t="default"/>
      </items>
    </pivotField>
    <pivotField axis="axisPage" multipleItemSelectionAllowed="1" showAll="0">
      <items count="16">
        <item h="1" x="10"/>
        <item h="1" x="11"/>
        <item h="1" x="1"/>
        <item h="1" x="5"/>
        <item h="1" x="2"/>
        <item h="1" x="4"/>
        <item h="1" x="6"/>
        <item h="1" x="8"/>
        <item h="1" x="9"/>
        <item h="1" x="13"/>
        <item h="1" x="12"/>
        <item h="1" x="7"/>
        <item x="3"/>
        <item x="0"/>
        <item h="1" m="1" x="14"/>
        <item t="default"/>
      </items>
    </pivotField>
    <pivotField showAll="0"/>
    <pivotField showAll="0"/>
    <pivotField showAll="0"/>
    <pivotField showAll="0"/>
    <pivotField axis="axisCol" showAll="0">
      <items count="5">
        <item x="1"/>
        <item x="0"/>
        <item x="3"/>
        <item x="2"/>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1"/>
  </rowFields>
  <rowItems count="7">
    <i>
      <x/>
    </i>
    <i>
      <x v="1"/>
    </i>
    <i>
      <x v="2"/>
    </i>
    <i>
      <x v="3"/>
    </i>
    <i>
      <x v="5"/>
    </i>
    <i>
      <x v="7"/>
    </i>
    <i t="grand">
      <x/>
    </i>
  </rowItems>
  <colFields count="2">
    <field x="31"/>
    <field x="-2"/>
  </colFields>
  <colItems count="8">
    <i>
      <x/>
      <x/>
    </i>
    <i r="1" i="1">
      <x v="1"/>
    </i>
    <i>
      <x v="1"/>
      <x/>
    </i>
    <i r="1" i="1">
      <x v="1"/>
    </i>
    <i>
      <x v="3"/>
      <x/>
    </i>
    <i r="1" i="1">
      <x v="1"/>
    </i>
    <i t="grand">
      <x/>
    </i>
    <i t="grand" i="1">
      <x/>
    </i>
  </colItems>
  <pageFields count="2">
    <pageField fld="25" hier="-1"/>
    <pageField fld="26" hier="-1"/>
  </pageFields>
  <dataFields count="2">
    <dataField name="Sum of Phase Proposed Units" fld="11" baseField="0" baseItem="0"/>
    <dataField name="Sum of Phase Net Units" fld="12" baseField="1"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8.xml><?xml version="1.0" encoding="utf-8"?>
<pivotTableDefinition xmlns="http://schemas.openxmlformats.org/spreadsheetml/2006/main" xmlns:mc="http://schemas.openxmlformats.org/markup-compatibility/2006" xmlns:xr="http://schemas.microsoft.com/office/spreadsheetml/2014/revision" mc:Ignorable="xr" xr:uid="{293F7B4C-E316-40B2-854D-38DFA60DBD81}" name="PivotTable9" cacheId="2" applyNumberFormats="0" applyBorderFormats="0" applyFontFormats="0" applyPatternFormats="0" applyAlignmentFormats="0" applyWidthHeightFormats="1" dataCaption="Values" updatedVersion="8" minRefreshableVersion="3" useAutoFormatting="1" itemPrintTitles="1" createdVersion="4" indent="0" outline="1" outlineData="1" multipleFieldFilters="0">
  <location ref="A3:B7" firstHeaderRow="1" firstDataRow="1" firstDataCol="1" rowPageCount="1" colPageCount="1"/>
  <pivotFields count="93">
    <pivotField showAll="0"/>
    <pivotField axis="axisRow" showAll="0">
      <items count="9">
        <item x="0"/>
        <item x="1"/>
        <item x="2"/>
        <item x="3"/>
        <item m="1" x="7"/>
        <item x="4"/>
        <item x="6"/>
        <item x="5"/>
        <item t="default"/>
      </items>
    </pivotField>
    <pivotField showAll="0"/>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axis="axisPage" showAll="0">
      <items count="3">
        <item x="0"/>
        <item x="1"/>
        <item t="default"/>
      </items>
    </pivotField>
    <pivotField showAll="0"/>
    <pivotField showAll="0"/>
    <pivotField showAll="0"/>
    <pivotField showAll="0"/>
    <pivotField multipleItemSelectionAllowed="1" showAll="0"/>
    <pivotField multipleItemSelectionAllowe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1"/>
  </rowFields>
  <rowItems count="4">
    <i>
      <x/>
    </i>
    <i>
      <x v="1"/>
    </i>
    <i>
      <x v="2"/>
    </i>
    <i t="grand">
      <x/>
    </i>
  </rowItems>
  <colItems count="1">
    <i/>
  </colItems>
  <pageFields count="1">
    <pageField fld="20" item="1" hier="-1"/>
  </pageFields>
  <dataFields count="1">
    <dataField name="Sum of Phase Net Units" fld="12" baseField="1"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9.xml><?xml version="1.0" encoding="utf-8"?>
<pivotTableDefinition xmlns="http://schemas.openxmlformats.org/spreadsheetml/2006/main" xmlns:mc="http://schemas.openxmlformats.org/markup-compatibility/2006" xmlns:xr="http://schemas.microsoft.com/office/spreadsheetml/2014/revision" mc:Ignorable="xr" xr:uid="{2B9628FB-2E53-496F-9094-D920AB8AFB70}" name="PivotTable10" cacheId="2" applyNumberFormats="0" applyBorderFormats="0" applyFontFormats="0" applyPatternFormats="0" applyAlignmentFormats="0" applyWidthHeightFormats="1" dataCaption="Values" updatedVersion="8" minRefreshableVersion="3" useAutoFormatting="1" itemPrintTitles="1" createdVersion="4" indent="0" outline="1" outlineData="1" multipleFieldFilters="0">
  <location ref="A3:B6" firstHeaderRow="1" firstDataRow="1" firstDataCol="1" rowPageCount="1" colPageCount="1"/>
  <pivotFields count="93">
    <pivotField showAll="0"/>
    <pivotField axis="axisRow" showAll="0">
      <items count="9">
        <item x="0"/>
        <item x="1"/>
        <item x="2"/>
        <item x="3"/>
        <item m="1" x="7"/>
        <item x="4"/>
        <item x="6"/>
        <item x="5"/>
        <item t="default"/>
      </items>
    </pivotField>
    <pivotField showAll="0"/>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multipleItemSelectionAllowed="1" showAll="0"/>
    <pivotField multipleItemSelectionAllowed="1" showAll="0"/>
    <pivotField showAll="0"/>
    <pivotField showAll="0"/>
    <pivotField axis="axisPage" showAll="0">
      <items count="3">
        <item x="1"/>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1"/>
  </rowFields>
  <rowItems count="3">
    <i>
      <x/>
    </i>
    <i>
      <x v="1"/>
    </i>
    <i t="grand">
      <x/>
    </i>
  </rowItems>
  <colItems count="1">
    <i/>
  </colItems>
  <pageFields count="1">
    <pageField fld="29" item="0" hier="-1"/>
  </pageFields>
  <dataFields count="1">
    <dataField name="Sum of Phase Net Units" fld="12" baseField="1"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0.xml><?xml version="1.0" encoding="utf-8"?>
<pivotTableDefinition xmlns="http://schemas.openxmlformats.org/spreadsheetml/2006/main" xmlns:mc="http://schemas.openxmlformats.org/markup-compatibility/2006" xmlns:xr="http://schemas.microsoft.com/office/spreadsheetml/2014/revision" mc:Ignorable="xr" xr:uid="{8964C1E1-54A8-45A1-9C5E-0AC6A59FD938}" name="PivotTable11" cacheId="2" applyNumberFormats="0" applyBorderFormats="0" applyFontFormats="0" applyPatternFormats="0" applyAlignmentFormats="0" applyWidthHeightFormats="1" dataCaption="Values" updatedVersion="8" minRefreshableVersion="3" useAutoFormatting="1" itemPrintTitles="1" createdVersion="4" indent="0" outline="1" outlineData="1" multipleFieldFilters="0">
  <location ref="A5:C9" firstHeaderRow="0" firstDataRow="1" firstDataCol="1" rowPageCount="3" colPageCount="1"/>
  <pivotFields count="93">
    <pivotField showAll="0"/>
    <pivotField axis="axisRow" showAll="0">
      <items count="9">
        <item x="0"/>
        <item x="1"/>
        <item x="2"/>
        <item x="3"/>
        <item m="1" x="7"/>
        <item x="4"/>
        <item x="6"/>
        <item x="5"/>
        <item t="default"/>
      </items>
    </pivotField>
    <pivotField showAll="0"/>
    <pivotField showAll="0"/>
    <pivotField showAll="0"/>
    <pivotField showAll="0"/>
    <pivotField showAll="0"/>
    <pivotField showAll="0"/>
    <pivotField showAll="0"/>
    <pivotField showAll="0"/>
    <pivotField showAll="0"/>
    <pivotField dataField="1" showAll="0"/>
    <pivotField dataField="1" showAll="0"/>
    <pivotField showAll="0"/>
    <pivotField showAll="0"/>
    <pivotField showAll="0"/>
    <pivotField showAll="0"/>
    <pivotField showAll="0"/>
    <pivotField showAll="0"/>
    <pivotField showAll="0"/>
    <pivotField axis="axisPage" showAll="0">
      <items count="3">
        <item x="0"/>
        <item x="1"/>
        <item t="default"/>
      </items>
    </pivotField>
    <pivotField showAll="0"/>
    <pivotField showAll="0"/>
    <pivotField showAll="0"/>
    <pivotField showAll="0"/>
    <pivotField axis="axisPage" multipleItemSelectionAllowed="1" showAll="0">
      <items count="8">
        <item h="1" x="6"/>
        <item h="1" x="5"/>
        <item x="2"/>
        <item x="1"/>
        <item h="1" x="4"/>
        <item h="1" x="0"/>
        <item h="1" x="3"/>
        <item t="default"/>
      </items>
    </pivotField>
    <pivotField axis="axisPage" multipleItemSelectionAllowed="1" showAll="0">
      <items count="16">
        <item h="1" x="10"/>
        <item h="1" x="11"/>
        <item h="1" x="1"/>
        <item h="1" x="5"/>
        <item h="1" x="2"/>
        <item h="1" x="4"/>
        <item h="1" x="6"/>
        <item h="1" x="8"/>
        <item h="1" x="9"/>
        <item h="1" x="13"/>
        <item h="1" x="12"/>
        <item h="1" x="7"/>
        <item x="3"/>
        <item x="0"/>
        <item h="1" m="1" x="14"/>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1"/>
  </rowFields>
  <rowItems count="4">
    <i>
      <x/>
    </i>
    <i>
      <x v="1"/>
    </i>
    <i>
      <x v="2"/>
    </i>
    <i t="grand">
      <x/>
    </i>
  </rowItems>
  <colFields count="1">
    <field x="-2"/>
  </colFields>
  <colItems count="2">
    <i>
      <x/>
    </i>
    <i i="1">
      <x v="1"/>
    </i>
  </colItems>
  <pageFields count="3">
    <pageField fld="20" item="1" hier="-1"/>
    <pageField fld="25" hier="-1"/>
    <pageField fld="26" hier="-1"/>
  </pageFields>
  <dataFields count="2">
    <dataField name="Sum of Phase Net Units" fld="12" baseField="1" baseItem="0"/>
    <dataField name="Sum of Phase Proposed Units" fld="11"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1.xml><?xml version="1.0" encoding="utf-8"?>
<pivotTableDefinition xmlns="http://schemas.openxmlformats.org/spreadsheetml/2006/main" xmlns:mc="http://schemas.openxmlformats.org/markup-compatibility/2006" xmlns:xr="http://schemas.microsoft.com/office/spreadsheetml/2014/revision" mc:Ignorable="xr" xr:uid="{1ADC1DF5-FF49-4363-BE48-3F832CD0BA76}" name="PivotTable12" cacheId="2" applyNumberFormats="0" applyBorderFormats="0" applyFontFormats="0" applyPatternFormats="0" applyAlignmentFormats="0" applyWidthHeightFormats="1" dataCaption="Values" updatedVersion="8" minRefreshableVersion="3" useAutoFormatting="1" itemPrintTitles="1" createdVersion="4" indent="0" outline="1" outlineData="1" multipleFieldFilters="0">
  <location ref="A5:C9" firstHeaderRow="0" firstDataRow="1" firstDataCol="1" rowPageCount="3" colPageCount="1"/>
  <pivotFields count="93">
    <pivotField showAll="0"/>
    <pivotField axis="axisRow" showAll="0">
      <items count="9">
        <item x="0"/>
        <item x="1"/>
        <item x="2"/>
        <item x="3"/>
        <item m="1" x="7"/>
        <item x="4"/>
        <item x="6"/>
        <item x="5"/>
        <item t="default"/>
      </items>
    </pivotField>
    <pivotField showAll="0"/>
    <pivotField showAll="0"/>
    <pivotField showAll="0"/>
    <pivotField showAll="0"/>
    <pivotField showAll="0"/>
    <pivotField showAll="0"/>
    <pivotField showAll="0"/>
    <pivotField showAll="0"/>
    <pivotField showAll="0"/>
    <pivotField dataField="1" showAll="0"/>
    <pivotField dataField="1" showAll="0"/>
    <pivotField showAll="0"/>
    <pivotField showAll="0"/>
    <pivotField showAll="0"/>
    <pivotField showAll="0"/>
    <pivotField showAll="0"/>
    <pivotField showAll="0"/>
    <pivotField showAll="0"/>
    <pivotField axis="axisPage" showAll="0">
      <items count="3">
        <item x="0"/>
        <item x="1"/>
        <item t="default"/>
      </items>
    </pivotField>
    <pivotField showAll="0"/>
    <pivotField showAll="0"/>
    <pivotField showAll="0"/>
    <pivotField showAll="0"/>
    <pivotField axis="axisPage" multipleItemSelectionAllowed="1" showAll="0">
      <items count="8">
        <item x="6"/>
        <item x="5"/>
        <item x="2"/>
        <item h="1" x="1"/>
        <item x="4"/>
        <item x="0"/>
        <item x="3"/>
        <item t="default"/>
      </items>
    </pivotField>
    <pivotField axis="axisPage" multipleItemSelectionAllowed="1" showAll="0">
      <items count="16">
        <item x="10"/>
        <item x="11"/>
        <item x="1"/>
        <item x="5"/>
        <item x="2"/>
        <item x="4"/>
        <item x="6"/>
        <item x="8"/>
        <item x="9"/>
        <item x="13"/>
        <item x="12"/>
        <item x="7"/>
        <item h="1" x="3"/>
        <item x="0"/>
        <item h="1" m="1" x="14"/>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1"/>
  </rowFields>
  <rowItems count="4">
    <i>
      <x/>
    </i>
    <i>
      <x v="1"/>
    </i>
    <i>
      <x v="2"/>
    </i>
    <i t="grand">
      <x/>
    </i>
  </rowItems>
  <colFields count="1">
    <field x="-2"/>
  </colFields>
  <colItems count="2">
    <i>
      <x/>
    </i>
    <i i="1">
      <x v="1"/>
    </i>
  </colItems>
  <pageFields count="3">
    <pageField fld="20" item="1" hier="-1"/>
    <pageField fld="25" hier="-1"/>
    <pageField fld="26" hier="-1"/>
  </pageFields>
  <dataFields count="2">
    <dataField name="Sum of Phase Net Units" fld="12" baseField="1" baseItem="0"/>
    <dataField name="Sum of Phase Proposed Units" fld="11"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2.xml><?xml version="1.0" encoding="utf-8"?>
<pivotTableDefinition xmlns="http://schemas.openxmlformats.org/spreadsheetml/2006/main" xmlns:mc="http://schemas.openxmlformats.org/markup-compatibility/2006" xmlns:xr="http://schemas.microsoft.com/office/spreadsheetml/2014/revision" mc:Ignorable="xr" xr:uid="{BE7A68A1-57C6-4C70-B694-65ED9BB53735}" name="PivotTable13" cacheId="2" applyNumberFormats="0" applyBorderFormats="0" applyFontFormats="0" applyPatternFormats="0" applyAlignmentFormats="0" applyWidthHeightFormats="1" dataCaption="Values" updatedVersion="8" minRefreshableVersion="3" useAutoFormatting="1" itemPrintTitles="1" createdVersion="4" indent="0" outline="1" outlineData="1" multipleFieldFilters="0">
  <location ref="A5:B8" firstHeaderRow="1" firstDataRow="1" firstDataCol="1" rowPageCount="3" colPageCount="1"/>
  <pivotFields count="93">
    <pivotField showAll="0"/>
    <pivotField axis="axisRow" showAll="0">
      <items count="9">
        <item x="0"/>
        <item x="1"/>
        <item x="2"/>
        <item x="3"/>
        <item m="1" x="7"/>
        <item x="4"/>
        <item x="6"/>
        <item x="5"/>
        <item t="default"/>
      </items>
    </pivotField>
    <pivotField showAll="0"/>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axis="axisPage" multipleItemSelectionAllowed="1" showAll="0">
      <items count="8">
        <item h="1" x="6"/>
        <item h="1" x="5"/>
        <item x="2"/>
        <item x="1"/>
        <item h="1" x="4"/>
        <item h="1" x="0"/>
        <item h="1" x="3"/>
        <item t="default"/>
      </items>
    </pivotField>
    <pivotField axis="axisPage" multipleItemSelectionAllowed="1" showAll="0">
      <items count="16">
        <item h="1" x="10"/>
        <item h="1" x="11"/>
        <item h="1" x="1"/>
        <item h="1" x="5"/>
        <item h="1" x="2"/>
        <item h="1" x="4"/>
        <item h="1" x="6"/>
        <item h="1" x="8"/>
        <item h="1" x="9"/>
        <item h="1" x="13"/>
        <item h="1" x="12"/>
        <item h="1" x="7"/>
        <item x="3"/>
        <item x="0"/>
        <item h="1" m="1" x="14"/>
        <item t="default"/>
      </items>
    </pivotField>
    <pivotField showAll="0"/>
    <pivotField showAll="0"/>
    <pivotField axis="axisPage" showAll="0">
      <items count="3">
        <item x="1"/>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1"/>
  </rowFields>
  <rowItems count="3">
    <i>
      <x/>
    </i>
    <i>
      <x v="1"/>
    </i>
    <i t="grand">
      <x/>
    </i>
  </rowItems>
  <colItems count="1">
    <i/>
  </colItems>
  <pageFields count="3">
    <pageField fld="25" hier="-1"/>
    <pageField fld="26" hier="-1"/>
    <pageField fld="29" item="0" hier="-1"/>
  </pageFields>
  <dataFields count="1">
    <dataField name="Sum of Phase Net Units" fld="12" baseField="1"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3.xml><?xml version="1.0" encoding="utf-8"?>
<pivotTableDefinition xmlns="http://schemas.openxmlformats.org/spreadsheetml/2006/main" xmlns:mc="http://schemas.openxmlformats.org/markup-compatibility/2006" xmlns:xr="http://schemas.microsoft.com/office/spreadsheetml/2014/revision" mc:Ignorable="xr" xr:uid="{A8CEA603-6454-4A91-90EF-C5A6B466292A}" name="PivotTable14" cacheId="1" applyNumberFormats="0" applyBorderFormats="0" applyFontFormats="0" applyPatternFormats="0" applyAlignmentFormats="0" applyWidthHeightFormats="1" dataCaption="Values" updatedVersion="8" minRefreshableVersion="3" useAutoFormatting="1" itemPrintTitles="1" createdVersion="4" indent="0" outline="1" outlineData="1" multipleFieldFilters="0">
  <location ref="A5:B8" firstHeaderRow="1" firstDataRow="1" firstDataCol="1" rowPageCount="3" colPageCount="1"/>
  <pivotFields count="93">
    <pivotField showAll="0"/>
    <pivotField axis="axisRow" showAll="0">
      <items count="11">
        <item x="0"/>
        <item x="1"/>
        <item x="2"/>
        <item x="3"/>
        <item m="1" x="8"/>
        <item x="4"/>
        <item m="1" x="9"/>
        <item x="6"/>
        <item x="7"/>
        <item x="5"/>
        <item t="default"/>
      </items>
    </pivotField>
    <pivotField showAll="0"/>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axis="axisPage" multipleItemSelectionAllowed="1" showAll="0">
      <items count="9">
        <item x="6"/>
        <item x="5"/>
        <item x="2"/>
        <item h="1" x="1"/>
        <item x="4"/>
        <item x="0"/>
        <item x="7"/>
        <item x="3"/>
        <item t="default"/>
      </items>
    </pivotField>
    <pivotField axis="axisPage" multipleItemSelectionAllowed="1" showAll="0">
      <items count="17">
        <item x="10"/>
        <item x="11"/>
        <item x="1"/>
        <item x="5"/>
        <item x="2"/>
        <item x="4"/>
        <item x="6"/>
        <item x="8"/>
        <item x="9"/>
        <item x="13"/>
        <item x="12"/>
        <item x="7"/>
        <item h="1" x="3"/>
        <item x="0"/>
        <item m="1" x="15"/>
        <item x="14"/>
        <item t="default"/>
      </items>
    </pivotField>
    <pivotField showAll="0"/>
    <pivotField showAll="0"/>
    <pivotField axis="axisPage" showAll="0">
      <items count="4">
        <item x="1"/>
        <item x="0"/>
        <item m="1" x="2"/>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1"/>
  </rowFields>
  <rowItems count="3">
    <i>
      <x/>
    </i>
    <i>
      <x v="1"/>
    </i>
    <i t="grand">
      <x/>
    </i>
  </rowItems>
  <colItems count="1">
    <i/>
  </colItems>
  <pageFields count="3">
    <pageField fld="25" hier="-1"/>
    <pageField fld="26" hier="-1"/>
    <pageField fld="29" item="0" hier="-1"/>
  </pageFields>
  <dataFields count="1">
    <dataField name="Sum of Phase Net Units" fld="12" baseField="1"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4.xml><?xml version="1.0" encoding="utf-8"?>
<pivotTableDefinition xmlns="http://schemas.openxmlformats.org/spreadsheetml/2006/main" xmlns:mc="http://schemas.openxmlformats.org/markup-compatibility/2006" xmlns:xr="http://schemas.microsoft.com/office/spreadsheetml/2014/revision" mc:Ignorable="xr" xr:uid="{9045B2CA-9435-4698-B40A-A548D386B149}" name="PivotTable15" cacheId="2" applyNumberFormats="0" applyBorderFormats="0" applyFontFormats="0" applyPatternFormats="0" applyAlignmentFormats="0" applyWidthHeightFormats="1" dataCaption="Values" updatedVersion="8" minRefreshableVersion="3" useAutoFormatting="1" itemPrintTitles="1" createdVersion="4" indent="0" outline="1" outlineData="1" multipleFieldFilters="0">
  <location ref="A3:E8" firstHeaderRow="1" firstDataRow="2" firstDataCol="1" rowPageCount="1" colPageCount="1"/>
  <pivotFields count="93">
    <pivotField showAll="0"/>
    <pivotField axis="axisRow" showAll="0">
      <items count="9">
        <item x="0"/>
        <item x="1"/>
        <item x="2"/>
        <item x="3"/>
        <item m="1" x="7"/>
        <item x="4"/>
        <item x="6"/>
        <item x="5"/>
        <item t="default"/>
      </items>
    </pivotField>
    <pivotField showAll="0"/>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axis="axisPage" showAll="0">
      <items count="3">
        <item x="0"/>
        <item x="1"/>
        <item t="default"/>
      </items>
    </pivotField>
    <pivotField showAll="0"/>
    <pivotField showAll="0"/>
    <pivotField showAll="0"/>
    <pivotField showAll="0"/>
    <pivotField multipleItemSelectionAllowed="1" showAll="0"/>
    <pivotField multipleItemSelectionAllowed="1" showAll="0"/>
    <pivotField showAll="0"/>
    <pivotField showAll="0"/>
    <pivotField showAll="0"/>
    <pivotField showAll="0"/>
    <pivotField axis="axisCol" showAll="0">
      <items count="5">
        <item x="1"/>
        <item x="0"/>
        <item x="2"/>
        <item x="3"/>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1"/>
  </rowFields>
  <rowItems count="4">
    <i>
      <x/>
    </i>
    <i>
      <x v="1"/>
    </i>
    <i>
      <x v="2"/>
    </i>
    <i t="grand">
      <x/>
    </i>
  </rowItems>
  <colFields count="1">
    <field x="31"/>
  </colFields>
  <colItems count="5">
    <i>
      <x/>
    </i>
    <i>
      <x v="1"/>
    </i>
    <i>
      <x v="2"/>
    </i>
    <i>
      <x v="3"/>
    </i>
    <i t="grand">
      <x/>
    </i>
  </colItems>
  <pageFields count="1">
    <pageField fld="20" item="1" hier="-1"/>
  </pageFields>
  <dataFields count="1">
    <dataField name="Sum of Phase Net Units" fld="12" baseField="1"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5.xml><?xml version="1.0" encoding="utf-8"?>
<pivotTableDefinition xmlns="http://schemas.openxmlformats.org/spreadsheetml/2006/main" xmlns:mc="http://schemas.openxmlformats.org/markup-compatibility/2006" xmlns:xr="http://schemas.microsoft.com/office/spreadsheetml/2014/revision" mc:Ignorable="xr" xr:uid="{9666B935-D66B-4AF8-B2B5-481F2058754D}" name="PivotTable16" cacheId="2" applyNumberFormats="0" applyBorderFormats="0" applyFontFormats="0" applyPatternFormats="0" applyAlignmentFormats="0" applyWidthHeightFormats="1" dataCaption="Values" updatedVersion="8" minRefreshableVersion="3" useAutoFormatting="1" itemPrintTitles="1" createdVersion="4" indent="0" outline="1" outlineData="1" multipleFieldFilters="0">
  <location ref="A3:F7" firstHeaderRow="1" firstDataRow="2" firstDataCol="1" rowPageCount="1" colPageCount="1"/>
  <pivotFields count="93">
    <pivotField showAll="0"/>
    <pivotField axis="axisRow" showAll="0">
      <items count="9">
        <item x="0"/>
        <item x="1"/>
        <item x="2"/>
        <item x="3"/>
        <item m="1" x="7"/>
        <item x="4"/>
        <item x="6"/>
        <item x="5"/>
        <item t="default"/>
      </items>
    </pivotField>
    <pivotField showAll="0"/>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multipleItemSelectionAllowed="1" showAll="0"/>
    <pivotField multipleItemSelectionAllowed="1" showAll="0"/>
    <pivotField showAll="0"/>
    <pivotField showAll="0"/>
    <pivotField axis="axisPage" showAll="0">
      <items count="3">
        <item x="1"/>
        <item x="0"/>
        <item t="default"/>
      </items>
    </pivotField>
    <pivotField showAll="0"/>
    <pivotField axis="axisCol" showAll="0">
      <items count="5">
        <item x="1"/>
        <item x="0"/>
        <item x="2"/>
        <item x="3"/>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1"/>
  </rowFields>
  <rowItems count="3">
    <i>
      <x/>
    </i>
    <i>
      <x v="1"/>
    </i>
    <i t="grand">
      <x/>
    </i>
  </rowItems>
  <colFields count="1">
    <field x="31"/>
  </colFields>
  <colItems count="5">
    <i>
      <x/>
    </i>
    <i>
      <x v="1"/>
    </i>
    <i>
      <x v="2"/>
    </i>
    <i>
      <x v="3"/>
    </i>
    <i t="grand">
      <x/>
    </i>
  </colItems>
  <pageFields count="1">
    <pageField fld="29" item="0" hier="-1"/>
  </pageFields>
  <dataFields count="1">
    <dataField name="Sum of Phase Net Units" fld="12" baseField="1"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6.xml><?xml version="1.0" encoding="utf-8"?>
<pivotTableDefinition xmlns="http://schemas.openxmlformats.org/spreadsheetml/2006/main" xmlns:mc="http://schemas.openxmlformats.org/markup-compatibility/2006" xmlns:xr="http://schemas.microsoft.com/office/spreadsheetml/2014/revision" mc:Ignorable="xr" xr:uid="{3BCE0C6B-44EB-42D5-8931-3651541F1325}" name="PivotTable17" cacheId="2" applyNumberFormats="0" applyBorderFormats="0" applyFontFormats="0" applyPatternFormats="0" applyAlignmentFormats="0" applyWidthHeightFormats="1" dataCaption="Values" updatedVersion="8" minRefreshableVersion="3" useAutoFormatting="1" itemPrintTitles="1" createdVersion="4" indent="0" outline="1" outlineData="1" multipleFieldFilters="0">
  <location ref="A3:J7" firstHeaderRow="1" firstDataRow="3" firstDataCol="1" rowPageCount="1" colPageCount="1"/>
  <pivotFields count="93">
    <pivotField showAll="0"/>
    <pivotField axis="axisRow" showAll="0">
      <items count="9">
        <item x="0"/>
        <item h="1" x="1"/>
        <item h="1" x="2"/>
        <item h="1" x="3"/>
        <item h="1" m="1" x="7"/>
        <item h="1" x="4"/>
        <item h="1" x="6"/>
        <item h="1" x="5"/>
        <item t="default"/>
      </items>
    </pivotField>
    <pivotField showAll="0"/>
    <pivotField showAll="0"/>
    <pivotField showAll="0"/>
    <pivotField showAll="0"/>
    <pivotField showAll="0"/>
    <pivotField showAll="0"/>
    <pivotField showAll="0"/>
    <pivotField showAll="0"/>
    <pivotField showAll="0"/>
    <pivotField showAll="0"/>
    <pivotField dataField="1" showAll="0"/>
    <pivotField showAll="0"/>
    <pivotField showAll="0"/>
    <pivotField axis="axisPage" showAll="0">
      <items count="4">
        <item x="0"/>
        <item x="1"/>
        <item m="1" x="2"/>
        <item t="default"/>
      </items>
    </pivotField>
    <pivotField showAll="0"/>
    <pivotField showAll="0"/>
    <pivotField showAll="0"/>
    <pivotField showAll="0"/>
    <pivotField showAll="0"/>
    <pivotField showAll="0"/>
    <pivotField showAll="0"/>
    <pivotField showAll="0"/>
    <pivotField showAll="0"/>
    <pivotField multipleItemSelectionAllowed="1" showAll="0"/>
    <pivotField multipleItemSelectionAllowed="1" showAll="0"/>
    <pivotField showAll="0"/>
    <pivotField showAll="0"/>
    <pivotField showAll="0"/>
    <pivotField showAll="0"/>
    <pivotField axis="axisCol" showAll="0">
      <items count="5">
        <item x="1"/>
        <item x="0"/>
        <item x="2"/>
        <item x="3"/>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Col" showAll="0">
      <items count="3">
        <item x="0"/>
        <item x="1"/>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1"/>
  </rowFields>
  <rowItems count="2">
    <i>
      <x/>
    </i>
    <i t="grand">
      <x/>
    </i>
  </rowItems>
  <colFields count="2">
    <field x="68"/>
    <field x="31"/>
  </colFields>
  <colItems count="9">
    <i>
      <x/>
      <x/>
    </i>
    <i r="1">
      <x v="1"/>
    </i>
    <i r="1">
      <x v="2"/>
    </i>
    <i t="default">
      <x/>
    </i>
    <i>
      <x v="1"/>
      <x/>
    </i>
    <i r="1">
      <x v="1"/>
    </i>
    <i r="1">
      <x v="2"/>
    </i>
    <i t="default">
      <x v="1"/>
    </i>
    <i t="grand">
      <x/>
    </i>
  </colItems>
  <pageFields count="1">
    <pageField fld="15" item="0" hier="-1"/>
  </pageFields>
  <dataFields count="1">
    <dataField name="Sum of Phase Net Units" fld="12" baseField="1"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7.xml><?xml version="1.0" encoding="utf-8"?>
<pivotTableDefinition xmlns="http://schemas.openxmlformats.org/spreadsheetml/2006/main" xmlns:mc="http://schemas.openxmlformats.org/markup-compatibility/2006" xmlns:xr="http://schemas.microsoft.com/office/spreadsheetml/2014/revision" mc:Ignorable="xr" xr:uid="{734BB387-1B3E-4A4B-9FEC-E72E15ACAFF8}" name="PivotTable17" cacheId="2" applyNumberFormats="0" applyBorderFormats="0" applyFontFormats="0" applyPatternFormats="0" applyAlignmentFormats="0" applyWidthHeightFormats="1" dataCaption="Values" updatedVersion="8" minRefreshableVersion="3" useAutoFormatting="1" itemPrintTitles="1" createdVersion="4" indent="0" outline="1" outlineData="1" multipleFieldFilters="0">
  <location ref="A3:E6" firstHeaderRow="1" firstDataRow="2" firstDataCol="1" rowPageCount="1" colPageCount="1"/>
  <pivotFields count="93">
    <pivotField showAll="0"/>
    <pivotField axis="axisRow" showAll="0">
      <items count="9">
        <item x="0"/>
        <item h="1" x="1"/>
        <item h="1" x="2"/>
        <item h="1" x="3"/>
        <item h="1" m="1" x="7"/>
        <item h="1" x="4"/>
        <item h="1" x="6"/>
        <item h="1" x="5"/>
        <item t="default"/>
      </items>
    </pivotField>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axis="axisPage" showAll="0">
      <items count="4">
        <item x="0"/>
        <item x="1"/>
        <item m="1" x="2"/>
        <item t="default"/>
      </items>
    </pivotField>
    <pivotField showAll="0"/>
    <pivotField showAll="0"/>
    <pivotField showAll="0"/>
    <pivotField showAll="0"/>
    <pivotField showAll="0"/>
    <pivotField showAll="0"/>
    <pivotField showAll="0"/>
    <pivotField showAll="0"/>
    <pivotField showAll="0"/>
    <pivotField multipleItemSelectionAllowed="1" showAll="0"/>
    <pivotField multipleItemSelectionAllowed="1" showAll="0"/>
    <pivotField showAll="0"/>
    <pivotField showAll="0"/>
    <pivotField showAll="0"/>
    <pivotField showAll="0"/>
    <pivotField axis="axisCol" showAll="0">
      <items count="5">
        <item x="1"/>
        <item x="0"/>
        <item x="2"/>
        <item x="3"/>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3">
        <item x="0"/>
        <item x="1"/>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1"/>
  </rowFields>
  <rowItems count="2">
    <i>
      <x/>
    </i>
    <i t="grand">
      <x/>
    </i>
  </rowItems>
  <colFields count="1">
    <field x="31"/>
  </colFields>
  <colItems count="4">
    <i>
      <x/>
    </i>
    <i>
      <x v="1"/>
    </i>
    <i>
      <x v="2"/>
    </i>
    <i t="grand">
      <x/>
    </i>
  </colItems>
  <pageFields count="1">
    <pageField fld="15" item="0" hier="-1"/>
  </pageFields>
  <dataFields count="1">
    <dataField name="Sum of Phase Proposed Units" fld="11"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8.xml><?xml version="1.0" encoding="utf-8"?>
<pivotTableDefinition xmlns="http://schemas.openxmlformats.org/spreadsheetml/2006/main" xmlns:mc="http://schemas.openxmlformats.org/markup-compatibility/2006" xmlns:xr="http://schemas.microsoft.com/office/spreadsheetml/2014/revision" mc:Ignorable="xr" xr:uid="{67EB6DF1-ADF9-4961-A4C7-50F97E0B1CAF}" name="PivotTable15" cacheId="2" applyNumberFormats="0" applyBorderFormats="0" applyFontFormats="0" applyPatternFormats="0" applyAlignmentFormats="0" applyWidthHeightFormats="1" dataCaption="Values" updatedVersion="8" minRefreshableVersion="3" useAutoFormatting="1" itemPrintTitles="1" createdVersion="4" indent="0" outline="1" outlineData="1" multipleFieldFilters="0">
  <location ref="A4:H7" firstHeaderRow="1" firstDataRow="3" firstDataCol="0" rowPageCount="2" colPageCount="1"/>
  <pivotFields count="93">
    <pivotField showAll="0"/>
    <pivotField showAll="0"/>
    <pivotField showAll="0"/>
    <pivotField showAll="0"/>
    <pivotField showAll="0"/>
    <pivotField showAll="0"/>
    <pivotField showAll="0"/>
    <pivotField showAll="0"/>
    <pivotField showAll="0"/>
    <pivotField showAll="0"/>
    <pivotField showAll="0"/>
    <pivotField dataField="1" showAll="0">
      <items count="131">
        <item x="6"/>
        <item x="3"/>
        <item x="5"/>
        <item x="11"/>
        <item x="12"/>
        <item x="24"/>
        <item x="0"/>
        <item x="10"/>
        <item x="9"/>
        <item x="29"/>
        <item x="43"/>
        <item x="31"/>
        <item x="117"/>
        <item x="1"/>
        <item x="46"/>
        <item x="28"/>
        <item x="39"/>
        <item x="35"/>
        <item x="74"/>
        <item x="58"/>
        <item x="30"/>
        <item x="22"/>
        <item x="21"/>
        <item x="67"/>
        <item x="91"/>
        <item x="20"/>
        <item x="69"/>
        <item x="25"/>
        <item x="68"/>
        <item x="27"/>
        <item x="50"/>
        <item x="102"/>
        <item x="19"/>
        <item x="105"/>
        <item x="62"/>
        <item x="18"/>
        <item x="71"/>
        <item x="42"/>
        <item x="14"/>
        <item x="23"/>
        <item x="76"/>
        <item x="36"/>
        <item x="16"/>
        <item x="17"/>
        <item x="45"/>
        <item x="32"/>
        <item x="75"/>
        <item x="15"/>
        <item x="51"/>
        <item x="110"/>
        <item x="86"/>
        <item x="115"/>
        <item x="83"/>
        <item x="107"/>
        <item x="13"/>
        <item x="2"/>
        <item x="52"/>
        <item x="80"/>
        <item x="61"/>
        <item x="127"/>
        <item x="113"/>
        <item x="44"/>
        <item x="94"/>
        <item x="104"/>
        <item x="98"/>
        <item x="40"/>
        <item x="26"/>
        <item x="72"/>
        <item x="59"/>
        <item x="108"/>
        <item x="54"/>
        <item x="109"/>
        <item x="111"/>
        <item x="70"/>
        <item x="38"/>
        <item x="66"/>
        <item x="79"/>
        <item x="93"/>
        <item x="53"/>
        <item x="34"/>
        <item x="56"/>
        <item x="33"/>
        <item x="78"/>
        <item x="57"/>
        <item x="64"/>
        <item x="82"/>
        <item x="63"/>
        <item x="100"/>
        <item x="118"/>
        <item x="85"/>
        <item x="120"/>
        <item x="112"/>
        <item x="123"/>
        <item x="101"/>
        <item x="122"/>
        <item x="55"/>
        <item x="7"/>
        <item x="124"/>
        <item x="81"/>
        <item x="65"/>
        <item x="88"/>
        <item x="92"/>
        <item x="77"/>
        <item x="87"/>
        <item x="116"/>
        <item x="126"/>
        <item x="84"/>
        <item x="37"/>
        <item x="73"/>
        <item x="119"/>
        <item x="49"/>
        <item x="48"/>
        <item x="90"/>
        <item x="128"/>
        <item x="114"/>
        <item x="97"/>
        <item x="99"/>
        <item x="47"/>
        <item x="121"/>
        <item x="89"/>
        <item x="41"/>
        <item x="103"/>
        <item x="95"/>
        <item x="4"/>
        <item x="125"/>
        <item x="8"/>
        <item x="60"/>
        <item x="106"/>
        <item x="96"/>
        <item x="129"/>
        <item t="default"/>
      </items>
    </pivotField>
    <pivotField dataField="1" showAll="0">
      <items count="147">
        <item x="111"/>
        <item x="110"/>
        <item x="120"/>
        <item x="119"/>
        <item x="9"/>
        <item x="47"/>
        <item x="8"/>
        <item x="79"/>
        <item x="16"/>
        <item x="112"/>
        <item x="48"/>
        <item x="84"/>
        <item x="46"/>
        <item x="42"/>
        <item x="51"/>
        <item x="13"/>
        <item x="3"/>
        <item x="6"/>
        <item x="5"/>
        <item x="7"/>
        <item x="36"/>
        <item x="15"/>
        <item x="28"/>
        <item x="0"/>
        <item x="14"/>
        <item x="12"/>
        <item x="33"/>
        <item x="52"/>
        <item x="35"/>
        <item x="45"/>
        <item x="1"/>
        <item x="55"/>
        <item x="32"/>
        <item x="103"/>
        <item x="40"/>
        <item x="85"/>
        <item x="67"/>
        <item x="34"/>
        <item x="26"/>
        <item x="25"/>
        <item x="76"/>
        <item x="102"/>
        <item x="24"/>
        <item x="78"/>
        <item x="29"/>
        <item x="77"/>
        <item x="31"/>
        <item x="59"/>
        <item x="117"/>
        <item x="23"/>
        <item x="122"/>
        <item x="71"/>
        <item x="22"/>
        <item x="81"/>
        <item x="50"/>
        <item x="18"/>
        <item x="27"/>
        <item x="87"/>
        <item x="41"/>
        <item x="20"/>
        <item x="21"/>
        <item x="54"/>
        <item x="37"/>
        <item x="86"/>
        <item x="19"/>
        <item x="60"/>
        <item x="128"/>
        <item x="97"/>
        <item x="132"/>
        <item x="94"/>
        <item x="125"/>
        <item x="17"/>
        <item x="2"/>
        <item x="61"/>
        <item x="91"/>
        <item x="70"/>
        <item x="143"/>
        <item x="130"/>
        <item x="53"/>
        <item x="106"/>
        <item x="121"/>
        <item x="113"/>
        <item x="30"/>
        <item x="82"/>
        <item x="68"/>
        <item x="126"/>
        <item x="63"/>
        <item x="127"/>
        <item x="123"/>
        <item x="80"/>
        <item x="44"/>
        <item x="75"/>
        <item x="90"/>
        <item x="105"/>
        <item x="62"/>
        <item x="39"/>
        <item x="65"/>
        <item x="38"/>
        <item x="89"/>
        <item x="66"/>
        <item x="73"/>
        <item x="93"/>
        <item x="72"/>
        <item x="115"/>
        <item x="134"/>
        <item x="96"/>
        <item x="136"/>
        <item x="129"/>
        <item x="139"/>
        <item x="116"/>
        <item x="138"/>
        <item x="64"/>
        <item x="10"/>
        <item x="140"/>
        <item x="92"/>
        <item x="74"/>
        <item x="99"/>
        <item x="104"/>
        <item x="88"/>
        <item x="98"/>
        <item x="133"/>
        <item x="142"/>
        <item x="95"/>
        <item x="43"/>
        <item x="83"/>
        <item x="135"/>
        <item x="58"/>
        <item x="57"/>
        <item x="101"/>
        <item x="144"/>
        <item x="131"/>
        <item x="109"/>
        <item x="114"/>
        <item x="56"/>
        <item x="137"/>
        <item x="100"/>
        <item x="49"/>
        <item x="118"/>
        <item x="107"/>
        <item x="4"/>
        <item x="141"/>
        <item x="11"/>
        <item x="69"/>
        <item x="124"/>
        <item x="108"/>
        <item x="145"/>
        <item t="default"/>
      </items>
    </pivotField>
    <pivotField multipleItemSelectionAllowed="1" showAll="0"/>
    <pivotField multipleItemSelectionAllowed="1" showAll="0"/>
    <pivotField axis="axisPage" showAll="0">
      <items count="4">
        <item m="1" x="2"/>
        <item x="0"/>
        <item x="1"/>
        <item t="default"/>
      </items>
    </pivotField>
    <pivotField showAll="0"/>
    <pivotField multipleItemSelectionAllowed="1" showAll="0"/>
    <pivotField showAll="0"/>
    <pivotField showAll="0"/>
    <pivotField axis="axisPage" showAll="0">
      <items count="3">
        <item x="0"/>
        <item x="1"/>
        <item t="default"/>
      </items>
    </pivotField>
    <pivotField showAll="0"/>
    <pivotField showAll="0"/>
    <pivotField showAll="0"/>
    <pivotField showAll="0"/>
    <pivotField multipleItemSelectionAllowed="1" showAll="0"/>
    <pivotField multipleItemSelectionAllowed="1" showAll="0"/>
    <pivotField showAll="0"/>
    <pivotField showAll="0"/>
    <pivotField showAll="0"/>
    <pivotField showAll="0"/>
    <pivotField axis="axisCol" showAll="0">
      <items count="5">
        <item x="1"/>
        <item x="0"/>
        <item x="2"/>
        <item x="3"/>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Items count="1">
    <i/>
  </rowItems>
  <colFields count="2">
    <field x="31"/>
    <field x="-2"/>
  </colFields>
  <colItems count="8">
    <i>
      <x/>
      <x/>
    </i>
    <i r="1" i="1">
      <x v="1"/>
    </i>
    <i>
      <x v="1"/>
      <x/>
    </i>
    <i r="1" i="1">
      <x v="1"/>
    </i>
    <i>
      <x v="2"/>
      <x/>
    </i>
    <i r="1" i="1">
      <x v="1"/>
    </i>
    <i t="grand">
      <x/>
    </i>
    <i t="grand" i="1">
      <x/>
    </i>
  </colItems>
  <pageFields count="2">
    <pageField fld="20" item="1" hier="-1"/>
    <pageField fld="15" item="1" hier="-1"/>
  </pageFields>
  <dataFields count="2">
    <dataField name="Sum of Phase Proposed Units" fld="11" baseField="0" baseItem="0"/>
    <dataField name="Sum of Phase Net Units" fld="12"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9.xml><?xml version="1.0" encoding="utf-8"?>
<pivotTableDefinition xmlns="http://schemas.openxmlformats.org/spreadsheetml/2006/main" xmlns:mc="http://schemas.openxmlformats.org/markup-compatibility/2006" xmlns:xr="http://schemas.microsoft.com/office/spreadsheetml/2014/revision" mc:Ignorable="xr" xr:uid="{CE1AC176-0E02-4A2A-95D3-9BCAFDDFAF8F}" name="PivotTable1" cacheId="2" applyNumberFormats="0" applyBorderFormats="0" applyFontFormats="0" applyPatternFormats="0" applyAlignmentFormats="0" applyWidthHeightFormats="1" dataCaption="Values" updatedVersion="8" minRefreshableVersion="3" useAutoFormatting="1" itemPrintTitles="1" createdVersion="4" indent="0" outline="1" outlineData="1" multipleFieldFilters="0">
  <location ref="A3:B9" firstHeaderRow="1" firstDataRow="1" firstDataCol="1" rowPageCount="1" colPageCount="1"/>
  <pivotFields count="93">
    <pivotField showAll="0"/>
    <pivotField axis="axisPage" multipleItemSelectionAllowed="1" showAll="0">
      <items count="9">
        <item x="0"/>
        <item h="1" x="1"/>
        <item h="1" x="2"/>
        <item h="1" x="3"/>
        <item h="1" m="1" x="7"/>
        <item h="1" x="4"/>
        <item h="1" x="6"/>
        <item h="1" x="5"/>
        <item t="default"/>
      </items>
    </pivotField>
    <pivotField showAll="0"/>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multipleItemSelectionAllowed="1" showAll="0"/>
    <pivotField multipleItemSelectionAllowe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showAll="0" sortType="ascending">
      <items count="7">
        <item x="5"/>
        <item x="3"/>
        <item x="2"/>
        <item x="0"/>
        <item x="4"/>
        <item x="1"/>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67"/>
  </rowFields>
  <rowItems count="6">
    <i>
      <x v="1"/>
    </i>
    <i>
      <x v="2"/>
    </i>
    <i>
      <x v="3"/>
    </i>
    <i>
      <x v="4"/>
    </i>
    <i>
      <x v="5"/>
    </i>
    <i t="grand">
      <x/>
    </i>
  </rowItems>
  <colItems count="1">
    <i/>
  </colItems>
  <pageFields count="1">
    <pageField fld="1" hier="-1"/>
  </pageFields>
  <dataFields count="1">
    <dataField name="Sum of Phase Net Units" fld="12" baseField="1"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0.xml><?xml version="1.0" encoding="utf-8"?>
<pivotTableDefinition xmlns="http://schemas.openxmlformats.org/spreadsheetml/2006/main" xmlns:mc="http://schemas.openxmlformats.org/markup-compatibility/2006" xmlns:xr="http://schemas.microsoft.com/office/spreadsheetml/2014/revision" mc:Ignorable="xr" xr:uid="{D3F22BCF-9455-4B2B-BB87-7F986533860F}" name="PivotTable2" cacheId="2" applyNumberFormats="0" applyBorderFormats="0" applyFontFormats="0" applyPatternFormats="0" applyAlignmentFormats="0" applyWidthHeightFormats="1" dataCaption="Values" updatedVersion="8" minRefreshableVersion="3" useAutoFormatting="1" itemPrintTitles="1" createdVersion="4" indent="0" outline="1" outlineData="1" multipleFieldFilters="0">
  <location ref="A3:A4" firstHeaderRow="1" firstDataRow="1" firstDataCol="0" rowPageCount="1" colPageCount="1"/>
  <pivotFields count="93">
    <pivotField showAll="0"/>
    <pivotField axis="axisPage" multipleItemSelectionAllowed="1" showAll="0">
      <items count="9">
        <item x="0"/>
        <item h="1" x="1"/>
        <item h="1" x="2"/>
        <item h="1" x="3"/>
        <item h="1" m="1" x="7"/>
        <item h="1" x="4"/>
        <item h="1" x="6"/>
        <item h="1" x="5"/>
        <item t="default"/>
      </items>
    </pivotField>
    <pivotField showAll="0"/>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multipleItemSelectionAllowed="1" showAll="0"/>
    <pivotField multipleItemSelectionAllowe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Items count="1">
    <i/>
  </rowItems>
  <colItems count="1">
    <i/>
  </colItems>
  <pageFields count="1">
    <pageField fld="1" hier="-1"/>
  </pageFields>
  <dataFields count="1">
    <dataField name="Sum of Phase Net Units" fld="12" baseField="1"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1.xml><?xml version="1.0" encoding="utf-8"?>
<pivotTableDefinition xmlns="http://schemas.openxmlformats.org/spreadsheetml/2006/main" xmlns:mc="http://schemas.openxmlformats.org/markup-compatibility/2006" xmlns:xr="http://schemas.microsoft.com/office/spreadsheetml/2014/revision" mc:Ignorable="xr" xr:uid="{AC98B6FD-A025-4CD5-BD91-9C4AA03F8935}" name="PivotTable3" cacheId="2" applyNumberFormats="0" applyBorderFormats="0" applyFontFormats="0" applyPatternFormats="0" applyAlignmentFormats="0" applyWidthHeightFormats="1" dataCaption="Values" updatedVersion="8" minRefreshableVersion="3" useAutoFormatting="1" itemPrintTitles="1" createdVersion="4" indent="0" outline="1" outlineData="1" multipleFieldFilters="0">
  <location ref="A4:B14" firstHeaderRow="1" firstDataRow="1" firstDataCol="1" rowPageCount="1" colPageCount="1"/>
  <pivotFields count="93">
    <pivotField showAll="0"/>
    <pivotField axis="axisPage" multipleItemSelectionAllowed="1" showAll="0">
      <items count="9">
        <item x="0"/>
        <item h="1" x="1"/>
        <item h="1" x="2"/>
        <item h="1" x="3"/>
        <item h="1" m="1" x="7"/>
        <item h="1" x="4"/>
        <item h="1" x="5"/>
        <item h="1" x="6"/>
        <item t="default"/>
      </items>
    </pivotField>
    <pivotField showAll="0"/>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multipleItemSelectionAllowed="1" showAll="0"/>
    <pivotField multipleItemSelectionAllowe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showAll="0">
      <items count="20">
        <item x="9"/>
        <item x="11"/>
        <item x="13"/>
        <item x="12"/>
        <item x="2"/>
        <item x="14"/>
        <item m="1" x="17"/>
        <item x="0"/>
        <item x="4"/>
        <item x="7"/>
        <item x="15"/>
        <item m="1" x="18"/>
        <item x="10"/>
        <item x="1"/>
        <item x="3"/>
        <item x="5"/>
        <item x="6"/>
        <item m="1" x="16"/>
        <item x="8"/>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69"/>
  </rowFields>
  <rowItems count="10">
    <i>
      <x v="4"/>
    </i>
    <i>
      <x v="7"/>
    </i>
    <i>
      <x v="8"/>
    </i>
    <i>
      <x v="9"/>
    </i>
    <i>
      <x v="13"/>
    </i>
    <i>
      <x v="14"/>
    </i>
    <i>
      <x v="15"/>
    </i>
    <i>
      <x v="16"/>
    </i>
    <i>
      <x v="18"/>
    </i>
    <i t="grand">
      <x/>
    </i>
  </rowItems>
  <colItems count="1">
    <i/>
  </colItems>
  <pageFields count="1">
    <pageField fld="1" hier="-1"/>
  </pageFields>
  <dataFields count="1">
    <dataField name="Sum of Phase Net Units" fld="12" baseField="1"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2.xml><?xml version="1.0" encoding="utf-8"?>
<pivotTableDefinition xmlns="http://schemas.openxmlformats.org/spreadsheetml/2006/main" xmlns:mc="http://schemas.openxmlformats.org/markup-compatibility/2006" xmlns:xr="http://schemas.microsoft.com/office/spreadsheetml/2014/revision" mc:Ignorable="xr" xr:uid="{A0A6DAFD-072B-4963-B19B-13F360E14736}" name="PivotTable9" cacheId="2" applyNumberFormats="0" applyBorderFormats="0" applyFontFormats="0" applyPatternFormats="0" applyAlignmentFormats="0" applyWidthHeightFormats="1" dataCaption="Values" missingCaption="0" updatedVersion="8" minRefreshableVersion="3" useAutoFormatting="1" itemPrintTitles="1" createdVersion="4" indent="0" outline="1" outlineData="1" multipleFieldFilters="0">
  <location ref="A1:E25" firstHeaderRow="1" firstDataRow="2" firstDataCol="1"/>
  <pivotFields count="93">
    <pivotField showAll="0"/>
    <pivotField axis="axisCol" multipleItemSelectionAllowed="1" showAll="0">
      <items count="9">
        <item x="0"/>
        <item x="1"/>
        <item x="2"/>
        <item h="1" x="3"/>
        <item h="1" m="1" x="7"/>
        <item h="1" x="4"/>
        <item h="1" x="6"/>
        <item h="1" x="5"/>
        <item t="default"/>
      </items>
    </pivotField>
    <pivotField showAll="0"/>
    <pivotField showAll="0"/>
    <pivotField showAll="0"/>
    <pivotField showAll="0"/>
    <pivotField showAll="0"/>
    <pivotField axis="axisRow" showAll="0">
      <items count="24">
        <item x="6"/>
        <item x="2"/>
        <item x="7"/>
        <item x="21"/>
        <item x="9"/>
        <item x="8"/>
        <item x="1"/>
        <item x="11"/>
        <item x="4"/>
        <item x="20"/>
        <item x="18"/>
        <item x="12"/>
        <item x="15"/>
        <item x="3"/>
        <item x="19"/>
        <item x="0"/>
        <item x="10"/>
        <item x="13"/>
        <item x="17"/>
        <item x="14"/>
        <item x="5"/>
        <item x="16"/>
        <item x="22"/>
        <item t="default"/>
      </items>
    </pivotField>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multipleItemSelectionAllowed="1" showAll="0"/>
    <pivotField multipleItemSelectionAllowe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7"/>
  </rowFields>
  <rowItems count="23">
    <i>
      <x/>
    </i>
    <i>
      <x v="1"/>
    </i>
    <i>
      <x v="2"/>
    </i>
    <i>
      <x v="3"/>
    </i>
    <i>
      <x v="4"/>
    </i>
    <i>
      <x v="5"/>
    </i>
    <i>
      <x v="6"/>
    </i>
    <i>
      <x v="7"/>
    </i>
    <i>
      <x v="8"/>
    </i>
    <i>
      <x v="9"/>
    </i>
    <i>
      <x v="10"/>
    </i>
    <i>
      <x v="11"/>
    </i>
    <i>
      <x v="12"/>
    </i>
    <i>
      <x v="13"/>
    </i>
    <i>
      <x v="14"/>
    </i>
    <i>
      <x v="15"/>
    </i>
    <i>
      <x v="16"/>
    </i>
    <i>
      <x v="17"/>
    </i>
    <i>
      <x v="18"/>
    </i>
    <i>
      <x v="19"/>
    </i>
    <i>
      <x v="20"/>
    </i>
    <i>
      <x v="21"/>
    </i>
    <i t="grand">
      <x/>
    </i>
  </rowItems>
  <colFields count="1">
    <field x="1"/>
  </colFields>
  <colItems count="4">
    <i>
      <x/>
    </i>
    <i>
      <x v="1"/>
    </i>
    <i>
      <x v="2"/>
    </i>
    <i t="grand">
      <x/>
    </i>
  </colItems>
  <dataFields count="1">
    <dataField name="Sum of Phase Net Units" fld="12" baseField="1"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3.xml><?xml version="1.0" encoding="utf-8"?>
<pivotTableDefinition xmlns="http://schemas.openxmlformats.org/spreadsheetml/2006/main" xmlns:mc="http://schemas.openxmlformats.org/markup-compatibility/2006" xmlns:xr="http://schemas.microsoft.com/office/spreadsheetml/2014/revision" mc:Ignorable="xr" xr:uid="{BCB03A2B-0F3E-4D14-B10F-D0287DAC64D4}" name="PivotTable10" cacheId="2" applyNumberFormats="0" applyBorderFormats="0" applyFontFormats="0" applyPatternFormats="0" applyAlignmentFormats="0" applyWidthHeightFormats="1" dataCaption="Values" missingCaption="0" updatedVersion="8" minRefreshableVersion="3" useAutoFormatting="1" itemPrintTitles="1" createdVersion="4" indent="0" outline="1" outlineData="1" multipleFieldFilters="0">
  <location ref="A1:O6" firstHeaderRow="1" firstDataRow="3" firstDataCol="1"/>
  <pivotFields count="93">
    <pivotField showAll="0"/>
    <pivotField axis="axisCol" multipleItemSelectionAllowed="1" showAll="0">
      <items count="9">
        <item x="2"/>
        <item x="1"/>
        <item h="1" x="3"/>
        <item h="1" m="1" x="7"/>
        <item h="1" x="4"/>
        <item h="1" x="6"/>
        <item x="0"/>
        <item h="1" x="5"/>
        <item t="default"/>
      </items>
    </pivotField>
    <pivotField showAll="0"/>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multipleItemSelectionAllowed="1" showAll="0"/>
    <pivotField multipleItemSelectionAllowed="1" showAll="0"/>
    <pivotField showAll="0"/>
    <pivotField showAll="0"/>
    <pivotField showAll="0"/>
    <pivotField showAll="0"/>
    <pivotField axis="axisCol" showAll="0">
      <items count="5">
        <item x="0"/>
        <item x="1"/>
        <item x="2"/>
        <item x="3"/>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showAll="0">
      <items count="3">
        <item x="1"/>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68"/>
  </rowFields>
  <rowItems count="3">
    <i>
      <x/>
    </i>
    <i>
      <x v="1"/>
    </i>
    <i t="grand">
      <x/>
    </i>
  </rowItems>
  <colFields count="2">
    <field x="1"/>
    <field x="31"/>
  </colFields>
  <colItems count="14">
    <i>
      <x/>
      <x/>
    </i>
    <i r="1">
      <x v="1"/>
    </i>
    <i r="1">
      <x v="2"/>
    </i>
    <i t="default">
      <x/>
    </i>
    <i>
      <x v="1"/>
      <x/>
    </i>
    <i r="1">
      <x v="1"/>
    </i>
    <i r="1">
      <x v="2"/>
    </i>
    <i r="1">
      <x v="3"/>
    </i>
    <i t="default">
      <x v="1"/>
    </i>
    <i>
      <x v="6"/>
      <x/>
    </i>
    <i r="1">
      <x v="1"/>
    </i>
    <i r="1">
      <x v="2"/>
    </i>
    <i t="default">
      <x v="6"/>
    </i>
    <i t="grand">
      <x/>
    </i>
  </colItems>
  <dataFields count="1">
    <dataField name="Sum of Phase Net Units" fld="12" baseField="1"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4.xml><?xml version="1.0" encoding="utf-8"?>
<pivotTableDefinition xmlns="http://schemas.openxmlformats.org/spreadsheetml/2006/main" xmlns:mc="http://schemas.openxmlformats.org/markup-compatibility/2006" xmlns:xr="http://schemas.microsoft.com/office/spreadsheetml/2014/revision" mc:Ignorable="xr" xr:uid="{89902814-15FF-4997-86CB-075F04D76376}" name="PivotTable11" cacheId="2" applyNumberFormats="0" applyBorderFormats="0" applyFontFormats="0" applyPatternFormats="0" applyAlignmentFormats="0" applyWidthHeightFormats="1" dataCaption="Values" missingCaption="0" updatedVersion="8" minRefreshableVersion="3" useAutoFormatting="1" itemPrintTitles="1" createdVersion="4" indent="0" outline="1" outlineData="1" multipleFieldFilters="0">
  <location ref="A5:I9" firstHeaderRow="0" firstDataRow="1" firstDataCol="1" rowPageCount="3" colPageCount="1"/>
  <pivotFields count="93">
    <pivotField showAll="0"/>
    <pivotField axis="axisPage" multipleItemSelectionAllowed="1" showAll="0">
      <items count="9">
        <item h="1" x="2"/>
        <item h="1" x="1"/>
        <item h="1" x="3"/>
        <item h="1" m="1" x="7"/>
        <item h="1" x="4"/>
        <item h="1" x="6"/>
        <item x="0"/>
        <item h="1" x="5"/>
        <item t="default"/>
      </items>
    </pivotField>
    <pivotField showAll="0"/>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axis="axisPage" multipleItemSelectionAllowed="1" showAll="0">
      <items count="8">
        <item h="1" x="6"/>
        <item h="1" x="5"/>
        <item x="2"/>
        <item x="1"/>
        <item h="1" x="4"/>
        <item h="1" x="0"/>
        <item h="1" x="3"/>
        <item t="default"/>
      </items>
    </pivotField>
    <pivotField axis="axisPage" multipleItemSelectionAllowed="1" showAll="0">
      <items count="16">
        <item h="1" x="10"/>
        <item h="1" x="11"/>
        <item h="1" x="1"/>
        <item h="1" x="5"/>
        <item h="1" x="2"/>
        <item h="1" x="4"/>
        <item h="1" x="6"/>
        <item h="1" x="8"/>
        <item h="1" x="9"/>
        <item h="1" x="13"/>
        <item h="1" x="12"/>
        <item h="1" x="7"/>
        <item x="3"/>
        <item x="0"/>
        <item h="1" m="1" x="14"/>
        <item t="default"/>
      </items>
    </pivotField>
    <pivotField showAll="0"/>
    <pivotField showAll="0"/>
    <pivotField showAll="0"/>
    <pivotField showAll="0"/>
    <pivotField axis="axisRow" showAll="0">
      <items count="5">
        <item x="0"/>
        <item x="1"/>
        <item x="2"/>
        <item x="3"/>
        <item t="default"/>
      </items>
    </pivotField>
    <pivotField showAll="0"/>
    <pivotField showAll="0"/>
    <pivotField showAll="0"/>
    <pivotField showAll="0"/>
    <pivotField showAll="0"/>
    <pivotField showAll="0"/>
    <pivotField showAll="0"/>
    <pivotField dataField="1" showAll="0"/>
    <pivotField dataField="1" showAll="0"/>
    <pivotField dataField="1" showAll="0"/>
    <pivotField dataField="1" showAll="0"/>
    <pivotField dataField="1" showAll="0"/>
    <pivotField dataField="1"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31"/>
  </rowFields>
  <rowItems count="4">
    <i>
      <x/>
    </i>
    <i>
      <x v="1"/>
    </i>
    <i>
      <x v="2"/>
    </i>
    <i t="grand">
      <x/>
    </i>
  </rowItems>
  <colFields count="1">
    <field x="-2"/>
  </colFields>
  <colItems count="8">
    <i>
      <x/>
    </i>
    <i i="1">
      <x v="1"/>
    </i>
    <i i="2">
      <x v="2"/>
    </i>
    <i i="3">
      <x v="3"/>
    </i>
    <i i="4">
      <x v="4"/>
    </i>
    <i i="5">
      <x v="5"/>
    </i>
    <i i="6">
      <x v="6"/>
    </i>
    <i i="7">
      <x v="7"/>
    </i>
  </colItems>
  <pageFields count="3">
    <pageField fld="1" hier="-1"/>
    <pageField fld="25" hier="-1"/>
    <pageField fld="26" hier="-1"/>
  </pageFields>
  <dataFields count="8">
    <dataField name="Sum of Phase Net Units" fld="12" baseField="1" baseItem="0"/>
    <dataField name="Sum of Net Studio Units" fld="39" baseField="0" baseItem="0"/>
    <dataField name="Sum of Net 1 Bed Units" fld="40" baseField="0" baseItem="0"/>
    <dataField name="Sum of Net 2 Bed Units" fld="41" baseField="0" baseItem="0"/>
    <dataField name="Sum of Net 3 Bed Units" fld="42" baseField="0" baseItem="0"/>
    <dataField name="Sum of Net 4 Bed Units" fld="43" baseField="0" baseItem="0"/>
    <dataField name="Sum of Net 5+ Bed Units" fld="44" baseField="0" baseItem="0"/>
    <dataField name="Sum of Net Not Known Bed Units" fld="45"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5.xml><?xml version="1.0" encoding="utf-8"?>
<pivotTableDefinition xmlns="http://schemas.openxmlformats.org/spreadsheetml/2006/main" xmlns:mc="http://schemas.openxmlformats.org/markup-compatibility/2006" xmlns:xr="http://schemas.microsoft.com/office/spreadsheetml/2014/revision" mc:Ignorable="xr" xr:uid="{CEB89FBB-9891-4A7E-B40E-F1F7D30D1FE1}" name="PivotTable12" cacheId="2" applyNumberFormats="0" applyBorderFormats="0" applyFontFormats="0" applyPatternFormats="0" applyAlignmentFormats="0" applyWidthHeightFormats="1" dataCaption="Values" missingCaption="0" updatedVersion="8" minRefreshableVersion="3" useAutoFormatting="1" itemPrintTitles="1" createdVersion="4" indent="0" outline="1" outlineData="1" multipleFieldFilters="0">
  <location ref="A5:I9" firstHeaderRow="0" firstDataRow="1" firstDataCol="1" rowPageCount="3" colPageCount="1"/>
  <pivotFields count="93">
    <pivotField showAll="0"/>
    <pivotField axis="axisPage" multipleItemSelectionAllowed="1" showAll="0">
      <items count="9">
        <item x="2"/>
        <item x="1"/>
        <item h="1" x="3"/>
        <item h="1" m="1" x="7"/>
        <item h="1" x="4"/>
        <item h="1" x="6"/>
        <item h="1" x="0"/>
        <item h="1" x="5"/>
        <item t="default"/>
      </items>
    </pivotField>
    <pivotField showAll="0"/>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axis="axisPage" multipleItemSelectionAllowed="1" showAll="0">
      <items count="8">
        <item h="1" x="6"/>
        <item h="1" x="5"/>
        <item x="2"/>
        <item x="1"/>
        <item h="1" x="4"/>
        <item h="1" x="0"/>
        <item h="1" x="3"/>
        <item t="default"/>
      </items>
    </pivotField>
    <pivotField axis="axisPage" multipleItemSelectionAllowed="1" showAll="0">
      <items count="16">
        <item h="1" x="10"/>
        <item h="1" x="11"/>
        <item h="1" x="1"/>
        <item h="1" x="5"/>
        <item h="1" x="2"/>
        <item h="1" x="4"/>
        <item h="1" x="6"/>
        <item h="1" x="8"/>
        <item h="1" x="9"/>
        <item h="1" x="13"/>
        <item h="1" x="12"/>
        <item h="1" x="7"/>
        <item x="3"/>
        <item x="0"/>
        <item h="1" m="1" x="14"/>
        <item t="default"/>
      </items>
    </pivotField>
    <pivotField showAll="0"/>
    <pivotField showAll="0"/>
    <pivotField showAll="0"/>
    <pivotField showAll="0"/>
    <pivotField axis="axisRow" showAll="0">
      <items count="5">
        <item x="0"/>
        <item x="1"/>
        <item x="2"/>
        <item x="3"/>
        <item t="default"/>
      </items>
    </pivotField>
    <pivotField showAll="0"/>
    <pivotField showAll="0"/>
    <pivotField showAll="0"/>
    <pivotField showAll="0"/>
    <pivotField showAll="0"/>
    <pivotField showAll="0"/>
    <pivotField showAll="0"/>
    <pivotField dataField="1" showAll="0"/>
    <pivotField dataField="1" showAll="0"/>
    <pivotField dataField="1" showAll="0"/>
    <pivotField dataField="1" showAll="0"/>
    <pivotField dataField="1" showAll="0"/>
    <pivotField dataField="1"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31"/>
  </rowFields>
  <rowItems count="4">
    <i>
      <x/>
    </i>
    <i>
      <x v="1"/>
    </i>
    <i>
      <x v="2"/>
    </i>
    <i t="grand">
      <x/>
    </i>
  </rowItems>
  <colFields count="1">
    <field x="-2"/>
  </colFields>
  <colItems count="8">
    <i>
      <x/>
    </i>
    <i i="1">
      <x v="1"/>
    </i>
    <i i="2">
      <x v="2"/>
    </i>
    <i i="3">
      <x v="3"/>
    </i>
    <i i="4">
      <x v="4"/>
    </i>
    <i i="5">
      <x v="5"/>
    </i>
    <i i="6">
      <x v="6"/>
    </i>
    <i i="7">
      <x v="7"/>
    </i>
  </colItems>
  <pageFields count="3">
    <pageField fld="1" hier="-1"/>
    <pageField fld="25" hier="-1"/>
    <pageField fld="26" hier="-1"/>
  </pageFields>
  <dataFields count="8">
    <dataField name="Sum of Phase Net Units" fld="12" baseField="1" baseItem="0"/>
    <dataField name="Sum of Net Studio Units" fld="39" baseField="0" baseItem="0"/>
    <dataField name="Sum of Net 1 Bed Units" fld="40" baseField="0" baseItem="0"/>
    <dataField name="Sum of Net 2 Bed Units" fld="41" baseField="0" baseItem="0"/>
    <dataField name="Sum of Net 3 Bed Units" fld="42" baseField="0" baseItem="0"/>
    <dataField name="Sum of Net 4 Bed Units" fld="43" baseField="0" baseItem="0"/>
    <dataField name="Sum of Net 5+ Bed Units" fld="44" baseField="0" baseItem="0"/>
    <dataField name="Sum of Net Not Known Bed Units" fld="45"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6.xml><?xml version="1.0" encoding="utf-8"?>
<pivotTableDefinition xmlns="http://schemas.openxmlformats.org/spreadsheetml/2006/main" xmlns:mc="http://schemas.openxmlformats.org/markup-compatibility/2006" xmlns:xr="http://schemas.microsoft.com/office/spreadsheetml/2014/revision" mc:Ignorable="xr" xr:uid="{C68AF3CA-40A7-4ED3-A9E5-6B156C85E526}" name="PivotTable13" cacheId="2" applyNumberFormats="0" applyBorderFormats="0" applyFontFormats="0" applyPatternFormats="0" applyAlignmentFormats="0" applyWidthHeightFormats="1" dataCaption="Values" missingCaption="0" updatedVersion="8" minRefreshableVersion="3" useAutoFormatting="1" itemPrintTitles="1" createdVersion="4" indent="0" outline="1" outlineData="1" multipleFieldFilters="0">
  <location ref="A3:N9" firstHeaderRow="1" firstDataRow="2" firstDataCol="1" rowPageCount="1" colPageCount="1"/>
  <pivotFields count="93">
    <pivotField showAll="0"/>
    <pivotField axis="axisPage" multipleItemSelectionAllowed="1" showAll="0">
      <items count="9">
        <item h="1" x="2"/>
        <item h="1" x="1"/>
        <item h="1" x="3"/>
        <item h="1" m="1" x="7"/>
        <item h="1" x="4"/>
        <item h="1" x="6"/>
        <item x="0"/>
        <item h="1" x="5"/>
        <item t="default"/>
      </items>
    </pivotField>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multipleItemSelectionAllowed="1" showAll="0">
      <items count="8">
        <item x="6"/>
        <item x="5"/>
        <item x="2"/>
        <item x="1"/>
        <item x="4"/>
        <item x="0"/>
        <item x="3"/>
        <item t="default"/>
      </items>
    </pivotField>
    <pivotField axis="axisCol" multipleItemSelectionAllowed="1" showAll="0">
      <items count="16">
        <item x="10"/>
        <item x="11"/>
        <item x="1"/>
        <item x="5"/>
        <item x="2"/>
        <item x="4"/>
        <item x="6"/>
        <item x="8"/>
        <item x="9"/>
        <item x="13"/>
        <item x="12"/>
        <item x="7"/>
        <item x="3"/>
        <item x="0"/>
        <item m="1" x="14"/>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25"/>
  </rowFields>
  <rowItems count="5">
    <i>
      <x v="2"/>
    </i>
    <i>
      <x v="3"/>
    </i>
    <i>
      <x v="5"/>
    </i>
    <i>
      <x v="6"/>
    </i>
    <i t="grand">
      <x/>
    </i>
  </rowItems>
  <colFields count="1">
    <field x="26"/>
  </colFields>
  <colItems count="13">
    <i>
      <x/>
    </i>
    <i>
      <x v="1"/>
    </i>
    <i>
      <x v="2"/>
    </i>
    <i>
      <x v="3"/>
    </i>
    <i>
      <x v="4"/>
    </i>
    <i>
      <x v="5"/>
    </i>
    <i>
      <x v="6"/>
    </i>
    <i>
      <x v="7"/>
    </i>
    <i>
      <x v="8"/>
    </i>
    <i>
      <x v="11"/>
    </i>
    <i>
      <x v="12"/>
    </i>
    <i>
      <x v="13"/>
    </i>
    <i t="grand">
      <x/>
    </i>
  </colItems>
  <pageFields count="1">
    <pageField fld="1" hier="-1"/>
  </pageFields>
  <dataFields count="1">
    <dataField name="Sum of Phase Proposed Units" fld="11"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7.xml><?xml version="1.0" encoding="utf-8"?>
<pivotTableDefinition xmlns="http://schemas.openxmlformats.org/spreadsheetml/2006/main" xmlns:mc="http://schemas.openxmlformats.org/markup-compatibility/2006" xmlns:xr="http://schemas.microsoft.com/office/spreadsheetml/2014/revision" mc:Ignorable="xr" xr:uid="{2AFBA6CA-BB8F-4DC6-9F7B-ADFEA5A5E098}" name="PivotTable14" cacheId="2" applyNumberFormats="0" applyBorderFormats="0" applyFontFormats="0" applyPatternFormats="0" applyAlignmentFormats="0" applyWidthHeightFormats="1" dataCaption="Values" missingCaption="0" updatedVersion="8" minRefreshableVersion="3" useAutoFormatting="1" itemPrintTitles="1" createdVersion="4" indent="0" outline="1" outlineData="1" multipleFieldFilters="0">
  <location ref="A3:O10" firstHeaderRow="1" firstDataRow="2" firstDataCol="1" rowPageCount="1" colPageCount="1"/>
  <pivotFields count="93">
    <pivotField showAll="0"/>
    <pivotField axis="axisPage" multipleItemSelectionAllowed="1" showAll="0">
      <items count="9">
        <item x="2"/>
        <item x="1"/>
        <item h="1" x="3"/>
        <item h="1" m="1" x="7"/>
        <item h="1" x="4"/>
        <item h="1" x="6"/>
        <item h="1" x="0"/>
        <item h="1" x="5"/>
        <item t="default"/>
      </items>
    </pivotField>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multipleItemSelectionAllowed="1" showAll="0">
      <items count="8">
        <item x="6"/>
        <item x="5"/>
        <item x="2"/>
        <item h="1" x="1"/>
        <item x="4"/>
        <item x="0"/>
        <item h="1" x="3"/>
        <item t="default"/>
      </items>
    </pivotField>
    <pivotField axis="axisCol" multipleItemSelectionAllowed="1" showAll="0">
      <items count="16">
        <item x="10"/>
        <item x="11"/>
        <item x="1"/>
        <item x="5"/>
        <item x="2"/>
        <item x="4"/>
        <item x="6"/>
        <item x="8"/>
        <item x="9"/>
        <item x="13"/>
        <item x="12"/>
        <item x="7"/>
        <item h="1" x="3"/>
        <item x="0"/>
        <item h="1" m="1" x="14"/>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25"/>
  </rowFields>
  <rowItems count="6">
    <i>
      <x/>
    </i>
    <i>
      <x v="1"/>
    </i>
    <i>
      <x v="2"/>
    </i>
    <i>
      <x v="4"/>
    </i>
    <i>
      <x v="5"/>
    </i>
    <i t="grand">
      <x/>
    </i>
  </rowItems>
  <colFields count="1">
    <field x="26"/>
  </colFields>
  <colItems count="14">
    <i>
      <x/>
    </i>
    <i>
      <x v="1"/>
    </i>
    <i>
      <x v="2"/>
    </i>
    <i>
      <x v="3"/>
    </i>
    <i>
      <x v="4"/>
    </i>
    <i>
      <x v="5"/>
    </i>
    <i>
      <x v="6"/>
    </i>
    <i>
      <x v="7"/>
    </i>
    <i>
      <x v="8"/>
    </i>
    <i>
      <x v="9"/>
    </i>
    <i>
      <x v="10"/>
    </i>
    <i>
      <x v="11"/>
    </i>
    <i>
      <x v="13"/>
    </i>
    <i t="grand">
      <x/>
    </i>
  </colItems>
  <pageFields count="1">
    <pageField fld="1" hier="-1"/>
  </pageFields>
  <dataFields count="1">
    <dataField name="Sum of Phase Proposed Units" fld="11"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Wandsworth Council">
      <a:majorFont>
        <a:latin typeface="Arial"/>
        <a:ea typeface=""/>
        <a:cs typeface=""/>
      </a:majorFont>
      <a:minorFont>
        <a:latin typeface="Arial"/>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pivotTable" Target="../pivotTables/pivotTable1.xm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ivotTable" Target="../pivotTables/pivotTable2.xm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pivotTable" Target="../pivotTables/pivotTable3.xml"/></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ivotTable" Target="../pivotTables/pivotTable4.xm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pivotTable" Target="../pivotTables/pivotTable5.xm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ivotTable" Target="../pivotTables/pivotTable6.xml"/></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pivotTable" Target="../pivotTables/pivotTable7.xml"/></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pivotTable" Target="../pivotTables/pivotTable8.xml"/></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ivotTable" Target="../pivotTables/pivotTable9.xml"/></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ivotTable" Target="../pivotTables/pivotTable10.xml"/></Relationships>
</file>

<file path=xl/worksheets/_rels/sheet19.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pivotTable" Target="../pivotTables/pivotTable11.xml"/></Relationships>
</file>

<file path=xl/worksheets/_rels/sheet20.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ivotTable" Target="../pivotTables/pivotTable12.xml"/></Relationships>
</file>

<file path=xl/worksheets/_rels/sheet21.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ivotTable" Target="../pivotTables/pivotTable13.xml"/></Relationships>
</file>

<file path=xl/worksheets/_rels/sheet22.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ivotTable" Target="../pivotTables/pivotTable14.xml"/></Relationships>
</file>

<file path=xl/worksheets/_rels/sheet23.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ivotTable" Target="../pivotTables/pivotTable15.xml"/></Relationships>
</file>

<file path=xl/worksheets/_rels/sheet2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ivotTable" Target="../pivotTables/pivotTable16.xml"/></Relationships>
</file>

<file path=xl/worksheets/_rels/sheet25.xml.rels><?xml version="1.0" encoding="UTF-8" standalone="yes"?>
<Relationships xmlns="http://schemas.openxmlformats.org/package/2006/relationships"><Relationship Id="rId2" Type="http://schemas.openxmlformats.org/officeDocument/2006/relationships/printerSettings" Target="../printerSettings/printerSettings25.bin"/><Relationship Id="rId1" Type="http://schemas.openxmlformats.org/officeDocument/2006/relationships/pivotTable" Target="../pivotTables/pivotTable17.xml"/></Relationships>
</file>

<file path=xl/worksheets/_rels/sheet26.xml.rels><?xml version="1.0" encoding="UTF-8" standalone="yes"?>
<Relationships xmlns="http://schemas.openxmlformats.org/package/2006/relationships"><Relationship Id="rId2" Type="http://schemas.openxmlformats.org/officeDocument/2006/relationships/printerSettings" Target="../printerSettings/printerSettings26.bin"/><Relationship Id="rId1" Type="http://schemas.openxmlformats.org/officeDocument/2006/relationships/pivotTable" Target="../pivotTables/pivotTable18.xml"/></Relationships>
</file>

<file path=xl/worksheets/_rels/sheet27.xml.rels><?xml version="1.0" encoding="UTF-8" standalone="yes"?>
<Relationships xmlns="http://schemas.openxmlformats.org/package/2006/relationships"><Relationship Id="rId2" Type="http://schemas.openxmlformats.org/officeDocument/2006/relationships/printerSettings" Target="../printerSettings/printerSettings27.bin"/><Relationship Id="rId1" Type="http://schemas.openxmlformats.org/officeDocument/2006/relationships/pivotTable" Target="../pivotTables/pivotTable19.xml"/></Relationships>
</file>

<file path=xl/worksheets/_rels/sheet28.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pivotTable" Target="../pivotTables/pivotTable20.xml"/></Relationships>
</file>

<file path=xl/worksheets/_rels/sheet29.xml.rels><?xml version="1.0" encoding="UTF-8" standalone="yes"?>
<Relationships xmlns="http://schemas.openxmlformats.org/package/2006/relationships"><Relationship Id="rId2" Type="http://schemas.openxmlformats.org/officeDocument/2006/relationships/printerSettings" Target="../printerSettings/printerSettings29.bin"/><Relationship Id="rId1" Type="http://schemas.openxmlformats.org/officeDocument/2006/relationships/pivotTable" Target="../pivotTables/pivotTable21.xml"/></Relationships>
</file>

<file path=xl/worksheets/_rels/sheet30.xml.rels><?xml version="1.0" encoding="UTF-8" standalone="yes"?>
<Relationships xmlns="http://schemas.openxmlformats.org/package/2006/relationships"><Relationship Id="rId2" Type="http://schemas.openxmlformats.org/officeDocument/2006/relationships/printerSettings" Target="../printerSettings/printerSettings30.bin"/><Relationship Id="rId1" Type="http://schemas.openxmlformats.org/officeDocument/2006/relationships/pivotTable" Target="../pivotTables/pivotTable22.xml"/></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31.bin"/><Relationship Id="rId1" Type="http://schemas.openxmlformats.org/officeDocument/2006/relationships/pivotTable" Target="../pivotTables/pivotTable23.xml"/></Relationships>
</file>

<file path=xl/worksheets/_rels/sheet32.xml.rels><?xml version="1.0" encoding="UTF-8" standalone="yes"?>
<Relationships xmlns="http://schemas.openxmlformats.org/package/2006/relationships"><Relationship Id="rId2" Type="http://schemas.openxmlformats.org/officeDocument/2006/relationships/printerSettings" Target="../printerSettings/printerSettings32.bin"/><Relationship Id="rId1" Type="http://schemas.openxmlformats.org/officeDocument/2006/relationships/pivotTable" Target="../pivotTables/pivotTable24.xml"/></Relationships>
</file>

<file path=xl/worksheets/_rels/sheet33.xml.rels><?xml version="1.0" encoding="UTF-8" standalone="yes"?>
<Relationships xmlns="http://schemas.openxmlformats.org/package/2006/relationships"><Relationship Id="rId2" Type="http://schemas.openxmlformats.org/officeDocument/2006/relationships/printerSettings" Target="../printerSettings/printerSettings33.bin"/><Relationship Id="rId1" Type="http://schemas.openxmlformats.org/officeDocument/2006/relationships/pivotTable" Target="../pivotTables/pivotTable25.xml"/></Relationships>
</file>

<file path=xl/worksheets/_rels/sheet34.xml.rels><?xml version="1.0" encoding="UTF-8" standalone="yes"?>
<Relationships xmlns="http://schemas.openxmlformats.org/package/2006/relationships"><Relationship Id="rId2" Type="http://schemas.openxmlformats.org/officeDocument/2006/relationships/printerSettings" Target="../printerSettings/printerSettings34.bin"/><Relationship Id="rId1" Type="http://schemas.openxmlformats.org/officeDocument/2006/relationships/pivotTable" Target="../pivotTables/pivotTable26.xml"/></Relationships>
</file>

<file path=xl/worksheets/_rels/sheet35.xml.rels><?xml version="1.0" encoding="UTF-8" standalone="yes"?>
<Relationships xmlns="http://schemas.openxmlformats.org/package/2006/relationships"><Relationship Id="rId2" Type="http://schemas.openxmlformats.org/officeDocument/2006/relationships/printerSettings" Target="../printerSettings/printerSettings35.bin"/><Relationship Id="rId1" Type="http://schemas.openxmlformats.org/officeDocument/2006/relationships/pivotTable" Target="../pivotTables/pivotTable2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autoPageBreaks="0" fitToPage="1"/>
  </sheetPr>
  <dimension ref="A1:V385"/>
  <sheetViews>
    <sheetView tabSelected="1" zoomScaleNormal="100" workbookViewId="0">
      <selection sqref="A1:Q1"/>
    </sheetView>
  </sheetViews>
  <sheetFormatPr defaultColWidth="9.140625" defaultRowHeight="12.75" x14ac:dyDescent="0.2"/>
  <cols>
    <col min="1" max="1" width="11.140625" customWidth="1"/>
    <col min="2" max="2" width="9.5703125" customWidth="1"/>
    <col min="4" max="4" width="9.7109375" customWidth="1"/>
    <col min="8" max="8" width="9.7109375" customWidth="1"/>
  </cols>
  <sheetData>
    <row r="1" spans="1:17" ht="31.5" customHeight="1" x14ac:dyDescent="0.2">
      <c r="A1" s="347" t="s">
        <v>0</v>
      </c>
      <c r="B1" s="347"/>
      <c r="C1" s="347"/>
      <c r="D1" s="347"/>
      <c r="E1" s="347"/>
      <c r="F1" s="347"/>
      <c r="G1" s="347"/>
      <c r="H1" s="347"/>
      <c r="I1" s="347"/>
      <c r="J1" s="347"/>
      <c r="K1" s="347"/>
      <c r="L1" s="347"/>
      <c r="M1" s="347"/>
      <c r="N1" s="347"/>
      <c r="O1" s="347"/>
      <c r="P1" s="347"/>
      <c r="Q1" s="347"/>
    </row>
    <row r="3" spans="1:17" s="35" customFormat="1" ht="18" x14ac:dyDescent="0.25">
      <c r="A3" s="69" t="s">
        <v>1</v>
      </c>
      <c r="B3" s="70"/>
      <c r="C3" s="70"/>
      <c r="D3" s="70"/>
      <c r="E3" s="70"/>
      <c r="F3" s="70"/>
      <c r="G3" s="70"/>
      <c r="H3" s="70"/>
      <c r="I3" s="70"/>
      <c r="J3" s="70"/>
      <c r="K3" s="70"/>
      <c r="L3" s="70"/>
      <c r="M3" s="70"/>
      <c r="N3" s="70"/>
      <c r="O3" s="70"/>
      <c r="P3" s="70"/>
      <c r="Q3" s="70"/>
    </row>
    <row r="4" spans="1:17" x14ac:dyDescent="0.2">
      <c r="A4" s="23"/>
      <c r="B4" s="23"/>
      <c r="C4" s="23"/>
      <c r="D4" s="23"/>
      <c r="E4" s="23"/>
      <c r="F4" s="23"/>
      <c r="G4" s="23"/>
      <c r="H4" s="23"/>
      <c r="I4" s="23"/>
      <c r="J4" s="23"/>
      <c r="K4" s="23"/>
      <c r="L4" s="23"/>
      <c r="M4" s="23"/>
      <c r="N4" s="23"/>
      <c r="O4" s="23"/>
      <c r="P4" s="23"/>
      <c r="Q4" s="23"/>
    </row>
    <row r="5" spans="1:17" x14ac:dyDescent="0.2">
      <c r="A5" s="6" t="s">
        <v>2</v>
      </c>
      <c r="B5" s="6" t="s">
        <v>3</v>
      </c>
      <c r="C5" s="3"/>
      <c r="D5" s="3"/>
      <c r="E5" s="3"/>
      <c r="F5" s="3"/>
      <c r="G5" s="3"/>
      <c r="H5" s="3"/>
      <c r="I5" s="3"/>
      <c r="J5" s="23"/>
      <c r="K5" s="23"/>
      <c r="L5" s="23"/>
      <c r="M5" s="23"/>
      <c r="N5" s="23"/>
      <c r="O5" s="23"/>
      <c r="P5" s="3"/>
      <c r="Q5" s="3"/>
    </row>
    <row r="6" spans="1:17" ht="16.149999999999999" customHeight="1" x14ac:dyDescent="0.2">
      <c r="A6" s="397" t="s">
        <v>4</v>
      </c>
      <c r="B6" s="398"/>
      <c r="C6" s="398"/>
      <c r="D6" s="399"/>
      <c r="E6" s="337" t="s">
        <v>5</v>
      </c>
      <c r="F6" s="321" t="s">
        <v>6</v>
      </c>
      <c r="G6" s="403" t="s">
        <v>7</v>
      </c>
      <c r="H6" s="403"/>
      <c r="I6" s="403"/>
      <c r="J6" s="322" t="s">
        <v>8</v>
      </c>
      <c r="K6" s="337" t="s">
        <v>9</v>
      </c>
      <c r="L6" s="341"/>
      <c r="M6" s="341"/>
      <c r="N6" s="23"/>
      <c r="O6" s="23"/>
      <c r="P6" s="3"/>
      <c r="Q6" s="3"/>
    </row>
    <row r="7" spans="1:17" ht="16.149999999999999" customHeight="1" x14ac:dyDescent="0.2">
      <c r="A7" s="397"/>
      <c r="B7" s="398"/>
      <c r="C7" s="398"/>
      <c r="D7" s="399"/>
      <c r="E7" s="350"/>
      <c r="F7" s="323"/>
      <c r="G7" s="403"/>
      <c r="H7" s="403"/>
      <c r="I7" s="403"/>
      <c r="J7" s="324"/>
      <c r="K7" s="350"/>
      <c r="L7" s="341"/>
      <c r="M7" s="341"/>
      <c r="N7" s="23"/>
      <c r="O7" s="23"/>
      <c r="P7" s="3"/>
      <c r="Q7" s="3"/>
    </row>
    <row r="8" spans="1:17" ht="16.149999999999999" customHeight="1" x14ac:dyDescent="0.2">
      <c r="A8" s="397"/>
      <c r="B8" s="398"/>
      <c r="C8" s="398"/>
      <c r="D8" s="399"/>
      <c r="E8" s="338"/>
      <c r="F8" s="338"/>
      <c r="G8" s="96" t="s">
        <v>10</v>
      </c>
      <c r="H8" s="96" t="s">
        <v>11</v>
      </c>
      <c r="I8" s="97" t="s">
        <v>12</v>
      </c>
      <c r="J8" s="338"/>
      <c r="K8" s="338"/>
      <c r="L8" s="341"/>
      <c r="M8" s="341"/>
      <c r="N8" s="23"/>
      <c r="O8" s="23"/>
      <c r="P8" s="3"/>
      <c r="Q8" s="3"/>
    </row>
    <row r="9" spans="1:17" x14ac:dyDescent="0.2">
      <c r="A9" s="400" t="s">
        <v>13</v>
      </c>
      <c r="B9" s="401"/>
      <c r="C9" s="401"/>
      <c r="D9" s="402"/>
      <c r="E9" s="88">
        <v>19500</v>
      </c>
      <c r="F9" s="88">
        <f>E9/10</f>
        <v>1950</v>
      </c>
      <c r="G9" s="89">
        <v>1974</v>
      </c>
      <c r="H9" s="89">
        <v>2264</v>
      </c>
      <c r="I9" s="89">
        <f>GETPIVOTDATA("Phase Net Units",'1a Conv'!$A$1)+GETPIVOTDATA("Net Non-Self-Contained Rooms ratio applied",'1a NSC'!$A$1)</f>
        <v>2815.3333333333335</v>
      </c>
      <c r="J9" s="89">
        <f>SUM(G9:I9)</f>
        <v>7053.3333333333339</v>
      </c>
      <c r="K9" s="90">
        <f>J9/E9</f>
        <v>0.36170940170940175</v>
      </c>
      <c r="L9" s="91"/>
      <c r="M9" s="92"/>
      <c r="N9" s="23"/>
      <c r="O9" s="23"/>
      <c r="P9" s="23"/>
      <c r="Q9" s="23"/>
    </row>
    <row r="10" spans="1:17" ht="12.75" customHeight="1" x14ac:dyDescent="0.2">
      <c r="A10" s="6"/>
      <c r="B10" s="6"/>
      <c r="C10" s="3"/>
      <c r="D10" s="3"/>
      <c r="E10" s="3"/>
      <c r="F10" s="3"/>
      <c r="G10" s="3"/>
      <c r="H10" s="3"/>
      <c r="I10" s="3"/>
      <c r="J10" s="3"/>
      <c r="K10" s="3"/>
      <c r="L10" s="3"/>
      <c r="M10" s="3"/>
      <c r="N10" s="3"/>
      <c r="O10" s="3"/>
      <c r="P10" s="3"/>
      <c r="Q10" s="3"/>
    </row>
    <row r="11" spans="1:17" x14ac:dyDescent="0.2">
      <c r="A11" s="6" t="s">
        <v>14</v>
      </c>
      <c r="B11" s="6" t="s">
        <v>15</v>
      </c>
      <c r="C11" s="3"/>
      <c r="D11" s="3"/>
      <c r="E11" s="3"/>
      <c r="F11" s="3"/>
      <c r="G11" s="3"/>
      <c r="H11" s="3"/>
      <c r="I11" s="3"/>
      <c r="J11" s="3"/>
      <c r="K11" s="3"/>
      <c r="L11" s="2"/>
      <c r="M11" s="2"/>
      <c r="N11" s="3"/>
      <c r="O11" s="3"/>
      <c r="P11" s="3"/>
      <c r="Q11" s="3"/>
    </row>
    <row r="12" spans="1:17" ht="12.75" customHeight="1" x14ac:dyDescent="0.2">
      <c r="A12" s="50"/>
      <c r="B12" s="32"/>
      <c r="C12" s="32"/>
      <c r="D12" s="32"/>
      <c r="E12" s="32"/>
      <c r="F12" s="32"/>
      <c r="G12" s="32"/>
      <c r="H12" s="32"/>
      <c r="I12" s="51"/>
      <c r="J12" s="33"/>
      <c r="Q12" s="3"/>
    </row>
    <row r="13" spans="1:17" ht="12.75" customHeight="1" x14ac:dyDescent="0.2">
      <c r="A13" s="52" t="s">
        <v>16</v>
      </c>
      <c r="B13" s="85" t="s">
        <v>17</v>
      </c>
      <c r="C13" s="38"/>
      <c r="D13" s="38"/>
      <c r="E13" s="38"/>
      <c r="F13" s="38"/>
      <c r="G13" s="38"/>
      <c r="H13" s="38"/>
      <c r="I13" s="13">
        <v>19500</v>
      </c>
      <c r="J13" s="31"/>
      <c r="Q13" s="3"/>
    </row>
    <row r="14" spans="1:17" ht="12.75" customHeight="1" x14ac:dyDescent="0.2">
      <c r="A14" s="52" t="s">
        <v>18</v>
      </c>
      <c r="B14" s="85" t="s">
        <v>19</v>
      </c>
      <c r="C14" s="38"/>
      <c r="D14" s="38"/>
      <c r="E14" s="38"/>
      <c r="F14" s="38"/>
      <c r="G14" s="38"/>
      <c r="H14" s="38"/>
      <c r="I14" s="13">
        <f>SUM(G9:I9)</f>
        <v>7053.3333333333339</v>
      </c>
      <c r="J14" s="31"/>
      <c r="Q14" s="3"/>
    </row>
    <row r="15" spans="1:17" ht="12.75" customHeight="1" x14ac:dyDescent="0.2">
      <c r="A15" s="52" t="s">
        <v>20</v>
      </c>
      <c r="B15" s="39" t="s">
        <v>21</v>
      </c>
      <c r="C15" s="38"/>
      <c r="D15" s="38"/>
      <c r="E15" s="38"/>
      <c r="F15" s="38"/>
      <c r="G15" s="38"/>
      <c r="H15" s="86" t="s">
        <v>22</v>
      </c>
      <c r="I15" s="13">
        <f>I13-I14</f>
        <v>12446.666666666666</v>
      </c>
      <c r="J15" s="31"/>
      <c r="Q15" s="3"/>
    </row>
    <row r="16" spans="1:17" ht="12.75" customHeight="1" x14ac:dyDescent="0.2">
      <c r="A16" s="52" t="s">
        <v>23</v>
      </c>
      <c r="B16" s="39" t="s">
        <v>24</v>
      </c>
      <c r="C16" s="38"/>
      <c r="D16" s="38"/>
      <c r="E16" s="38"/>
      <c r="F16" s="38"/>
      <c r="G16" s="38"/>
      <c r="H16" s="30" t="s">
        <v>25</v>
      </c>
      <c r="I16" s="13">
        <f>I15/7</f>
        <v>1778.0952380952381</v>
      </c>
      <c r="J16" s="31"/>
      <c r="Q16" s="3"/>
    </row>
    <row r="17" spans="1:17" ht="12.75" customHeight="1" x14ac:dyDescent="0.2">
      <c r="A17" s="52" t="s">
        <v>26</v>
      </c>
      <c r="B17" s="39" t="s">
        <v>27</v>
      </c>
      <c r="C17" s="38"/>
      <c r="D17" s="38"/>
      <c r="E17" s="38"/>
      <c r="F17" s="38"/>
      <c r="G17" s="38"/>
      <c r="H17" s="30" t="s">
        <v>28</v>
      </c>
      <c r="I17" s="13">
        <f>I16*5</f>
        <v>8890.4761904761908</v>
      </c>
      <c r="J17" s="31"/>
      <c r="Q17" s="3"/>
    </row>
    <row r="18" spans="1:17" ht="12.75" customHeight="1" x14ac:dyDescent="0.2">
      <c r="A18" s="52" t="s">
        <v>29</v>
      </c>
      <c r="B18" s="39" t="s">
        <v>30</v>
      </c>
      <c r="C18" s="38"/>
      <c r="D18" s="38"/>
      <c r="E18" s="38"/>
      <c r="F18" s="38"/>
      <c r="G18" s="38"/>
      <c r="H18" s="30" t="s">
        <v>31</v>
      </c>
      <c r="I18" s="13">
        <f>I17*0.05</f>
        <v>444.52380952380958</v>
      </c>
      <c r="J18" s="31"/>
      <c r="Q18" s="3"/>
    </row>
    <row r="19" spans="1:17" ht="12.75" customHeight="1" x14ac:dyDescent="0.2">
      <c r="A19" s="52" t="s">
        <v>32</v>
      </c>
      <c r="B19" s="39" t="s">
        <v>33</v>
      </c>
      <c r="C19" s="38"/>
      <c r="D19" s="38"/>
      <c r="E19" s="38"/>
      <c r="F19" s="38"/>
      <c r="G19" s="38"/>
      <c r="H19" s="30" t="s">
        <v>34</v>
      </c>
      <c r="I19" s="13">
        <f>I17+I18</f>
        <v>9335</v>
      </c>
      <c r="J19" s="31"/>
      <c r="Q19" s="3"/>
    </row>
    <row r="20" spans="1:17" ht="12.75" customHeight="1" x14ac:dyDescent="0.2">
      <c r="A20" s="52" t="s">
        <v>35</v>
      </c>
      <c r="B20" s="39" t="s">
        <v>36</v>
      </c>
      <c r="C20" s="38"/>
      <c r="D20" s="38"/>
      <c r="E20" s="38"/>
      <c r="F20" s="38"/>
      <c r="G20" s="38"/>
      <c r="H20" s="30"/>
      <c r="I20" s="13">
        <f>SUM('Housing Trajectory'!K7:O7)</f>
        <v>12611.525070028012</v>
      </c>
      <c r="J20" s="93"/>
      <c r="Q20" s="3"/>
    </row>
    <row r="21" spans="1:17" ht="12.75" customHeight="1" x14ac:dyDescent="0.2">
      <c r="A21" s="52" t="s">
        <v>37</v>
      </c>
      <c r="B21" s="364" t="s">
        <v>38</v>
      </c>
      <c r="C21" s="393"/>
      <c r="D21" s="393"/>
      <c r="E21" s="393"/>
      <c r="F21" s="393"/>
      <c r="G21" s="393"/>
      <c r="H21" s="30" t="s">
        <v>39</v>
      </c>
      <c r="I21" s="77">
        <f>I20/I17</f>
        <v>1.4185432590818867</v>
      </c>
      <c r="J21" s="31"/>
      <c r="Q21" s="3"/>
    </row>
    <row r="22" spans="1:17" ht="12.75" customHeight="1" x14ac:dyDescent="0.2">
      <c r="A22" s="52" t="s">
        <v>40</v>
      </c>
      <c r="B22" s="39" t="s">
        <v>41</v>
      </c>
      <c r="C22" s="38"/>
      <c r="D22" s="38"/>
      <c r="E22" s="38"/>
      <c r="F22" s="38"/>
      <c r="G22" s="38"/>
      <c r="H22" s="30" t="s">
        <v>42</v>
      </c>
      <c r="I22" s="13">
        <f>I20/I16</f>
        <v>7.092716295409434</v>
      </c>
      <c r="J22" s="31"/>
      <c r="Q22" s="3"/>
    </row>
    <row r="23" spans="1:17" ht="12.75" customHeight="1" x14ac:dyDescent="0.2">
      <c r="A23" s="21"/>
      <c r="B23" s="60"/>
      <c r="C23" s="60"/>
      <c r="D23" s="60"/>
      <c r="E23" s="60"/>
      <c r="F23" s="60"/>
      <c r="G23" s="60"/>
      <c r="H23" s="21"/>
      <c r="I23" s="78"/>
      <c r="J23" s="31"/>
      <c r="Q23" s="3"/>
    </row>
    <row r="24" spans="1:17" ht="12.75" customHeight="1" x14ac:dyDescent="0.2">
      <c r="A24" s="394" t="s">
        <v>43</v>
      </c>
      <c r="B24" s="395"/>
      <c r="C24" s="395"/>
      <c r="D24" s="395"/>
      <c r="E24" s="395"/>
      <c r="F24" s="395"/>
      <c r="G24" s="395"/>
      <c r="H24" s="395"/>
      <c r="I24" s="396"/>
      <c r="J24" s="23"/>
      <c r="K24" s="23"/>
      <c r="L24" s="23"/>
      <c r="M24" s="23"/>
      <c r="N24" s="23"/>
      <c r="O24" s="23"/>
      <c r="P24" s="23"/>
      <c r="Q24" s="23"/>
    </row>
    <row r="25" spans="1:17" ht="12.75" customHeight="1" x14ac:dyDescent="0.2">
      <c r="A25" s="21"/>
      <c r="B25" s="20"/>
      <c r="C25" s="20"/>
      <c r="D25" s="20"/>
      <c r="E25" s="20"/>
      <c r="F25" s="20"/>
      <c r="G25" s="20"/>
      <c r="H25" s="20"/>
      <c r="I25" s="21"/>
      <c r="J25" s="21"/>
      <c r="K25" s="22"/>
      <c r="L25" s="23"/>
      <c r="M25" s="3"/>
      <c r="N25" s="3"/>
      <c r="O25" s="3"/>
      <c r="P25" s="3"/>
      <c r="Q25" s="3"/>
    </row>
    <row r="26" spans="1:17" ht="12.75" customHeight="1" x14ac:dyDescent="0.2">
      <c r="A26" s="261" t="s">
        <v>44</v>
      </c>
      <c r="B26" s="262" t="s">
        <v>45</v>
      </c>
      <c r="C26" s="20"/>
      <c r="D26" s="20"/>
      <c r="E26" s="20"/>
      <c r="F26" s="169"/>
      <c r="G26" s="169"/>
      <c r="H26" s="169"/>
      <c r="I26" s="170"/>
      <c r="J26" s="170"/>
      <c r="K26" s="171"/>
      <c r="L26" s="172"/>
      <c r="M26" s="173"/>
      <c r="N26" s="173"/>
      <c r="O26" s="3"/>
      <c r="P26" s="3"/>
      <c r="Q26" s="3"/>
    </row>
    <row r="27" spans="1:17" ht="25.9" customHeight="1" x14ac:dyDescent="0.2">
      <c r="A27" s="321"/>
      <c r="B27" s="349"/>
      <c r="C27" s="107" t="s">
        <v>46</v>
      </c>
      <c r="D27" s="404" t="s">
        <v>47</v>
      </c>
      <c r="E27" s="405"/>
      <c r="F27" s="253"/>
      <c r="G27" s="254"/>
      <c r="H27" s="254"/>
      <c r="I27" s="254"/>
      <c r="J27" s="254"/>
      <c r="K27" s="254"/>
      <c r="L27" s="254"/>
      <c r="M27" s="254"/>
      <c r="N27" s="254"/>
      <c r="P27" s="3"/>
      <c r="Q27" s="3"/>
    </row>
    <row r="28" spans="1:17" x14ac:dyDescent="0.2">
      <c r="A28" s="351" t="s">
        <v>48</v>
      </c>
      <c r="B28" s="352"/>
      <c r="C28" s="266">
        <v>0.5</v>
      </c>
      <c r="D28" s="263">
        <f>GETPIVOTDATA("Sum of Phase Net Units",'3'!$A$1,"Status","01 Completion","Tenure","Intermediate")</f>
        <v>446</v>
      </c>
      <c r="E28" s="14">
        <f>D28/D30</f>
        <v>0.54126213592233008</v>
      </c>
      <c r="F28" s="178"/>
      <c r="G28" s="255"/>
      <c r="H28" s="256"/>
      <c r="I28" s="256"/>
      <c r="J28" s="256"/>
      <c r="K28" s="256"/>
      <c r="L28" s="256"/>
      <c r="M28" s="256"/>
      <c r="N28" s="257"/>
      <c r="P28" s="3"/>
      <c r="Q28" s="3"/>
    </row>
    <row r="29" spans="1:17" ht="12.75" customHeight="1" x14ac:dyDescent="0.2">
      <c r="A29" s="264" t="s">
        <v>49</v>
      </c>
      <c r="B29" s="265"/>
      <c r="C29" s="266">
        <v>0.5</v>
      </c>
      <c r="D29" s="263">
        <f>GETPIVOTDATA("Sum of Phase Net Units",'3'!$A$1,"Status","01 Completion","Tenure","Social/Affordable Rent")</f>
        <v>378</v>
      </c>
      <c r="E29" s="14">
        <f>D29/D30</f>
        <v>0.45873786407766992</v>
      </c>
      <c r="F29" s="178"/>
      <c r="G29" s="255"/>
      <c r="H29" s="256"/>
      <c r="I29" s="256"/>
      <c r="J29" s="256"/>
      <c r="K29" s="256"/>
      <c r="L29" s="256"/>
      <c r="M29" s="256"/>
      <c r="N29" s="257"/>
      <c r="P29" s="3"/>
      <c r="Q29" s="3"/>
    </row>
    <row r="30" spans="1:17" ht="12.75" customHeight="1" x14ac:dyDescent="0.2">
      <c r="A30" s="353" t="s">
        <v>50</v>
      </c>
      <c r="B30" s="354"/>
      <c r="C30" s="17">
        <f>SUM(C28:C29)</f>
        <v>1</v>
      </c>
      <c r="D30" s="24">
        <f>SUM(D28:D29)</f>
        <v>824</v>
      </c>
      <c r="E30" s="17">
        <f>SUM(E28:E29)</f>
        <v>1</v>
      </c>
      <c r="F30" s="179"/>
      <c r="G30" s="258"/>
      <c r="H30" s="259"/>
      <c r="I30" s="259"/>
      <c r="J30" s="259"/>
      <c r="K30" s="259"/>
      <c r="L30" s="259"/>
      <c r="M30" s="259"/>
      <c r="N30" s="260"/>
      <c r="P30" s="3"/>
      <c r="Q30" s="3"/>
    </row>
    <row r="31" spans="1:17" ht="12.75" customHeight="1" x14ac:dyDescent="0.2">
      <c r="A31" s="57"/>
      <c r="B31" s="57"/>
      <c r="C31" s="26"/>
      <c r="D31" s="58"/>
      <c r="E31" s="58"/>
      <c r="F31" s="58"/>
      <c r="G31" s="58"/>
      <c r="H31" s="59"/>
      <c r="I31" s="59"/>
      <c r="J31" s="59"/>
      <c r="K31" s="59"/>
      <c r="L31" s="59"/>
      <c r="M31" s="3"/>
      <c r="N31" s="3"/>
      <c r="O31" s="3"/>
      <c r="P31" s="3"/>
      <c r="Q31" s="3"/>
    </row>
    <row r="32" spans="1:17" x14ac:dyDescent="0.2">
      <c r="A32" s="6" t="s">
        <v>51</v>
      </c>
      <c r="B32" s="6" t="s">
        <v>52</v>
      </c>
      <c r="C32" s="3"/>
      <c r="D32" s="3"/>
      <c r="E32" s="3"/>
      <c r="F32" s="3"/>
      <c r="G32" s="3"/>
      <c r="H32" s="3"/>
      <c r="I32" s="3"/>
      <c r="J32" s="3"/>
      <c r="K32" s="3"/>
      <c r="L32" s="3"/>
      <c r="M32" s="3"/>
      <c r="N32" s="3"/>
      <c r="O32" s="3"/>
      <c r="P32" s="3"/>
      <c r="Q32" s="3"/>
    </row>
    <row r="33" spans="1:17" ht="12.75" customHeight="1" x14ac:dyDescent="0.2">
      <c r="A33" s="321" t="s">
        <v>53</v>
      </c>
      <c r="B33" s="349"/>
      <c r="C33" s="322"/>
      <c r="D33" s="335" t="s">
        <v>54</v>
      </c>
      <c r="E33" s="336"/>
      <c r="F33" s="335" t="s">
        <v>55</v>
      </c>
      <c r="G33" s="336"/>
      <c r="H33" s="335" t="s">
        <v>50</v>
      </c>
      <c r="I33" s="336"/>
      <c r="J33" s="3"/>
      <c r="K33" s="3"/>
      <c r="L33" s="3"/>
      <c r="M33" s="3"/>
      <c r="N33" s="3"/>
      <c r="O33" s="3"/>
      <c r="P33" s="3"/>
      <c r="Q33" s="3"/>
    </row>
    <row r="34" spans="1:17" x14ac:dyDescent="0.2">
      <c r="A34" s="371"/>
      <c r="B34" s="372"/>
      <c r="C34" s="373"/>
      <c r="D34" s="36" t="s">
        <v>56</v>
      </c>
      <c r="E34" s="36" t="s">
        <v>57</v>
      </c>
      <c r="F34" s="36" t="s">
        <v>56</v>
      </c>
      <c r="G34" s="36" t="s">
        <v>57</v>
      </c>
      <c r="H34" s="36" t="s">
        <v>56</v>
      </c>
      <c r="I34" s="36" t="s">
        <v>57</v>
      </c>
      <c r="J34" s="3"/>
      <c r="K34" s="3"/>
      <c r="L34" s="3"/>
      <c r="M34" s="3"/>
      <c r="N34" s="3"/>
      <c r="O34" s="3"/>
      <c r="P34" s="3"/>
      <c r="Q34" s="3"/>
    </row>
    <row r="35" spans="1:17" ht="12.75" customHeight="1" x14ac:dyDescent="0.2">
      <c r="A35" s="368" t="s">
        <v>58</v>
      </c>
      <c r="B35" s="369"/>
      <c r="C35" s="370"/>
      <c r="D35" s="19">
        <f>GETPIVOTDATA("Sum of Phase Proposed Units",'2 NB'!$A$4,"Status","01 Completion")</f>
        <v>2729</v>
      </c>
      <c r="E35" s="19">
        <f>GETPIVOTDATA("Sum of Phase Net Units",'2 NB'!$A$4,"Status","01 Completion")</f>
        <v>2559</v>
      </c>
      <c r="F35" s="19">
        <f>GETPIVOTDATA("Sum of Phase Proposed Units",'2 CON'!$A$4,"Status","01 Completion")</f>
        <v>256</v>
      </c>
      <c r="G35" s="19">
        <f>GETPIVOTDATA("Sum of Phase Net Units",'2 CON'!$A$4,"Status","01 Completion")</f>
        <v>103</v>
      </c>
      <c r="H35" s="19">
        <f t="shared" ref="H35:I42" si="0">D35+F35</f>
        <v>2985</v>
      </c>
      <c r="I35" s="19">
        <f t="shared" si="0"/>
        <v>2662</v>
      </c>
      <c r="J35" s="3"/>
      <c r="K35" s="3"/>
      <c r="L35" s="3"/>
      <c r="M35" s="3"/>
      <c r="N35" s="3"/>
      <c r="O35" s="3"/>
      <c r="P35" s="3"/>
      <c r="Q35" s="3"/>
    </row>
    <row r="36" spans="1:17" ht="12.75" customHeight="1" x14ac:dyDescent="0.2">
      <c r="A36" s="374" t="s">
        <v>59</v>
      </c>
      <c r="B36" s="375"/>
      <c r="C36" s="376"/>
      <c r="D36" s="13">
        <f>GETPIVOTDATA("Sum of Phase Proposed Units",'2 NB'!$A$4,"Status","02 Under Construction")</f>
        <v>4510</v>
      </c>
      <c r="E36" s="13">
        <f>GETPIVOTDATA("Sum of Phase Net Units",'2 NB'!$A$4,"Status","02 Under Construction")</f>
        <v>4413</v>
      </c>
      <c r="F36" s="13">
        <f>GETPIVOTDATA("Sum of Phase Proposed Units",'2 CON'!$A$4,"Status","02 Under Construction")</f>
        <v>388</v>
      </c>
      <c r="G36" s="13">
        <f>GETPIVOTDATA("Sum of Phase Net Units",'2 CON'!$A$4,"Status","02 Under Construction")</f>
        <v>288</v>
      </c>
      <c r="H36" s="13">
        <f t="shared" si="0"/>
        <v>4898</v>
      </c>
      <c r="I36" s="13">
        <f t="shared" si="0"/>
        <v>4701</v>
      </c>
      <c r="J36" s="3"/>
      <c r="K36" s="3"/>
      <c r="L36" s="3"/>
      <c r="M36" s="3"/>
      <c r="N36" s="3"/>
      <c r="O36" s="3"/>
      <c r="P36" s="3"/>
      <c r="Q36" s="3"/>
    </row>
    <row r="37" spans="1:17" ht="12.75" customHeight="1" x14ac:dyDescent="0.2">
      <c r="A37" s="374" t="s">
        <v>60</v>
      </c>
      <c r="B37" s="375"/>
      <c r="C37" s="376"/>
      <c r="D37" s="13">
        <f>GETPIVOTDATA("Sum of Phase Proposed Units",'2 NB'!$A$4,"Status","03 Planning")</f>
        <v>8721</v>
      </c>
      <c r="E37" s="13">
        <f>GETPIVOTDATA("Sum of Phase Net Units",'2 NB'!$A$4,"Status","03 Planning")</f>
        <v>7636</v>
      </c>
      <c r="F37" s="13">
        <f>GETPIVOTDATA("Sum of Phase Proposed Units",'2 CON'!$A$4,"Status","03 Planning")</f>
        <v>587</v>
      </c>
      <c r="G37" s="13">
        <f>GETPIVOTDATA("Sum of Phase Net Units",'2 CON'!$A$4,"Status","03 Planning")</f>
        <v>408</v>
      </c>
      <c r="H37" s="13">
        <f t="shared" si="0"/>
        <v>9308</v>
      </c>
      <c r="I37" s="13">
        <f t="shared" si="0"/>
        <v>8044</v>
      </c>
      <c r="J37" s="3"/>
      <c r="K37" s="3"/>
      <c r="L37" s="3"/>
      <c r="M37" s="3"/>
      <c r="N37" s="3"/>
      <c r="O37" s="3"/>
      <c r="P37" s="3"/>
      <c r="Q37" s="3"/>
    </row>
    <row r="38" spans="1:17" ht="12.75" customHeight="1" x14ac:dyDescent="0.2">
      <c r="A38" s="374" t="s">
        <v>61</v>
      </c>
      <c r="B38" s="375"/>
      <c r="C38" s="376"/>
      <c r="D38" s="13">
        <f>GETPIVOTDATA("Sum of Phase Proposed Units",'2 NB'!$A$4,"Status","04 Subject to Legal Agreement")</f>
        <v>341</v>
      </c>
      <c r="E38" s="13">
        <f>GETPIVOTDATA("Sum of Phase Net Units",'2 NB'!$A$4,"Status","04 Subject to Legal Agreement")</f>
        <v>341</v>
      </c>
      <c r="F38" s="13">
        <f>GETPIVOTDATA("Sum of Phase Proposed Units",'2 CON'!$A$4,"Status","04 Subject to Legal Agreement")</f>
        <v>32</v>
      </c>
      <c r="G38" s="13">
        <f>GETPIVOTDATA("Sum of Phase Net Units",'2 CON'!$A$4,"Status","04 Subject to Legal Agreement")</f>
        <v>32</v>
      </c>
      <c r="H38" s="13">
        <f t="shared" si="0"/>
        <v>373</v>
      </c>
      <c r="I38" s="13">
        <f t="shared" si="0"/>
        <v>373</v>
      </c>
      <c r="J38" s="3"/>
      <c r="K38" s="3"/>
      <c r="L38" s="3"/>
      <c r="M38" s="3"/>
      <c r="N38" s="3"/>
      <c r="O38" s="3"/>
      <c r="P38" s="3"/>
      <c r="Q38" s="3"/>
    </row>
    <row r="39" spans="1:17" ht="12.75" customHeight="1" x14ac:dyDescent="0.2">
      <c r="A39" s="374" t="s">
        <v>62</v>
      </c>
      <c r="B39" s="375"/>
      <c r="C39" s="376"/>
      <c r="D39" s="13">
        <f>GETPIVOTDATA("Sum of Phase Proposed Units",'2 NB'!$A$4,"Status","06 Identified Site")</f>
        <v>5335</v>
      </c>
      <c r="E39" s="13">
        <f>GETPIVOTDATA("Sum of Phase Net Units",'2 NB'!$A$4,"Status","06 Identified Site")</f>
        <v>5335</v>
      </c>
      <c r="F39" s="13">
        <f>IFERROR(GETPIVOTDATA("Sum of Phase Proposed Units",'2 CON'!$A$4,"Status","06 Identified Site"),0)</f>
        <v>0</v>
      </c>
      <c r="G39" s="13">
        <f>IFERROR(GETPIVOTDATA("Sum of Phase Net Units",'2 CON'!$A$4,"Status","06 Identified Site"),0)</f>
        <v>0</v>
      </c>
      <c r="H39" s="13">
        <f t="shared" si="0"/>
        <v>5335</v>
      </c>
      <c r="I39" s="13">
        <f t="shared" si="0"/>
        <v>5335</v>
      </c>
      <c r="J39" s="9"/>
      <c r="K39" s="3"/>
      <c r="L39" s="3"/>
      <c r="M39" s="3"/>
      <c r="N39" s="3"/>
      <c r="O39" s="3"/>
      <c r="P39" s="3"/>
      <c r="Q39" s="3"/>
    </row>
    <row r="40" spans="1:17" ht="12.75" customHeight="1" x14ac:dyDescent="0.2">
      <c r="A40" s="374" t="s">
        <v>63</v>
      </c>
      <c r="B40" s="375"/>
      <c r="C40" s="376"/>
      <c r="D40" s="13">
        <f>GETPIVOTDATA("Sum of Phase Proposed Units",'2 NB'!$A$4,"Status","07 SHLAA Potential Site")</f>
        <v>311</v>
      </c>
      <c r="E40" s="13">
        <f>GETPIVOTDATA("Sum of Phase Net Units",'2 NB'!$A$4,"Status","07 SHLAA Potential Site")</f>
        <v>311</v>
      </c>
      <c r="F40" s="13">
        <v>0</v>
      </c>
      <c r="G40" s="13">
        <v>0</v>
      </c>
      <c r="H40" s="13">
        <f t="shared" si="0"/>
        <v>311</v>
      </c>
      <c r="I40" s="13">
        <f t="shared" si="0"/>
        <v>311</v>
      </c>
      <c r="J40" s="9"/>
      <c r="K40" s="3"/>
      <c r="L40" s="3"/>
      <c r="M40" s="3"/>
      <c r="N40" s="3"/>
      <c r="O40" s="3"/>
      <c r="P40" s="3"/>
      <c r="Q40" s="3"/>
    </row>
    <row r="41" spans="1:17" ht="12.75" customHeight="1" x14ac:dyDescent="0.2">
      <c r="A41" s="374" t="s">
        <v>64</v>
      </c>
      <c r="B41" s="375"/>
      <c r="C41" s="376"/>
      <c r="D41" s="13">
        <v>0</v>
      </c>
      <c r="E41" s="13">
        <v>0</v>
      </c>
      <c r="F41" s="13">
        <f>GETPIVOTDATA("Sum of Phase Proposed Units",'2 CON'!$A$4,"Status","08 SHLAA Small Sites")</f>
        <v>4611</v>
      </c>
      <c r="G41" s="13">
        <f>GETPIVOTDATA("Sum of Phase Net Units",'2 CON'!$A$4,"Status","08 SHLAA Small Sites")</f>
        <v>4611</v>
      </c>
      <c r="H41" s="13">
        <f t="shared" si="0"/>
        <v>4611</v>
      </c>
      <c r="I41" s="13">
        <f t="shared" si="0"/>
        <v>4611</v>
      </c>
      <c r="J41" s="9"/>
      <c r="K41" s="3"/>
      <c r="L41" s="3"/>
      <c r="M41" s="3"/>
      <c r="N41" s="3"/>
      <c r="O41" s="3"/>
      <c r="P41" s="3"/>
      <c r="Q41" s="3"/>
    </row>
    <row r="42" spans="1:17" ht="12.75" customHeight="1" x14ac:dyDescent="0.2">
      <c r="A42" s="355" t="s">
        <v>65</v>
      </c>
      <c r="B42" s="356"/>
      <c r="C42" s="357"/>
      <c r="D42" s="24">
        <f>SUM(D36:D41)</f>
        <v>19218</v>
      </c>
      <c r="E42" s="24">
        <f>SUM(E36:E41)</f>
        <v>18036</v>
      </c>
      <c r="F42" s="24">
        <f>SUM(F36:F41)</f>
        <v>5618</v>
      </c>
      <c r="G42" s="24">
        <f>SUM(G36:G41)</f>
        <v>5339</v>
      </c>
      <c r="H42" s="24">
        <f t="shared" si="0"/>
        <v>24836</v>
      </c>
      <c r="I42" s="24">
        <f t="shared" si="0"/>
        <v>23375</v>
      </c>
      <c r="J42" s="3"/>
      <c r="K42" s="3"/>
      <c r="L42" s="3"/>
      <c r="M42" s="3"/>
      <c r="N42" s="3"/>
      <c r="O42" s="3"/>
      <c r="P42" s="3"/>
      <c r="Q42" s="3"/>
    </row>
    <row r="43" spans="1:17" x14ac:dyDescent="0.2">
      <c r="A43" s="43" t="s">
        <v>66</v>
      </c>
      <c r="B43" s="4"/>
      <c r="C43" s="4"/>
      <c r="D43" s="5"/>
      <c r="E43" s="5"/>
      <c r="F43" s="5"/>
      <c r="G43" s="5"/>
      <c r="H43" s="5"/>
      <c r="I43" s="5"/>
      <c r="J43" s="3"/>
      <c r="K43" s="3"/>
      <c r="L43" s="3"/>
      <c r="M43" s="3"/>
      <c r="N43" s="3"/>
      <c r="O43" s="3"/>
      <c r="P43" s="3"/>
      <c r="Q43" s="3"/>
    </row>
    <row r="44" spans="1:17" x14ac:dyDescent="0.2">
      <c r="A44" s="42"/>
      <c r="B44" s="4"/>
      <c r="C44" s="4"/>
      <c r="D44" s="5"/>
      <c r="E44" s="5"/>
      <c r="F44" s="5"/>
      <c r="G44" s="5"/>
      <c r="H44" s="5"/>
      <c r="I44" s="5"/>
      <c r="J44" s="3"/>
      <c r="K44" s="3"/>
      <c r="L44" s="3"/>
      <c r="M44" s="3"/>
      <c r="N44" s="3"/>
      <c r="O44" s="3"/>
      <c r="P44" s="3"/>
      <c r="Q44" s="3"/>
    </row>
    <row r="45" spans="1:17" x14ac:dyDescent="0.2">
      <c r="A45" s="6" t="s">
        <v>67</v>
      </c>
      <c r="B45" s="6" t="s">
        <v>68</v>
      </c>
      <c r="C45" s="3"/>
      <c r="D45" s="3"/>
      <c r="E45" s="3"/>
      <c r="F45" s="3"/>
      <c r="G45" s="3"/>
      <c r="H45" s="3"/>
      <c r="I45" s="3"/>
      <c r="J45" s="3"/>
      <c r="K45" s="3"/>
      <c r="L45" s="3"/>
      <c r="M45" s="3"/>
      <c r="N45" s="3"/>
      <c r="O45" s="3"/>
      <c r="P45" s="3"/>
      <c r="Q45" s="3"/>
    </row>
    <row r="46" spans="1:17" ht="12.75" customHeight="1" x14ac:dyDescent="0.2">
      <c r="A46" s="330" t="s">
        <v>69</v>
      </c>
      <c r="B46" s="330"/>
      <c r="C46" s="330"/>
      <c r="D46" s="311" t="s">
        <v>70</v>
      </c>
      <c r="E46" s="327"/>
      <c r="F46" s="309" t="s">
        <v>71</v>
      </c>
      <c r="G46" s="309"/>
      <c r="H46" s="309"/>
      <c r="I46" s="309"/>
      <c r="J46" s="321" t="s">
        <v>72</v>
      </c>
      <c r="K46" s="322"/>
      <c r="L46" s="311" t="s">
        <v>73</v>
      </c>
      <c r="M46" s="327"/>
      <c r="N46" s="311" t="s">
        <v>74</v>
      </c>
      <c r="O46" s="327"/>
      <c r="P46" s="311" t="s">
        <v>50</v>
      </c>
      <c r="Q46" s="327"/>
    </row>
    <row r="47" spans="1:17" x14ac:dyDescent="0.2">
      <c r="A47" s="330"/>
      <c r="B47" s="330"/>
      <c r="C47" s="330"/>
      <c r="D47" s="325"/>
      <c r="E47" s="331"/>
      <c r="F47" s="311" t="s">
        <v>48</v>
      </c>
      <c r="G47" s="327"/>
      <c r="H47" s="321" t="s">
        <v>49</v>
      </c>
      <c r="I47" s="322"/>
      <c r="J47" s="323"/>
      <c r="K47" s="324"/>
      <c r="L47" s="325"/>
      <c r="M47" s="331"/>
      <c r="N47" s="325"/>
      <c r="O47" s="331"/>
      <c r="P47" s="325"/>
      <c r="Q47" s="331"/>
    </row>
    <row r="48" spans="1:17" x14ac:dyDescent="0.2">
      <c r="A48" s="330"/>
      <c r="B48" s="330"/>
      <c r="C48" s="330"/>
      <c r="D48" s="36" t="s">
        <v>75</v>
      </c>
      <c r="E48" s="36" t="s">
        <v>57</v>
      </c>
      <c r="F48" s="36" t="s">
        <v>75</v>
      </c>
      <c r="G48" s="36" t="s">
        <v>57</v>
      </c>
      <c r="H48" s="36" t="s">
        <v>75</v>
      </c>
      <c r="I48" s="36" t="s">
        <v>57</v>
      </c>
      <c r="J48" s="36" t="s">
        <v>75</v>
      </c>
      <c r="K48" s="36" t="s">
        <v>57</v>
      </c>
      <c r="L48" s="36" t="s">
        <v>75</v>
      </c>
      <c r="M48" s="36" t="s">
        <v>57</v>
      </c>
      <c r="N48" s="36" t="s">
        <v>75</v>
      </c>
      <c r="O48" s="36" t="s">
        <v>57</v>
      </c>
      <c r="P48" s="36" t="s">
        <v>75</v>
      </c>
      <c r="Q48" s="36" t="s">
        <v>57</v>
      </c>
    </row>
    <row r="49" spans="1:17" x14ac:dyDescent="0.2">
      <c r="A49" s="348" t="s">
        <v>58</v>
      </c>
      <c r="B49" s="348"/>
      <c r="C49" s="348"/>
      <c r="D49" s="19">
        <f>GETPIVOTDATA("Sum of Phase Proposed Units",'3'!$A$1,"Status","01 Completion","Tenure","Open Market")</f>
        <v>2019</v>
      </c>
      <c r="E49" s="19">
        <f>GETPIVOTDATA("Sum of Phase Net Units",'3'!$A$1,"Status","01 Completion","Tenure","Open Market")</f>
        <v>1838</v>
      </c>
      <c r="F49" s="19">
        <f>GETPIVOTDATA("Sum of Phase Proposed Units",'3'!$A$1,"Status","01 Completion","Tenure","Intermediate")</f>
        <v>454</v>
      </c>
      <c r="G49" s="19">
        <f>GETPIVOTDATA("Sum of Phase Net Units",'3'!$A$1,"Status","01 Completion","Tenure","Intermediate")</f>
        <v>446</v>
      </c>
      <c r="H49" s="19">
        <f>GETPIVOTDATA("Sum of Phase Proposed Units",'3'!$A$1,"Status","01 Completion","Tenure","Social/Affordable Rent")</f>
        <v>512</v>
      </c>
      <c r="I49" s="19">
        <f>GETPIVOTDATA("Sum of Phase Net Units",'3'!$A$1,"Status","01 Completion","Tenure","Social/Affordable Rent")</f>
        <v>378</v>
      </c>
      <c r="J49" s="19">
        <f>GETPIVOTDATA("Sum of Phase Proposed Units",'3'!$A$1,"Status","01 Completion","Tenure","Unknown")</f>
        <v>0</v>
      </c>
      <c r="K49" s="19">
        <f>GETPIVOTDATA("Sum of Phase Net Units",'3'!$A$1,"Status","01 Completion","Tenure","Unknown")</f>
        <v>0</v>
      </c>
      <c r="L49" s="19">
        <f t="shared" ref="L49:L55" si="1">H49+F49</f>
        <v>966</v>
      </c>
      <c r="M49" s="19">
        <f t="shared" ref="M49:M55" si="2">I49+G49</f>
        <v>824</v>
      </c>
      <c r="N49" s="79">
        <f t="shared" ref="N49:N56" si="3">L49/P49</f>
        <v>0.32361809045226131</v>
      </c>
      <c r="O49" s="79">
        <f t="shared" ref="O49:O54" si="4">M49/Q49</f>
        <v>0.30954169797145004</v>
      </c>
      <c r="P49" s="19">
        <f>D49+L49+J49</f>
        <v>2985</v>
      </c>
      <c r="Q49" s="19">
        <f>E49+M49+K49</f>
        <v>2662</v>
      </c>
    </row>
    <row r="50" spans="1:17" x14ac:dyDescent="0.2">
      <c r="A50" s="329" t="s">
        <v>59</v>
      </c>
      <c r="B50" s="329"/>
      <c r="C50" s="329"/>
      <c r="D50" s="13">
        <f>GETPIVOTDATA("Sum of Phase Proposed Units",'3'!$A$1,"Status","02 Under Construction","Tenure","Open Market")</f>
        <v>3863</v>
      </c>
      <c r="E50" s="13">
        <f>GETPIVOTDATA("Sum of Phase Net Units",'3'!$A$1,"Status","02 Under Construction","Tenure","Open Market")</f>
        <v>3742</v>
      </c>
      <c r="F50" s="13">
        <f>GETPIVOTDATA("Sum of Phase Proposed Units",'3'!$A$1,"Status","02 Under Construction","Tenure","Intermediate")</f>
        <v>268</v>
      </c>
      <c r="G50" s="13">
        <f>GETPIVOTDATA("Sum of Phase Net Units",'3'!$A$1,"Status","02 Under Construction","Tenure","Intermediate")</f>
        <v>257</v>
      </c>
      <c r="H50" s="13">
        <f>GETPIVOTDATA("Sum of Phase Proposed Units",'3'!$A$1,"Status","02 Under Construction","Tenure","Social/Affordable Rent")</f>
        <v>767</v>
      </c>
      <c r="I50" s="13">
        <f>GETPIVOTDATA("Sum of Phase Net Units",'3'!$A$1,"Status","02 Under Construction","Tenure","Social/Affordable Rent")</f>
        <v>703</v>
      </c>
      <c r="J50" s="13">
        <f>GETPIVOTDATA("Sum of Phase Proposed Units",'3'!$A$1,"Status","02 Under Construction","Tenure","Unknown")</f>
        <v>0</v>
      </c>
      <c r="K50" s="13">
        <f>GETPIVOTDATA("Sum of Phase Net Units",'3'!$A$1,"Status","02 Under Construction","Tenure","Unknown")</f>
        <v>-1</v>
      </c>
      <c r="L50" s="13">
        <f t="shared" si="1"/>
        <v>1035</v>
      </c>
      <c r="M50" s="13">
        <f t="shared" si="2"/>
        <v>960</v>
      </c>
      <c r="N50" s="80">
        <f t="shared" si="3"/>
        <v>0.21131073907717435</v>
      </c>
      <c r="O50" s="80">
        <f t="shared" si="4"/>
        <v>0.204211869814933</v>
      </c>
      <c r="P50" s="68">
        <f t="shared" ref="P50:P55" si="5">D50+L50+J50</f>
        <v>4898</v>
      </c>
      <c r="Q50" s="68">
        <f t="shared" ref="Q50:Q55" si="6">E50+M50+K50</f>
        <v>4701</v>
      </c>
    </row>
    <row r="51" spans="1:17" x14ac:dyDescent="0.2">
      <c r="A51" s="329" t="s">
        <v>60</v>
      </c>
      <c r="B51" s="329"/>
      <c r="C51" s="329"/>
      <c r="D51" s="68">
        <f>GETPIVOTDATA("Sum of Phase Proposed Units",'3'!$A$1,"Status","03 Planning","Tenure","Open Market")</f>
        <v>6989</v>
      </c>
      <c r="E51" s="68">
        <f>GETPIVOTDATA("Sum of Phase Net Units",'3'!$A$1,"Status","03 Planning","Tenure","Open Market")</f>
        <v>6426</v>
      </c>
      <c r="F51" s="68">
        <f>GETPIVOTDATA("Sum of Phase Proposed Units",'3'!$A$1,"Status","03 Planning","Tenure","Intermediate")</f>
        <v>1097</v>
      </c>
      <c r="G51" s="68">
        <f>GETPIVOTDATA("Sum of Phase Net Units",'3'!$A$1,"Status","03 Planning","Tenure","Intermediate")</f>
        <v>1081</v>
      </c>
      <c r="H51" s="68">
        <f>GETPIVOTDATA("Sum of Phase Proposed Units",'3'!$A$1,"Status","03 Planning","Tenure","Social/Affordable Rent")</f>
        <v>1222</v>
      </c>
      <c r="I51" s="68">
        <f>GETPIVOTDATA("Sum of Phase Net Units",'3'!$A$1,"Status","03 Planning","Tenure","Social/Affordable Rent")</f>
        <v>537</v>
      </c>
      <c r="J51" s="68">
        <f>GETPIVOTDATA("Sum of Phase Proposed Units",'3'!$A$1,"Status","03 Planning","Tenure","Unknown")</f>
        <v>0</v>
      </c>
      <c r="K51" s="68">
        <f>GETPIVOTDATA("Sum of Phase Net Units",'3'!$A$1,"Status","03 Planning","Tenure","Unknown")</f>
        <v>0</v>
      </c>
      <c r="L51" s="68">
        <f>H51+F51</f>
        <v>2319</v>
      </c>
      <c r="M51" s="68">
        <f>I51+G51</f>
        <v>1618</v>
      </c>
      <c r="N51" s="80">
        <f t="shared" si="3"/>
        <v>0.2491405242801891</v>
      </c>
      <c r="O51" s="80">
        <f t="shared" si="4"/>
        <v>0.20114370959721531</v>
      </c>
      <c r="P51" s="68">
        <f>D51+L51+J51</f>
        <v>9308</v>
      </c>
      <c r="Q51" s="68">
        <f>E51+M51+K51</f>
        <v>8044</v>
      </c>
    </row>
    <row r="52" spans="1:17" x14ac:dyDescent="0.2">
      <c r="A52" s="320" t="s">
        <v>61</v>
      </c>
      <c r="B52" s="320"/>
      <c r="C52" s="320"/>
      <c r="D52" s="13">
        <f>GETPIVOTDATA("Sum of Phase Proposed Units",'3'!$A$1,"Status","04 Subject to Legal Agreement","Tenure","Open Market")</f>
        <v>236</v>
      </c>
      <c r="E52" s="13">
        <f>GETPIVOTDATA("Sum of Phase Net Units",'3'!$A$1,"Status","04 Subject to Legal Agreement","Tenure","Open Market")</f>
        <v>236</v>
      </c>
      <c r="F52" s="13">
        <f>GETPIVOTDATA("Sum of Phase Proposed Units",'3'!$A$1,"Status","04 Subject to Legal Agreement","Tenure","Intermediate")</f>
        <v>28</v>
      </c>
      <c r="G52" s="13">
        <f>GETPIVOTDATA("Sum of Phase Net Units",'3'!$A$1,"Status","04 Subject to Legal Agreement","Tenure","Intermediate")</f>
        <v>28</v>
      </c>
      <c r="H52" s="13">
        <f>GETPIVOTDATA("Sum of Phase Proposed Units",'3'!$A$1,"Status","04 Subject to Legal Agreement","Tenure","Social/Affordable Rent")</f>
        <v>109</v>
      </c>
      <c r="I52" s="13">
        <f>GETPIVOTDATA("Sum of Phase Net Units",'3'!$A$1,"Status","04 Subject to Legal Agreement","Tenure","Social/Affordable Rent")</f>
        <v>109</v>
      </c>
      <c r="J52" s="13">
        <f>GETPIVOTDATA("Sum of Phase Proposed Units",'3'!$A$1,"Status","04 Subject to Legal Agreement","Tenure","Unknown")</f>
        <v>0</v>
      </c>
      <c r="K52" s="13">
        <f>GETPIVOTDATA("Sum of Phase Net Units",'3'!$A$1,"Status","04 Subject to Legal Agreement","Tenure","Unknown")</f>
        <v>0</v>
      </c>
      <c r="L52" s="68">
        <f t="shared" si="1"/>
        <v>137</v>
      </c>
      <c r="M52" s="68">
        <f t="shared" si="2"/>
        <v>137</v>
      </c>
      <c r="N52" s="80">
        <f t="shared" si="3"/>
        <v>0.36729222520107241</v>
      </c>
      <c r="O52" s="80">
        <f t="shared" si="4"/>
        <v>0.36729222520107241</v>
      </c>
      <c r="P52" s="68">
        <f t="shared" si="5"/>
        <v>373</v>
      </c>
      <c r="Q52" s="68">
        <f t="shared" si="6"/>
        <v>373</v>
      </c>
    </row>
    <row r="53" spans="1:17" x14ac:dyDescent="0.2">
      <c r="A53" s="332" t="s">
        <v>62</v>
      </c>
      <c r="B53" s="332"/>
      <c r="C53" s="332"/>
      <c r="D53" s="68">
        <f>GETPIVOTDATA("Sum of Phase Proposed Units",'3'!$A$1,"Status","06 Identified Site","Tenure","Open Market")</f>
        <v>3507</v>
      </c>
      <c r="E53" s="68">
        <f>GETPIVOTDATA("Sum of Phase Net Units",'3'!$A$1,"Status","06 Identified Site","Tenure","Open Market")</f>
        <v>3507</v>
      </c>
      <c r="F53" s="68">
        <f>GETPIVOTDATA("Sum of Phase Proposed Units",'3'!$A$1,"Status","06 Identified Site","Tenure","Intermediate")</f>
        <v>901</v>
      </c>
      <c r="G53" s="68">
        <f>GETPIVOTDATA("Sum of Phase Net Units",'3'!$A$1,"Status","06 Identified Site","Tenure","Intermediate")</f>
        <v>901</v>
      </c>
      <c r="H53" s="68">
        <f>GETPIVOTDATA("Sum of Phase Proposed Units",'3'!$A$1,"Status","06 Identified Site","Tenure","Social/Affordable Rent")</f>
        <v>927</v>
      </c>
      <c r="I53" s="68">
        <f>GETPIVOTDATA("Sum of Phase Net Units",'3'!$A$1,"Status","06 Identified Site","Tenure","Social/Affordable Rent")</f>
        <v>927</v>
      </c>
      <c r="J53" s="68">
        <f>GETPIVOTDATA("Sum of Phase Proposed Units",'3'!$A$1,"Status","06 Identified Site","Tenure","Unknown")</f>
        <v>0</v>
      </c>
      <c r="K53" s="68">
        <f>GETPIVOTDATA("Sum of Phase Net Units",'3'!$A$1,"Status","06 Identified Site","Tenure","Unknown")</f>
        <v>0</v>
      </c>
      <c r="L53" s="68">
        <f t="shared" si="1"/>
        <v>1828</v>
      </c>
      <c r="M53" s="68">
        <f t="shared" si="2"/>
        <v>1828</v>
      </c>
      <c r="N53" s="80">
        <f t="shared" si="3"/>
        <v>0.34264292408622304</v>
      </c>
      <c r="O53" s="80">
        <f t="shared" si="4"/>
        <v>0.34264292408622304</v>
      </c>
      <c r="P53" s="68">
        <f t="shared" si="5"/>
        <v>5335</v>
      </c>
      <c r="Q53" s="68">
        <f t="shared" si="6"/>
        <v>5335</v>
      </c>
    </row>
    <row r="54" spans="1:17" x14ac:dyDescent="0.2">
      <c r="A54" s="332" t="s">
        <v>63</v>
      </c>
      <c r="B54" s="332"/>
      <c r="C54" s="332"/>
      <c r="D54" s="68">
        <f>GETPIVOTDATA("Sum of Phase Proposed Units",'3'!$A$1,"Status","07 SHLAA Potential Site","Tenure","Open Market")</f>
        <v>203</v>
      </c>
      <c r="E54" s="68">
        <f>GETPIVOTDATA("Sum of Phase Net Units",'3'!$A$1,"Status","07 SHLAA Potential Site","Tenure","Open Market")</f>
        <v>203</v>
      </c>
      <c r="F54" s="68">
        <f>GETPIVOTDATA("Sum of Phase Proposed Units",'3'!$A$1,"Status","07 SHLAA Potential Site","Tenure","Intermediate")</f>
        <v>54</v>
      </c>
      <c r="G54" s="68">
        <f>GETPIVOTDATA("Sum of Phase Net Units",'3'!$A$1,"Status","07 SHLAA Potential Site","Tenure","Intermediate")</f>
        <v>54</v>
      </c>
      <c r="H54" s="68">
        <f>GETPIVOTDATA("Sum of Phase Proposed Units",'3'!$A$1,"Status","07 SHLAA Potential Site","Tenure","Social/Affordable Rent")</f>
        <v>54</v>
      </c>
      <c r="I54" s="68">
        <f>GETPIVOTDATA("Sum of Phase Net Units",'3'!$A$1,"Status","07 SHLAA Potential Site","Tenure","Social/Affordable Rent")</f>
        <v>54</v>
      </c>
      <c r="J54" s="68">
        <f>GETPIVOTDATA("Sum of Phase Proposed Units",'3'!$A$1,"Status","07 SHLAA Potential Site","Tenure","Unknown")</f>
        <v>0</v>
      </c>
      <c r="K54" s="68">
        <f>GETPIVOTDATA("Sum of Phase Net Units",'3'!$A$1,"Status","07 SHLAA Potential Site","Tenure","Unknown")</f>
        <v>0</v>
      </c>
      <c r="L54" s="68">
        <f t="shared" si="1"/>
        <v>108</v>
      </c>
      <c r="M54" s="68">
        <f t="shared" si="2"/>
        <v>108</v>
      </c>
      <c r="N54" s="80">
        <f t="shared" si="3"/>
        <v>0.34726688102893893</v>
      </c>
      <c r="O54" s="80">
        <f t="shared" si="4"/>
        <v>0.34726688102893893</v>
      </c>
      <c r="P54" s="68">
        <f t="shared" si="5"/>
        <v>311</v>
      </c>
      <c r="Q54" s="68">
        <f t="shared" si="6"/>
        <v>311</v>
      </c>
    </row>
    <row r="55" spans="1:17" x14ac:dyDescent="0.2">
      <c r="A55" s="332" t="s">
        <v>64</v>
      </c>
      <c r="B55" s="332"/>
      <c r="C55" s="332"/>
      <c r="D55" s="68">
        <f>GETPIVOTDATA("Sum of Phase Proposed Units",'3'!$A$1,"Status","08 SHLAA Small Sites","Tenure","Open Market")</f>
        <v>0</v>
      </c>
      <c r="E55" s="68">
        <f>GETPIVOTDATA("Sum of Phase Net Units",'3'!$A$1,"Status","08 SHLAA Small Sites","Tenure","Open Market")</f>
        <v>0</v>
      </c>
      <c r="F55" s="68">
        <f>GETPIVOTDATA("Sum of Phase Proposed Units",'3'!$A$1,"Status","08 SHLAA Small Sites","Tenure","Intermediate")</f>
        <v>0</v>
      </c>
      <c r="G55" s="68">
        <f>GETPIVOTDATA("Sum of Phase Net Units",'3'!$A$1,"Status","08 SHLAA Small Sites","Tenure","Intermediate")</f>
        <v>0</v>
      </c>
      <c r="H55" s="68">
        <f>GETPIVOTDATA("Sum of Phase Proposed Units",'3'!$A$1,"Status","08 SHLAA Small Sites","Tenure","Social/Affordable Rent")</f>
        <v>0</v>
      </c>
      <c r="I55" s="68">
        <f>GETPIVOTDATA("Sum of Phase Net Units",'3'!$A$1,"Status","08 SHLAA Small Sites","Tenure","Social/Affordable Rent")</f>
        <v>0</v>
      </c>
      <c r="J55" s="68">
        <f>GETPIVOTDATA("Sum of Phase Proposed Units",'3'!$A$1,"Status","08 SHLAA Small Sites","Tenure","Unknown")</f>
        <v>4611</v>
      </c>
      <c r="K55" s="68">
        <f>GETPIVOTDATA("Sum of Phase Net Units",'3'!$A$1,"Status","08 SHLAA Small Sites","Tenure","Unknown")</f>
        <v>4611</v>
      </c>
      <c r="L55" s="68">
        <f t="shared" si="1"/>
        <v>0</v>
      </c>
      <c r="M55" s="68">
        <f t="shared" si="2"/>
        <v>0</v>
      </c>
      <c r="N55" s="80">
        <v>0</v>
      </c>
      <c r="O55" s="80">
        <v>0</v>
      </c>
      <c r="P55" s="68">
        <f t="shared" si="5"/>
        <v>4611</v>
      </c>
      <c r="Q55" s="68">
        <f t="shared" si="6"/>
        <v>4611</v>
      </c>
    </row>
    <row r="56" spans="1:17" x14ac:dyDescent="0.2">
      <c r="A56" s="333" t="s">
        <v>65</v>
      </c>
      <c r="B56" s="333"/>
      <c r="C56" s="333"/>
      <c r="D56" s="24">
        <f>SUM(D50:D55)</f>
        <v>14798</v>
      </c>
      <c r="E56" s="24">
        <f>SUM(E50:E55)</f>
        <v>14114</v>
      </c>
      <c r="F56" s="24">
        <f t="shared" ref="F56:M56" si="7">SUM(F50:F55)</f>
        <v>2348</v>
      </c>
      <c r="G56" s="24">
        <f t="shared" si="7"/>
        <v>2321</v>
      </c>
      <c r="H56" s="24">
        <f t="shared" si="7"/>
        <v>3079</v>
      </c>
      <c r="I56" s="24">
        <f>SUM(I50:I55)</f>
        <v>2330</v>
      </c>
      <c r="J56" s="24">
        <f>SUM(J50:J55)</f>
        <v>4611</v>
      </c>
      <c r="K56" s="24">
        <f>SUM(K50:K55)</f>
        <v>4610</v>
      </c>
      <c r="L56" s="24">
        <f t="shared" si="7"/>
        <v>5427</v>
      </c>
      <c r="M56" s="24">
        <f t="shared" si="7"/>
        <v>4651</v>
      </c>
      <c r="N56" s="11">
        <f t="shared" si="3"/>
        <v>0.21851344822032534</v>
      </c>
      <c r="O56" s="11">
        <f>M56/Q56</f>
        <v>0.19897326203208557</v>
      </c>
      <c r="P56" s="24">
        <f>D56+L56+J56</f>
        <v>24836</v>
      </c>
      <c r="Q56" s="24">
        <f>E56+M56+K56</f>
        <v>23375</v>
      </c>
    </row>
    <row r="57" spans="1:17" x14ac:dyDescent="0.2">
      <c r="A57" s="43" t="s">
        <v>66</v>
      </c>
      <c r="B57" s="25"/>
      <c r="C57" s="25"/>
      <c r="D57" s="26"/>
      <c r="E57" s="26"/>
      <c r="F57" s="26"/>
      <c r="G57" s="26"/>
      <c r="H57" s="26"/>
      <c r="I57" s="26"/>
      <c r="J57" s="26"/>
      <c r="K57" s="26"/>
      <c r="L57" s="26"/>
      <c r="M57" s="26"/>
      <c r="N57" s="27"/>
      <c r="O57" s="27"/>
      <c r="P57" s="26"/>
      <c r="Q57" s="44"/>
    </row>
    <row r="58" spans="1:17" x14ac:dyDescent="0.2">
      <c r="A58" s="2"/>
      <c r="B58" s="2"/>
      <c r="C58" s="2"/>
      <c r="D58" s="2"/>
      <c r="E58" s="2"/>
      <c r="F58" s="2"/>
      <c r="G58" s="2"/>
      <c r="H58" s="2"/>
      <c r="I58" s="2"/>
      <c r="J58" s="2"/>
      <c r="K58" s="2"/>
      <c r="L58" s="2"/>
      <c r="M58" s="2"/>
      <c r="N58" s="2"/>
      <c r="O58" s="2"/>
      <c r="P58" s="2"/>
      <c r="Q58" s="2"/>
    </row>
    <row r="59" spans="1:17" x14ac:dyDescent="0.2">
      <c r="A59" s="6" t="s">
        <v>76</v>
      </c>
      <c r="B59" s="6" t="s">
        <v>77</v>
      </c>
      <c r="C59" s="3"/>
      <c r="D59" s="3"/>
      <c r="E59" s="3"/>
      <c r="F59" s="3"/>
      <c r="G59" s="3"/>
      <c r="H59" s="3"/>
      <c r="I59" s="3"/>
      <c r="J59" s="3"/>
      <c r="K59" s="3"/>
      <c r="L59" s="3"/>
      <c r="M59" s="3"/>
      <c r="N59" s="3"/>
      <c r="O59" s="3"/>
      <c r="P59" s="3"/>
      <c r="Q59" s="3"/>
    </row>
    <row r="60" spans="1:17" ht="12.75" customHeight="1" x14ac:dyDescent="0.2">
      <c r="A60" s="330" t="s">
        <v>69</v>
      </c>
      <c r="B60" s="330"/>
      <c r="C60" s="330"/>
      <c r="D60" s="311" t="s">
        <v>70</v>
      </c>
      <c r="E60" s="327"/>
      <c r="F60" s="309" t="s">
        <v>71</v>
      </c>
      <c r="G60" s="309"/>
      <c r="H60" s="309"/>
      <c r="I60" s="309"/>
      <c r="J60" s="321" t="s">
        <v>72</v>
      </c>
      <c r="K60" s="322"/>
      <c r="L60" s="311" t="s">
        <v>73</v>
      </c>
      <c r="M60" s="327"/>
      <c r="N60" s="311" t="s">
        <v>74</v>
      </c>
      <c r="O60" s="327"/>
      <c r="P60" s="311" t="s">
        <v>50</v>
      </c>
      <c r="Q60" s="327"/>
    </row>
    <row r="61" spans="1:17" x14ac:dyDescent="0.2">
      <c r="A61" s="330"/>
      <c r="B61" s="330"/>
      <c r="C61" s="330"/>
      <c r="D61" s="325"/>
      <c r="E61" s="331"/>
      <c r="F61" s="311" t="s">
        <v>48</v>
      </c>
      <c r="G61" s="327"/>
      <c r="H61" s="321" t="s">
        <v>49</v>
      </c>
      <c r="I61" s="322"/>
      <c r="J61" s="323"/>
      <c r="K61" s="324"/>
      <c r="L61" s="325"/>
      <c r="M61" s="331"/>
      <c r="N61" s="325"/>
      <c r="O61" s="331"/>
      <c r="P61" s="325"/>
      <c r="Q61" s="331"/>
    </row>
    <row r="62" spans="1:17" x14ac:dyDescent="0.2">
      <c r="A62" s="330"/>
      <c r="B62" s="330"/>
      <c r="C62" s="330"/>
      <c r="D62" s="36" t="s">
        <v>75</v>
      </c>
      <c r="E62" s="36" t="s">
        <v>57</v>
      </c>
      <c r="F62" s="36" t="s">
        <v>75</v>
      </c>
      <c r="G62" s="36" t="s">
        <v>57</v>
      </c>
      <c r="H62" s="36" t="s">
        <v>75</v>
      </c>
      <c r="I62" s="36" t="s">
        <v>57</v>
      </c>
      <c r="J62" s="36" t="s">
        <v>75</v>
      </c>
      <c r="K62" s="36" t="s">
        <v>57</v>
      </c>
      <c r="L62" s="36" t="s">
        <v>75</v>
      </c>
      <c r="M62" s="36" t="s">
        <v>57</v>
      </c>
      <c r="N62" s="36" t="s">
        <v>75</v>
      </c>
      <c r="O62" s="36" t="s">
        <v>57</v>
      </c>
      <c r="P62" s="36" t="s">
        <v>75</v>
      </c>
      <c r="Q62" s="36" t="s">
        <v>57</v>
      </c>
    </row>
    <row r="63" spans="1:17" x14ac:dyDescent="0.2">
      <c r="A63" s="348" t="s">
        <v>58</v>
      </c>
      <c r="B63" s="348"/>
      <c r="C63" s="348"/>
      <c r="D63" s="19">
        <f>GETPIVOTDATA("Sum of Phase Proposed Units",'4'!$A$4,"Status","01 Completion","Tenure","Open Market")</f>
        <v>1777</v>
      </c>
      <c r="E63" s="19">
        <f>GETPIVOTDATA("Sum of Phase Net Units",'4'!$A$4,"Status","01 Completion","Tenure","Open Market")</f>
        <v>1734</v>
      </c>
      <c r="F63" s="19">
        <f>GETPIVOTDATA("Sum of Phase Proposed Units",'4'!$A$4,"Status","01 Completion","Tenure","Intermediate")</f>
        <v>448</v>
      </c>
      <c r="G63" s="19">
        <f>GETPIVOTDATA("Sum of Phase Net Units",'4'!$A$4,"Status","01 Completion","Tenure","Intermediate")</f>
        <v>440</v>
      </c>
      <c r="H63" s="19">
        <f>GETPIVOTDATA("Sum of Phase Proposed Units",'4'!$A$4,"Status","01 Completion","Tenure","Social/Affordable Rent")</f>
        <v>504</v>
      </c>
      <c r="I63" s="19">
        <f>GETPIVOTDATA("Sum of Phase Net Units",'4'!$A$4,"Status","01 Completion","Tenure","Social/Affordable Rent")</f>
        <v>385</v>
      </c>
      <c r="J63" s="19">
        <v>0</v>
      </c>
      <c r="K63" s="19">
        <v>0</v>
      </c>
      <c r="L63" s="19">
        <f t="shared" ref="L63:L69" si="8">H63+F63</f>
        <v>952</v>
      </c>
      <c r="M63" s="19">
        <f t="shared" ref="M63:M69" si="9">I63+G63</f>
        <v>825</v>
      </c>
      <c r="N63" s="79">
        <f t="shared" ref="N63:N70" si="10">L63/P63</f>
        <v>0.34884573103700989</v>
      </c>
      <c r="O63" s="79">
        <f t="shared" ref="O63:O70" si="11">M63/Q63</f>
        <v>0.32239155920281359</v>
      </c>
      <c r="P63" s="19">
        <f t="shared" ref="P63:Q70" si="12">L63+D63</f>
        <v>2729</v>
      </c>
      <c r="Q63" s="19">
        <f t="shared" si="12"/>
        <v>2559</v>
      </c>
    </row>
    <row r="64" spans="1:17" x14ac:dyDescent="0.2">
      <c r="A64" s="329" t="s">
        <v>59</v>
      </c>
      <c r="B64" s="329"/>
      <c r="C64" s="329"/>
      <c r="D64" s="13">
        <f>GETPIVOTDATA("Sum of Phase Proposed Units",'4'!$A$4,"Status","02 Under Construction","Tenure","Open Market")</f>
        <v>3475</v>
      </c>
      <c r="E64" s="13">
        <f>GETPIVOTDATA("Sum of Phase Net Units",'4'!$A$4,"Status","02 Under Construction","Tenure","Open Market")</f>
        <v>3453</v>
      </c>
      <c r="F64" s="13">
        <f>GETPIVOTDATA("Sum of Phase Proposed Units",'4'!$A$4,"Status","02 Under Construction","Tenure","Intermediate")</f>
        <v>268</v>
      </c>
      <c r="G64" s="13">
        <f>GETPIVOTDATA("Sum of Phase Net Units",'4'!$A$4,"Status","02 Under Construction","Tenure","Intermediate")</f>
        <v>257</v>
      </c>
      <c r="H64" s="13">
        <f>GETPIVOTDATA("Sum of Phase Proposed Units",'4'!$A$4,"Status","02 Under Construction","Tenure","Social/Affordable Rent")</f>
        <v>767</v>
      </c>
      <c r="I64" s="13">
        <f>GETPIVOTDATA("Sum of Phase Net Units",'4'!$A$4,"Status","02 Under Construction","Tenure","Social/Affordable Rent")</f>
        <v>703</v>
      </c>
      <c r="J64" s="13">
        <v>0</v>
      </c>
      <c r="K64" s="13">
        <v>0</v>
      </c>
      <c r="L64" s="13">
        <f t="shared" si="8"/>
        <v>1035</v>
      </c>
      <c r="M64" s="13">
        <f t="shared" si="9"/>
        <v>960</v>
      </c>
      <c r="N64" s="14">
        <f t="shared" si="10"/>
        <v>0.229490022172949</v>
      </c>
      <c r="O64" s="14">
        <f t="shared" si="11"/>
        <v>0.21753908905506458</v>
      </c>
      <c r="P64" s="68">
        <f t="shared" si="12"/>
        <v>4510</v>
      </c>
      <c r="Q64" s="68">
        <f t="shared" si="12"/>
        <v>4413</v>
      </c>
    </row>
    <row r="65" spans="1:17" x14ac:dyDescent="0.2">
      <c r="A65" s="329" t="s">
        <v>60</v>
      </c>
      <c r="B65" s="329"/>
      <c r="C65" s="329"/>
      <c r="D65" s="13">
        <f>GETPIVOTDATA("Sum of Phase Proposed Units",'4'!$A$4,"Status","03 Planning","Tenure","Open Market")</f>
        <v>6404</v>
      </c>
      <c r="E65" s="13">
        <f>GETPIVOTDATA("Sum of Phase Net Units",'4'!$A$4,"Status","03 Planning","Tenure","Open Market")</f>
        <v>6018</v>
      </c>
      <c r="F65" s="13">
        <f>GETPIVOTDATA("Sum of Phase Proposed Units",'4'!$A$4,"Status","03 Planning","Tenure","Intermediate")</f>
        <v>1096</v>
      </c>
      <c r="G65" s="13">
        <f>GETPIVOTDATA("Sum of Phase Net Units",'4'!$A$4,"Status","03 Planning","Tenure","Intermediate")</f>
        <v>1082</v>
      </c>
      <c r="H65" s="13">
        <f>GETPIVOTDATA("Sum of Phase Proposed Units",'4'!$A$4,"Status","03 Planning","Tenure","Social/Affordable Rent")</f>
        <v>1221</v>
      </c>
      <c r="I65" s="13">
        <f>GETPIVOTDATA("Sum of Phase Net Units",'4'!$A$4,"Status","03 Planning","Tenure","Social/Affordable Rent")</f>
        <v>536</v>
      </c>
      <c r="J65" s="13">
        <v>0</v>
      </c>
      <c r="K65" s="13">
        <v>0</v>
      </c>
      <c r="L65" s="13">
        <f t="shared" si="8"/>
        <v>2317</v>
      </c>
      <c r="M65" s="13">
        <f t="shared" si="9"/>
        <v>1618</v>
      </c>
      <c r="N65" s="14">
        <f t="shared" si="10"/>
        <v>0.26568054122233686</v>
      </c>
      <c r="O65" s="14">
        <f t="shared" si="11"/>
        <v>0.21189104243059192</v>
      </c>
      <c r="P65" s="68">
        <f t="shared" si="12"/>
        <v>8721</v>
      </c>
      <c r="Q65" s="68">
        <f t="shared" si="12"/>
        <v>7636</v>
      </c>
    </row>
    <row r="66" spans="1:17" x14ac:dyDescent="0.2">
      <c r="A66" s="320" t="s">
        <v>61</v>
      </c>
      <c r="B66" s="320"/>
      <c r="C66" s="320"/>
      <c r="D66" s="13">
        <f>GETPIVOTDATA("Sum of Phase Proposed Units",'4'!$A$4,"Status","04 Subject to Legal Agreement","Tenure","Open Market")</f>
        <v>204</v>
      </c>
      <c r="E66" s="13">
        <f>GETPIVOTDATA("Sum of Phase Net Units",'4'!$A$4,"Status","04 Subject to Legal Agreement","Tenure","Open Market")</f>
        <v>204</v>
      </c>
      <c r="F66" s="13">
        <f>GETPIVOTDATA("Sum of Phase Proposed Units",'4'!$A$4,"Status","04 Subject to Legal Agreement","Tenure","Intermediate")</f>
        <v>28</v>
      </c>
      <c r="G66" s="13">
        <f>GETPIVOTDATA("Sum of Phase Net Units",'4'!$A$4,"Status","04 Subject to Legal Agreement","Tenure","Intermediate")</f>
        <v>28</v>
      </c>
      <c r="H66" s="13">
        <f>GETPIVOTDATA("Sum of Phase Proposed Units",'4'!$A$4,"Status","04 Subject to Legal Agreement","Tenure","Social/Affordable Rent")</f>
        <v>109</v>
      </c>
      <c r="I66" s="13">
        <f>GETPIVOTDATA("Sum of Phase Net Units",'4'!$A$4,"Status","04 Subject to Legal Agreement","Tenure","Social/Affordable Rent")</f>
        <v>109</v>
      </c>
      <c r="J66" s="13">
        <v>0</v>
      </c>
      <c r="K66" s="13">
        <v>0</v>
      </c>
      <c r="L66" s="13">
        <f t="shared" si="8"/>
        <v>137</v>
      </c>
      <c r="M66" s="13">
        <f t="shared" si="9"/>
        <v>137</v>
      </c>
      <c r="N66" s="14">
        <f t="shared" si="10"/>
        <v>0.40175953079178883</v>
      </c>
      <c r="O66" s="14">
        <f t="shared" si="11"/>
        <v>0.40175953079178883</v>
      </c>
      <c r="P66" s="68">
        <f t="shared" si="12"/>
        <v>341</v>
      </c>
      <c r="Q66" s="68">
        <f t="shared" si="12"/>
        <v>341</v>
      </c>
    </row>
    <row r="67" spans="1:17" x14ac:dyDescent="0.2">
      <c r="A67" s="342" t="s">
        <v>62</v>
      </c>
      <c r="B67" s="343"/>
      <c r="C67" s="344"/>
      <c r="D67" s="68">
        <f>GETPIVOTDATA("Sum of Phase Proposed Units",'4'!$A$4,"Status","06 Identified Site","Tenure","Open Market")</f>
        <v>3507</v>
      </c>
      <c r="E67" s="68">
        <f>GETPIVOTDATA("Sum of Phase Net Units",'4'!$A$4,"Status","06 Identified Site","Tenure","Open Market")</f>
        <v>3507</v>
      </c>
      <c r="F67" s="68">
        <f>GETPIVOTDATA("Sum of Phase Proposed Units",'4'!$A$4,"Status","06 Identified Site","Tenure","Intermediate")</f>
        <v>901</v>
      </c>
      <c r="G67" s="68">
        <f>GETPIVOTDATA("Sum of Phase Net Units",'4'!$A$4,"Status","06 Identified Site","Tenure","Intermediate")</f>
        <v>901</v>
      </c>
      <c r="H67" s="68">
        <f>GETPIVOTDATA("Sum of Phase Proposed Units",'4'!$A$4,"Status","06 Identified Site","Tenure","Social/Affordable Rent")</f>
        <v>927</v>
      </c>
      <c r="I67" s="68">
        <f>GETPIVOTDATA("Sum of Phase Net Units",'4'!$A$4,"Status","06 Identified Site","Tenure","Social/Affordable Rent")</f>
        <v>927</v>
      </c>
      <c r="J67" s="68">
        <v>0</v>
      </c>
      <c r="K67" s="68">
        <v>0</v>
      </c>
      <c r="L67" s="68">
        <f t="shared" si="8"/>
        <v>1828</v>
      </c>
      <c r="M67" s="68">
        <f t="shared" si="9"/>
        <v>1828</v>
      </c>
      <c r="N67" s="80">
        <f t="shared" si="10"/>
        <v>0.34264292408622304</v>
      </c>
      <c r="O67" s="80">
        <f t="shared" si="11"/>
        <v>0.34264292408622304</v>
      </c>
      <c r="P67" s="68">
        <f t="shared" si="12"/>
        <v>5335</v>
      </c>
      <c r="Q67" s="68">
        <f t="shared" si="12"/>
        <v>5335</v>
      </c>
    </row>
    <row r="68" spans="1:17" x14ac:dyDescent="0.2">
      <c r="A68" s="342" t="s">
        <v>63</v>
      </c>
      <c r="B68" s="343"/>
      <c r="C68" s="344"/>
      <c r="D68" s="68">
        <f>GETPIVOTDATA("Sum of Phase Proposed Units",'4'!$A$4,"Status","07 SHLAA Potential Site","Tenure","Open Market")</f>
        <v>203</v>
      </c>
      <c r="E68" s="68">
        <f>GETPIVOTDATA("Sum of Phase Net Units",'4'!$A$4,"Status","07 SHLAA Potential Site","Tenure","Open Market")</f>
        <v>203</v>
      </c>
      <c r="F68" s="68">
        <f>GETPIVOTDATA("Sum of Phase Proposed Units",'4'!$A$4,"Status","07 SHLAA Potential Site","Tenure","Intermediate")</f>
        <v>54</v>
      </c>
      <c r="G68" s="68">
        <f>GETPIVOTDATA("Sum of Phase Net Units",'4'!$A$4,"Status","07 SHLAA Potential Site","Tenure","Intermediate")</f>
        <v>54</v>
      </c>
      <c r="H68" s="68">
        <f>GETPIVOTDATA("Sum of Phase Proposed Units",'4'!$A$4,"Status","07 SHLAA Potential Site","Tenure","Social/Affordable Rent")</f>
        <v>54</v>
      </c>
      <c r="I68" s="68">
        <f>GETPIVOTDATA("Sum of Phase Net Units",'4'!$A$4,"Status","07 SHLAA Potential Site","Tenure","Social/Affordable Rent")</f>
        <v>54</v>
      </c>
      <c r="J68" s="68">
        <v>0</v>
      </c>
      <c r="K68" s="68">
        <v>0</v>
      </c>
      <c r="L68" s="68">
        <f t="shared" si="8"/>
        <v>108</v>
      </c>
      <c r="M68" s="68">
        <f t="shared" si="9"/>
        <v>108</v>
      </c>
      <c r="N68" s="80">
        <f t="shared" si="10"/>
        <v>0.34726688102893893</v>
      </c>
      <c r="O68" s="80">
        <f t="shared" si="11"/>
        <v>0.34726688102893893</v>
      </c>
      <c r="P68" s="68">
        <f t="shared" si="12"/>
        <v>311</v>
      </c>
      <c r="Q68" s="68">
        <f t="shared" si="12"/>
        <v>311</v>
      </c>
    </row>
    <row r="69" spans="1:17" x14ac:dyDescent="0.2">
      <c r="A69" s="342" t="s">
        <v>64</v>
      </c>
      <c r="B69" s="343"/>
      <c r="C69" s="344"/>
      <c r="D69" s="68">
        <v>0</v>
      </c>
      <c r="E69" s="68">
        <v>0</v>
      </c>
      <c r="F69" s="68">
        <v>0</v>
      </c>
      <c r="G69" s="68">
        <v>0</v>
      </c>
      <c r="H69" s="68">
        <v>0</v>
      </c>
      <c r="I69" s="68">
        <v>0</v>
      </c>
      <c r="J69" s="68">
        <v>0</v>
      </c>
      <c r="K69" s="68">
        <v>0</v>
      </c>
      <c r="L69" s="68">
        <f t="shared" si="8"/>
        <v>0</v>
      </c>
      <c r="M69" s="68">
        <f t="shared" si="9"/>
        <v>0</v>
      </c>
      <c r="N69" s="80">
        <v>0</v>
      </c>
      <c r="O69" s="80">
        <v>0</v>
      </c>
      <c r="P69" s="68">
        <f t="shared" si="12"/>
        <v>0</v>
      </c>
      <c r="Q69" s="68">
        <f t="shared" si="12"/>
        <v>0</v>
      </c>
    </row>
    <row r="70" spans="1:17" x14ac:dyDescent="0.2">
      <c r="A70" s="333" t="s">
        <v>65</v>
      </c>
      <c r="B70" s="333"/>
      <c r="C70" s="333"/>
      <c r="D70" s="24">
        <f t="shared" ref="D70:M70" si="13">SUM(D64:D69)</f>
        <v>13793</v>
      </c>
      <c r="E70" s="24">
        <f t="shared" si="13"/>
        <v>13385</v>
      </c>
      <c r="F70" s="24">
        <f t="shared" si="13"/>
        <v>2347</v>
      </c>
      <c r="G70" s="24">
        <f t="shared" si="13"/>
        <v>2322</v>
      </c>
      <c r="H70" s="24">
        <f t="shared" si="13"/>
        <v>3078</v>
      </c>
      <c r="I70" s="24">
        <f>SUM(I64:I69)</f>
        <v>2329</v>
      </c>
      <c r="J70" s="24">
        <f>SUM(J64:J69)</f>
        <v>0</v>
      </c>
      <c r="K70" s="24">
        <f t="shared" si="13"/>
        <v>0</v>
      </c>
      <c r="L70" s="24">
        <f t="shared" si="13"/>
        <v>5425</v>
      </c>
      <c r="M70" s="24">
        <f t="shared" si="13"/>
        <v>4651</v>
      </c>
      <c r="N70" s="11">
        <f t="shared" si="10"/>
        <v>0.28228743885940266</v>
      </c>
      <c r="O70" s="11">
        <f t="shared" si="11"/>
        <v>0.25787314260368155</v>
      </c>
      <c r="P70" s="24">
        <f t="shared" si="12"/>
        <v>19218</v>
      </c>
      <c r="Q70" s="24">
        <f t="shared" si="12"/>
        <v>18036</v>
      </c>
    </row>
    <row r="71" spans="1:17" x14ac:dyDescent="0.2">
      <c r="A71" s="43" t="s">
        <v>66</v>
      </c>
      <c r="B71" s="81"/>
      <c r="C71" s="81"/>
      <c r="D71" s="82"/>
      <c r="E71" s="82"/>
      <c r="F71" s="82"/>
      <c r="G71" s="82"/>
      <c r="H71" s="82"/>
      <c r="I71" s="82"/>
      <c r="J71" s="82"/>
      <c r="K71" s="82"/>
      <c r="L71" s="1"/>
      <c r="M71" s="1"/>
      <c r="N71" s="1"/>
      <c r="O71" s="1"/>
      <c r="P71" s="1"/>
      <c r="Q71" s="1"/>
    </row>
    <row r="72" spans="1:17" x14ac:dyDescent="0.2">
      <c r="A72" s="2"/>
      <c r="B72" s="2"/>
      <c r="C72" s="2"/>
      <c r="D72" s="2"/>
      <c r="E72" s="2"/>
      <c r="F72" s="2"/>
      <c r="G72" s="2"/>
      <c r="H72" s="2"/>
      <c r="I72" s="2"/>
      <c r="J72" s="2"/>
      <c r="K72" s="2"/>
      <c r="L72" s="2"/>
      <c r="M72" s="2"/>
      <c r="N72" s="2"/>
      <c r="O72" s="2"/>
      <c r="P72" s="2"/>
      <c r="Q72" s="2"/>
    </row>
    <row r="73" spans="1:17" x14ac:dyDescent="0.2">
      <c r="A73" s="6" t="s">
        <v>78</v>
      </c>
      <c r="B73" s="6" t="s">
        <v>79</v>
      </c>
      <c r="C73" s="3"/>
      <c r="D73" s="3"/>
      <c r="E73" s="3"/>
      <c r="F73" s="3"/>
      <c r="G73" s="3"/>
      <c r="H73" s="3"/>
      <c r="I73" s="3"/>
      <c r="J73" s="3"/>
      <c r="K73" s="2"/>
      <c r="L73" s="2"/>
      <c r="M73" s="2"/>
      <c r="N73" s="2"/>
      <c r="O73" s="2"/>
      <c r="P73" s="2"/>
      <c r="Q73" s="2"/>
    </row>
    <row r="74" spans="1:17" x14ac:dyDescent="0.2">
      <c r="A74" s="53" t="s">
        <v>80</v>
      </c>
      <c r="B74" s="34" t="s">
        <v>81</v>
      </c>
      <c r="C74" s="34" t="s">
        <v>82</v>
      </c>
      <c r="D74" s="95" t="s">
        <v>83</v>
      </c>
      <c r="E74" s="94"/>
      <c r="F74" s="7"/>
      <c r="G74" s="7"/>
      <c r="H74" s="7"/>
      <c r="I74" s="7"/>
      <c r="J74" s="7"/>
      <c r="K74" s="8"/>
      <c r="L74" s="8"/>
      <c r="M74" s="8"/>
      <c r="N74" s="8"/>
      <c r="O74" s="8"/>
      <c r="P74" s="8"/>
      <c r="Q74" s="8"/>
    </row>
    <row r="75" spans="1:17" x14ac:dyDescent="0.2">
      <c r="A75" s="54" t="s">
        <v>84</v>
      </c>
      <c r="B75" s="83">
        <v>2652</v>
      </c>
      <c r="C75" s="83">
        <v>1924</v>
      </c>
      <c r="D75" s="83">
        <v>1278</v>
      </c>
      <c r="E75" s="3"/>
      <c r="F75" s="3"/>
      <c r="G75" s="3"/>
      <c r="H75" s="3"/>
      <c r="I75" s="3"/>
      <c r="J75" s="3"/>
      <c r="K75" s="2"/>
      <c r="L75" s="2"/>
      <c r="M75" s="2"/>
      <c r="N75" s="2"/>
      <c r="O75" s="2"/>
      <c r="P75" s="2"/>
      <c r="Q75" s="2"/>
    </row>
    <row r="76" spans="1:17" x14ac:dyDescent="0.2">
      <c r="A76" s="54" t="s">
        <v>85</v>
      </c>
      <c r="B76" s="83">
        <v>2037</v>
      </c>
      <c r="C76" s="83">
        <v>1636</v>
      </c>
      <c r="D76" s="83">
        <v>1031</v>
      </c>
      <c r="E76" s="3"/>
      <c r="F76" s="3"/>
      <c r="G76" s="3"/>
      <c r="H76" s="3"/>
      <c r="I76" s="3"/>
      <c r="J76" s="3"/>
      <c r="K76" s="2"/>
      <c r="L76" s="2"/>
      <c r="M76" s="2"/>
      <c r="N76" s="2"/>
      <c r="O76" s="2"/>
      <c r="P76" s="2"/>
      <c r="Q76" s="2"/>
    </row>
    <row r="77" spans="1:17" x14ac:dyDescent="0.2">
      <c r="A77" s="54" t="s">
        <v>86</v>
      </c>
      <c r="B77" s="83">
        <v>1705</v>
      </c>
      <c r="C77" s="83">
        <v>601</v>
      </c>
      <c r="D77" s="83">
        <v>1560</v>
      </c>
      <c r="E77" s="3"/>
      <c r="F77" s="3"/>
      <c r="G77" s="3"/>
      <c r="H77" s="3"/>
      <c r="I77" s="3"/>
      <c r="J77" s="3"/>
      <c r="K77" s="2"/>
      <c r="L77" s="2"/>
      <c r="M77" s="2"/>
      <c r="N77" s="2"/>
      <c r="O77" s="2"/>
      <c r="P77" s="2"/>
      <c r="Q77" s="2"/>
    </row>
    <row r="78" spans="1:17" x14ac:dyDescent="0.2">
      <c r="A78" s="54" t="s">
        <v>87</v>
      </c>
      <c r="B78" s="83">
        <v>1270</v>
      </c>
      <c r="C78" s="83">
        <v>462</v>
      </c>
      <c r="D78" s="83">
        <v>1539</v>
      </c>
      <c r="E78" s="3"/>
      <c r="F78" s="3"/>
      <c r="G78" s="3"/>
      <c r="H78" s="3"/>
      <c r="I78" s="3"/>
      <c r="J78" s="3"/>
      <c r="K78" s="2"/>
      <c r="L78" s="2"/>
      <c r="M78" s="2"/>
      <c r="N78" s="2"/>
      <c r="O78" s="2"/>
      <c r="P78" s="2"/>
      <c r="Q78" s="2"/>
    </row>
    <row r="79" spans="1:17" x14ac:dyDescent="0.2">
      <c r="A79" s="54" t="s">
        <v>88</v>
      </c>
      <c r="B79" s="83">
        <v>2934</v>
      </c>
      <c r="C79" s="83">
        <v>1529</v>
      </c>
      <c r="D79" s="83">
        <v>481</v>
      </c>
      <c r="E79" s="3"/>
      <c r="F79" s="3"/>
      <c r="G79" s="3"/>
      <c r="H79" s="3"/>
      <c r="I79" s="3"/>
      <c r="J79" s="3"/>
      <c r="K79" s="2"/>
      <c r="L79" s="2"/>
      <c r="M79" s="2"/>
      <c r="N79" s="2"/>
      <c r="O79" s="2"/>
      <c r="P79" s="2"/>
      <c r="Q79" s="2"/>
    </row>
    <row r="80" spans="1:17" x14ac:dyDescent="0.2">
      <c r="A80" s="54" t="s">
        <v>89</v>
      </c>
      <c r="B80" s="83">
        <v>10498</v>
      </c>
      <c r="C80" s="83">
        <v>2160</v>
      </c>
      <c r="D80" s="83">
        <v>979</v>
      </c>
      <c r="E80" s="3"/>
      <c r="F80" s="3"/>
      <c r="G80" s="3"/>
      <c r="H80" s="3"/>
      <c r="I80" s="3"/>
      <c r="J80" s="3"/>
      <c r="K80" s="2"/>
      <c r="L80" s="2"/>
      <c r="M80" s="2"/>
      <c r="N80" s="2"/>
      <c r="O80" s="2"/>
      <c r="P80" s="2"/>
      <c r="Q80" s="2"/>
    </row>
    <row r="81" spans="1:17" x14ac:dyDescent="0.2">
      <c r="A81" s="54" t="s">
        <v>90</v>
      </c>
      <c r="B81" s="83">
        <v>4775</v>
      </c>
      <c r="C81" s="83">
        <v>1197</v>
      </c>
      <c r="D81" s="83">
        <v>774</v>
      </c>
      <c r="E81" s="60"/>
      <c r="F81" s="3"/>
      <c r="G81" s="3"/>
      <c r="H81" s="3"/>
      <c r="I81" s="3"/>
      <c r="J81" s="3"/>
      <c r="K81" s="2"/>
      <c r="L81" s="2"/>
      <c r="M81" s="2"/>
      <c r="N81" s="2"/>
      <c r="O81" s="2"/>
      <c r="P81" s="2"/>
      <c r="Q81" s="2"/>
    </row>
    <row r="82" spans="1:17" x14ac:dyDescent="0.2">
      <c r="A82" s="54" t="s">
        <v>91</v>
      </c>
      <c r="B82" s="12">
        <v>2006</v>
      </c>
      <c r="C82" s="12">
        <v>2392</v>
      </c>
      <c r="D82" s="12">
        <v>1197</v>
      </c>
      <c r="E82" s="2"/>
      <c r="F82" s="2"/>
      <c r="G82" s="2"/>
      <c r="H82" s="2"/>
      <c r="I82" s="2"/>
      <c r="J82" s="2"/>
      <c r="K82" s="2"/>
      <c r="L82" s="2"/>
      <c r="M82" s="2"/>
      <c r="N82" s="2"/>
      <c r="O82" s="2"/>
      <c r="P82" s="2"/>
      <c r="Q82" s="2"/>
    </row>
    <row r="83" spans="1:17" x14ac:dyDescent="0.2">
      <c r="A83" s="54" t="s">
        <v>92</v>
      </c>
      <c r="B83" s="12">
        <v>4972</v>
      </c>
      <c r="C83" s="12">
        <v>1134</v>
      </c>
      <c r="D83" s="12">
        <v>936</v>
      </c>
      <c r="E83" s="2"/>
      <c r="F83" s="2"/>
      <c r="G83" s="2"/>
      <c r="H83" s="2"/>
      <c r="I83" s="2"/>
      <c r="J83" s="2"/>
      <c r="K83" s="2"/>
      <c r="L83" s="2"/>
      <c r="M83" s="2"/>
      <c r="N83" s="2"/>
      <c r="O83" s="2"/>
      <c r="P83" s="2"/>
      <c r="Q83" s="2"/>
    </row>
    <row r="84" spans="1:17" x14ac:dyDescent="0.2">
      <c r="A84" s="54" t="s">
        <v>93</v>
      </c>
      <c r="B84" s="12">
        <v>3339</v>
      </c>
      <c r="C84" s="12">
        <v>1923</v>
      </c>
      <c r="D84" s="12">
        <v>2776</v>
      </c>
      <c r="E84" s="2"/>
      <c r="F84" s="2"/>
      <c r="G84" s="2"/>
      <c r="H84" s="2"/>
      <c r="I84" s="2"/>
      <c r="J84" s="2"/>
      <c r="K84" s="2"/>
      <c r="L84" s="2"/>
      <c r="M84" s="2"/>
      <c r="N84" s="2"/>
      <c r="O84" s="2"/>
      <c r="P84" s="2"/>
      <c r="Q84" s="2"/>
    </row>
    <row r="85" spans="1:17" x14ac:dyDescent="0.2">
      <c r="A85" s="54" t="s">
        <v>94</v>
      </c>
      <c r="B85" s="12">
        <v>3128</v>
      </c>
      <c r="C85" s="12">
        <v>3241</v>
      </c>
      <c r="D85" s="12">
        <v>2345</v>
      </c>
      <c r="E85" s="2"/>
      <c r="F85" s="2"/>
      <c r="G85" s="2"/>
      <c r="H85" s="2"/>
      <c r="I85" s="2"/>
      <c r="J85" s="2"/>
      <c r="K85" s="2"/>
      <c r="L85" s="2"/>
      <c r="M85" s="2"/>
      <c r="N85" s="2"/>
      <c r="O85" s="2"/>
      <c r="P85" s="2"/>
      <c r="Q85" s="2"/>
    </row>
    <row r="86" spans="1:17" x14ac:dyDescent="0.2">
      <c r="A86" s="54" t="s">
        <v>95</v>
      </c>
      <c r="B86" s="12">
        <v>6083</v>
      </c>
      <c r="C86" s="12">
        <v>2100</v>
      </c>
      <c r="D86" s="12">
        <v>2036</v>
      </c>
      <c r="E86" s="2"/>
      <c r="F86" s="2"/>
      <c r="G86" s="2"/>
      <c r="H86" s="2"/>
      <c r="I86" s="2"/>
      <c r="J86" s="2"/>
      <c r="K86" s="2"/>
      <c r="L86" s="2"/>
      <c r="M86" s="2"/>
      <c r="N86" s="2"/>
      <c r="O86" s="2"/>
      <c r="P86" s="2"/>
      <c r="Q86" s="2"/>
    </row>
    <row r="87" spans="1:17" x14ac:dyDescent="0.2">
      <c r="A87" s="54" t="s">
        <v>96</v>
      </c>
      <c r="B87" s="12">
        <v>5991</v>
      </c>
      <c r="C87" s="12">
        <v>1858</v>
      </c>
      <c r="D87" s="12">
        <v>1851</v>
      </c>
      <c r="E87" s="2"/>
      <c r="F87" s="2"/>
      <c r="G87" s="2"/>
      <c r="H87" s="2"/>
      <c r="I87" s="2"/>
      <c r="J87" s="2"/>
      <c r="K87" s="2"/>
      <c r="L87" s="2"/>
      <c r="M87" s="2"/>
      <c r="N87" s="2"/>
      <c r="O87" s="2"/>
      <c r="P87" s="2"/>
      <c r="Q87" s="2"/>
    </row>
    <row r="88" spans="1:17" x14ac:dyDescent="0.2">
      <c r="A88" s="54" t="s">
        <v>97</v>
      </c>
      <c r="B88" s="12">
        <v>3130</v>
      </c>
      <c r="C88" s="12">
        <v>3888</v>
      </c>
      <c r="D88" s="12">
        <v>1330</v>
      </c>
      <c r="E88" s="2"/>
      <c r="F88" s="2"/>
      <c r="G88" s="2"/>
      <c r="H88" s="2"/>
      <c r="I88" s="2"/>
      <c r="J88" s="2"/>
      <c r="K88" s="2"/>
      <c r="L88" s="2"/>
      <c r="M88" s="2"/>
      <c r="N88" s="2"/>
      <c r="O88" s="2"/>
      <c r="P88" s="2"/>
      <c r="Q88" s="2"/>
    </row>
    <row r="89" spans="1:17" x14ac:dyDescent="0.2">
      <c r="A89" s="54" t="s">
        <v>98</v>
      </c>
      <c r="B89" s="12">
        <v>4909</v>
      </c>
      <c r="C89" s="12">
        <v>1241</v>
      </c>
      <c r="D89" s="12">
        <v>1399</v>
      </c>
      <c r="E89" s="2"/>
      <c r="F89" s="2"/>
      <c r="G89" s="2"/>
      <c r="H89" s="2"/>
      <c r="I89" s="2"/>
      <c r="J89" s="2"/>
      <c r="K89" s="2"/>
      <c r="L89" s="2"/>
      <c r="M89" s="2"/>
      <c r="N89" s="2"/>
      <c r="O89" s="2"/>
      <c r="P89" s="2"/>
      <c r="Q89" s="2"/>
    </row>
    <row r="90" spans="1:17" x14ac:dyDescent="0.2">
      <c r="A90" s="54" t="s">
        <v>10</v>
      </c>
      <c r="B90" s="12">
        <v>5122</v>
      </c>
      <c r="C90" s="12">
        <v>1332</v>
      </c>
      <c r="D90" s="12">
        <v>1959</v>
      </c>
      <c r="E90" s="2"/>
      <c r="F90" s="2"/>
      <c r="G90" s="2"/>
      <c r="H90" s="2"/>
      <c r="I90" s="2"/>
      <c r="J90" s="2"/>
      <c r="K90" s="2"/>
      <c r="L90" s="2"/>
      <c r="M90" s="2"/>
      <c r="N90" s="2"/>
      <c r="O90" s="2"/>
      <c r="P90" s="2"/>
      <c r="Q90" s="2"/>
    </row>
    <row r="91" spans="1:17" x14ac:dyDescent="0.2">
      <c r="A91" s="54" t="s">
        <v>11</v>
      </c>
      <c r="B91" s="12">
        <v>2570</v>
      </c>
      <c r="C91" s="12">
        <v>1926</v>
      </c>
      <c r="D91" s="12">
        <v>1999</v>
      </c>
      <c r="E91" s="2"/>
      <c r="F91" s="2"/>
      <c r="G91" s="2"/>
      <c r="H91" s="2"/>
      <c r="I91" s="2"/>
      <c r="J91" s="2"/>
      <c r="K91" s="2"/>
      <c r="L91" s="2"/>
      <c r="M91" s="2"/>
      <c r="N91" s="2"/>
      <c r="O91" s="2"/>
      <c r="P91" s="2"/>
      <c r="Q91" s="2"/>
    </row>
    <row r="92" spans="1:17" x14ac:dyDescent="0.2">
      <c r="A92" s="75" t="s">
        <v>12</v>
      </c>
      <c r="B92" s="76">
        <f>GETPIVOTDATA("Phase Net Units",'5 Perm'!$A$3)</f>
        <v>1655</v>
      </c>
      <c r="C92" s="76">
        <f>GETPIVOTDATA("Phase Net Units",'5 Star'!$A$3)</f>
        <v>797</v>
      </c>
      <c r="D92" s="76">
        <f>GETPIVOTDATA("Phase Net Units",'1a Conv'!$A$1,"Status","01 Completion")</f>
        <v>2662</v>
      </c>
      <c r="E92" s="2"/>
      <c r="F92" s="2"/>
      <c r="G92" s="2"/>
      <c r="H92" s="2"/>
      <c r="I92" s="2"/>
      <c r="J92" s="2"/>
      <c r="K92" s="2"/>
      <c r="L92" s="2"/>
      <c r="M92" s="2"/>
      <c r="N92" s="2"/>
      <c r="O92" s="2"/>
      <c r="P92" s="2"/>
      <c r="Q92" s="2"/>
    </row>
    <row r="93" spans="1:17" x14ac:dyDescent="0.2">
      <c r="A93" s="45"/>
      <c r="B93" s="2"/>
      <c r="C93" s="2"/>
      <c r="D93" s="2"/>
      <c r="E93" s="2"/>
      <c r="F93" s="2"/>
      <c r="G93" s="2"/>
      <c r="H93" s="2"/>
      <c r="I93" s="2"/>
      <c r="J93" s="2"/>
      <c r="K93" s="2"/>
      <c r="L93" s="2"/>
      <c r="M93" s="2"/>
      <c r="N93" s="2"/>
      <c r="O93" s="2"/>
      <c r="P93" s="2"/>
      <c r="Q93" s="2"/>
    </row>
    <row r="94" spans="1:17" x14ac:dyDescent="0.2">
      <c r="A94" s="6" t="s">
        <v>99</v>
      </c>
      <c r="B94" s="6" t="s">
        <v>100</v>
      </c>
      <c r="C94" s="3"/>
      <c r="D94" s="3"/>
      <c r="E94" s="3"/>
      <c r="F94" s="3"/>
      <c r="G94" s="3"/>
      <c r="H94" s="3"/>
      <c r="I94" s="2"/>
      <c r="J94" s="2"/>
      <c r="K94" s="2"/>
      <c r="L94" s="2"/>
      <c r="M94" s="2"/>
      <c r="N94" s="2"/>
      <c r="O94" s="2"/>
      <c r="P94" s="2"/>
      <c r="Q94" s="2"/>
    </row>
    <row r="95" spans="1:17" x14ac:dyDescent="0.2">
      <c r="A95" s="308" t="s">
        <v>101</v>
      </c>
      <c r="B95" s="308"/>
      <c r="C95" s="34" t="s">
        <v>102</v>
      </c>
      <c r="D95" s="34" t="s">
        <v>103</v>
      </c>
      <c r="E95" s="34" t="s">
        <v>104</v>
      </c>
      <c r="F95" s="3"/>
      <c r="G95" s="3"/>
      <c r="H95" s="3"/>
      <c r="I95" s="2"/>
      <c r="J95" s="2"/>
      <c r="K95" s="2"/>
      <c r="L95" s="2"/>
      <c r="M95" s="2"/>
      <c r="N95" s="2"/>
      <c r="O95" s="2"/>
      <c r="P95" s="2"/>
      <c r="Q95" s="2"/>
    </row>
    <row r="96" spans="1:17" x14ac:dyDescent="0.2">
      <c r="A96" s="332" t="s">
        <v>54</v>
      </c>
      <c r="B96" s="332"/>
      <c r="C96" s="84">
        <f>GETPIVOTDATA("Phase Net Units",'6 PeNB'!$A$5)</f>
        <v>1520</v>
      </c>
      <c r="D96" s="68">
        <f>GETPIVOTDATA("Phase Net Units",'6 StNB'!$A$5)</f>
        <v>674</v>
      </c>
      <c r="E96" s="13">
        <f>GETPIVOTDATA("Sum of Phase Net Units",'2 NB'!$A$4,"Status","01 Completion")</f>
        <v>2559</v>
      </c>
      <c r="F96" s="3"/>
      <c r="G96" s="3"/>
      <c r="H96" s="3"/>
      <c r="I96" s="3"/>
      <c r="J96" s="3"/>
      <c r="K96" s="3"/>
      <c r="L96" s="3"/>
      <c r="M96" s="3"/>
      <c r="N96" s="3"/>
      <c r="O96" s="3"/>
      <c r="P96" s="2"/>
      <c r="Q96" s="2"/>
    </row>
    <row r="97" spans="1:17" x14ac:dyDescent="0.2">
      <c r="A97" s="332" t="s">
        <v>55</v>
      </c>
      <c r="B97" s="332"/>
      <c r="C97" s="68">
        <f>GETPIVOTDATA("Phase Net Units",'6 PeCO'!$A$5)</f>
        <v>135</v>
      </c>
      <c r="D97" s="68">
        <f>GETPIVOTDATA("Phase Net Units",'6 StCO'!$A$5)</f>
        <v>123</v>
      </c>
      <c r="E97" s="13">
        <f>GETPIVOTDATA("Sum of Phase Net Units",'2 CON'!$A$4,"Status","01 Completion")</f>
        <v>103</v>
      </c>
      <c r="F97" s="3"/>
      <c r="G97" s="3"/>
      <c r="H97" s="3"/>
      <c r="I97" s="3"/>
      <c r="J97" s="3"/>
      <c r="K97" s="3"/>
      <c r="L97" s="3"/>
      <c r="M97" s="3"/>
      <c r="N97" s="3"/>
      <c r="O97" s="3"/>
      <c r="P97" s="2"/>
      <c r="Q97" s="2"/>
    </row>
    <row r="98" spans="1:17" x14ac:dyDescent="0.2">
      <c r="A98" s="334" t="s">
        <v>50</v>
      </c>
      <c r="B98" s="334"/>
      <c r="C98" s="18">
        <f>SUM(C96:C97)</f>
        <v>1655</v>
      </c>
      <c r="D98" s="18">
        <f>SUM(D96:D97)</f>
        <v>797</v>
      </c>
      <c r="E98" s="18">
        <f>SUM(E96:E97)</f>
        <v>2662</v>
      </c>
      <c r="F98" s="3"/>
      <c r="G98" s="3"/>
      <c r="H98" s="3"/>
      <c r="I98" s="3"/>
      <c r="J98" s="3"/>
      <c r="K98" s="3"/>
      <c r="L98" s="3"/>
      <c r="M98" s="3"/>
      <c r="N98" s="3"/>
      <c r="O98" s="3"/>
      <c r="P98" s="2"/>
      <c r="Q98" s="2"/>
    </row>
    <row r="99" spans="1:17" x14ac:dyDescent="0.2">
      <c r="A99" s="3"/>
      <c r="B99" s="3"/>
      <c r="C99" s="3"/>
      <c r="D99" s="3"/>
      <c r="E99" s="3"/>
      <c r="F99" s="3"/>
      <c r="G99" s="3"/>
      <c r="H99" s="3"/>
      <c r="I99" s="3"/>
      <c r="J99" s="3"/>
      <c r="K99" s="3"/>
      <c r="L99" s="3"/>
      <c r="M99" s="3"/>
      <c r="N99" s="3"/>
      <c r="O99" s="3"/>
      <c r="P99" s="2"/>
      <c r="Q99" s="2"/>
    </row>
    <row r="100" spans="1:17" x14ac:dyDescent="0.2">
      <c r="A100" s="6" t="s">
        <v>105</v>
      </c>
      <c r="B100" s="6" t="s">
        <v>106</v>
      </c>
      <c r="C100" s="2"/>
      <c r="D100" s="2"/>
      <c r="E100" s="2"/>
      <c r="F100" s="2"/>
      <c r="G100" s="2"/>
      <c r="H100" s="2"/>
      <c r="I100" s="2"/>
      <c r="J100" s="3"/>
      <c r="K100" s="3"/>
      <c r="L100" s="3"/>
      <c r="M100" s="3"/>
      <c r="N100" s="3"/>
      <c r="O100" s="3"/>
      <c r="P100" s="2"/>
      <c r="Q100" s="2"/>
    </row>
    <row r="101" spans="1:17" x14ac:dyDescent="0.2">
      <c r="A101" s="330" t="s">
        <v>69</v>
      </c>
      <c r="B101" s="330"/>
      <c r="C101" s="330"/>
      <c r="D101" s="311" t="s">
        <v>70</v>
      </c>
      <c r="E101" s="327"/>
      <c r="F101" s="309" t="s">
        <v>71</v>
      </c>
      <c r="G101" s="309"/>
      <c r="H101" s="309"/>
      <c r="I101" s="309"/>
      <c r="J101" s="321" t="s">
        <v>73</v>
      </c>
      <c r="K101" s="322"/>
      <c r="L101" s="311" t="s">
        <v>72</v>
      </c>
      <c r="M101" s="312"/>
      <c r="N101" s="307" t="s">
        <v>50</v>
      </c>
      <c r="O101" s="287"/>
      <c r="P101" s="2"/>
      <c r="Q101" s="2"/>
    </row>
    <row r="102" spans="1:17" x14ac:dyDescent="0.2">
      <c r="A102" s="330"/>
      <c r="B102" s="330"/>
      <c r="C102" s="330"/>
      <c r="D102" s="325"/>
      <c r="E102" s="331"/>
      <c r="F102" s="311" t="s">
        <v>48</v>
      </c>
      <c r="G102" s="327"/>
      <c r="H102" s="321" t="s">
        <v>49</v>
      </c>
      <c r="I102" s="322"/>
      <c r="J102" s="323"/>
      <c r="K102" s="324"/>
      <c r="L102" s="325"/>
      <c r="M102" s="326"/>
      <c r="N102" s="307"/>
      <c r="O102" s="287"/>
      <c r="P102" s="2"/>
      <c r="Q102" s="2"/>
    </row>
    <row r="103" spans="1:17" x14ac:dyDescent="0.2">
      <c r="A103" s="330"/>
      <c r="B103" s="330"/>
      <c r="C103" s="330"/>
      <c r="D103" s="36" t="s">
        <v>113</v>
      </c>
      <c r="E103" s="36" t="s">
        <v>114</v>
      </c>
      <c r="F103" s="36" t="s">
        <v>113</v>
      </c>
      <c r="G103" s="36" t="s">
        <v>114</v>
      </c>
      <c r="H103" s="36" t="s">
        <v>113</v>
      </c>
      <c r="I103" s="36" t="s">
        <v>114</v>
      </c>
      <c r="J103" s="36" t="s">
        <v>113</v>
      </c>
      <c r="K103" s="36" t="s">
        <v>114</v>
      </c>
      <c r="L103" s="36" t="s">
        <v>113</v>
      </c>
      <c r="M103" s="279" t="s">
        <v>114</v>
      </c>
      <c r="N103" s="307"/>
      <c r="O103" s="288"/>
      <c r="P103" s="2"/>
      <c r="Q103" s="2"/>
    </row>
    <row r="104" spans="1:17" x14ac:dyDescent="0.2">
      <c r="A104" s="328" t="s">
        <v>102</v>
      </c>
      <c r="B104" s="328"/>
      <c r="C104" s="328"/>
      <c r="D104" s="68">
        <f>GETPIVOTDATA("Phase Net Units",'7 Perm'!$A$3,"Tenure","Open Market")</f>
        <v>1143</v>
      </c>
      <c r="E104" s="286">
        <f>D104/N104</f>
        <v>0.69063444108761329</v>
      </c>
      <c r="F104" s="68">
        <f>GETPIVOTDATA("Phase Net Units",'7 Perm'!$A$3,"Tenure","Intermediate")</f>
        <v>17</v>
      </c>
      <c r="G104" s="286">
        <f>F104/J104</f>
        <v>3.3138401559454189E-2</v>
      </c>
      <c r="H104" s="68">
        <f>GETPIVOTDATA("Phase Net Units",'7 Perm'!$A$3,"Tenure","Social/Affordable Rent")</f>
        <v>496</v>
      </c>
      <c r="I104" s="286">
        <f>H104/J104</f>
        <v>0.96686159844054576</v>
      </c>
      <c r="J104" s="263">
        <f>F104+H104</f>
        <v>513</v>
      </c>
      <c r="K104" s="286">
        <f>J104/N104</f>
        <v>0.30996978851963747</v>
      </c>
      <c r="L104" s="68">
        <f>GETPIVOTDATA("Phase Net Units",'7 Perm'!$A$3,"Tenure","Unknown")</f>
        <v>-1</v>
      </c>
      <c r="M104" s="293">
        <f>L104/N104</f>
        <v>-6.0422960725075529E-4</v>
      </c>
      <c r="N104" s="294">
        <f>D104+J104+L104</f>
        <v>1655</v>
      </c>
      <c r="O104" s="282"/>
      <c r="P104" s="2"/>
      <c r="Q104" s="2"/>
    </row>
    <row r="105" spans="1:17" x14ac:dyDescent="0.2">
      <c r="A105" s="329" t="s">
        <v>103</v>
      </c>
      <c r="B105" s="329"/>
      <c r="C105" s="329"/>
      <c r="D105" s="68">
        <f>GETPIVOTDATA("Phase Net Units",'7 Star'!$A$3,"Tenure","Open Market")</f>
        <v>612</v>
      </c>
      <c r="E105" s="286">
        <f>D105/N105</f>
        <v>0.76787954830614802</v>
      </c>
      <c r="F105" s="68">
        <f>GETPIVOTDATA("Phase Net Units",'7 Star'!$A$3,"Tenure","Intermediate")</f>
        <v>53</v>
      </c>
      <c r="G105" s="286">
        <f>F105/J105</f>
        <v>0.28494623655913981</v>
      </c>
      <c r="H105" s="68">
        <f>GETPIVOTDATA("Phase Net Units",'7 Star'!$A$3,"Tenure","Social/Affordable Rent")</f>
        <v>133</v>
      </c>
      <c r="I105" s="286">
        <f>H105/J105</f>
        <v>0.71505376344086025</v>
      </c>
      <c r="J105" s="13">
        <f>F105+H105</f>
        <v>186</v>
      </c>
      <c r="K105" s="286">
        <f>J105/N105</f>
        <v>0.23337515683814303</v>
      </c>
      <c r="L105" s="68">
        <v>-1</v>
      </c>
      <c r="M105" s="293">
        <f>L105/N105</f>
        <v>-1.2547051442910915E-3</v>
      </c>
      <c r="N105" s="294">
        <f>D105+J105+L105</f>
        <v>797</v>
      </c>
      <c r="O105" s="282"/>
      <c r="P105" s="2"/>
      <c r="Q105" s="2"/>
    </row>
    <row r="106" spans="1:17" x14ac:dyDescent="0.2">
      <c r="A106" s="329" t="s">
        <v>104</v>
      </c>
      <c r="B106" s="329"/>
      <c r="C106" s="329"/>
      <c r="D106" s="68">
        <f>GETPIVOTDATA("Sum of Phase Net Units",'3'!$A$1,"Status","01 Completion","Tenure","Open Market")</f>
        <v>1838</v>
      </c>
      <c r="E106" s="286">
        <f>D106/N106</f>
        <v>0.69045830202854996</v>
      </c>
      <c r="F106" s="68">
        <f>GETPIVOTDATA("Sum of Phase Net Units",'3'!$A$1,"Status","01 Completion","Tenure","Intermediate")</f>
        <v>446</v>
      </c>
      <c r="G106" s="286">
        <f>F106/J106</f>
        <v>0.54126213592233008</v>
      </c>
      <c r="H106" s="68">
        <f>GETPIVOTDATA("Sum of Phase Net Units",'3'!$A$1,"Status","01 Completion","Tenure","Social/Affordable Rent")</f>
        <v>378</v>
      </c>
      <c r="I106" s="286">
        <f>H106/J106</f>
        <v>0.45873786407766992</v>
      </c>
      <c r="J106" s="13">
        <f>F106+H106</f>
        <v>824</v>
      </c>
      <c r="K106" s="286">
        <f>J106/N106</f>
        <v>0.30954169797145004</v>
      </c>
      <c r="L106" s="13">
        <v>0</v>
      </c>
      <c r="M106" s="293">
        <f>L106/N106</f>
        <v>0</v>
      </c>
      <c r="N106" s="294">
        <f>D106+J106+L106</f>
        <v>2662</v>
      </c>
      <c r="O106" s="282"/>
      <c r="P106" s="2"/>
      <c r="Q106" s="2"/>
    </row>
    <row r="107" spans="1:17" x14ac:dyDescent="0.2">
      <c r="A107" s="6"/>
      <c r="B107" s="6"/>
      <c r="C107" s="2"/>
      <c r="D107" s="2"/>
      <c r="E107" s="2"/>
      <c r="F107" s="2"/>
      <c r="G107" s="2"/>
      <c r="H107" s="2"/>
      <c r="I107" s="2"/>
      <c r="J107" s="3"/>
      <c r="K107" s="3"/>
      <c r="L107" s="3"/>
      <c r="M107" s="3"/>
      <c r="N107" s="3"/>
      <c r="O107" s="3"/>
      <c r="P107" s="2"/>
      <c r="Q107" s="2"/>
    </row>
    <row r="108" spans="1:17" s="35" customFormat="1" ht="18" x14ac:dyDescent="0.25">
      <c r="A108" s="71" t="s">
        <v>104</v>
      </c>
      <c r="B108" s="72"/>
      <c r="C108" s="72"/>
      <c r="D108" s="72"/>
      <c r="E108" s="72"/>
      <c r="F108" s="72"/>
      <c r="G108" s="72"/>
      <c r="H108" s="72"/>
      <c r="I108" s="72"/>
      <c r="J108" s="72"/>
      <c r="K108" s="72"/>
      <c r="L108" s="72"/>
      <c r="M108" s="72"/>
      <c r="N108" s="72"/>
      <c r="O108" s="72"/>
      <c r="P108" s="72"/>
      <c r="Q108" s="72"/>
    </row>
    <row r="109" spans="1:17" x14ac:dyDescent="0.2">
      <c r="A109" s="2"/>
      <c r="B109" s="2"/>
      <c r="C109" s="2"/>
      <c r="D109" s="2"/>
      <c r="E109" s="2"/>
      <c r="F109" s="2"/>
      <c r="G109" s="2"/>
      <c r="H109" s="2"/>
      <c r="I109" s="2"/>
      <c r="J109" s="2"/>
      <c r="K109" s="2"/>
      <c r="L109" s="2"/>
      <c r="M109" s="2"/>
      <c r="N109" s="2"/>
      <c r="O109" s="2"/>
      <c r="P109" s="2"/>
      <c r="Q109" s="2"/>
    </row>
    <row r="110" spans="1:17" x14ac:dyDescent="0.2">
      <c r="A110" s="73" t="s">
        <v>107</v>
      </c>
      <c r="B110" s="2"/>
      <c r="C110" s="2"/>
      <c r="D110" s="2"/>
      <c r="E110" s="2"/>
      <c r="F110" s="2"/>
      <c r="G110" s="2"/>
      <c r="H110" s="2"/>
      <c r="I110" s="2"/>
      <c r="J110" s="2"/>
      <c r="K110" s="2"/>
      <c r="L110" s="2"/>
      <c r="M110" s="2"/>
      <c r="N110" s="2"/>
      <c r="O110" s="2"/>
      <c r="P110" s="2"/>
      <c r="Q110" s="2"/>
    </row>
    <row r="111" spans="1:17" x14ac:dyDescent="0.2">
      <c r="A111" s="6" t="s">
        <v>108</v>
      </c>
      <c r="B111" s="6" t="s">
        <v>109</v>
      </c>
      <c r="C111" s="3"/>
      <c r="D111" s="3"/>
      <c r="E111" s="3"/>
      <c r="F111" s="3"/>
      <c r="G111" s="3"/>
      <c r="H111" s="3"/>
      <c r="I111" s="3"/>
      <c r="J111" s="3"/>
      <c r="K111" s="3"/>
      <c r="L111" s="3"/>
      <c r="M111" s="3"/>
      <c r="N111" s="3"/>
      <c r="O111" s="3"/>
      <c r="P111" s="2"/>
      <c r="Q111" s="2"/>
    </row>
    <row r="112" spans="1:17" x14ac:dyDescent="0.2">
      <c r="A112" s="346" t="s">
        <v>80</v>
      </c>
      <c r="B112" s="309" t="s">
        <v>110</v>
      </c>
      <c r="C112" s="309"/>
      <c r="D112" s="310" t="s">
        <v>111</v>
      </c>
      <c r="E112" s="310"/>
      <c r="F112" s="310" t="s">
        <v>112</v>
      </c>
      <c r="G112" s="310"/>
      <c r="H112" s="309" t="s">
        <v>73</v>
      </c>
      <c r="I112" s="309"/>
      <c r="J112" s="36" t="s">
        <v>50</v>
      </c>
      <c r="K112" s="3"/>
      <c r="L112" s="3"/>
      <c r="M112" s="3"/>
      <c r="N112" s="3"/>
      <c r="O112" s="3"/>
      <c r="P112" s="2"/>
      <c r="Q112" s="2"/>
    </row>
    <row r="113" spans="1:17" x14ac:dyDescent="0.2">
      <c r="A113" s="346"/>
      <c r="B113" s="36" t="s">
        <v>113</v>
      </c>
      <c r="C113" s="36" t="s">
        <v>114</v>
      </c>
      <c r="D113" s="36" t="s">
        <v>113</v>
      </c>
      <c r="E113" s="36" t="s">
        <v>114</v>
      </c>
      <c r="F113" s="36" t="s">
        <v>113</v>
      </c>
      <c r="G113" s="36" t="s">
        <v>114</v>
      </c>
      <c r="H113" s="36" t="s">
        <v>113</v>
      </c>
      <c r="I113" s="36" t="s">
        <v>114</v>
      </c>
      <c r="J113" s="36" t="s">
        <v>113</v>
      </c>
      <c r="K113" s="3"/>
      <c r="L113" s="3"/>
      <c r="M113" s="3"/>
      <c r="N113" s="3"/>
      <c r="O113" s="3"/>
      <c r="P113" s="2"/>
      <c r="Q113" s="2"/>
    </row>
    <row r="114" spans="1:17" x14ac:dyDescent="0.2">
      <c r="A114" s="54" t="s">
        <v>84</v>
      </c>
      <c r="B114" s="68">
        <v>1039</v>
      </c>
      <c r="C114" s="80">
        <v>0.81298904538341155</v>
      </c>
      <c r="D114" s="68">
        <v>206</v>
      </c>
      <c r="E114" s="80">
        <v>0.16118935837245696</v>
      </c>
      <c r="F114" s="68">
        <v>33</v>
      </c>
      <c r="G114" s="80">
        <v>2.5821596244131457E-2</v>
      </c>
      <c r="H114" s="68">
        <v>239</v>
      </c>
      <c r="I114" s="80">
        <v>0.18701095461658843</v>
      </c>
      <c r="J114" s="68">
        <v>1278</v>
      </c>
      <c r="K114" s="3"/>
      <c r="L114" s="3"/>
      <c r="M114" s="3"/>
      <c r="N114" s="3"/>
      <c r="O114" s="3"/>
      <c r="P114" s="2"/>
      <c r="Q114" s="2"/>
    </row>
    <row r="115" spans="1:17" x14ac:dyDescent="0.2">
      <c r="A115" s="54" t="s">
        <v>85</v>
      </c>
      <c r="B115" s="68">
        <v>728</v>
      </c>
      <c r="C115" s="80">
        <v>0.70611057225994178</v>
      </c>
      <c r="D115" s="68">
        <v>281</v>
      </c>
      <c r="E115" s="80">
        <v>0.27255092143549953</v>
      </c>
      <c r="F115" s="68">
        <v>22</v>
      </c>
      <c r="G115" s="80">
        <v>2.133850630455868E-2</v>
      </c>
      <c r="H115" s="68">
        <v>303</v>
      </c>
      <c r="I115" s="80">
        <v>0.29388942774005822</v>
      </c>
      <c r="J115" s="68">
        <v>1031</v>
      </c>
      <c r="K115" s="3"/>
      <c r="L115" s="3"/>
      <c r="M115" s="3"/>
      <c r="N115" s="3"/>
      <c r="O115" s="3"/>
      <c r="P115" s="2"/>
      <c r="Q115" s="2"/>
    </row>
    <row r="116" spans="1:17" x14ac:dyDescent="0.2">
      <c r="A116" s="54" t="s">
        <v>86</v>
      </c>
      <c r="B116" s="68">
        <v>1079</v>
      </c>
      <c r="C116" s="80">
        <v>0.69166666666666665</v>
      </c>
      <c r="D116" s="68">
        <v>393</v>
      </c>
      <c r="E116" s="80">
        <v>0.25192307692307692</v>
      </c>
      <c r="F116" s="68">
        <v>88</v>
      </c>
      <c r="G116" s="80">
        <v>5.6410256410256411E-2</v>
      </c>
      <c r="H116" s="68">
        <v>481</v>
      </c>
      <c r="I116" s="80">
        <v>0.30833333333333335</v>
      </c>
      <c r="J116" s="68">
        <v>1560</v>
      </c>
      <c r="K116" s="3"/>
      <c r="L116" s="3"/>
      <c r="M116" s="3"/>
      <c r="N116" s="3"/>
      <c r="O116" s="3"/>
      <c r="P116" s="2"/>
      <c r="Q116" s="2"/>
    </row>
    <row r="117" spans="1:17" x14ac:dyDescent="0.2">
      <c r="A117" s="54" t="s">
        <v>87</v>
      </c>
      <c r="B117" s="68">
        <v>1061</v>
      </c>
      <c r="C117" s="80">
        <v>0.68940870695256662</v>
      </c>
      <c r="D117" s="68">
        <v>453</v>
      </c>
      <c r="E117" s="80">
        <v>0.29434697855750486</v>
      </c>
      <c r="F117" s="68">
        <v>25</v>
      </c>
      <c r="G117" s="80">
        <v>1.62443144899285E-2</v>
      </c>
      <c r="H117" s="68">
        <v>478</v>
      </c>
      <c r="I117" s="80">
        <v>0.31059129304743338</v>
      </c>
      <c r="J117" s="68">
        <v>1539</v>
      </c>
      <c r="K117" s="3"/>
      <c r="L117" s="3"/>
      <c r="M117" s="3"/>
      <c r="N117" s="3"/>
      <c r="O117" s="3"/>
      <c r="P117" s="2"/>
      <c r="Q117" s="2"/>
    </row>
    <row r="118" spans="1:17" x14ac:dyDescent="0.2">
      <c r="A118" s="54" t="s">
        <v>88</v>
      </c>
      <c r="B118" s="68">
        <v>371</v>
      </c>
      <c r="C118" s="80">
        <v>0.7713097713097713</v>
      </c>
      <c r="D118" s="68">
        <v>103</v>
      </c>
      <c r="E118" s="80">
        <v>0.21413721413721415</v>
      </c>
      <c r="F118" s="68">
        <v>7</v>
      </c>
      <c r="G118" s="80">
        <v>1.4553014553014554E-2</v>
      </c>
      <c r="H118" s="68">
        <v>110</v>
      </c>
      <c r="I118" s="80">
        <v>0.2286902286902287</v>
      </c>
      <c r="J118" s="68">
        <v>481</v>
      </c>
      <c r="K118" s="3"/>
      <c r="L118" s="3"/>
      <c r="M118" s="3"/>
      <c r="N118" s="3"/>
      <c r="O118" s="3"/>
      <c r="P118" s="2"/>
      <c r="Q118" s="2"/>
    </row>
    <row r="119" spans="1:17" x14ac:dyDescent="0.2">
      <c r="A119" s="54" t="s">
        <v>89</v>
      </c>
      <c r="B119" s="68">
        <v>713</v>
      </c>
      <c r="C119" s="80">
        <v>0.72829417773238003</v>
      </c>
      <c r="D119" s="68">
        <v>198</v>
      </c>
      <c r="E119" s="80">
        <v>0.20224719101123595</v>
      </c>
      <c r="F119" s="68">
        <v>68</v>
      </c>
      <c r="G119" s="80">
        <v>6.945863125638406E-2</v>
      </c>
      <c r="H119" s="68">
        <v>266</v>
      </c>
      <c r="I119" s="80">
        <v>0.27170582226762002</v>
      </c>
      <c r="J119" s="68">
        <v>979</v>
      </c>
      <c r="K119" s="3"/>
      <c r="L119" s="3"/>
      <c r="M119" s="3"/>
      <c r="N119" s="3"/>
      <c r="O119" s="3"/>
      <c r="P119" s="2"/>
      <c r="Q119" s="2"/>
    </row>
    <row r="120" spans="1:17" x14ac:dyDescent="0.2">
      <c r="A120" s="67" t="s">
        <v>90</v>
      </c>
      <c r="B120" s="13">
        <v>633</v>
      </c>
      <c r="C120" s="80">
        <v>0.75178147268408546</v>
      </c>
      <c r="D120" s="13">
        <v>118</v>
      </c>
      <c r="E120" s="80">
        <v>0.14014251781472684</v>
      </c>
      <c r="F120" s="13">
        <v>91</v>
      </c>
      <c r="G120" s="80">
        <v>0.10807600950118765</v>
      </c>
      <c r="H120" s="68">
        <v>209</v>
      </c>
      <c r="I120" s="80">
        <v>0.24821852731591448</v>
      </c>
      <c r="J120" s="13">
        <v>842</v>
      </c>
      <c r="K120" s="3"/>
      <c r="L120" s="3"/>
      <c r="M120" s="3"/>
      <c r="N120" s="3"/>
      <c r="O120" s="3"/>
      <c r="P120" s="2"/>
      <c r="Q120" s="2"/>
    </row>
    <row r="121" spans="1:17" x14ac:dyDescent="0.2">
      <c r="A121" s="54" t="s">
        <v>91</v>
      </c>
      <c r="B121" s="68">
        <v>969</v>
      </c>
      <c r="C121" s="80">
        <v>0.80952380952380953</v>
      </c>
      <c r="D121" s="68">
        <v>175</v>
      </c>
      <c r="E121" s="80">
        <v>0.14619883040935672</v>
      </c>
      <c r="F121" s="68">
        <v>53</v>
      </c>
      <c r="G121" s="80">
        <v>4.4277360066833749E-2</v>
      </c>
      <c r="H121" s="68">
        <v>228</v>
      </c>
      <c r="I121" s="80">
        <v>0.19047619047619047</v>
      </c>
      <c r="J121" s="68">
        <v>1197</v>
      </c>
      <c r="K121" s="2"/>
      <c r="L121" s="2"/>
      <c r="M121" s="2"/>
      <c r="N121" s="2"/>
      <c r="O121" s="2"/>
      <c r="P121" s="2"/>
      <c r="Q121" s="2"/>
    </row>
    <row r="122" spans="1:17" x14ac:dyDescent="0.2">
      <c r="A122" s="54" t="s">
        <v>92</v>
      </c>
      <c r="B122" s="13">
        <v>805</v>
      </c>
      <c r="C122" s="14">
        <v>0.8600427350427351</v>
      </c>
      <c r="D122" s="13">
        <v>109</v>
      </c>
      <c r="E122" s="14">
        <v>0.11645299145299146</v>
      </c>
      <c r="F122" s="13">
        <v>22</v>
      </c>
      <c r="G122" s="14">
        <v>2.3504273504273504E-2</v>
      </c>
      <c r="H122" s="13">
        <v>131</v>
      </c>
      <c r="I122" s="14">
        <v>0.13995726495726496</v>
      </c>
      <c r="J122" s="13">
        <v>936</v>
      </c>
      <c r="K122" s="2"/>
      <c r="L122" s="2"/>
      <c r="M122" s="2"/>
      <c r="N122" s="2"/>
      <c r="O122" s="2"/>
      <c r="P122" s="2"/>
      <c r="Q122" s="2"/>
    </row>
    <row r="123" spans="1:17" x14ac:dyDescent="0.2">
      <c r="A123" s="54" t="s">
        <v>93</v>
      </c>
      <c r="B123" s="13">
        <v>2212</v>
      </c>
      <c r="C123" s="14">
        <v>0.79682997118155618</v>
      </c>
      <c r="D123" s="13">
        <v>325</v>
      </c>
      <c r="E123" s="14">
        <v>0.11707492795389049</v>
      </c>
      <c r="F123" s="13">
        <v>239</v>
      </c>
      <c r="G123" s="14">
        <v>8.6095100864553312E-2</v>
      </c>
      <c r="H123" s="13">
        <v>564</v>
      </c>
      <c r="I123" s="14">
        <v>0.20317002881844382</v>
      </c>
      <c r="J123" s="13">
        <v>2776</v>
      </c>
      <c r="K123" s="2"/>
      <c r="L123" s="2"/>
      <c r="M123" s="2"/>
      <c r="N123" s="2"/>
      <c r="O123" s="2"/>
      <c r="P123" s="2"/>
      <c r="Q123" s="2"/>
    </row>
    <row r="124" spans="1:17" x14ac:dyDescent="0.2">
      <c r="A124" s="54" t="s">
        <v>94</v>
      </c>
      <c r="B124" s="13">
        <v>1968</v>
      </c>
      <c r="C124" s="14">
        <v>0.8392324093816631</v>
      </c>
      <c r="D124" s="54">
        <v>298</v>
      </c>
      <c r="E124" s="14">
        <v>0.12707889125799574</v>
      </c>
      <c r="F124" s="54">
        <v>79</v>
      </c>
      <c r="G124" s="14">
        <v>3.3688699360341148E-2</v>
      </c>
      <c r="H124" s="54">
        <v>377</v>
      </c>
      <c r="I124" s="14">
        <v>0.1607675906183369</v>
      </c>
      <c r="J124" s="13">
        <v>2345</v>
      </c>
      <c r="K124" s="2"/>
      <c r="L124" s="2"/>
      <c r="M124" s="2"/>
      <c r="N124" s="2"/>
      <c r="O124" s="2"/>
      <c r="P124" s="2"/>
      <c r="Q124" s="2"/>
    </row>
    <row r="125" spans="1:17" x14ac:dyDescent="0.2">
      <c r="A125" s="67" t="s">
        <v>95</v>
      </c>
      <c r="B125" s="13">
        <v>1834</v>
      </c>
      <c r="C125" s="14">
        <f t="shared" ref="C125:C132" si="14">B125/J125</f>
        <v>0.90078585461689586</v>
      </c>
      <c r="D125" s="13">
        <v>142</v>
      </c>
      <c r="E125" s="14">
        <f t="shared" ref="E125:E132" si="15">D125/J125</f>
        <v>6.9744597249508836E-2</v>
      </c>
      <c r="F125" s="13">
        <v>60</v>
      </c>
      <c r="G125" s="14">
        <f t="shared" ref="G125:G132" si="16">F125/J125</f>
        <v>2.9469548133595286E-2</v>
      </c>
      <c r="H125" s="13">
        <f>D125+F125</f>
        <v>202</v>
      </c>
      <c r="I125" s="14">
        <f t="shared" ref="I125:I132" si="17">H125/J125</f>
        <v>9.9214145383104121E-2</v>
      </c>
      <c r="J125" s="13">
        <f>B125+D125+F125</f>
        <v>2036</v>
      </c>
      <c r="K125" s="2"/>
      <c r="L125" s="2"/>
      <c r="M125" s="2"/>
      <c r="N125" s="2"/>
      <c r="O125" s="2"/>
      <c r="P125" s="2"/>
      <c r="Q125" s="2"/>
    </row>
    <row r="126" spans="1:17" x14ac:dyDescent="0.2">
      <c r="A126" s="67" t="s">
        <v>96</v>
      </c>
      <c r="B126" s="13">
        <v>1545</v>
      </c>
      <c r="C126" s="14">
        <f t="shared" si="14"/>
        <v>0.83468395461912481</v>
      </c>
      <c r="D126" s="13">
        <v>173</v>
      </c>
      <c r="E126" s="14">
        <f t="shared" si="15"/>
        <v>9.3462992976769313E-2</v>
      </c>
      <c r="F126" s="13">
        <v>133</v>
      </c>
      <c r="G126" s="14">
        <f t="shared" si="16"/>
        <v>7.1853052404105888E-2</v>
      </c>
      <c r="H126" s="13">
        <f>D126+F126</f>
        <v>306</v>
      </c>
      <c r="I126" s="14">
        <f t="shared" si="17"/>
        <v>0.16531604538087522</v>
      </c>
      <c r="J126" s="13">
        <f>B126+D126+F126</f>
        <v>1851</v>
      </c>
      <c r="K126" s="2"/>
      <c r="L126" s="2"/>
      <c r="M126" s="2"/>
      <c r="N126" s="2"/>
      <c r="O126" s="2"/>
      <c r="P126" s="2"/>
      <c r="Q126" s="2"/>
    </row>
    <row r="127" spans="1:17" x14ac:dyDescent="0.2">
      <c r="A127" s="67" t="s">
        <v>97</v>
      </c>
      <c r="B127" s="13">
        <v>947</v>
      </c>
      <c r="C127" s="14">
        <f t="shared" si="14"/>
        <v>0.7120300751879699</v>
      </c>
      <c r="D127" s="13">
        <v>196</v>
      </c>
      <c r="E127" s="14">
        <f t="shared" si="15"/>
        <v>0.14736842105263157</v>
      </c>
      <c r="F127" s="13">
        <v>187</v>
      </c>
      <c r="G127" s="14">
        <f t="shared" si="16"/>
        <v>0.14060150375939851</v>
      </c>
      <c r="H127" s="13">
        <v>383</v>
      </c>
      <c r="I127" s="14">
        <f t="shared" si="17"/>
        <v>0.2879699248120301</v>
      </c>
      <c r="J127" s="13">
        <f>B127+D127+F127</f>
        <v>1330</v>
      </c>
      <c r="K127" s="2"/>
      <c r="L127" s="2"/>
      <c r="M127" s="2"/>
      <c r="N127" s="2"/>
      <c r="O127" s="2"/>
      <c r="P127" s="2"/>
      <c r="Q127" s="2"/>
    </row>
    <row r="128" spans="1:17" x14ac:dyDescent="0.2">
      <c r="A128" s="67" t="s">
        <v>98</v>
      </c>
      <c r="B128" s="13">
        <v>1071</v>
      </c>
      <c r="C128" s="14">
        <f t="shared" si="14"/>
        <v>0.76554681915654044</v>
      </c>
      <c r="D128" s="13">
        <v>220</v>
      </c>
      <c r="E128" s="14">
        <f t="shared" si="15"/>
        <v>0.15725518227305219</v>
      </c>
      <c r="F128" s="13">
        <v>108</v>
      </c>
      <c r="G128" s="14">
        <f t="shared" si="16"/>
        <v>7.7197998570407433E-2</v>
      </c>
      <c r="H128" s="13">
        <v>328</v>
      </c>
      <c r="I128" s="14">
        <f t="shared" si="17"/>
        <v>0.23445318084345962</v>
      </c>
      <c r="J128" s="13">
        <v>1399</v>
      </c>
      <c r="K128" s="2"/>
      <c r="L128" s="2"/>
      <c r="M128" s="2"/>
      <c r="N128" s="2"/>
      <c r="O128" s="2"/>
      <c r="P128" s="2"/>
      <c r="Q128" s="2"/>
    </row>
    <row r="129" spans="1:17" x14ac:dyDescent="0.2">
      <c r="A129" s="67" t="s">
        <v>10</v>
      </c>
      <c r="B129" s="13">
        <v>1616</v>
      </c>
      <c r="C129" s="14">
        <v>0.82</v>
      </c>
      <c r="D129" s="13">
        <v>224</v>
      </c>
      <c r="E129" s="14">
        <v>0.11</v>
      </c>
      <c r="F129" s="13">
        <v>119</v>
      </c>
      <c r="G129" s="14">
        <v>0.06</v>
      </c>
      <c r="H129" s="13">
        <v>343</v>
      </c>
      <c r="I129" s="14">
        <v>0.18</v>
      </c>
      <c r="J129" s="13">
        <v>1959</v>
      </c>
      <c r="K129" s="2"/>
      <c r="L129" s="2"/>
      <c r="M129" s="2"/>
      <c r="N129" s="2"/>
      <c r="O129" s="2"/>
      <c r="P129" s="2"/>
      <c r="Q129" s="2"/>
    </row>
    <row r="130" spans="1:17" x14ac:dyDescent="0.2">
      <c r="A130" s="67" t="s">
        <v>11</v>
      </c>
      <c r="B130" s="13">
        <v>1410</v>
      </c>
      <c r="C130" s="14">
        <v>0.71</v>
      </c>
      <c r="D130" s="13">
        <v>359</v>
      </c>
      <c r="E130" s="14">
        <v>0.18</v>
      </c>
      <c r="F130" s="13">
        <v>230</v>
      </c>
      <c r="G130" s="14">
        <v>0.12</v>
      </c>
      <c r="H130" s="13">
        <v>589</v>
      </c>
      <c r="I130" s="14">
        <v>0.28999999999999998</v>
      </c>
      <c r="J130" s="13">
        <v>1999</v>
      </c>
      <c r="K130" s="2"/>
      <c r="L130" s="2"/>
      <c r="M130" s="2"/>
      <c r="N130" s="2"/>
      <c r="O130" s="2"/>
      <c r="P130" s="2"/>
      <c r="Q130" s="2"/>
    </row>
    <row r="131" spans="1:17" x14ac:dyDescent="0.2">
      <c r="A131" s="55" t="s">
        <v>12</v>
      </c>
      <c r="B131" s="15">
        <f>GETPIVOTDATA("Sum of Phase Net Units",'3'!$A$1,"Status","01 Completion","Tenure","Open Market")</f>
        <v>1838</v>
      </c>
      <c r="C131" s="16">
        <f t="shared" si="14"/>
        <v>0.69045830202854996</v>
      </c>
      <c r="D131" s="15">
        <f>GETPIVOTDATA("Sum of Phase Net Units",'3'!$A$1,"Status","01 Completion","Tenure","Intermediate")</f>
        <v>446</v>
      </c>
      <c r="E131" s="16">
        <f t="shared" si="15"/>
        <v>0.16754320060105185</v>
      </c>
      <c r="F131" s="15">
        <f>GETPIVOTDATA("Sum of Phase Net Units",'3'!$A$1,"Status","01 Completion","Tenure","Social/Affordable Rent")</f>
        <v>378</v>
      </c>
      <c r="G131" s="16">
        <f t="shared" si="16"/>
        <v>0.14199849737039819</v>
      </c>
      <c r="H131" s="15">
        <f>D131+F131</f>
        <v>824</v>
      </c>
      <c r="I131" s="16">
        <f t="shared" si="17"/>
        <v>0.30954169797145004</v>
      </c>
      <c r="J131" s="15">
        <f>B131+D131+F131</f>
        <v>2662</v>
      </c>
      <c r="K131" s="2"/>
      <c r="L131" s="2"/>
      <c r="M131" s="2"/>
      <c r="N131" s="2"/>
      <c r="O131" s="2"/>
      <c r="P131" s="2"/>
      <c r="Q131" s="2"/>
    </row>
    <row r="132" spans="1:17" x14ac:dyDescent="0.2">
      <c r="A132" s="37" t="s">
        <v>50</v>
      </c>
      <c r="B132" s="24">
        <f>SUM(B114:B131)</f>
        <v>21839</v>
      </c>
      <c r="C132" s="17">
        <f t="shared" si="14"/>
        <v>0.77443262411347513</v>
      </c>
      <c r="D132" s="24">
        <f>SUM(D114:D131)</f>
        <v>4419</v>
      </c>
      <c r="E132" s="17">
        <f t="shared" si="15"/>
        <v>0.15670212765957447</v>
      </c>
      <c r="F132" s="24">
        <f>SUM(F114:F131)</f>
        <v>1942</v>
      </c>
      <c r="G132" s="17">
        <f t="shared" si="16"/>
        <v>6.8865248226950351E-2</v>
      </c>
      <c r="H132" s="24">
        <f>SUM(H114:H131)</f>
        <v>6361</v>
      </c>
      <c r="I132" s="17">
        <f t="shared" si="17"/>
        <v>0.22556737588652481</v>
      </c>
      <c r="J132" s="24">
        <f>SUM(J114:J131)</f>
        <v>28200</v>
      </c>
      <c r="K132" s="2"/>
      <c r="L132" s="2"/>
      <c r="M132" s="2"/>
      <c r="N132" s="2"/>
      <c r="O132" s="2"/>
      <c r="P132" s="2"/>
      <c r="Q132" s="2"/>
    </row>
    <row r="133" spans="1:17" x14ac:dyDescent="0.2">
      <c r="A133" s="2"/>
      <c r="B133" s="2"/>
      <c r="C133" s="2"/>
      <c r="D133" s="2"/>
      <c r="E133" s="2"/>
      <c r="F133" s="2"/>
      <c r="G133" s="2"/>
      <c r="H133" s="2"/>
      <c r="I133" s="2"/>
      <c r="J133" s="2"/>
      <c r="K133" s="2"/>
      <c r="L133" s="2"/>
      <c r="M133" s="2"/>
      <c r="N133" s="2"/>
      <c r="O133" s="2"/>
      <c r="P133" s="2"/>
      <c r="Q133" s="2"/>
    </row>
    <row r="134" spans="1:17" x14ac:dyDescent="0.2">
      <c r="A134" s="2"/>
      <c r="B134" s="2"/>
      <c r="C134" s="2"/>
      <c r="D134" s="2"/>
      <c r="E134" s="2"/>
      <c r="F134" s="2"/>
      <c r="G134" s="2"/>
      <c r="H134" s="2"/>
      <c r="I134" s="2"/>
      <c r="J134" s="2"/>
      <c r="K134" s="2"/>
      <c r="L134" s="2"/>
      <c r="M134" s="2"/>
      <c r="N134" s="2"/>
      <c r="O134" s="2"/>
      <c r="P134" s="2"/>
      <c r="Q134" s="2"/>
    </row>
    <row r="135" spans="1:17" x14ac:dyDescent="0.2">
      <c r="A135" s="2"/>
      <c r="B135" s="2"/>
      <c r="C135" s="2"/>
      <c r="D135" s="2"/>
      <c r="E135" s="2"/>
      <c r="F135" s="2"/>
      <c r="G135" s="2"/>
      <c r="H135" s="2"/>
      <c r="I135" s="2"/>
      <c r="J135" s="2"/>
      <c r="K135" s="2"/>
      <c r="L135" s="2"/>
      <c r="M135" s="2"/>
      <c r="N135" s="2"/>
      <c r="O135" s="2"/>
      <c r="P135" s="2"/>
      <c r="Q135" s="2"/>
    </row>
    <row r="136" spans="1:17" x14ac:dyDescent="0.2">
      <c r="A136" s="2"/>
      <c r="B136" s="2"/>
      <c r="C136" s="2"/>
      <c r="D136" s="2"/>
      <c r="E136" s="2"/>
      <c r="F136" s="2"/>
      <c r="G136" s="2"/>
      <c r="H136" s="2"/>
      <c r="I136" s="2"/>
      <c r="J136" s="2"/>
      <c r="K136" s="2"/>
      <c r="L136" s="2"/>
      <c r="M136" s="2"/>
      <c r="N136" s="2"/>
      <c r="O136" s="2"/>
      <c r="P136" s="2"/>
      <c r="Q136" s="2"/>
    </row>
    <row r="137" spans="1:17" x14ac:dyDescent="0.2">
      <c r="A137" s="2"/>
      <c r="B137" s="2"/>
      <c r="C137" s="2"/>
      <c r="D137" s="2"/>
      <c r="E137" s="2"/>
      <c r="F137" s="2"/>
      <c r="G137" s="2"/>
      <c r="H137" s="2"/>
      <c r="I137" s="2"/>
      <c r="J137" s="2"/>
      <c r="K137" s="2"/>
      <c r="L137" s="2"/>
      <c r="M137" s="2"/>
      <c r="N137" s="2"/>
      <c r="O137" s="2"/>
      <c r="P137" s="2"/>
      <c r="Q137" s="2"/>
    </row>
    <row r="138" spans="1:17" x14ac:dyDescent="0.2">
      <c r="A138" s="2"/>
      <c r="B138" s="2"/>
      <c r="C138" s="2"/>
      <c r="D138" s="2"/>
      <c r="E138" s="2"/>
      <c r="F138" s="2"/>
      <c r="G138" s="2"/>
      <c r="H138" s="2"/>
      <c r="I138" s="2"/>
      <c r="J138" s="2"/>
      <c r="K138" s="2"/>
      <c r="L138" s="2"/>
      <c r="M138" s="2"/>
      <c r="N138" s="2"/>
      <c r="O138" s="2"/>
      <c r="P138" s="2"/>
      <c r="Q138" s="2"/>
    </row>
    <row r="139" spans="1:17" x14ac:dyDescent="0.2">
      <c r="A139" s="2"/>
      <c r="B139" s="2"/>
      <c r="C139" s="2"/>
      <c r="D139" s="2"/>
      <c r="E139" s="2"/>
      <c r="F139" s="2"/>
      <c r="G139" s="2"/>
      <c r="H139" s="2"/>
      <c r="I139" s="2"/>
      <c r="J139" s="2"/>
      <c r="K139" s="2"/>
      <c r="L139" s="2"/>
      <c r="M139" s="2"/>
      <c r="N139" s="2"/>
      <c r="O139" s="2"/>
      <c r="P139" s="2"/>
      <c r="Q139" s="2"/>
    </row>
    <row r="140" spans="1:17" x14ac:dyDescent="0.2">
      <c r="A140" s="2"/>
      <c r="B140" s="2"/>
      <c r="C140" s="2"/>
      <c r="D140" s="2"/>
      <c r="E140" s="2"/>
      <c r="F140" s="2"/>
      <c r="G140" s="2"/>
      <c r="H140" s="2"/>
      <c r="I140" s="2"/>
      <c r="J140" s="2"/>
      <c r="K140" s="2"/>
      <c r="L140" s="2"/>
      <c r="M140" s="2"/>
      <c r="N140" s="2"/>
      <c r="O140" s="2"/>
      <c r="P140" s="2"/>
      <c r="Q140" s="2"/>
    </row>
    <row r="141" spans="1:17" x14ac:dyDescent="0.2">
      <c r="A141" s="2"/>
      <c r="B141" s="2"/>
      <c r="C141" s="2"/>
      <c r="D141" s="2"/>
      <c r="E141" s="2"/>
      <c r="F141" s="2"/>
      <c r="G141" s="2"/>
      <c r="H141" s="2"/>
      <c r="I141" s="2"/>
      <c r="J141" s="2"/>
      <c r="K141" s="2"/>
      <c r="L141" s="2"/>
      <c r="M141" s="2"/>
      <c r="N141" s="2"/>
      <c r="O141" s="2"/>
      <c r="P141" s="2"/>
      <c r="Q141" s="2"/>
    </row>
    <row r="142" spans="1:17" x14ac:dyDescent="0.2">
      <c r="A142" s="2"/>
      <c r="B142" s="2"/>
      <c r="C142" s="2"/>
      <c r="D142" s="2"/>
      <c r="E142" s="2"/>
      <c r="F142" s="2"/>
      <c r="G142" s="2"/>
      <c r="H142" s="2"/>
      <c r="I142" s="2"/>
      <c r="J142" s="2"/>
      <c r="K142" s="2"/>
      <c r="L142" s="2"/>
      <c r="M142" s="2"/>
      <c r="N142" s="2"/>
      <c r="O142" s="2"/>
      <c r="P142" s="2"/>
      <c r="Q142" s="2"/>
    </row>
    <row r="143" spans="1:17" x14ac:dyDescent="0.2">
      <c r="A143" s="2"/>
      <c r="B143" s="2"/>
      <c r="C143" s="2"/>
      <c r="D143" s="2"/>
      <c r="E143" s="2"/>
      <c r="F143" s="2"/>
      <c r="G143" s="2"/>
      <c r="H143" s="2"/>
      <c r="I143" s="2"/>
      <c r="J143" s="2"/>
      <c r="K143" s="2"/>
      <c r="L143" s="2"/>
      <c r="M143" s="2"/>
      <c r="N143" s="2"/>
      <c r="O143" s="2"/>
      <c r="P143" s="2"/>
      <c r="Q143" s="2"/>
    </row>
    <row r="144" spans="1:17" x14ac:dyDescent="0.2">
      <c r="A144" s="2"/>
      <c r="B144" s="2"/>
      <c r="C144" s="2"/>
      <c r="D144" s="2"/>
      <c r="E144" s="2"/>
      <c r="F144" s="2"/>
      <c r="G144" s="2"/>
      <c r="H144" s="2"/>
      <c r="I144" s="2"/>
      <c r="J144" s="2"/>
      <c r="K144" s="2"/>
      <c r="L144" s="2"/>
      <c r="M144" s="2"/>
      <c r="N144" s="2"/>
      <c r="O144" s="2"/>
      <c r="P144" s="2"/>
      <c r="Q144" s="2"/>
    </row>
    <row r="145" spans="1:17" x14ac:dyDescent="0.2">
      <c r="A145" s="2"/>
      <c r="B145" s="2"/>
      <c r="C145" s="2"/>
      <c r="D145" s="2"/>
      <c r="E145" s="2"/>
      <c r="F145" s="2"/>
      <c r="G145" s="2"/>
      <c r="H145" s="2"/>
      <c r="I145" s="2"/>
      <c r="J145" s="2"/>
      <c r="K145" s="2"/>
      <c r="L145" s="2"/>
      <c r="M145" s="2"/>
      <c r="N145" s="2"/>
      <c r="O145" s="2"/>
      <c r="P145" s="2"/>
      <c r="Q145" s="2"/>
    </row>
    <row r="146" spans="1:17" x14ac:dyDescent="0.2">
      <c r="A146" s="2"/>
      <c r="B146" s="2"/>
      <c r="C146" s="2"/>
      <c r="D146" s="2"/>
      <c r="E146" s="2"/>
      <c r="F146" s="2"/>
      <c r="G146" s="2"/>
      <c r="H146" s="2"/>
      <c r="I146" s="2"/>
      <c r="J146" s="2"/>
      <c r="K146" s="2"/>
      <c r="L146" s="2"/>
      <c r="M146" s="2"/>
      <c r="N146" s="2"/>
      <c r="O146" s="2"/>
      <c r="P146" s="2"/>
      <c r="Q146" s="2"/>
    </row>
    <row r="147" spans="1:17" x14ac:dyDescent="0.2">
      <c r="A147" s="2"/>
      <c r="B147" s="2"/>
      <c r="C147" s="2"/>
      <c r="D147" s="2"/>
      <c r="E147" s="2"/>
      <c r="F147" s="2"/>
      <c r="G147" s="2"/>
      <c r="H147" s="2"/>
      <c r="I147" s="2"/>
      <c r="J147" s="2"/>
      <c r="K147" s="2"/>
      <c r="L147" s="2"/>
      <c r="M147" s="2"/>
      <c r="N147" s="2"/>
      <c r="O147" s="2"/>
      <c r="P147" s="2"/>
      <c r="Q147" s="2"/>
    </row>
    <row r="148" spans="1:17" x14ac:dyDescent="0.2">
      <c r="A148" s="2"/>
      <c r="B148" s="2"/>
      <c r="C148" s="2"/>
      <c r="D148" s="2"/>
      <c r="E148" s="2"/>
      <c r="F148" s="2"/>
      <c r="G148" s="2"/>
      <c r="H148" s="2"/>
      <c r="I148" s="2"/>
      <c r="J148" s="2"/>
      <c r="K148" s="2"/>
      <c r="L148" s="2"/>
      <c r="M148" s="2"/>
      <c r="N148" s="2"/>
      <c r="O148" s="2"/>
      <c r="P148" s="2"/>
      <c r="Q148" s="2"/>
    </row>
    <row r="149" spans="1:17" x14ac:dyDescent="0.2">
      <c r="A149" s="2"/>
      <c r="B149" s="2"/>
      <c r="C149" s="2"/>
      <c r="D149" s="2"/>
      <c r="E149" s="2"/>
      <c r="F149" s="2"/>
      <c r="G149" s="2"/>
      <c r="H149" s="2"/>
      <c r="I149" s="2"/>
      <c r="J149" s="2"/>
      <c r="K149" s="2"/>
      <c r="L149" s="2"/>
      <c r="M149" s="2"/>
      <c r="N149" s="2"/>
      <c r="O149" s="2"/>
      <c r="P149" s="2"/>
      <c r="Q149" s="2"/>
    </row>
    <row r="150" spans="1:17" x14ac:dyDescent="0.2">
      <c r="A150" s="73" t="s">
        <v>115</v>
      </c>
      <c r="B150" s="2"/>
      <c r="C150" s="2"/>
      <c r="D150" s="2"/>
      <c r="E150" s="2"/>
      <c r="F150" s="2"/>
      <c r="G150" s="2"/>
      <c r="H150" s="2"/>
      <c r="I150" s="2"/>
      <c r="J150" s="2"/>
      <c r="K150" s="2"/>
      <c r="L150" s="2"/>
      <c r="M150" s="2"/>
      <c r="N150" s="2"/>
      <c r="O150" s="2"/>
      <c r="P150" s="2"/>
      <c r="Q150" s="2"/>
    </row>
    <row r="151" spans="1:17" x14ac:dyDescent="0.2">
      <c r="A151" s="6" t="s">
        <v>116</v>
      </c>
      <c r="B151" s="6" t="s">
        <v>117</v>
      </c>
      <c r="C151" s="2"/>
      <c r="D151" s="2"/>
      <c r="E151" s="2"/>
      <c r="F151" s="2"/>
      <c r="G151" s="2"/>
      <c r="H151" s="2"/>
      <c r="I151" s="2"/>
      <c r="J151" s="2"/>
      <c r="K151" s="2"/>
      <c r="L151" s="2"/>
      <c r="M151" s="2"/>
      <c r="N151" s="2"/>
      <c r="O151" s="2"/>
      <c r="P151" s="2"/>
      <c r="Q151" s="2"/>
    </row>
    <row r="152" spans="1:17" x14ac:dyDescent="0.2">
      <c r="A152" s="359" t="s">
        <v>80</v>
      </c>
      <c r="B152" s="359"/>
      <c r="C152" s="309" t="s">
        <v>110</v>
      </c>
      <c r="D152" s="309"/>
      <c r="E152" s="310" t="s">
        <v>111</v>
      </c>
      <c r="F152" s="310"/>
      <c r="G152" s="310" t="s">
        <v>112</v>
      </c>
      <c r="H152" s="310"/>
      <c r="I152" s="309" t="s">
        <v>73</v>
      </c>
      <c r="J152" s="309"/>
      <c r="K152" s="36" t="s">
        <v>50</v>
      </c>
      <c r="L152" s="2"/>
      <c r="M152" s="2"/>
      <c r="N152" s="2"/>
      <c r="O152" s="2"/>
      <c r="P152" s="2"/>
      <c r="Q152" s="2"/>
    </row>
    <row r="153" spans="1:17" x14ac:dyDescent="0.2">
      <c r="A153" s="359"/>
      <c r="B153" s="359"/>
      <c r="C153" s="36" t="s">
        <v>113</v>
      </c>
      <c r="D153" s="36" t="s">
        <v>114</v>
      </c>
      <c r="E153" s="36" t="s">
        <v>113</v>
      </c>
      <c r="F153" s="36" t="s">
        <v>114</v>
      </c>
      <c r="G153" s="36" t="s">
        <v>113</v>
      </c>
      <c r="H153" s="36" t="s">
        <v>114</v>
      </c>
      <c r="I153" s="36" t="s">
        <v>113</v>
      </c>
      <c r="J153" s="36" t="s">
        <v>114</v>
      </c>
      <c r="K153" s="36" t="s">
        <v>113</v>
      </c>
      <c r="L153" s="2"/>
      <c r="M153" s="2"/>
      <c r="N153" s="2"/>
      <c r="O153" s="2"/>
      <c r="P153" s="2"/>
      <c r="Q153" s="2"/>
    </row>
    <row r="154" spans="1:17" x14ac:dyDescent="0.2">
      <c r="A154" s="320" t="s">
        <v>94</v>
      </c>
      <c r="B154" s="320"/>
      <c r="C154" s="13">
        <v>604</v>
      </c>
      <c r="D154" s="14">
        <f t="shared" ref="D154:D162" si="18">C154/K154</f>
        <v>0.80212483399734391</v>
      </c>
      <c r="E154" s="13">
        <v>126</v>
      </c>
      <c r="F154" s="16">
        <f t="shared" ref="F154:F162" si="19">E154/I154</f>
        <v>0.84563758389261745</v>
      </c>
      <c r="G154" s="13">
        <v>23</v>
      </c>
      <c r="H154" s="16">
        <f t="shared" ref="H154:H162" si="20">G154/I154</f>
        <v>0.15436241610738255</v>
      </c>
      <c r="I154" s="13">
        <f>E154+G154</f>
        <v>149</v>
      </c>
      <c r="J154" s="16">
        <f t="shared" ref="J154:J162" si="21">I154/K154</f>
        <v>0.19787516600265603</v>
      </c>
      <c r="K154" s="13">
        <f t="shared" ref="K154:K161" si="22">C154+E154+G154</f>
        <v>753</v>
      </c>
      <c r="L154" s="2"/>
      <c r="M154" s="2"/>
      <c r="N154" s="2"/>
      <c r="O154" s="2"/>
      <c r="P154" s="2"/>
      <c r="Q154" s="2"/>
    </row>
    <row r="155" spans="1:17" x14ac:dyDescent="0.2">
      <c r="A155" s="295" t="s">
        <v>95</v>
      </c>
      <c r="B155" s="296"/>
      <c r="C155" s="13">
        <v>1181</v>
      </c>
      <c r="D155" s="14">
        <f t="shared" si="18"/>
        <v>0.92193598750975803</v>
      </c>
      <c r="E155" s="13">
        <v>100</v>
      </c>
      <c r="F155" s="16">
        <f t="shared" si="19"/>
        <v>1</v>
      </c>
      <c r="G155" s="13">
        <v>0</v>
      </c>
      <c r="H155" s="16">
        <f t="shared" si="20"/>
        <v>0</v>
      </c>
      <c r="I155" s="13">
        <f>E155+G155</f>
        <v>100</v>
      </c>
      <c r="J155" s="16">
        <f t="shared" si="21"/>
        <v>7.8064012490242002E-2</v>
      </c>
      <c r="K155" s="13">
        <f t="shared" si="22"/>
        <v>1281</v>
      </c>
      <c r="L155" s="2"/>
      <c r="M155" s="2"/>
      <c r="N155" s="2"/>
      <c r="O155" s="2"/>
      <c r="P155" s="2"/>
      <c r="Q155" s="2"/>
    </row>
    <row r="156" spans="1:17" x14ac:dyDescent="0.2">
      <c r="A156" s="295" t="s">
        <v>96</v>
      </c>
      <c r="B156" s="296"/>
      <c r="C156" s="13">
        <v>641</v>
      </c>
      <c r="D156" s="14">
        <f t="shared" si="18"/>
        <v>0.85924932975871315</v>
      </c>
      <c r="E156" s="13">
        <v>58</v>
      </c>
      <c r="F156" s="16">
        <f t="shared" si="19"/>
        <v>0.55238095238095242</v>
      </c>
      <c r="G156" s="13">
        <v>47</v>
      </c>
      <c r="H156" s="16">
        <f t="shared" si="20"/>
        <v>0.44761904761904764</v>
      </c>
      <c r="I156" s="13">
        <f>E156+G156</f>
        <v>105</v>
      </c>
      <c r="J156" s="16">
        <f t="shared" si="21"/>
        <v>0.14075067024128687</v>
      </c>
      <c r="K156" s="13">
        <f t="shared" si="22"/>
        <v>746</v>
      </c>
      <c r="L156" s="2"/>
      <c r="M156" s="2"/>
      <c r="N156" s="2"/>
      <c r="O156" s="2"/>
      <c r="P156" s="2"/>
      <c r="Q156" s="2"/>
    </row>
    <row r="157" spans="1:17" x14ac:dyDescent="0.2">
      <c r="A157" s="295" t="s">
        <v>97</v>
      </c>
      <c r="B157" s="296"/>
      <c r="C157" s="13">
        <v>337</v>
      </c>
      <c r="D157" s="14">
        <f t="shared" si="18"/>
        <v>0.68775510204081636</v>
      </c>
      <c r="E157" s="13">
        <v>57</v>
      </c>
      <c r="F157" s="16">
        <f t="shared" si="19"/>
        <v>0.37254901960784315</v>
      </c>
      <c r="G157" s="13">
        <v>96</v>
      </c>
      <c r="H157" s="16">
        <f t="shared" si="20"/>
        <v>0.62745098039215685</v>
      </c>
      <c r="I157" s="13">
        <f>E157+G157</f>
        <v>153</v>
      </c>
      <c r="J157" s="16">
        <f t="shared" si="21"/>
        <v>0.3122448979591837</v>
      </c>
      <c r="K157" s="13">
        <f t="shared" si="22"/>
        <v>490</v>
      </c>
      <c r="L157" s="2"/>
      <c r="M157" s="2"/>
      <c r="N157" s="2"/>
      <c r="O157" s="2"/>
      <c r="P157" s="2"/>
      <c r="Q157" s="2"/>
    </row>
    <row r="158" spans="1:17" x14ac:dyDescent="0.2">
      <c r="A158" s="295" t="s">
        <v>98</v>
      </c>
      <c r="B158" s="296"/>
      <c r="C158" s="13">
        <v>413</v>
      </c>
      <c r="D158" s="14">
        <f t="shared" si="18"/>
        <v>0.75641025641025639</v>
      </c>
      <c r="E158" s="13">
        <v>59</v>
      </c>
      <c r="F158" s="16">
        <f t="shared" si="19"/>
        <v>0.44360902255639095</v>
      </c>
      <c r="G158" s="13">
        <v>74</v>
      </c>
      <c r="H158" s="16">
        <f t="shared" si="20"/>
        <v>0.55639097744360899</v>
      </c>
      <c r="I158" s="13">
        <f t="shared" ref="I158:I161" si="23">E158+G158</f>
        <v>133</v>
      </c>
      <c r="J158" s="16">
        <f t="shared" si="21"/>
        <v>0.24358974358974358</v>
      </c>
      <c r="K158" s="13">
        <f t="shared" si="22"/>
        <v>546</v>
      </c>
      <c r="L158" s="2"/>
      <c r="M158" s="2"/>
      <c r="N158" s="2"/>
      <c r="O158" s="2"/>
      <c r="P158" s="2"/>
      <c r="Q158" s="2"/>
    </row>
    <row r="159" spans="1:17" x14ac:dyDescent="0.2">
      <c r="A159" s="295" t="s">
        <v>10</v>
      </c>
      <c r="B159" s="296"/>
      <c r="C159" s="13">
        <v>1036</v>
      </c>
      <c r="D159" s="14">
        <v>0.84</v>
      </c>
      <c r="E159" s="13">
        <v>192</v>
      </c>
      <c r="F159" s="16">
        <v>1</v>
      </c>
      <c r="G159" s="13">
        <v>0</v>
      </c>
      <c r="H159" s="16">
        <f t="shared" si="20"/>
        <v>0</v>
      </c>
      <c r="I159" s="13">
        <f t="shared" si="23"/>
        <v>192</v>
      </c>
      <c r="J159" s="16">
        <f t="shared" si="21"/>
        <v>0.15635179153094461</v>
      </c>
      <c r="K159" s="13">
        <f t="shared" si="22"/>
        <v>1228</v>
      </c>
      <c r="L159" s="2"/>
      <c r="M159" s="2"/>
      <c r="N159" s="2"/>
      <c r="O159" s="2"/>
      <c r="P159" s="2"/>
      <c r="Q159" s="2"/>
    </row>
    <row r="160" spans="1:17" x14ac:dyDescent="0.2">
      <c r="A160" s="85" t="s">
        <v>11</v>
      </c>
      <c r="B160" s="98"/>
      <c r="C160" s="13">
        <v>1007</v>
      </c>
      <c r="D160" s="14">
        <v>0.81</v>
      </c>
      <c r="E160" s="13">
        <v>192</v>
      </c>
      <c r="F160" s="16">
        <v>0.83</v>
      </c>
      <c r="G160" s="13">
        <v>40</v>
      </c>
      <c r="H160" s="16">
        <f t="shared" si="20"/>
        <v>0.17241379310344829</v>
      </c>
      <c r="I160" s="13">
        <f t="shared" si="23"/>
        <v>232</v>
      </c>
      <c r="J160" s="16">
        <f t="shared" si="21"/>
        <v>0.18724778046811946</v>
      </c>
      <c r="K160" s="13">
        <f t="shared" si="22"/>
        <v>1239</v>
      </c>
      <c r="L160" s="2"/>
      <c r="M160" s="2"/>
      <c r="N160" s="2"/>
      <c r="O160" s="2"/>
      <c r="P160" s="2"/>
      <c r="Q160" s="2"/>
    </row>
    <row r="161" spans="1:17" x14ac:dyDescent="0.2">
      <c r="A161" s="295" t="s">
        <v>12</v>
      </c>
      <c r="B161" s="296"/>
      <c r="C161" s="13">
        <f>GETPIVOTDATA("Phase Net Units",'8b and 8c'!$A$3,"Status","01 Completion","Tenure","Open Market","VNEB","Y")</f>
        <v>1309</v>
      </c>
      <c r="D161" s="14">
        <f t="shared" si="18"/>
        <v>0.74928448769318834</v>
      </c>
      <c r="E161" s="13">
        <f>GETPIVOTDATA("Phase Net Units",'8b and 8c'!$A$3,"Status","01 Completion","Tenure","Intermediate","VNEB","Y")</f>
        <v>188</v>
      </c>
      <c r="F161" s="16">
        <f t="shared" si="19"/>
        <v>0.42922374429223742</v>
      </c>
      <c r="G161" s="13">
        <f>GETPIVOTDATA("Phase Net Units",'8b and 8c'!$A$3,"Status","01 Completion","Tenure","Social/Affordable Rent","VNEB","Y")</f>
        <v>250</v>
      </c>
      <c r="H161" s="16">
        <f t="shared" si="20"/>
        <v>0.57077625570776258</v>
      </c>
      <c r="I161" s="13">
        <f t="shared" si="23"/>
        <v>438</v>
      </c>
      <c r="J161" s="16">
        <f t="shared" si="21"/>
        <v>0.25071551230681166</v>
      </c>
      <c r="K161" s="13">
        <f t="shared" si="22"/>
        <v>1747</v>
      </c>
      <c r="L161" s="2"/>
      <c r="M161" s="2"/>
      <c r="N161" s="2"/>
      <c r="O161" s="2"/>
      <c r="P161" s="2"/>
      <c r="Q161" s="2"/>
    </row>
    <row r="162" spans="1:17" x14ac:dyDescent="0.2">
      <c r="A162" s="339" t="s">
        <v>50</v>
      </c>
      <c r="B162" s="339"/>
      <c r="C162" s="24">
        <f>SUM(C154:C161)</f>
        <v>6528</v>
      </c>
      <c r="D162" s="17">
        <f t="shared" si="18"/>
        <v>0.81295143212951437</v>
      </c>
      <c r="E162" s="24">
        <f>SUM(E154:E161)</f>
        <v>972</v>
      </c>
      <c r="F162" s="17">
        <f t="shared" si="19"/>
        <v>0.64713715046604525</v>
      </c>
      <c r="G162" s="24">
        <f>SUM(G154:G161)</f>
        <v>530</v>
      </c>
      <c r="H162" s="17">
        <f t="shared" si="20"/>
        <v>0.35286284953395475</v>
      </c>
      <c r="I162" s="24">
        <f>SUM(I154:I161)</f>
        <v>1502</v>
      </c>
      <c r="J162" s="17">
        <f t="shared" si="21"/>
        <v>0.18704856787048568</v>
      </c>
      <c r="K162" s="24">
        <f>SUM(K154:K161)</f>
        <v>8030</v>
      </c>
      <c r="L162" s="2"/>
      <c r="M162" s="2"/>
      <c r="N162" s="2"/>
      <c r="O162" s="2"/>
      <c r="P162" s="2"/>
      <c r="Q162" s="2"/>
    </row>
    <row r="163" spans="1:17" x14ac:dyDescent="0.2">
      <c r="A163" s="46"/>
      <c r="B163" s="2"/>
      <c r="C163" s="2"/>
      <c r="D163" s="2"/>
      <c r="E163" s="2"/>
      <c r="F163" s="2"/>
      <c r="G163" s="2"/>
      <c r="H163" s="2"/>
      <c r="I163" s="2"/>
      <c r="J163" s="2"/>
      <c r="K163" s="2"/>
      <c r="L163" s="2"/>
      <c r="M163" s="2"/>
      <c r="N163" s="2"/>
      <c r="O163" s="2"/>
      <c r="P163" s="2"/>
      <c r="Q163" s="2"/>
    </row>
    <row r="164" spans="1:17" x14ac:dyDescent="0.2">
      <c r="A164" s="6" t="s">
        <v>118</v>
      </c>
      <c r="B164" s="6" t="s">
        <v>119</v>
      </c>
      <c r="C164" s="2"/>
      <c r="D164" s="2"/>
      <c r="E164" s="2"/>
      <c r="F164" s="2"/>
      <c r="G164" s="2"/>
      <c r="H164" s="2"/>
      <c r="I164" s="2"/>
      <c r="J164" s="2"/>
      <c r="K164" s="2"/>
      <c r="L164" s="2"/>
      <c r="M164" s="2"/>
      <c r="N164" s="2"/>
      <c r="O164" s="2"/>
      <c r="P164" s="2"/>
      <c r="Q164" s="2"/>
    </row>
    <row r="165" spans="1:17" x14ac:dyDescent="0.2">
      <c r="A165" s="308" t="s">
        <v>80</v>
      </c>
      <c r="B165" s="308"/>
      <c r="C165" s="309" t="s">
        <v>110</v>
      </c>
      <c r="D165" s="309"/>
      <c r="E165" s="310" t="s">
        <v>111</v>
      </c>
      <c r="F165" s="310"/>
      <c r="G165" s="310" t="s">
        <v>112</v>
      </c>
      <c r="H165" s="310"/>
      <c r="I165" s="309" t="s">
        <v>73</v>
      </c>
      <c r="J165" s="309"/>
      <c r="K165" s="36" t="s">
        <v>50</v>
      </c>
      <c r="L165" s="2"/>
      <c r="M165" s="2"/>
      <c r="N165" s="2"/>
      <c r="O165" s="2"/>
      <c r="P165" s="2"/>
      <c r="Q165" s="2"/>
    </row>
    <row r="166" spans="1:17" x14ac:dyDescent="0.2">
      <c r="A166" s="308"/>
      <c r="B166" s="308"/>
      <c r="C166" s="36" t="s">
        <v>113</v>
      </c>
      <c r="D166" s="36" t="s">
        <v>114</v>
      </c>
      <c r="E166" s="36" t="s">
        <v>113</v>
      </c>
      <c r="F166" s="36" t="s">
        <v>114</v>
      </c>
      <c r="G166" s="36" t="s">
        <v>113</v>
      </c>
      <c r="H166" s="36" t="s">
        <v>114</v>
      </c>
      <c r="I166" s="36" t="s">
        <v>113</v>
      </c>
      <c r="J166" s="36" t="s">
        <v>114</v>
      </c>
      <c r="K166" s="36" t="s">
        <v>113</v>
      </c>
      <c r="L166" s="2"/>
      <c r="M166" s="2"/>
      <c r="N166" s="2"/>
      <c r="O166" s="2"/>
      <c r="P166" s="2"/>
      <c r="Q166" s="2"/>
    </row>
    <row r="167" spans="1:17" x14ac:dyDescent="0.2">
      <c r="A167" s="320" t="s">
        <v>94</v>
      </c>
      <c r="B167" s="320"/>
      <c r="C167" s="13">
        <v>765</v>
      </c>
      <c r="D167" s="14">
        <f t="shared" ref="D167:D175" si="24">C167/K167</f>
        <v>0.7766497461928934</v>
      </c>
      <c r="E167" s="13">
        <v>171</v>
      </c>
      <c r="F167" s="16">
        <f t="shared" ref="F167:F175" si="25">E167/I167</f>
        <v>0.77727272727272723</v>
      </c>
      <c r="G167" s="13">
        <v>49</v>
      </c>
      <c r="H167" s="16">
        <f t="shared" ref="H167:H175" si="26">G167/I167</f>
        <v>0.22272727272727272</v>
      </c>
      <c r="I167" s="13">
        <f t="shared" ref="I167:I174" si="27">E167+G167</f>
        <v>220</v>
      </c>
      <c r="J167" s="16">
        <f t="shared" ref="J167:J175" si="28">I167/K167</f>
        <v>0.2233502538071066</v>
      </c>
      <c r="K167" s="13">
        <f t="shared" ref="K167:K174" si="29">C167+E167+G167</f>
        <v>985</v>
      </c>
      <c r="L167" s="2"/>
      <c r="M167" s="2"/>
      <c r="N167" s="2"/>
      <c r="O167" s="2"/>
      <c r="P167" s="2"/>
      <c r="Q167" s="2"/>
    </row>
    <row r="168" spans="1:17" x14ac:dyDescent="0.2">
      <c r="A168" s="295" t="s">
        <v>95</v>
      </c>
      <c r="B168" s="296"/>
      <c r="C168" s="13">
        <v>653</v>
      </c>
      <c r="D168" s="14">
        <f t="shared" si="24"/>
        <v>0.91842475386779188</v>
      </c>
      <c r="E168" s="13">
        <v>42</v>
      </c>
      <c r="F168" s="16">
        <f t="shared" si="25"/>
        <v>0.72413793103448276</v>
      </c>
      <c r="G168" s="13">
        <v>16</v>
      </c>
      <c r="H168" s="16">
        <f t="shared" si="26"/>
        <v>0.27586206896551724</v>
      </c>
      <c r="I168" s="13">
        <f t="shared" si="27"/>
        <v>58</v>
      </c>
      <c r="J168" s="16">
        <f t="shared" si="28"/>
        <v>8.1575246132208151E-2</v>
      </c>
      <c r="K168" s="13">
        <f t="shared" si="29"/>
        <v>711</v>
      </c>
      <c r="L168" s="2"/>
      <c r="M168" s="2"/>
      <c r="N168" s="2"/>
      <c r="O168" s="2"/>
      <c r="P168" s="2"/>
      <c r="Q168" s="2"/>
    </row>
    <row r="169" spans="1:17" x14ac:dyDescent="0.2">
      <c r="A169" s="295" t="s">
        <v>96</v>
      </c>
      <c r="B169" s="296"/>
      <c r="C169" s="13">
        <v>675</v>
      </c>
      <c r="D169" s="14">
        <f t="shared" si="24"/>
        <v>0.78671328671328666</v>
      </c>
      <c r="E169" s="13">
        <v>119</v>
      </c>
      <c r="F169" s="16">
        <f t="shared" si="25"/>
        <v>0.65027322404371579</v>
      </c>
      <c r="G169" s="13">
        <v>64</v>
      </c>
      <c r="H169" s="16">
        <f t="shared" si="26"/>
        <v>0.34972677595628415</v>
      </c>
      <c r="I169" s="13">
        <f t="shared" si="27"/>
        <v>183</v>
      </c>
      <c r="J169" s="16">
        <f t="shared" si="28"/>
        <v>0.21328671328671328</v>
      </c>
      <c r="K169" s="13">
        <f t="shared" si="29"/>
        <v>858</v>
      </c>
      <c r="L169" s="2"/>
      <c r="M169" s="2"/>
      <c r="N169" s="2"/>
      <c r="O169" s="2"/>
      <c r="P169" s="2"/>
      <c r="Q169" s="2"/>
    </row>
    <row r="170" spans="1:17" x14ac:dyDescent="0.2">
      <c r="A170" s="295" t="s">
        <v>97</v>
      </c>
      <c r="B170" s="296"/>
      <c r="C170" s="13">
        <v>375</v>
      </c>
      <c r="D170" s="14">
        <f t="shared" si="24"/>
        <v>0.62814070351758799</v>
      </c>
      <c r="E170" s="13">
        <v>139</v>
      </c>
      <c r="F170" s="16">
        <f t="shared" si="25"/>
        <v>0.62612612612612617</v>
      </c>
      <c r="G170" s="13">
        <v>83</v>
      </c>
      <c r="H170" s="16">
        <f t="shared" si="26"/>
        <v>0.37387387387387389</v>
      </c>
      <c r="I170" s="13">
        <f t="shared" si="27"/>
        <v>222</v>
      </c>
      <c r="J170" s="16">
        <f t="shared" si="28"/>
        <v>0.37185929648241206</v>
      </c>
      <c r="K170" s="13">
        <f t="shared" si="29"/>
        <v>597</v>
      </c>
      <c r="L170" s="2"/>
      <c r="M170" s="2"/>
      <c r="N170" s="2"/>
      <c r="O170" s="2"/>
      <c r="P170" s="2"/>
      <c r="Q170" s="2"/>
    </row>
    <row r="171" spans="1:17" x14ac:dyDescent="0.2">
      <c r="A171" s="295" t="s">
        <v>98</v>
      </c>
      <c r="B171" s="296"/>
      <c r="C171" s="13">
        <v>490</v>
      </c>
      <c r="D171" s="14">
        <f t="shared" si="24"/>
        <v>0.72916666666666663</v>
      </c>
      <c r="E171" s="13">
        <v>161</v>
      </c>
      <c r="F171" s="16">
        <f t="shared" si="25"/>
        <v>0.88461538461538458</v>
      </c>
      <c r="G171" s="13">
        <v>21</v>
      </c>
      <c r="H171" s="16">
        <f t="shared" si="26"/>
        <v>0.11538461538461539</v>
      </c>
      <c r="I171" s="13">
        <f t="shared" si="27"/>
        <v>182</v>
      </c>
      <c r="J171" s="16">
        <f t="shared" si="28"/>
        <v>0.27083333333333331</v>
      </c>
      <c r="K171" s="13">
        <f t="shared" si="29"/>
        <v>672</v>
      </c>
      <c r="L171" s="2"/>
      <c r="M171" s="2"/>
      <c r="N171" s="2"/>
      <c r="O171" s="2"/>
      <c r="P171" s="2"/>
      <c r="Q171" s="2"/>
    </row>
    <row r="172" spans="1:17" x14ac:dyDescent="0.2">
      <c r="A172" s="295" t="s">
        <v>10</v>
      </c>
      <c r="B172" s="296"/>
      <c r="C172" s="13">
        <v>367</v>
      </c>
      <c r="D172" s="14">
        <v>0.71</v>
      </c>
      <c r="E172" s="13">
        <v>32</v>
      </c>
      <c r="F172" s="16">
        <f t="shared" si="25"/>
        <v>0.21768707482993196</v>
      </c>
      <c r="G172" s="13">
        <v>115</v>
      </c>
      <c r="H172" s="16">
        <f t="shared" si="26"/>
        <v>0.78231292517006801</v>
      </c>
      <c r="I172" s="13">
        <f t="shared" si="27"/>
        <v>147</v>
      </c>
      <c r="J172" s="16">
        <f t="shared" si="28"/>
        <v>0.28599221789883267</v>
      </c>
      <c r="K172" s="13">
        <f t="shared" si="29"/>
        <v>514</v>
      </c>
      <c r="L172" s="2"/>
      <c r="M172" s="2"/>
      <c r="N172" s="2"/>
      <c r="O172" s="2"/>
      <c r="P172" s="2"/>
      <c r="Q172" s="2"/>
    </row>
    <row r="173" spans="1:17" x14ac:dyDescent="0.2">
      <c r="A173" s="318" t="s">
        <v>11</v>
      </c>
      <c r="B173" s="319"/>
      <c r="C173" s="13">
        <v>197</v>
      </c>
      <c r="D173" s="14">
        <v>0.36</v>
      </c>
      <c r="E173" s="13">
        <v>158</v>
      </c>
      <c r="F173" s="16">
        <v>0.45</v>
      </c>
      <c r="G173" s="13">
        <v>190</v>
      </c>
      <c r="H173" s="16">
        <f t="shared" si="26"/>
        <v>0.54597701149425293</v>
      </c>
      <c r="I173" s="13">
        <f t="shared" si="27"/>
        <v>348</v>
      </c>
      <c r="J173" s="16">
        <f t="shared" si="28"/>
        <v>0.63853211009174315</v>
      </c>
      <c r="K173" s="13">
        <f t="shared" si="29"/>
        <v>545</v>
      </c>
      <c r="L173" s="2"/>
      <c r="M173" s="2"/>
      <c r="N173" s="2"/>
      <c r="O173" s="2"/>
      <c r="P173" s="2"/>
      <c r="Q173" s="2"/>
    </row>
    <row r="174" spans="1:17" x14ac:dyDescent="0.2">
      <c r="A174" s="295" t="s">
        <v>12</v>
      </c>
      <c r="B174" s="296"/>
      <c r="C174" s="13">
        <f>GETPIVOTDATA("Phase Net Units",'8b and 8c'!$A$3,"Status","01 Completion","Tenure","Open Market","VNEB",)</f>
        <v>387</v>
      </c>
      <c r="D174" s="14">
        <f t="shared" si="24"/>
        <v>0.50129533678756477</v>
      </c>
      <c r="E174" s="13">
        <f>GETPIVOTDATA("Phase Net Units",'8b and 8c'!$A$3,"Status","01 Completion","Tenure","Intermediate","VNEB",)</f>
        <v>258</v>
      </c>
      <c r="F174" s="16">
        <f t="shared" si="25"/>
        <v>0.67012987012987013</v>
      </c>
      <c r="G174" s="13">
        <f>GETPIVOTDATA("Phase Net Units",'8b and 8c'!$A$3,"Status","01 Completion","Tenure","Social/Affordable Rent","VNEB",)</f>
        <v>127</v>
      </c>
      <c r="H174" s="16">
        <f t="shared" si="26"/>
        <v>0.32987012987012987</v>
      </c>
      <c r="I174" s="13">
        <f t="shared" si="27"/>
        <v>385</v>
      </c>
      <c r="J174" s="16">
        <f t="shared" si="28"/>
        <v>0.49870466321243523</v>
      </c>
      <c r="K174" s="13">
        <f t="shared" si="29"/>
        <v>772</v>
      </c>
      <c r="L174" s="2"/>
      <c r="M174" s="2"/>
      <c r="N174" s="2"/>
      <c r="O174" s="2"/>
      <c r="P174" s="2"/>
      <c r="Q174" s="2"/>
    </row>
    <row r="175" spans="1:17" x14ac:dyDescent="0.2">
      <c r="A175" s="339" t="s">
        <v>50</v>
      </c>
      <c r="B175" s="339"/>
      <c r="C175" s="24">
        <f>SUM(C167:C174)</f>
        <v>3909</v>
      </c>
      <c r="D175" s="17">
        <f t="shared" si="24"/>
        <v>0.69136894234170498</v>
      </c>
      <c r="E175" s="24">
        <f>SUM(E167:E174)</f>
        <v>1080</v>
      </c>
      <c r="F175" s="17">
        <f t="shared" si="25"/>
        <v>0.61891117478510027</v>
      </c>
      <c r="G175" s="24">
        <f>SUM(G167:G174)</f>
        <v>665</v>
      </c>
      <c r="H175" s="17">
        <f t="shared" si="26"/>
        <v>0.38108882521489973</v>
      </c>
      <c r="I175" s="24">
        <f>SUM(I167:I174)</f>
        <v>1745</v>
      </c>
      <c r="J175" s="17">
        <f t="shared" si="28"/>
        <v>0.30863105765829502</v>
      </c>
      <c r="K175" s="24">
        <f>SUM(K167:K174)</f>
        <v>5654</v>
      </c>
      <c r="L175" s="2"/>
      <c r="M175" s="2"/>
      <c r="N175" s="2"/>
      <c r="O175" s="2"/>
      <c r="P175" s="2"/>
      <c r="Q175" s="2"/>
    </row>
    <row r="176" spans="1:17" s="2" customFormat="1" x14ac:dyDescent="0.2"/>
    <row r="177" spans="1:11" s="2" customFormat="1" x14ac:dyDescent="0.2">
      <c r="A177" s="6" t="s">
        <v>120</v>
      </c>
      <c r="B177" s="6" t="s">
        <v>121</v>
      </c>
    </row>
    <row r="178" spans="1:11" s="2" customFormat="1" x14ac:dyDescent="0.2">
      <c r="A178" s="308" t="s">
        <v>80</v>
      </c>
      <c r="B178" s="308"/>
      <c r="C178" s="309" t="s">
        <v>110</v>
      </c>
      <c r="D178" s="309"/>
      <c r="E178" s="310" t="s">
        <v>111</v>
      </c>
      <c r="F178" s="310"/>
      <c r="G178" s="310" t="s">
        <v>112</v>
      </c>
      <c r="H178" s="310"/>
      <c r="I178" s="309" t="s">
        <v>73</v>
      </c>
      <c r="J178" s="309"/>
      <c r="K178" s="36" t="s">
        <v>50</v>
      </c>
    </row>
    <row r="179" spans="1:11" s="2" customFormat="1" x14ac:dyDescent="0.2">
      <c r="A179" s="308"/>
      <c r="B179" s="308"/>
      <c r="C179" s="36" t="s">
        <v>113</v>
      </c>
      <c r="D179" s="36" t="s">
        <v>114</v>
      </c>
      <c r="E179" s="36" t="s">
        <v>113</v>
      </c>
      <c r="F179" s="36" t="s">
        <v>114</v>
      </c>
      <c r="G179" s="36" t="s">
        <v>113</v>
      </c>
      <c r="H179" s="36" t="s">
        <v>114</v>
      </c>
      <c r="I179" s="36" t="s">
        <v>113</v>
      </c>
      <c r="J179" s="36" t="s">
        <v>114</v>
      </c>
      <c r="K179" s="36" t="s">
        <v>113</v>
      </c>
    </row>
    <row r="180" spans="1:11" s="2" customFormat="1" x14ac:dyDescent="0.2">
      <c r="A180" s="320" t="s">
        <v>94</v>
      </c>
      <c r="B180" s="320"/>
      <c r="C180" s="13">
        <f t="shared" ref="C180:C187" si="30">C154+C167</f>
        <v>1369</v>
      </c>
      <c r="D180" s="14">
        <f t="shared" ref="D180:D184" si="31">C180/K180</f>
        <v>0.78768699654775609</v>
      </c>
      <c r="E180" s="13">
        <f t="shared" ref="E180:E187" si="32">E154+E167</f>
        <v>297</v>
      </c>
      <c r="F180" s="16">
        <f t="shared" ref="F180:F185" si="33">E180/I180</f>
        <v>0.80487804878048785</v>
      </c>
      <c r="G180" s="13">
        <f t="shared" ref="G180:G187" si="34">G154+G167</f>
        <v>72</v>
      </c>
      <c r="H180" s="16">
        <f t="shared" ref="H180:H188" si="35">G180/I180</f>
        <v>0.1951219512195122</v>
      </c>
      <c r="I180" s="13">
        <f t="shared" ref="I180:I187" si="36">E180+G180</f>
        <v>369</v>
      </c>
      <c r="J180" s="16">
        <f t="shared" ref="J180:J188" si="37">I180/K180</f>
        <v>0.21231300345224396</v>
      </c>
      <c r="K180" s="13">
        <f t="shared" ref="K180:K187" si="38">C180+E180+G180</f>
        <v>1738</v>
      </c>
    </row>
    <row r="181" spans="1:11" s="2" customFormat="1" x14ac:dyDescent="0.2">
      <c r="A181" s="295" t="s">
        <v>95</v>
      </c>
      <c r="B181" s="296"/>
      <c r="C181" s="13">
        <f t="shared" si="30"/>
        <v>1834</v>
      </c>
      <c r="D181" s="14">
        <f t="shared" si="31"/>
        <v>0.92068273092369479</v>
      </c>
      <c r="E181" s="13">
        <f t="shared" si="32"/>
        <v>142</v>
      </c>
      <c r="F181" s="16">
        <f t="shared" si="33"/>
        <v>0.89873417721518989</v>
      </c>
      <c r="G181" s="13">
        <f t="shared" si="34"/>
        <v>16</v>
      </c>
      <c r="H181" s="16">
        <f t="shared" si="35"/>
        <v>0.10126582278481013</v>
      </c>
      <c r="I181" s="13">
        <f t="shared" si="36"/>
        <v>158</v>
      </c>
      <c r="J181" s="16">
        <f t="shared" si="37"/>
        <v>7.9317269076305222E-2</v>
      </c>
      <c r="K181" s="13">
        <f t="shared" si="38"/>
        <v>1992</v>
      </c>
    </row>
    <row r="182" spans="1:11" s="2" customFormat="1" x14ac:dyDescent="0.2">
      <c r="A182" s="295" t="s">
        <v>96</v>
      </c>
      <c r="B182" s="296"/>
      <c r="C182" s="13">
        <f t="shared" si="30"/>
        <v>1316</v>
      </c>
      <c r="D182" s="14">
        <f t="shared" si="31"/>
        <v>0.82044887780548625</v>
      </c>
      <c r="E182" s="13">
        <f t="shared" si="32"/>
        <v>177</v>
      </c>
      <c r="F182" s="16">
        <f t="shared" si="33"/>
        <v>0.61458333333333337</v>
      </c>
      <c r="G182" s="13">
        <f t="shared" si="34"/>
        <v>111</v>
      </c>
      <c r="H182" s="16">
        <f t="shared" si="35"/>
        <v>0.38541666666666669</v>
      </c>
      <c r="I182" s="13">
        <f t="shared" si="36"/>
        <v>288</v>
      </c>
      <c r="J182" s="16">
        <f t="shared" si="37"/>
        <v>0.17955112219451372</v>
      </c>
      <c r="K182" s="13">
        <f t="shared" si="38"/>
        <v>1604</v>
      </c>
    </row>
    <row r="183" spans="1:11" s="2" customFormat="1" x14ac:dyDescent="0.2">
      <c r="A183" s="295" t="s">
        <v>97</v>
      </c>
      <c r="B183" s="296"/>
      <c r="C183" s="13">
        <f t="shared" si="30"/>
        <v>712</v>
      </c>
      <c r="D183" s="14">
        <f t="shared" si="31"/>
        <v>0.65501379944802207</v>
      </c>
      <c r="E183" s="13">
        <f t="shared" si="32"/>
        <v>196</v>
      </c>
      <c r="F183" s="16">
        <f t="shared" si="33"/>
        <v>0.52266666666666661</v>
      </c>
      <c r="G183" s="13">
        <f t="shared" si="34"/>
        <v>179</v>
      </c>
      <c r="H183" s="16">
        <f t="shared" si="35"/>
        <v>0.47733333333333333</v>
      </c>
      <c r="I183" s="13">
        <f t="shared" si="36"/>
        <v>375</v>
      </c>
      <c r="J183" s="16">
        <f t="shared" si="37"/>
        <v>0.34498620055197793</v>
      </c>
      <c r="K183" s="13">
        <f t="shared" si="38"/>
        <v>1087</v>
      </c>
    </row>
    <row r="184" spans="1:11" s="2" customFormat="1" x14ac:dyDescent="0.2">
      <c r="A184" s="295" t="s">
        <v>98</v>
      </c>
      <c r="B184" s="296"/>
      <c r="C184" s="13">
        <f t="shared" si="30"/>
        <v>903</v>
      </c>
      <c r="D184" s="14">
        <f t="shared" si="31"/>
        <v>0.74137931034482762</v>
      </c>
      <c r="E184" s="13">
        <f t="shared" si="32"/>
        <v>220</v>
      </c>
      <c r="F184" s="16">
        <f t="shared" si="33"/>
        <v>0.69841269841269837</v>
      </c>
      <c r="G184" s="13">
        <f t="shared" si="34"/>
        <v>95</v>
      </c>
      <c r="H184" s="16">
        <f t="shared" si="35"/>
        <v>0.30158730158730157</v>
      </c>
      <c r="I184" s="13">
        <f t="shared" si="36"/>
        <v>315</v>
      </c>
      <c r="J184" s="16">
        <f t="shared" si="37"/>
        <v>0.25862068965517243</v>
      </c>
      <c r="K184" s="13">
        <f t="shared" si="38"/>
        <v>1218</v>
      </c>
    </row>
    <row r="185" spans="1:11" s="2" customFormat="1" x14ac:dyDescent="0.2">
      <c r="A185" s="295" t="s">
        <v>10</v>
      </c>
      <c r="B185" s="296"/>
      <c r="C185" s="13">
        <f t="shared" si="30"/>
        <v>1403</v>
      </c>
      <c r="D185" s="14">
        <v>0.71</v>
      </c>
      <c r="E185" s="13">
        <f t="shared" si="32"/>
        <v>224</v>
      </c>
      <c r="F185" s="16">
        <f t="shared" si="33"/>
        <v>0.66076696165191739</v>
      </c>
      <c r="G185" s="13">
        <f t="shared" si="34"/>
        <v>115</v>
      </c>
      <c r="H185" s="16">
        <f t="shared" si="35"/>
        <v>0.33923303834808261</v>
      </c>
      <c r="I185" s="13">
        <f t="shared" si="36"/>
        <v>339</v>
      </c>
      <c r="J185" s="16">
        <f t="shared" si="37"/>
        <v>0.19460390355912743</v>
      </c>
      <c r="K185" s="13">
        <f t="shared" si="38"/>
        <v>1742</v>
      </c>
    </row>
    <row r="186" spans="1:11" s="2" customFormat="1" x14ac:dyDescent="0.2">
      <c r="A186" s="318" t="s">
        <v>11</v>
      </c>
      <c r="B186" s="319"/>
      <c r="C186" s="13">
        <f t="shared" si="30"/>
        <v>1204</v>
      </c>
      <c r="D186" s="14">
        <v>0.36</v>
      </c>
      <c r="E186" s="13">
        <f t="shared" si="32"/>
        <v>350</v>
      </c>
      <c r="F186" s="16">
        <v>0.45</v>
      </c>
      <c r="G186" s="13">
        <f t="shared" si="34"/>
        <v>230</v>
      </c>
      <c r="H186" s="16">
        <f t="shared" si="35"/>
        <v>0.39655172413793105</v>
      </c>
      <c r="I186" s="13">
        <f t="shared" si="36"/>
        <v>580</v>
      </c>
      <c r="J186" s="16">
        <f t="shared" si="37"/>
        <v>0.32511210762331838</v>
      </c>
      <c r="K186" s="13">
        <f t="shared" si="38"/>
        <v>1784</v>
      </c>
    </row>
    <row r="187" spans="1:11" s="2" customFormat="1" x14ac:dyDescent="0.2">
      <c r="A187" s="295" t="s">
        <v>12</v>
      </c>
      <c r="B187" s="296"/>
      <c r="C187" s="13">
        <f t="shared" si="30"/>
        <v>1696</v>
      </c>
      <c r="D187" s="14">
        <f t="shared" ref="D187:D188" si="39">C187/K187</f>
        <v>0.67328304882890033</v>
      </c>
      <c r="E187" s="13">
        <f t="shared" si="32"/>
        <v>446</v>
      </c>
      <c r="F187" s="16">
        <f t="shared" ref="F187:F188" si="40">E187/I187</f>
        <v>0.54191980558930741</v>
      </c>
      <c r="G187" s="13">
        <f t="shared" si="34"/>
        <v>377</v>
      </c>
      <c r="H187" s="16">
        <f t="shared" si="35"/>
        <v>0.45808019441069259</v>
      </c>
      <c r="I187" s="13">
        <f t="shared" si="36"/>
        <v>823</v>
      </c>
      <c r="J187" s="16">
        <f t="shared" si="37"/>
        <v>0.32671695117109967</v>
      </c>
      <c r="K187" s="13">
        <f t="shared" si="38"/>
        <v>2519</v>
      </c>
    </row>
    <row r="188" spans="1:11" s="2" customFormat="1" x14ac:dyDescent="0.2">
      <c r="A188" s="339" t="s">
        <v>50</v>
      </c>
      <c r="B188" s="339"/>
      <c r="C188" s="24">
        <f>SUM(C180:C187)</f>
        <v>10437</v>
      </c>
      <c r="D188" s="17">
        <f t="shared" si="39"/>
        <v>0.76271558023969599</v>
      </c>
      <c r="E188" s="24">
        <f>SUM(E180:E187)</f>
        <v>2052</v>
      </c>
      <c r="F188" s="17">
        <f t="shared" si="40"/>
        <v>0.63196797043424702</v>
      </c>
      <c r="G188" s="24">
        <f>SUM(G180:G187)</f>
        <v>1195</v>
      </c>
      <c r="H188" s="17">
        <f t="shared" si="35"/>
        <v>0.36803202956575298</v>
      </c>
      <c r="I188" s="24">
        <f>SUM(I180:I187)</f>
        <v>3247</v>
      </c>
      <c r="J188" s="17">
        <f t="shared" si="37"/>
        <v>0.23728441976030401</v>
      </c>
      <c r="K188" s="24">
        <f>SUM(K180:K187)</f>
        <v>13684</v>
      </c>
    </row>
    <row r="189" spans="1:11" x14ac:dyDescent="0.2">
      <c r="A189" s="284"/>
      <c r="B189" s="284"/>
      <c r="C189" s="26"/>
      <c r="D189" s="285"/>
      <c r="E189" s="26"/>
      <c r="F189" s="285"/>
      <c r="G189" s="26"/>
      <c r="H189" s="285"/>
      <c r="I189" s="26"/>
      <c r="J189" s="285"/>
      <c r="K189" s="26"/>
    </row>
    <row r="190" spans="1:11" s="2" customFormat="1" x14ac:dyDescent="0.2">
      <c r="A190" s="6" t="s">
        <v>2877</v>
      </c>
      <c r="B190" s="6" t="s">
        <v>2874</v>
      </c>
    </row>
    <row r="191" spans="1:11" s="2" customFormat="1" x14ac:dyDescent="0.2">
      <c r="A191" s="308" t="s">
        <v>69</v>
      </c>
      <c r="B191" s="308"/>
      <c r="C191" s="309" t="s">
        <v>110</v>
      </c>
      <c r="D191" s="309"/>
      <c r="E191" s="310" t="s">
        <v>111</v>
      </c>
      <c r="F191" s="310"/>
      <c r="G191" s="310" t="s">
        <v>112</v>
      </c>
      <c r="H191" s="310"/>
      <c r="I191" s="309" t="s">
        <v>73</v>
      </c>
      <c r="J191" s="309"/>
      <c r="K191" s="305" t="s">
        <v>50</v>
      </c>
    </row>
    <row r="192" spans="1:11" s="2" customFormat="1" x14ac:dyDescent="0.2">
      <c r="A192" s="308"/>
      <c r="B192" s="308"/>
      <c r="C192" s="36" t="s">
        <v>113</v>
      </c>
      <c r="D192" s="36" t="s">
        <v>114</v>
      </c>
      <c r="E192" s="36" t="s">
        <v>113</v>
      </c>
      <c r="F192" s="36" t="s">
        <v>114</v>
      </c>
      <c r="G192" s="36" t="s">
        <v>113</v>
      </c>
      <c r="H192" s="36" t="s">
        <v>114</v>
      </c>
      <c r="I192" s="36" t="s">
        <v>113</v>
      </c>
      <c r="J192" s="36" t="s">
        <v>114</v>
      </c>
      <c r="K192" s="306"/>
    </row>
    <row r="193" spans="1:17" x14ac:dyDescent="0.2">
      <c r="A193" s="295" t="s">
        <v>2875</v>
      </c>
      <c r="B193" s="296"/>
      <c r="C193" s="13">
        <f>GETPIVOTDATA("Phase Proposed Units",'8e'!$A$3,"Status","01 Completion","Tenure","Open Market")</f>
        <v>1769</v>
      </c>
      <c r="D193" s="16">
        <f>C193/K193</f>
        <v>0.65060684075027586</v>
      </c>
      <c r="E193" s="13">
        <f>GETPIVOTDATA("Phase Proposed Units",'8e'!$A$3,"Status","01 Completion","Tenure","Intermediate")</f>
        <v>454</v>
      </c>
      <c r="F193" s="16">
        <f>E193/I193</f>
        <v>0.47789473684210526</v>
      </c>
      <c r="G193" s="13">
        <f>GETPIVOTDATA("Phase Proposed Units",'8e'!$A$3,"Status","01 Completion","Tenure","Social/Affordable Rent")</f>
        <v>496</v>
      </c>
      <c r="H193" s="16">
        <f>G193/I193</f>
        <v>0.52210526315789474</v>
      </c>
      <c r="I193" s="13">
        <f>GETPIVOTDATA("Phase Proposed Units",'8e'!$A$3,"Status","01 Completion","Tenure","Intermediate")+GETPIVOTDATA("Phase Proposed Units",'8e'!$A$3,"Status","01 Completion","Tenure","Social/Affordable Rent")</f>
        <v>950</v>
      </c>
      <c r="J193" s="16">
        <f>I193/K193</f>
        <v>0.34939315924972414</v>
      </c>
      <c r="K193" s="13">
        <f>C193+E193+G193</f>
        <v>2719</v>
      </c>
    </row>
    <row r="194" spans="1:17" s="2" customFormat="1" x14ac:dyDescent="0.2"/>
    <row r="195" spans="1:17" x14ac:dyDescent="0.2">
      <c r="A195" s="73" t="s">
        <v>122</v>
      </c>
      <c r="B195" s="2"/>
      <c r="C195" s="2"/>
      <c r="D195" s="2"/>
      <c r="E195" s="2"/>
      <c r="F195" s="2"/>
      <c r="G195" s="2"/>
      <c r="H195" s="2"/>
      <c r="I195" s="2"/>
      <c r="J195" s="2"/>
      <c r="K195" s="2"/>
      <c r="L195" s="2"/>
      <c r="M195" s="2"/>
      <c r="N195" s="2"/>
      <c r="O195" s="2"/>
      <c r="P195" s="2"/>
      <c r="Q195" s="2"/>
    </row>
    <row r="196" spans="1:17" x14ac:dyDescent="0.2">
      <c r="A196" s="6" t="s">
        <v>123</v>
      </c>
      <c r="B196" s="6" t="s">
        <v>124</v>
      </c>
      <c r="C196" s="3"/>
      <c r="D196" s="3"/>
      <c r="E196" s="3"/>
      <c r="F196" s="3"/>
      <c r="G196" s="3"/>
      <c r="H196" s="2"/>
      <c r="I196" s="2"/>
      <c r="J196" s="2"/>
      <c r="K196" s="2"/>
      <c r="L196" s="2"/>
      <c r="M196" s="2"/>
      <c r="N196" s="2"/>
      <c r="O196" s="2"/>
      <c r="P196" s="2"/>
      <c r="Q196" s="2"/>
    </row>
    <row r="197" spans="1:17" x14ac:dyDescent="0.2">
      <c r="A197" s="337" t="s">
        <v>80</v>
      </c>
      <c r="B197" s="335" t="s">
        <v>54</v>
      </c>
      <c r="C197" s="336"/>
      <c r="D197" s="335" t="s">
        <v>55</v>
      </c>
      <c r="E197" s="336"/>
      <c r="F197" s="335" t="s">
        <v>50</v>
      </c>
      <c r="G197" s="336"/>
      <c r="H197" s="2"/>
      <c r="I197" s="2"/>
      <c r="J197" s="2"/>
      <c r="K197" s="2"/>
      <c r="L197" s="2"/>
      <c r="M197" s="2"/>
      <c r="N197" s="2"/>
      <c r="O197" s="2"/>
      <c r="P197" s="2"/>
      <c r="Q197" s="2"/>
    </row>
    <row r="198" spans="1:17" x14ac:dyDescent="0.2">
      <c r="A198" s="338"/>
      <c r="B198" s="36" t="s">
        <v>75</v>
      </c>
      <c r="C198" s="36" t="s">
        <v>57</v>
      </c>
      <c r="D198" s="36" t="s">
        <v>75</v>
      </c>
      <c r="E198" s="36" t="s">
        <v>57</v>
      </c>
      <c r="F198" s="36" t="s">
        <v>75</v>
      </c>
      <c r="G198" s="36" t="s">
        <v>57</v>
      </c>
      <c r="H198" s="2"/>
      <c r="I198" s="2"/>
      <c r="J198" s="2"/>
      <c r="K198" s="2"/>
      <c r="L198" s="2"/>
      <c r="M198" s="2"/>
      <c r="N198" s="2"/>
      <c r="O198" s="2"/>
      <c r="P198" s="2"/>
      <c r="Q198" s="2"/>
    </row>
    <row r="199" spans="1:17" x14ac:dyDescent="0.2">
      <c r="A199" s="54" t="s">
        <v>84</v>
      </c>
      <c r="B199" s="13">
        <v>1121</v>
      </c>
      <c r="C199" s="13">
        <v>1080</v>
      </c>
      <c r="D199" s="13">
        <v>401</v>
      </c>
      <c r="E199" s="13">
        <v>198</v>
      </c>
      <c r="F199" s="13">
        <v>1522</v>
      </c>
      <c r="G199" s="13">
        <v>1278</v>
      </c>
      <c r="H199" s="2"/>
      <c r="I199" s="2"/>
      <c r="J199" s="2"/>
      <c r="K199" s="2"/>
      <c r="L199" s="2"/>
      <c r="M199" s="2"/>
      <c r="N199" s="2"/>
      <c r="O199" s="2"/>
      <c r="P199" s="2"/>
      <c r="Q199" s="2"/>
    </row>
    <row r="200" spans="1:17" x14ac:dyDescent="0.2">
      <c r="A200" s="54" t="s">
        <v>85</v>
      </c>
      <c r="B200" s="13">
        <v>885</v>
      </c>
      <c r="C200" s="13">
        <v>840</v>
      </c>
      <c r="D200" s="13">
        <v>385</v>
      </c>
      <c r="E200" s="13">
        <v>191</v>
      </c>
      <c r="F200" s="13">
        <v>1270</v>
      </c>
      <c r="G200" s="13">
        <v>1031</v>
      </c>
      <c r="H200" s="2"/>
      <c r="I200" s="2"/>
      <c r="J200" s="2"/>
      <c r="K200" s="2"/>
      <c r="L200" s="2"/>
      <c r="M200" s="2"/>
      <c r="N200" s="2"/>
      <c r="O200" s="2"/>
      <c r="P200" s="2"/>
      <c r="Q200" s="2"/>
    </row>
    <row r="201" spans="1:17" x14ac:dyDescent="0.2">
      <c r="A201" s="54" t="s">
        <v>86</v>
      </c>
      <c r="B201" s="13">
        <v>1425</v>
      </c>
      <c r="C201" s="13">
        <v>1385</v>
      </c>
      <c r="D201" s="13">
        <v>430</v>
      </c>
      <c r="E201" s="13">
        <v>175</v>
      </c>
      <c r="F201" s="13">
        <v>1855</v>
      </c>
      <c r="G201" s="13">
        <v>1560</v>
      </c>
      <c r="H201" s="2"/>
      <c r="I201" s="2"/>
      <c r="J201" s="2"/>
      <c r="K201" s="2"/>
      <c r="L201" s="2"/>
      <c r="M201" s="2"/>
      <c r="N201" s="2"/>
      <c r="O201" s="2"/>
      <c r="P201" s="2"/>
      <c r="Q201" s="2"/>
    </row>
    <row r="202" spans="1:17" x14ac:dyDescent="0.2">
      <c r="A202" s="54" t="s">
        <v>87</v>
      </c>
      <c r="B202" s="13">
        <v>1466</v>
      </c>
      <c r="C202" s="13">
        <v>1413</v>
      </c>
      <c r="D202" s="13">
        <v>279</v>
      </c>
      <c r="E202" s="13">
        <v>126</v>
      </c>
      <c r="F202" s="13">
        <v>1745</v>
      </c>
      <c r="G202" s="13">
        <v>1539</v>
      </c>
      <c r="H202" s="2"/>
      <c r="I202" s="2"/>
      <c r="J202" s="2"/>
      <c r="K202" s="2"/>
      <c r="L202" s="2"/>
      <c r="M202" s="2"/>
      <c r="N202" s="2"/>
      <c r="O202" s="2"/>
      <c r="P202" s="2"/>
      <c r="Q202" s="2"/>
    </row>
    <row r="203" spans="1:17" x14ac:dyDescent="0.2">
      <c r="A203" s="54" t="s">
        <v>88</v>
      </c>
      <c r="B203" s="13">
        <v>375</v>
      </c>
      <c r="C203" s="13">
        <v>340</v>
      </c>
      <c r="D203" s="13">
        <v>295</v>
      </c>
      <c r="E203" s="13">
        <v>141</v>
      </c>
      <c r="F203" s="13">
        <v>670</v>
      </c>
      <c r="G203" s="13">
        <v>481</v>
      </c>
      <c r="H203" s="2"/>
      <c r="I203" s="2"/>
      <c r="J203" s="2"/>
      <c r="K203" s="2"/>
      <c r="L203" s="2"/>
      <c r="M203" s="2"/>
      <c r="N203" s="2"/>
      <c r="O203" s="2"/>
      <c r="P203" s="2"/>
      <c r="Q203" s="2"/>
    </row>
    <row r="204" spans="1:17" x14ac:dyDescent="0.2">
      <c r="A204" s="54" t="s">
        <v>89</v>
      </c>
      <c r="B204" s="13">
        <v>889</v>
      </c>
      <c r="C204" s="13">
        <v>851</v>
      </c>
      <c r="D204" s="13">
        <v>250</v>
      </c>
      <c r="E204" s="13">
        <v>128</v>
      </c>
      <c r="F204" s="13">
        <v>1139</v>
      </c>
      <c r="G204" s="13">
        <v>979</v>
      </c>
      <c r="H204" s="2"/>
      <c r="I204" s="2"/>
      <c r="J204" s="2"/>
      <c r="K204" s="2"/>
      <c r="L204" s="2"/>
      <c r="M204" s="2"/>
      <c r="N204" s="2"/>
      <c r="O204" s="2"/>
      <c r="P204" s="2"/>
      <c r="Q204" s="2"/>
    </row>
    <row r="205" spans="1:17" x14ac:dyDescent="0.2">
      <c r="A205" s="54" t="s">
        <v>90</v>
      </c>
      <c r="B205" s="13">
        <v>854</v>
      </c>
      <c r="C205" s="13">
        <v>721</v>
      </c>
      <c r="D205" s="13">
        <v>242</v>
      </c>
      <c r="E205" s="13">
        <v>121</v>
      </c>
      <c r="F205" s="13">
        <v>1096</v>
      </c>
      <c r="G205" s="13">
        <v>842</v>
      </c>
      <c r="H205" s="2"/>
      <c r="I205" s="2"/>
      <c r="J205" s="2"/>
      <c r="K205" s="2"/>
      <c r="L205" s="2"/>
      <c r="M205" s="2"/>
      <c r="N205" s="2"/>
      <c r="O205" s="2"/>
      <c r="P205" s="2"/>
      <c r="Q205" s="2"/>
    </row>
    <row r="206" spans="1:17" x14ac:dyDescent="0.2">
      <c r="A206" s="54" t="s">
        <v>91</v>
      </c>
      <c r="B206" s="13">
        <v>1098</v>
      </c>
      <c r="C206" s="13">
        <v>1079</v>
      </c>
      <c r="D206" s="13">
        <v>226</v>
      </c>
      <c r="E206" s="13">
        <v>118</v>
      </c>
      <c r="F206" s="13">
        <v>1324</v>
      </c>
      <c r="G206" s="13">
        <v>1197</v>
      </c>
      <c r="H206" s="2"/>
      <c r="I206" s="2"/>
      <c r="J206" s="2"/>
      <c r="K206" s="2"/>
      <c r="L206" s="2"/>
      <c r="M206" s="2"/>
      <c r="N206" s="2"/>
      <c r="O206" s="2"/>
      <c r="P206" s="2"/>
      <c r="Q206" s="2"/>
    </row>
    <row r="207" spans="1:17" x14ac:dyDescent="0.2">
      <c r="A207" s="54" t="s">
        <v>92</v>
      </c>
      <c r="B207" s="13">
        <v>868</v>
      </c>
      <c r="C207" s="13">
        <v>812</v>
      </c>
      <c r="D207" s="13">
        <v>217</v>
      </c>
      <c r="E207" s="13">
        <v>124</v>
      </c>
      <c r="F207" s="13">
        <v>1085</v>
      </c>
      <c r="G207" s="13">
        <v>936</v>
      </c>
      <c r="H207" s="2"/>
      <c r="I207" s="2"/>
      <c r="J207" s="2"/>
      <c r="K207" s="2"/>
      <c r="L207" s="2"/>
      <c r="M207" s="2"/>
      <c r="N207" s="2"/>
      <c r="O207" s="2"/>
      <c r="P207" s="2"/>
      <c r="Q207" s="2"/>
    </row>
    <row r="208" spans="1:17" x14ac:dyDescent="0.2">
      <c r="A208" s="54" t="s">
        <v>93</v>
      </c>
      <c r="B208" s="13">
        <v>2753</v>
      </c>
      <c r="C208" s="13">
        <v>2639</v>
      </c>
      <c r="D208" s="13">
        <v>224</v>
      </c>
      <c r="E208" s="13">
        <v>137</v>
      </c>
      <c r="F208" s="13">
        <v>2977</v>
      </c>
      <c r="G208" s="13">
        <v>2776</v>
      </c>
      <c r="H208" s="2"/>
      <c r="I208" s="2"/>
      <c r="J208" s="2"/>
      <c r="K208" s="2"/>
      <c r="L208" s="2"/>
      <c r="M208" s="2"/>
      <c r="N208" s="2"/>
      <c r="O208" s="2"/>
      <c r="P208" s="2"/>
      <c r="Q208" s="2"/>
    </row>
    <row r="209" spans="1:17" x14ac:dyDescent="0.2">
      <c r="A209" s="54" t="s">
        <v>94</v>
      </c>
      <c r="B209" s="13">
        <v>2047</v>
      </c>
      <c r="C209" s="13">
        <v>1968</v>
      </c>
      <c r="D209" s="13">
        <v>478</v>
      </c>
      <c r="E209" s="13">
        <v>377</v>
      </c>
      <c r="F209" s="13">
        <v>2525</v>
      </c>
      <c r="G209" s="13">
        <v>2345</v>
      </c>
      <c r="H209" s="2"/>
      <c r="I209" s="2"/>
      <c r="J209" s="2"/>
      <c r="K209" s="2"/>
      <c r="L209" s="2"/>
      <c r="M209" s="2"/>
      <c r="N209" s="2"/>
      <c r="O209" s="2"/>
      <c r="P209" s="2"/>
      <c r="Q209" s="2"/>
    </row>
    <row r="210" spans="1:17" x14ac:dyDescent="0.2">
      <c r="A210" s="54" t="s">
        <v>95</v>
      </c>
      <c r="B210" s="13">
        <v>1943</v>
      </c>
      <c r="C210" s="13">
        <v>1912</v>
      </c>
      <c r="D210" s="13">
        <v>356</v>
      </c>
      <c r="E210" s="13">
        <v>124</v>
      </c>
      <c r="F210" s="13">
        <v>2299</v>
      </c>
      <c r="G210" s="13">
        <v>2036</v>
      </c>
      <c r="H210" s="2"/>
      <c r="I210" s="2"/>
      <c r="J210" s="2"/>
      <c r="K210" s="2"/>
      <c r="L210" s="2"/>
      <c r="M210" s="2"/>
      <c r="N210" s="2"/>
      <c r="O210" s="2"/>
      <c r="P210" s="2"/>
      <c r="Q210" s="2"/>
    </row>
    <row r="211" spans="1:17" x14ac:dyDescent="0.2">
      <c r="A211" s="54" t="s">
        <v>96</v>
      </c>
      <c r="B211" s="13">
        <v>1672</v>
      </c>
      <c r="C211" s="13">
        <v>1623</v>
      </c>
      <c r="D211" s="13">
        <v>342</v>
      </c>
      <c r="E211" s="13">
        <v>228</v>
      </c>
      <c r="F211" s="13">
        <v>2014</v>
      </c>
      <c r="G211" s="13">
        <v>1851</v>
      </c>
      <c r="H211" s="2"/>
      <c r="I211" s="2"/>
      <c r="J211" s="2"/>
      <c r="K211" s="2"/>
      <c r="L211" s="2"/>
      <c r="M211" s="2"/>
      <c r="N211" s="2"/>
      <c r="O211" s="2"/>
      <c r="P211" s="2"/>
      <c r="Q211" s="2"/>
    </row>
    <row r="212" spans="1:17" x14ac:dyDescent="0.2">
      <c r="A212" s="54" t="s">
        <v>97</v>
      </c>
      <c r="B212" s="13">
        <v>1096</v>
      </c>
      <c r="C212" s="13">
        <v>1071</v>
      </c>
      <c r="D212" s="13">
        <v>325</v>
      </c>
      <c r="E212" s="13">
        <v>259</v>
      </c>
      <c r="F212" s="13">
        <v>1421</v>
      </c>
      <c r="G212" s="13">
        <v>1330</v>
      </c>
      <c r="H212" s="2"/>
      <c r="I212" s="2"/>
      <c r="J212" s="2"/>
      <c r="K212" s="2"/>
      <c r="L212" s="2"/>
      <c r="M212" s="2"/>
      <c r="N212" s="2"/>
      <c r="O212" s="2"/>
      <c r="P212" s="2"/>
      <c r="Q212" s="2"/>
    </row>
    <row r="213" spans="1:17" x14ac:dyDescent="0.2">
      <c r="A213" s="54" t="s">
        <v>98</v>
      </c>
      <c r="B213" s="13">
        <v>1230</v>
      </c>
      <c r="C213" s="13">
        <v>1214</v>
      </c>
      <c r="D213" s="13">
        <v>245</v>
      </c>
      <c r="E213" s="13">
        <v>185</v>
      </c>
      <c r="F213" s="13">
        <v>1475</v>
      </c>
      <c r="G213" s="13">
        <v>1399</v>
      </c>
      <c r="H213" s="2"/>
      <c r="I213" s="2"/>
      <c r="J213" s="2"/>
      <c r="K213" s="2"/>
      <c r="L213" s="2"/>
      <c r="M213" s="2"/>
      <c r="N213" s="2"/>
      <c r="O213" s="2"/>
      <c r="P213" s="2"/>
      <c r="Q213" s="2"/>
    </row>
    <row r="214" spans="1:17" x14ac:dyDescent="0.2">
      <c r="A214" s="54" t="s">
        <v>10</v>
      </c>
      <c r="B214" s="13">
        <v>1527</v>
      </c>
      <c r="C214" s="13">
        <v>1509</v>
      </c>
      <c r="D214" s="13">
        <v>531</v>
      </c>
      <c r="E214" s="13">
        <v>450</v>
      </c>
      <c r="F214" s="13">
        <v>2058</v>
      </c>
      <c r="G214" s="13">
        <v>1959</v>
      </c>
      <c r="H214" s="2"/>
      <c r="I214" s="2"/>
      <c r="J214" s="2"/>
      <c r="K214" s="2"/>
      <c r="L214" s="2"/>
      <c r="M214" s="2"/>
      <c r="N214" s="2"/>
      <c r="O214" s="2"/>
      <c r="P214" s="2"/>
      <c r="Q214" s="2"/>
    </row>
    <row r="215" spans="1:17" x14ac:dyDescent="0.2">
      <c r="A215" s="54" t="s">
        <v>11</v>
      </c>
      <c r="B215" s="13">
        <v>1933</v>
      </c>
      <c r="C215" s="13">
        <v>1761</v>
      </c>
      <c r="D215" s="13">
        <v>363</v>
      </c>
      <c r="E215" s="13">
        <v>238</v>
      </c>
      <c r="F215" s="13">
        <v>2296</v>
      </c>
      <c r="G215" s="13">
        <v>1999</v>
      </c>
      <c r="H215" s="2"/>
      <c r="I215" s="2"/>
      <c r="J215" s="2"/>
      <c r="K215" s="2"/>
      <c r="L215" s="2"/>
      <c r="M215" s="2"/>
      <c r="N215" s="2"/>
      <c r="O215" s="2"/>
      <c r="P215" s="2"/>
      <c r="Q215" s="2"/>
    </row>
    <row r="216" spans="1:17" x14ac:dyDescent="0.2">
      <c r="A216" s="56" t="s">
        <v>12</v>
      </c>
      <c r="B216" s="15">
        <f>GETPIVOTDATA("Sum of Phase Proposed Units",'2 NB'!$A$4,"Status","01 Completion")</f>
        <v>2729</v>
      </c>
      <c r="C216" s="15">
        <f>GETPIVOTDATA("Sum of Phase Net Units",'2 NB'!$A$4,"Status","01 Completion")</f>
        <v>2559</v>
      </c>
      <c r="D216" s="15">
        <f>GETPIVOTDATA("Sum of Phase Proposed Units",'2 CON'!$A$4,"Status","01 Completion")</f>
        <v>256</v>
      </c>
      <c r="E216" s="15">
        <f>GETPIVOTDATA("Sum of Phase Net Units",'2 CON'!$A$4,"Status","01 Completion")</f>
        <v>103</v>
      </c>
      <c r="F216" s="15">
        <f>B216+D216</f>
        <v>2985</v>
      </c>
      <c r="G216" s="15">
        <f>C216+E216</f>
        <v>2662</v>
      </c>
      <c r="H216" s="2"/>
      <c r="I216" s="2"/>
      <c r="J216" s="2"/>
      <c r="K216" s="2"/>
      <c r="L216" s="2"/>
      <c r="M216" s="2"/>
      <c r="N216" s="2"/>
      <c r="O216" s="2"/>
      <c r="P216" s="2"/>
      <c r="Q216" s="2"/>
    </row>
    <row r="217" spans="1:17" x14ac:dyDescent="0.2">
      <c r="A217" s="37" t="s">
        <v>50</v>
      </c>
      <c r="B217" s="24">
        <f t="shared" ref="B217:G217" si="41">SUM(B199:B216)</f>
        <v>25911</v>
      </c>
      <c r="C217" s="24">
        <f t="shared" si="41"/>
        <v>24777</v>
      </c>
      <c r="D217" s="24">
        <f t="shared" si="41"/>
        <v>5845</v>
      </c>
      <c r="E217" s="24">
        <f t="shared" si="41"/>
        <v>3423</v>
      </c>
      <c r="F217" s="24">
        <f t="shared" si="41"/>
        <v>31756</v>
      </c>
      <c r="G217" s="24">
        <f t="shared" si="41"/>
        <v>28200</v>
      </c>
      <c r="H217" s="2"/>
      <c r="I217" s="2"/>
      <c r="J217" s="2"/>
      <c r="K217" s="2"/>
      <c r="L217" s="2"/>
      <c r="M217" s="2"/>
      <c r="N217" s="2"/>
      <c r="O217" s="2"/>
      <c r="P217" s="2"/>
      <c r="Q217" s="2"/>
    </row>
    <row r="218" spans="1:17" x14ac:dyDescent="0.2">
      <c r="A218" s="47"/>
      <c r="B218" s="10"/>
      <c r="C218" s="10"/>
      <c r="D218" s="10"/>
      <c r="E218" s="10"/>
      <c r="F218" s="10"/>
      <c r="G218" s="10"/>
      <c r="H218" s="2"/>
      <c r="I218" s="2"/>
      <c r="J218" s="2"/>
      <c r="K218" s="2"/>
      <c r="L218" s="2"/>
      <c r="M218" s="2"/>
      <c r="N218" s="2"/>
      <c r="O218" s="2"/>
      <c r="P218" s="2"/>
      <c r="Q218" s="2"/>
    </row>
    <row r="219" spans="1:17" ht="15.75" x14ac:dyDescent="0.25">
      <c r="A219" s="74" t="s">
        <v>103</v>
      </c>
      <c r="B219" s="3"/>
      <c r="C219" s="3"/>
      <c r="D219" s="3"/>
      <c r="E219" s="3"/>
      <c r="F219" s="3"/>
      <c r="G219" s="3"/>
      <c r="H219" s="2"/>
      <c r="I219" s="2"/>
      <c r="J219" s="2"/>
      <c r="K219" s="2"/>
      <c r="L219" s="3"/>
      <c r="M219" s="3"/>
      <c r="N219" s="3"/>
      <c r="O219" s="3"/>
      <c r="P219" s="2"/>
      <c r="Q219" s="2"/>
    </row>
    <row r="220" spans="1:17" x14ac:dyDescent="0.2">
      <c r="B220" s="2"/>
      <c r="C220" s="2"/>
      <c r="D220" s="2"/>
      <c r="E220" s="2"/>
      <c r="F220" s="2"/>
      <c r="G220" s="2"/>
      <c r="H220" s="2"/>
      <c r="I220" s="2"/>
      <c r="J220" s="2"/>
      <c r="K220" s="2"/>
      <c r="L220" s="3"/>
      <c r="M220" s="3"/>
      <c r="N220" s="3"/>
      <c r="O220" s="3"/>
      <c r="P220" s="2"/>
      <c r="Q220" s="2"/>
    </row>
    <row r="221" spans="1:17" x14ac:dyDescent="0.2">
      <c r="A221" s="6" t="s">
        <v>125</v>
      </c>
      <c r="B221" s="6" t="s">
        <v>126</v>
      </c>
      <c r="C221" s="3"/>
      <c r="D221" s="3"/>
      <c r="E221" s="3"/>
      <c r="F221" s="3"/>
      <c r="G221" s="3"/>
      <c r="H221" s="3"/>
      <c r="I221" s="3"/>
      <c r="J221" s="3"/>
      <c r="K221" s="3"/>
      <c r="L221" s="3"/>
      <c r="M221" s="3"/>
      <c r="N221" s="3"/>
      <c r="O221" s="3"/>
      <c r="P221" s="2"/>
      <c r="Q221" s="2"/>
    </row>
    <row r="222" spans="1:17" x14ac:dyDescent="0.2">
      <c r="A222" s="337" t="s">
        <v>80</v>
      </c>
      <c r="B222" s="309" t="s">
        <v>70</v>
      </c>
      <c r="C222" s="309"/>
      <c r="D222" s="309" t="s">
        <v>48</v>
      </c>
      <c r="E222" s="309"/>
      <c r="F222" s="309" t="s">
        <v>49</v>
      </c>
      <c r="G222" s="309"/>
      <c r="H222" s="309" t="s">
        <v>73</v>
      </c>
      <c r="I222" s="309"/>
      <c r="J222" s="36" t="s">
        <v>50</v>
      </c>
      <c r="K222" s="3"/>
      <c r="L222" s="3"/>
      <c r="M222" s="3"/>
      <c r="N222" s="3"/>
      <c r="O222" s="3"/>
      <c r="P222" s="2"/>
      <c r="Q222" s="2"/>
    </row>
    <row r="223" spans="1:17" x14ac:dyDescent="0.2">
      <c r="A223" s="338"/>
      <c r="B223" s="36" t="s">
        <v>113</v>
      </c>
      <c r="C223" s="36" t="s">
        <v>114</v>
      </c>
      <c r="D223" s="36" t="s">
        <v>113</v>
      </c>
      <c r="E223" s="36" t="s">
        <v>114</v>
      </c>
      <c r="F223" s="36" t="s">
        <v>113</v>
      </c>
      <c r="G223" s="36" t="s">
        <v>114</v>
      </c>
      <c r="H223" s="36" t="s">
        <v>113</v>
      </c>
      <c r="I223" s="36" t="s">
        <v>114</v>
      </c>
      <c r="J223" s="36" t="s">
        <v>113</v>
      </c>
      <c r="K223" s="3"/>
      <c r="L223" s="3"/>
      <c r="M223" s="3"/>
      <c r="N223" s="3"/>
      <c r="O223" s="3"/>
      <c r="P223" s="2"/>
      <c r="Q223" s="2"/>
    </row>
    <row r="224" spans="1:17" x14ac:dyDescent="0.2">
      <c r="A224" s="54" t="s">
        <v>84</v>
      </c>
      <c r="B224" s="13">
        <v>1300</v>
      </c>
      <c r="C224" s="14">
        <v>0.67567567567567566</v>
      </c>
      <c r="D224" s="13">
        <v>548</v>
      </c>
      <c r="E224" s="14">
        <v>0.28482328482328484</v>
      </c>
      <c r="F224" s="13">
        <v>76</v>
      </c>
      <c r="G224" s="14">
        <v>3.9501039501039503E-2</v>
      </c>
      <c r="H224" s="13">
        <v>624</v>
      </c>
      <c r="I224" s="14">
        <v>0.32432432432432434</v>
      </c>
      <c r="J224" s="13">
        <v>1924</v>
      </c>
      <c r="K224" s="3"/>
      <c r="L224" s="3"/>
      <c r="M224" s="3"/>
      <c r="N224" s="3"/>
      <c r="O224" s="3"/>
      <c r="P224" s="2"/>
      <c r="Q224" s="2"/>
    </row>
    <row r="225" spans="1:17" x14ac:dyDescent="0.2">
      <c r="A225" s="54" t="s">
        <v>85</v>
      </c>
      <c r="B225" s="13">
        <v>974</v>
      </c>
      <c r="C225" s="14">
        <v>0.59535452322738391</v>
      </c>
      <c r="D225" s="13">
        <v>609</v>
      </c>
      <c r="E225" s="14">
        <v>0.37224938875305624</v>
      </c>
      <c r="F225" s="13">
        <v>53</v>
      </c>
      <c r="G225" s="14">
        <v>3.2396088019559899E-2</v>
      </c>
      <c r="H225" s="13">
        <v>662</v>
      </c>
      <c r="I225" s="14">
        <v>0.40464547677261614</v>
      </c>
      <c r="J225" s="13">
        <v>1636</v>
      </c>
      <c r="K225" s="3"/>
      <c r="L225" s="3"/>
      <c r="M225" s="3"/>
      <c r="N225" s="3"/>
      <c r="O225" s="3"/>
      <c r="P225" s="2"/>
      <c r="Q225" s="2"/>
    </row>
    <row r="226" spans="1:17" x14ac:dyDescent="0.2">
      <c r="A226" s="54" t="s">
        <v>86</v>
      </c>
      <c r="B226" s="13">
        <v>482</v>
      </c>
      <c r="C226" s="14">
        <v>0.80199667221297832</v>
      </c>
      <c r="D226" s="13">
        <v>116</v>
      </c>
      <c r="E226" s="14">
        <v>0.1930116472545757</v>
      </c>
      <c r="F226" s="13">
        <v>3</v>
      </c>
      <c r="G226" s="14">
        <v>4.9916805324459234E-3</v>
      </c>
      <c r="H226" s="13">
        <v>119</v>
      </c>
      <c r="I226" s="14">
        <v>0.19800332778702162</v>
      </c>
      <c r="J226" s="13">
        <v>601</v>
      </c>
      <c r="K226" s="3"/>
      <c r="L226" s="3"/>
      <c r="M226" s="3"/>
      <c r="N226" s="3"/>
      <c r="O226" s="3"/>
      <c r="P226" s="2"/>
      <c r="Q226" s="2"/>
    </row>
    <row r="227" spans="1:17" x14ac:dyDescent="0.2">
      <c r="A227" s="54" t="s">
        <v>87</v>
      </c>
      <c r="B227" s="13">
        <v>358</v>
      </c>
      <c r="C227" s="14">
        <v>0.77489177489177485</v>
      </c>
      <c r="D227" s="13">
        <v>63</v>
      </c>
      <c r="E227" s="14">
        <v>0.13636363636363635</v>
      </c>
      <c r="F227" s="13">
        <v>41</v>
      </c>
      <c r="G227" s="14">
        <v>8.8744588744588751E-2</v>
      </c>
      <c r="H227" s="13">
        <v>104</v>
      </c>
      <c r="I227" s="14">
        <v>0.22510822510822501</v>
      </c>
      <c r="J227" s="13">
        <v>462</v>
      </c>
      <c r="K227" s="3"/>
      <c r="L227" s="3"/>
      <c r="M227" s="3"/>
      <c r="N227" s="3"/>
      <c r="O227" s="3"/>
      <c r="P227" s="2"/>
      <c r="Q227" s="2"/>
    </row>
    <row r="228" spans="1:17" x14ac:dyDescent="0.2">
      <c r="A228" s="54" t="s">
        <v>88</v>
      </c>
      <c r="B228" s="13">
        <v>1127</v>
      </c>
      <c r="C228" s="14">
        <v>0.73708306082406805</v>
      </c>
      <c r="D228" s="13">
        <v>215</v>
      </c>
      <c r="E228" s="14">
        <v>0.1406147809025507</v>
      </c>
      <c r="F228" s="13">
        <v>187</v>
      </c>
      <c r="G228" s="14">
        <v>0.1223021582733813</v>
      </c>
      <c r="H228" s="13">
        <v>402</v>
      </c>
      <c r="I228" s="14">
        <v>0.26291693917593201</v>
      </c>
      <c r="J228" s="13">
        <v>1529</v>
      </c>
      <c r="K228" s="2"/>
      <c r="L228" s="2"/>
      <c r="M228" s="2"/>
      <c r="N228" s="2"/>
      <c r="O228" s="2"/>
      <c r="P228" s="2"/>
      <c r="Q228" s="2"/>
    </row>
    <row r="229" spans="1:17" x14ac:dyDescent="0.2">
      <c r="A229" s="54" t="s">
        <v>89</v>
      </c>
      <c r="B229" s="13">
        <v>1728</v>
      </c>
      <c r="C229" s="14">
        <v>0.8</v>
      </c>
      <c r="D229" s="13">
        <v>302</v>
      </c>
      <c r="E229" s="14">
        <v>0.13981481481481481</v>
      </c>
      <c r="F229" s="13">
        <v>130</v>
      </c>
      <c r="G229" s="14">
        <v>6.0185185185185182E-2</v>
      </c>
      <c r="H229" s="13">
        <v>432</v>
      </c>
      <c r="I229" s="14">
        <v>0.2</v>
      </c>
      <c r="J229" s="13">
        <v>2160</v>
      </c>
      <c r="K229" s="2"/>
      <c r="L229" s="2"/>
      <c r="M229" s="2"/>
      <c r="N229" s="2"/>
      <c r="O229" s="2"/>
      <c r="P229" s="2"/>
      <c r="Q229" s="2"/>
    </row>
    <row r="230" spans="1:17" x14ac:dyDescent="0.2">
      <c r="A230" s="54" t="s">
        <v>90</v>
      </c>
      <c r="B230" s="13">
        <v>1075</v>
      </c>
      <c r="C230" s="14">
        <v>0.89807852965747703</v>
      </c>
      <c r="D230" s="13">
        <v>149</v>
      </c>
      <c r="E230" s="14">
        <v>0.12447786131996658</v>
      </c>
      <c r="F230" s="13">
        <v>-27</v>
      </c>
      <c r="G230" s="14">
        <v>-2.2556390977443608E-2</v>
      </c>
      <c r="H230" s="13">
        <v>122</v>
      </c>
      <c r="I230" s="14">
        <v>0.10192147034252297</v>
      </c>
      <c r="J230" s="13">
        <v>1197</v>
      </c>
      <c r="K230" s="3"/>
      <c r="L230" s="3"/>
      <c r="M230" s="3"/>
      <c r="N230" s="3"/>
      <c r="O230" s="3"/>
      <c r="P230" s="2"/>
      <c r="Q230" s="2"/>
    </row>
    <row r="231" spans="1:17" x14ac:dyDescent="0.2">
      <c r="A231" s="54" t="s">
        <v>91</v>
      </c>
      <c r="B231" s="68">
        <v>2053</v>
      </c>
      <c r="C231" s="80">
        <v>0.85827759197324416</v>
      </c>
      <c r="D231" s="68">
        <v>223</v>
      </c>
      <c r="E231" s="80">
        <v>9.3227424749163873E-2</v>
      </c>
      <c r="F231" s="68">
        <v>116</v>
      </c>
      <c r="G231" s="80">
        <v>4.8494983277591976E-2</v>
      </c>
      <c r="H231" s="68">
        <v>339</v>
      </c>
      <c r="I231" s="80">
        <v>0.14172240802675584</v>
      </c>
      <c r="J231" s="68">
        <v>2392</v>
      </c>
      <c r="K231" s="2"/>
      <c r="L231" s="2"/>
      <c r="M231" s="2"/>
      <c r="N231" s="2"/>
      <c r="O231" s="2"/>
      <c r="P231" s="2"/>
      <c r="Q231" s="2"/>
    </row>
    <row r="232" spans="1:17" x14ac:dyDescent="0.2">
      <c r="A232" s="54" t="s">
        <v>92</v>
      </c>
      <c r="B232" s="13">
        <v>914</v>
      </c>
      <c r="C232" s="14">
        <v>0.80599647266313934</v>
      </c>
      <c r="D232" s="13">
        <v>196</v>
      </c>
      <c r="E232" s="14">
        <v>0.1728395061728395</v>
      </c>
      <c r="F232" s="13">
        <v>24</v>
      </c>
      <c r="G232" s="14">
        <v>2.1164021164021163E-2</v>
      </c>
      <c r="H232" s="13">
        <v>220</v>
      </c>
      <c r="I232" s="14">
        <v>0.19400352733686066</v>
      </c>
      <c r="J232" s="13">
        <v>1134</v>
      </c>
      <c r="K232" s="2"/>
      <c r="L232" s="2"/>
      <c r="M232" s="2"/>
      <c r="N232" s="2"/>
      <c r="O232" s="2"/>
      <c r="P232" s="2"/>
      <c r="Q232" s="2"/>
    </row>
    <row r="233" spans="1:17" x14ac:dyDescent="0.2">
      <c r="A233" s="54" t="s">
        <v>93</v>
      </c>
      <c r="B233" s="13">
        <v>1686</v>
      </c>
      <c r="C233" s="14">
        <v>0.87675507020280807</v>
      </c>
      <c r="D233" s="13">
        <v>146</v>
      </c>
      <c r="E233" s="14">
        <v>7.5923036921476852E-2</v>
      </c>
      <c r="F233" s="13">
        <v>91</v>
      </c>
      <c r="G233" s="14">
        <v>4.7321892875715026E-2</v>
      </c>
      <c r="H233" s="13">
        <v>237</v>
      </c>
      <c r="I233" s="14">
        <v>0.12324492979719189</v>
      </c>
      <c r="J233" s="13">
        <v>1923</v>
      </c>
      <c r="K233" s="3"/>
      <c r="L233" s="3"/>
      <c r="M233" s="3"/>
      <c r="N233" s="3"/>
      <c r="O233" s="3"/>
      <c r="P233" s="2"/>
      <c r="Q233" s="2"/>
    </row>
    <row r="234" spans="1:17" x14ac:dyDescent="0.2">
      <c r="A234" s="54" t="s">
        <v>94</v>
      </c>
      <c r="B234" s="13">
        <v>2776</v>
      </c>
      <c r="C234" s="14">
        <v>0.85652576365319344</v>
      </c>
      <c r="D234" s="13">
        <v>233</v>
      </c>
      <c r="E234" s="14">
        <v>7.1891391545819194E-2</v>
      </c>
      <c r="F234" s="13">
        <v>232</v>
      </c>
      <c r="G234" s="14">
        <v>7.1582844800987352E-2</v>
      </c>
      <c r="H234" s="13">
        <v>465</v>
      </c>
      <c r="I234" s="14">
        <v>0.14347423634680653</v>
      </c>
      <c r="J234" s="13">
        <v>3241</v>
      </c>
      <c r="K234" s="3"/>
      <c r="L234" s="3"/>
      <c r="M234" s="3"/>
      <c r="N234" s="3"/>
      <c r="O234" s="3"/>
      <c r="P234" s="2"/>
      <c r="Q234" s="2"/>
    </row>
    <row r="235" spans="1:17" x14ac:dyDescent="0.2">
      <c r="A235" s="54" t="s">
        <v>95</v>
      </c>
      <c r="B235" s="13">
        <v>1669</v>
      </c>
      <c r="C235" s="14">
        <f t="shared" ref="C235:C242" si="42">B235/J235</f>
        <v>0.79476190476190478</v>
      </c>
      <c r="D235" s="13">
        <v>269</v>
      </c>
      <c r="E235" s="14">
        <f t="shared" ref="E235:E242" si="43">D235/J235</f>
        <v>0.1280952380952381</v>
      </c>
      <c r="F235" s="13">
        <v>162</v>
      </c>
      <c r="G235" s="14">
        <f t="shared" ref="G235:G242" si="44">F235/J235</f>
        <v>7.7142857142857138E-2</v>
      </c>
      <c r="H235" s="13">
        <f>F235+D235</f>
        <v>431</v>
      </c>
      <c r="I235" s="14">
        <f t="shared" ref="I235:I242" si="45">H235/J235</f>
        <v>0.20523809523809525</v>
      </c>
      <c r="J235" s="13">
        <f>H235+B235</f>
        <v>2100</v>
      </c>
      <c r="K235" s="3"/>
      <c r="L235" s="3"/>
      <c r="M235" s="3"/>
      <c r="N235" s="3"/>
      <c r="O235" s="3"/>
      <c r="P235" s="2"/>
      <c r="Q235" s="2"/>
    </row>
    <row r="236" spans="1:17" x14ac:dyDescent="0.2">
      <c r="A236" s="54" t="s">
        <v>96</v>
      </c>
      <c r="B236" s="13">
        <v>1276</v>
      </c>
      <c r="C236" s="14">
        <f t="shared" si="42"/>
        <v>0.68675995694294945</v>
      </c>
      <c r="D236" s="13">
        <v>509</v>
      </c>
      <c r="E236" s="14">
        <f t="shared" si="43"/>
        <v>0.27395048439181918</v>
      </c>
      <c r="F236" s="13">
        <v>73</v>
      </c>
      <c r="G236" s="14">
        <f t="shared" si="44"/>
        <v>3.9289558665231435E-2</v>
      </c>
      <c r="H236" s="13">
        <f>F236+D236</f>
        <v>582</v>
      </c>
      <c r="I236" s="14">
        <f t="shared" si="45"/>
        <v>0.31324004305705061</v>
      </c>
      <c r="J236" s="13">
        <f>H236+B236</f>
        <v>1858</v>
      </c>
      <c r="K236" s="3"/>
      <c r="L236" s="3"/>
      <c r="M236" s="3"/>
      <c r="N236" s="3"/>
      <c r="O236" s="3"/>
      <c r="P236" s="2"/>
      <c r="Q236" s="2"/>
    </row>
    <row r="237" spans="1:17" x14ac:dyDescent="0.2">
      <c r="A237" s="54" t="s">
        <v>97</v>
      </c>
      <c r="B237" s="13">
        <v>2884</v>
      </c>
      <c r="C237" s="14">
        <f t="shared" si="42"/>
        <v>0.74176954732510292</v>
      </c>
      <c r="D237" s="13">
        <v>528</v>
      </c>
      <c r="E237" s="14">
        <f t="shared" si="43"/>
        <v>0.13580246913580246</v>
      </c>
      <c r="F237" s="13">
        <v>476</v>
      </c>
      <c r="G237" s="14">
        <f t="shared" si="44"/>
        <v>0.12242798353909465</v>
      </c>
      <c r="H237" s="13">
        <v>1004</v>
      </c>
      <c r="I237" s="14">
        <f t="shared" si="45"/>
        <v>0.25823045267489714</v>
      </c>
      <c r="J237" s="13">
        <f>H237+B237</f>
        <v>3888</v>
      </c>
      <c r="K237" s="3"/>
      <c r="L237" s="3"/>
      <c r="M237" s="3"/>
      <c r="N237" s="3"/>
      <c r="O237" s="3"/>
      <c r="P237" s="2"/>
      <c r="Q237" s="2"/>
    </row>
    <row r="238" spans="1:17" x14ac:dyDescent="0.2">
      <c r="A238" s="54" t="s">
        <v>98</v>
      </c>
      <c r="B238" s="13">
        <v>1152</v>
      </c>
      <c r="C238" s="14">
        <f t="shared" si="42"/>
        <v>0.92828364222401294</v>
      </c>
      <c r="D238" s="13">
        <v>43</v>
      </c>
      <c r="E238" s="14">
        <f t="shared" si="43"/>
        <v>3.4649476228847703E-2</v>
      </c>
      <c r="F238" s="13">
        <v>46</v>
      </c>
      <c r="G238" s="14">
        <f t="shared" si="44"/>
        <v>3.7066881547139406E-2</v>
      </c>
      <c r="H238" s="13">
        <v>89</v>
      </c>
      <c r="I238" s="14">
        <f t="shared" si="45"/>
        <v>7.1716357775987102E-2</v>
      </c>
      <c r="J238" s="13">
        <v>1241</v>
      </c>
      <c r="K238" s="3"/>
      <c r="L238" s="3"/>
      <c r="M238" s="3"/>
      <c r="N238" s="3"/>
      <c r="O238" s="3"/>
      <c r="P238" s="2"/>
      <c r="Q238" s="2"/>
    </row>
    <row r="239" spans="1:17" x14ac:dyDescent="0.2">
      <c r="A239" s="54" t="s">
        <v>10</v>
      </c>
      <c r="B239" s="13">
        <v>842</v>
      </c>
      <c r="C239" s="14">
        <v>0.63</v>
      </c>
      <c r="D239" s="13">
        <v>291</v>
      </c>
      <c r="E239" s="14">
        <v>0.22</v>
      </c>
      <c r="F239" s="13">
        <v>199</v>
      </c>
      <c r="G239" s="14">
        <v>0.15</v>
      </c>
      <c r="H239" s="13">
        <v>490</v>
      </c>
      <c r="I239" s="14">
        <v>0.37</v>
      </c>
      <c r="J239" s="13">
        <v>1332</v>
      </c>
      <c r="K239" s="3"/>
      <c r="L239" s="3"/>
      <c r="M239" s="3"/>
      <c r="N239" s="3"/>
      <c r="O239" s="3"/>
      <c r="P239" s="2"/>
      <c r="Q239" s="2"/>
    </row>
    <row r="240" spans="1:17" x14ac:dyDescent="0.2">
      <c r="A240" s="54" t="s">
        <v>11</v>
      </c>
      <c r="B240" s="13">
        <v>1547</v>
      </c>
      <c r="C240" s="14">
        <v>0.8</v>
      </c>
      <c r="D240" s="13">
        <v>154</v>
      </c>
      <c r="E240" s="14">
        <v>0.08</v>
      </c>
      <c r="F240" s="13">
        <v>226</v>
      </c>
      <c r="G240" s="14">
        <v>0.12</v>
      </c>
      <c r="H240" s="13">
        <v>380</v>
      </c>
      <c r="I240" s="14">
        <v>0.2</v>
      </c>
      <c r="J240" s="13">
        <v>1927</v>
      </c>
      <c r="K240" s="3"/>
      <c r="L240" s="3"/>
      <c r="M240" s="3"/>
      <c r="N240" s="3"/>
      <c r="O240" s="3"/>
      <c r="P240" s="2"/>
      <c r="Q240" s="2"/>
    </row>
    <row r="241" spans="1:17" x14ac:dyDescent="0.2">
      <c r="A241" s="56" t="s">
        <v>12</v>
      </c>
      <c r="B241" s="15">
        <f>GETPIVOTDATA("Phase Net Units",'7 Star'!$A$3,"Tenure","Open Market")</f>
        <v>612</v>
      </c>
      <c r="C241" s="16">
        <f t="shared" si="42"/>
        <v>0.76691729323308266</v>
      </c>
      <c r="D241" s="15">
        <f>GETPIVOTDATA("Phase Net Units",'7 Star'!$A$3,"Tenure","Intermediate")</f>
        <v>53</v>
      </c>
      <c r="E241" s="16">
        <f t="shared" si="43"/>
        <v>6.6416040100250623E-2</v>
      </c>
      <c r="F241" s="15">
        <f>GETPIVOTDATA("Phase Net Units",'7 Star'!$A$3,"Tenure","Social/Affordable Rent")</f>
        <v>133</v>
      </c>
      <c r="G241" s="16">
        <f t="shared" si="44"/>
        <v>0.16666666666666666</v>
      </c>
      <c r="H241" s="15">
        <f>F241+D241</f>
        <v>186</v>
      </c>
      <c r="I241" s="16">
        <f t="shared" si="45"/>
        <v>0.23308270676691728</v>
      </c>
      <c r="J241" s="15">
        <f>H241+B241</f>
        <v>798</v>
      </c>
      <c r="K241" s="3"/>
      <c r="L241" s="3"/>
      <c r="M241" s="3"/>
      <c r="N241" s="3"/>
      <c r="O241" s="3"/>
      <c r="P241" s="2"/>
      <c r="Q241" s="2"/>
    </row>
    <row r="242" spans="1:17" x14ac:dyDescent="0.2">
      <c r="A242" s="37" t="s">
        <v>50</v>
      </c>
      <c r="B242" s="24">
        <f>SUM(B224:B241)</f>
        <v>24455</v>
      </c>
      <c r="C242" s="17">
        <f t="shared" si="42"/>
        <v>0.78023801167724849</v>
      </c>
      <c r="D242" s="24">
        <f>SUM(D224:D241)</f>
        <v>4647</v>
      </c>
      <c r="E242" s="17">
        <f t="shared" si="43"/>
        <v>0.14826276999649043</v>
      </c>
      <c r="F242" s="24">
        <f>SUM(F224:F241)</f>
        <v>2241</v>
      </c>
      <c r="G242" s="17">
        <f t="shared" si="44"/>
        <v>7.1499218326261049E-2</v>
      </c>
      <c r="H242" s="24">
        <f>SUM(H224:H241)</f>
        <v>6888</v>
      </c>
      <c r="I242" s="17">
        <f t="shared" si="45"/>
        <v>0.21976198832275148</v>
      </c>
      <c r="J242" s="24">
        <f>SUM(J224:J241)</f>
        <v>31343</v>
      </c>
      <c r="K242" s="3"/>
      <c r="L242" s="3"/>
      <c r="M242" s="3"/>
      <c r="N242" s="3"/>
      <c r="O242" s="3"/>
      <c r="P242" s="2"/>
      <c r="Q242" s="2"/>
    </row>
    <row r="243" spans="1:17" x14ac:dyDescent="0.2">
      <c r="A243" s="2"/>
      <c r="B243" s="2"/>
      <c r="C243" s="2"/>
      <c r="D243" s="2"/>
      <c r="E243" s="2"/>
      <c r="F243" s="2"/>
      <c r="G243" s="2"/>
      <c r="H243" s="2"/>
      <c r="I243" s="2"/>
      <c r="J243" s="2"/>
      <c r="K243" s="2"/>
      <c r="L243" s="3"/>
      <c r="M243" s="3"/>
      <c r="N243" s="3"/>
      <c r="O243" s="3"/>
      <c r="P243" s="2"/>
      <c r="Q243" s="2"/>
    </row>
    <row r="244" spans="1:17" ht="15.75" x14ac:dyDescent="0.25">
      <c r="A244" s="74" t="s">
        <v>127</v>
      </c>
      <c r="B244" s="3"/>
      <c r="C244" s="3"/>
      <c r="D244" s="3"/>
      <c r="E244" s="3"/>
      <c r="F244" s="3"/>
      <c r="G244" s="3"/>
      <c r="H244" s="3"/>
      <c r="I244" s="3"/>
      <c r="J244" s="3"/>
      <c r="K244" s="3"/>
      <c r="L244" s="3"/>
      <c r="M244" s="3"/>
      <c r="N244" s="3"/>
      <c r="O244" s="3"/>
      <c r="P244" s="2"/>
      <c r="Q244" s="2"/>
    </row>
    <row r="245" spans="1:17" x14ac:dyDescent="0.2">
      <c r="A245" s="2"/>
      <c r="B245" s="2"/>
      <c r="C245" s="2"/>
      <c r="D245" s="2"/>
      <c r="E245" s="2"/>
      <c r="F245" s="2"/>
      <c r="G245" s="2"/>
      <c r="H245" s="2"/>
      <c r="I245" s="2"/>
      <c r="J245" s="2"/>
      <c r="K245" s="2"/>
      <c r="L245" s="3"/>
      <c r="M245" s="3"/>
      <c r="N245" s="3"/>
      <c r="O245" s="3"/>
      <c r="P245" s="2"/>
      <c r="Q245" s="2"/>
    </row>
    <row r="246" spans="1:17" x14ac:dyDescent="0.2">
      <c r="A246" s="6" t="s">
        <v>128</v>
      </c>
      <c r="B246" s="6" t="s">
        <v>129</v>
      </c>
      <c r="C246" s="3"/>
      <c r="D246" s="3"/>
      <c r="E246" s="3"/>
      <c r="F246" s="3"/>
      <c r="G246" s="3"/>
      <c r="H246" s="3"/>
      <c r="I246" s="3"/>
      <c r="J246" s="3"/>
      <c r="K246" s="3"/>
      <c r="L246" s="3"/>
      <c r="M246" s="3"/>
      <c r="N246" s="3"/>
      <c r="O246" s="3"/>
      <c r="P246" s="2"/>
      <c r="Q246" s="2"/>
    </row>
    <row r="247" spans="1:17" x14ac:dyDescent="0.2">
      <c r="A247" s="337" t="s">
        <v>80</v>
      </c>
      <c r="B247" s="309" t="s">
        <v>130</v>
      </c>
      <c r="C247" s="309"/>
      <c r="D247" s="309" t="s">
        <v>131</v>
      </c>
      <c r="E247" s="309"/>
      <c r="F247" s="309" t="s">
        <v>50</v>
      </c>
      <c r="G247" s="309"/>
      <c r="H247" s="3"/>
      <c r="I247" s="3"/>
      <c r="J247" s="3"/>
      <c r="K247" s="3"/>
      <c r="L247" s="3"/>
      <c r="M247" s="3"/>
      <c r="N247" s="3"/>
      <c r="O247" s="3"/>
      <c r="P247" s="2"/>
      <c r="Q247" s="2"/>
    </row>
    <row r="248" spans="1:17" x14ac:dyDescent="0.2">
      <c r="A248" s="338"/>
      <c r="B248" s="36" t="s">
        <v>75</v>
      </c>
      <c r="C248" s="36" t="s">
        <v>57</v>
      </c>
      <c r="D248" s="36" t="s">
        <v>75</v>
      </c>
      <c r="E248" s="36" t="s">
        <v>57</v>
      </c>
      <c r="F248" s="36" t="s">
        <v>75</v>
      </c>
      <c r="G248" s="36" t="s">
        <v>57</v>
      </c>
      <c r="H248" s="3"/>
      <c r="I248" s="3"/>
      <c r="J248" s="3"/>
      <c r="K248" s="3"/>
      <c r="L248" s="3"/>
      <c r="M248" s="3"/>
      <c r="N248" s="3"/>
      <c r="O248" s="3"/>
      <c r="P248" s="2"/>
      <c r="Q248" s="2"/>
    </row>
    <row r="249" spans="1:17" x14ac:dyDescent="0.2">
      <c r="A249" s="54" t="s">
        <v>84</v>
      </c>
      <c r="B249" s="13">
        <v>2464</v>
      </c>
      <c r="C249" s="13">
        <v>2423</v>
      </c>
      <c r="D249" s="13">
        <v>497</v>
      </c>
      <c r="E249" s="13">
        <v>229</v>
      </c>
      <c r="F249" s="13">
        <v>2961</v>
      </c>
      <c r="G249" s="13">
        <v>2652</v>
      </c>
      <c r="H249" s="3"/>
      <c r="I249" s="3"/>
      <c r="J249" s="3"/>
      <c r="K249" s="3"/>
      <c r="L249" s="3"/>
      <c r="M249" s="3"/>
      <c r="N249" s="3"/>
      <c r="O249" s="3"/>
      <c r="P249" s="2"/>
      <c r="Q249" s="2"/>
    </row>
    <row r="250" spans="1:17" x14ac:dyDescent="0.2">
      <c r="A250" s="54" t="s">
        <v>85</v>
      </c>
      <c r="B250" s="13">
        <v>1920</v>
      </c>
      <c r="C250" s="13">
        <v>1798</v>
      </c>
      <c r="D250" s="13">
        <v>520</v>
      </c>
      <c r="E250" s="13">
        <v>239</v>
      </c>
      <c r="F250" s="13">
        <v>2440</v>
      </c>
      <c r="G250" s="13">
        <v>2037</v>
      </c>
      <c r="H250" s="3"/>
      <c r="I250" s="3"/>
      <c r="J250" s="3"/>
      <c r="K250" s="3"/>
      <c r="L250" s="3"/>
      <c r="M250" s="3"/>
      <c r="N250" s="3"/>
      <c r="O250" s="3"/>
      <c r="P250" s="2"/>
      <c r="Q250" s="2"/>
    </row>
    <row r="251" spans="1:17" x14ac:dyDescent="0.2">
      <c r="A251" s="54" t="s">
        <v>86</v>
      </c>
      <c r="B251" s="13">
        <v>1547</v>
      </c>
      <c r="C251" s="13">
        <v>1486</v>
      </c>
      <c r="D251" s="13">
        <v>423</v>
      </c>
      <c r="E251" s="13">
        <v>219</v>
      </c>
      <c r="F251" s="13">
        <v>1970</v>
      </c>
      <c r="G251" s="13">
        <v>1705</v>
      </c>
      <c r="H251" s="3"/>
      <c r="I251" s="3"/>
      <c r="J251" s="3"/>
      <c r="K251" s="3"/>
      <c r="L251" s="3"/>
      <c r="M251" s="3"/>
      <c r="N251" s="3"/>
      <c r="O251" s="3"/>
      <c r="P251" s="2"/>
      <c r="Q251" s="2"/>
    </row>
    <row r="252" spans="1:17" x14ac:dyDescent="0.2">
      <c r="A252" s="54" t="s">
        <v>87</v>
      </c>
      <c r="B252" s="13">
        <v>1162</v>
      </c>
      <c r="C252" s="13">
        <v>1131</v>
      </c>
      <c r="D252" s="13">
        <v>298</v>
      </c>
      <c r="E252" s="13">
        <v>139</v>
      </c>
      <c r="F252" s="13">
        <v>1460</v>
      </c>
      <c r="G252" s="13">
        <v>1270</v>
      </c>
      <c r="H252" s="3"/>
      <c r="I252" s="3"/>
      <c r="J252" s="3"/>
      <c r="K252" s="3"/>
      <c r="L252" s="3"/>
      <c r="M252" s="3"/>
      <c r="N252" s="3"/>
      <c r="O252" s="3"/>
      <c r="P252" s="2"/>
      <c r="Q252" s="2"/>
    </row>
    <row r="253" spans="1:17" x14ac:dyDescent="0.2">
      <c r="A253" s="54" t="s">
        <v>88</v>
      </c>
      <c r="B253" s="13">
        <v>2807</v>
      </c>
      <c r="C253" s="13">
        <v>2756</v>
      </c>
      <c r="D253" s="13">
        <v>346</v>
      </c>
      <c r="E253" s="13">
        <v>178</v>
      </c>
      <c r="F253" s="13">
        <v>3153</v>
      </c>
      <c r="G253" s="13">
        <v>2934</v>
      </c>
      <c r="H253" s="3"/>
      <c r="I253" s="3"/>
      <c r="J253" s="3"/>
      <c r="K253" s="3"/>
      <c r="L253" s="3"/>
      <c r="M253" s="3"/>
      <c r="N253" s="3"/>
      <c r="O253" s="3"/>
      <c r="P253" s="2"/>
      <c r="Q253" s="2"/>
    </row>
    <row r="254" spans="1:17" x14ac:dyDescent="0.2">
      <c r="A254" s="54" t="s">
        <v>89</v>
      </c>
      <c r="B254" s="13">
        <v>10369</v>
      </c>
      <c r="C254" s="13">
        <v>10302</v>
      </c>
      <c r="D254" s="13">
        <v>352</v>
      </c>
      <c r="E254" s="13">
        <v>196</v>
      </c>
      <c r="F254" s="13">
        <v>10721</v>
      </c>
      <c r="G254" s="13">
        <v>10498</v>
      </c>
      <c r="H254" s="3"/>
      <c r="I254" s="3"/>
      <c r="J254" s="3"/>
      <c r="K254" s="3"/>
      <c r="L254" s="3"/>
      <c r="M254" s="3"/>
      <c r="N254" s="3"/>
      <c r="O254" s="3"/>
      <c r="P254" s="2"/>
      <c r="Q254" s="2"/>
    </row>
    <row r="255" spans="1:17" x14ac:dyDescent="0.2">
      <c r="A255" s="67" t="s">
        <v>90</v>
      </c>
      <c r="B255" s="13">
        <v>5033</v>
      </c>
      <c r="C255" s="13">
        <v>4632</v>
      </c>
      <c r="D255" s="13">
        <v>275</v>
      </c>
      <c r="E255" s="13">
        <v>143</v>
      </c>
      <c r="F255" s="13">
        <v>5308</v>
      </c>
      <c r="G255" s="13">
        <v>4775</v>
      </c>
      <c r="H255" s="3"/>
      <c r="I255" s="3"/>
      <c r="J255" s="3"/>
      <c r="K255" s="3"/>
      <c r="L255" s="3"/>
      <c r="M255" s="3"/>
      <c r="N255" s="3"/>
      <c r="O255" s="3"/>
      <c r="P255" s="2"/>
      <c r="Q255" s="2"/>
    </row>
    <row r="256" spans="1:17" x14ac:dyDescent="0.2">
      <c r="A256" s="67" t="s">
        <v>91</v>
      </c>
      <c r="B256" s="13">
        <v>1690</v>
      </c>
      <c r="C256" s="13">
        <v>1590</v>
      </c>
      <c r="D256" s="13">
        <v>576</v>
      </c>
      <c r="E256" s="13">
        <v>416</v>
      </c>
      <c r="F256" s="13">
        <v>2266</v>
      </c>
      <c r="G256" s="13">
        <v>2006</v>
      </c>
      <c r="H256" s="3"/>
      <c r="I256" s="3"/>
      <c r="J256" s="3"/>
      <c r="K256" s="3"/>
      <c r="L256" s="3"/>
      <c r="M256" s="3"/>
      <c r="N256" s="3"/>
      <c r="O256" s="3"/>
      <c r="P256" s="2"/>
      <c r="Q256" s="2"/>
    </row>
    <row r="257" spans="1:22" x14ac:dyDescent="0.2">
      <c r="A257" s="54" t="s">
        <v>92</v>
      </c>
      <c r="B257" s="13">
        <v>4598</v>
      </c>
      <c r="C257" s="13">
        <v>4512</v>
      </c>
      <c r="D257" s="13">
        <v>493</v>
      </c>
      <c r="E257" s="13">
        <v>460</v>
      </c>
      <c r="F257" s="13">
        <v>5091</v>
      </c>
      <c r="G257" s="13">
        <v>4972</v>
      </c>
      <c r="H257" s="3"/>
      <c r="I257" s="3"/>
      <c r="J257" s="3"/>
      <c r="K257" s="3"/>
      <c r="L257" s="3"/>
      <c r="M257" s="3"/>
      <c r="N257" s="3"/>
      <c r="O257" s="3"/>
      <c r="P257" s="2"/>
      <c r="Q257" s="2"/>
    </row>
    <row r="258" spans="1:22" x14ac:dyDescent="0.2">
      <c r="A258" s="54" t="s">
        <v>93</v>
      </c>
      <c r="B258" s="13">
        <v>3250</v>
      </c>
      <c r="C258" s="13">
        <v>3107</v>
      </c>
      <c r="D258" s="13">
        <v>308</v>
      </c>
      <c r="E258" s="13">
        <v>232</v>
      </c>
      <c r="F258" s="13">
        <v>3558</v>
      </c>
      <c r="G258" s="13">
        <v>3339</v>
      </c>
      <c r="H258" s="3"/>
      <c r="I258" s="3"/>
      <c r="J258" s="3"/>
      <c r="K258" s="3"/>
      <c r="L258" s="3"/>
      <c r="M258" s="3"/>
      <c r="N258" s="3"/>
      <c r="O258" s="3"/>
      <c r="P258" s="2"/>
      <c r="Q258" s="2"/>
    </row>
    <row r="259" spans="1:22" x14ac:dyDescent="0.2">
      <c r="A259" s="54" t="s">
        <v>94</v>
      </c>
      <c r="B259" s="13">
        <v>3068</v>
      </c>
      <c r="C259" s="13">
        <v>2785</v>
      </c>
      <c r="D259" s="13">
        <v>414</v>
      </c>
      <c r="E259" s="13">
        <v>343</v>
      </c>
      <c r="F259" s="13">
        <v>3482</v>
      </c>
      <c r="G259" s="13">
        <v>3128</v>
      </c>
      <c r="H259" s="3"/>
      <c r="I259" s="3"/>
      <c r="J259" s="3"/>
      <c r="K259" s="3"/>
      <c r="L259" s="3"/>
      <c r="M259" s="3"/>
      <c r="N259" s="3"/>
      <c r="O259" s="3"/>
      <c r="P259" s="2"/>
      <c r="Q259" s="2"/>
    </row>
    <row r="260" spans="1:22" x14ac:dyDescent="0.2">
      <c r="A260" s="54" t="s">
        <v>95</v>
      </c>
      <c r="B260" s="13">
        <v>5485</v>
      </c>
      <c r="C260" s="13">
        <v>5457</v>
      </c>
      <c r="D260" s="13">
        <v>804</v>
      </c>
      <c r="E260" s="13">
        <v>626</v>
      </c>
      <c r="F260" s="13">
        <v>6289</v>
      </c>
      <c r="G260" s="13">
        <v>6083</v>
      </c>
      <c r="H260" s="3"/>
      <c r="I260" s="3"/>
      <c r="J260" s="3"/>
      <c r="K260" s="3"/>
      <c r="L260" s="3"/>
      <c r="M260" s="3"/>
      <c r="N260" s="3"/>
      <c r="O260" s="3"/>
      <c r="P260" s="2"/>
      <c r="Q260" s="2"/>
    </row>
    <row r="261" spans="1:22" x14ac:dyDescent="0.2">
      <c r="A261" s="54" t="s">
        <v>96</v>
      </c>
      <c r="B261" s="13">
        <v>5966</v>
      </c>
      <c r="C261" s="13">
        <v>5625</v>
      </c>
      <c r="D261" s="13">
        <v>506</v>
      </c>
      <c r="E261" s="13">
        <v>366</v>
      </c>
      <c r="F261" s="13">
        <v>6472</v>
      </c>
      <c r="G261" s="13">
        <v>5991</v>
      </c>
      <c r="H261" s="3"/>
      <c r="I261" s="3"/>
      <c r="J261" s="3"/>
      <c r="K261" s="3"/>
      <c r="L261" s="3"/>
      <c r="M261" s="3"/>
      <c r="N261" s="3"/>
      <c r="O261" s="3"/>
      <c r="P261" s="2"/>
      <c r="Q261" s="2"/>
    </row>
    <row r="262" spans="1:22" x14ac:dyDescent="0.2">
      <c r="A262" s="54" t="s">
        <v>97</v>
      </c>
      <c r="B262" s="13">
        <v>2909</v>
      </c>
      <c r="C262" s="13">
        <v>2888</v>
      </c>
      <c r="D262" s="13">
        <v>388</v>
      </c>
      <c r="E262" s="13">
        <v>242</v>
      </c>
      <c r="F262" s="13">
        <v>3297</v>
      </c>
      <c r="G262" s="13">
        <v>3130</v>
      </c>
      <c r="H262" s="3"/>
      <c r="I262" s="3"/>
      <c r="J262" s="3"/>
      <c r="K262" s="3"/>
      <c r="L262" s="3"/>
      <c r="M262" s="3"/>
      <c r="N262" s="3"/>
      <c r="O262" s="3"/>
      <c r="P262" s="2"/>
      <c r="Q262" s="2"/>
    </row>
    <row r="263" spans="1:22" x14ac:dyDescent="0.2">
      <c r="A263" s="54" t="s">
        <v>98</v>
      </c>
      <c r="B263" s="13">
        <v>5131</v>
      </c>
      <c r="C263" s="13">
        <v>4334</v>
      </c>
      <c r="D263" s="13">
        <v>696</v>
      </c>
      <c r="E263" s="13">
        <v>575</v>
      </c>
      <c r="F263" s="13">
        <v>5827</v>
      </c>
      <c r="G263" s="13">
        <v>4909</v>
      </c>
      <c r="H263" s="3"/>
      <c r="I263" s="3"/>
      <c r="J263" s="3"/>
      <c r="K263" s="3"/>
      <c r="L263" s="3"/>
      <c r="M263" s="3"/>
      <c r="N263" s="3"/>
      <c r="O263" s="3"/>
      <c r="P263" s="2"/>
      <c r="Q263" s="2"/>
    </row>
    <row r="264" spans="1:22" x14ac:dyDescent="0.2">
      <c r="A264" s="54" t="s">
        <v>10</v>
      </c>
      <c r="B264" s="13">
        <v>4834</v>
      </c>
      <c r="C264" s="13">
        <v>4515</v>
      </c>
      <c r="D264" s="13">
        <v>786</v>
      </c>
      <c r="E264" s="13">
        <v>607</v>
      </c>
      <c r="F264" s="13">
        <v>5620</v>
      </c>
      <c r="G264" s="13">
        <v>5122</v>
      </c>
      <c r="H264" s="3"/>
      <c r="I264" s="3"/>
      <c r="J264" s="3"/>
      <c r="K264" s="3"/>
      <c r="L264" s="3"/>
      <c r="M264" s="3"/>
      <c r="N264" s="3"/>
      <c r="O264" s="3"/>
      <c r="P264" s="2"/>
      <c r="Q264" s="2"/>
    </row>
    <row r="265" spans="1:22" x14ac:dyDescent="0.2">
      <c r="A265" s="54" t="s">
        <v>11</v>
      </c>
      <c r="B265" s="13">
        <v>2359</v>
      </c>
      <c r="C265" s="13">
        <v>2343</v>
      </c>
      <c r="D265" s="13">
        <v>362</v>
      </c>
      <c r="E265" s="13">
        <v>227</v>
      </c>
      <c r="F265" s="13">
        <v>2721</v>
      </c>
      <c r="G265" s="13">
        <v>2570</v>
      </c>
      <c r="H265" s="3"/>
      <c r="I265" s="3"/>
      <c r="J265" s="3"/>
      <c r="K265" s="3"/>
      <c r="L265" s="3"/>
      <c r="M265" s="3"/>
      <c r="N265" s="3"/>
      <c r="O265" s="3"/>
      <c r="P265" s="2"/>
      <c r="Q265" s="2"/>
    </row>
    <row r="266" spans="1:22" x14ac:dyDescent="0.2">
      <c r="A266" s="56" t="s">
        <v>12</v>
      </c>
      <c r="B266" s="15">
        <f>GETPIVOTDATA("Sum of Phase Proposed Units",'6 PeNB'!$A$5)</f>
        <v>1605</v>
      </c>
      <c r="C266" s="15">
        <f>GETPIVOTDATA("Sum of Phase Net Units",'6 PeNB'!$A$5)</f>
        <v>1520</v>
      </c>
      <c r="D266" s="15">
        <f>GETPIVOTDATA("Sum of Phase Proposed Units",'6 PeCO'!$A$5)</f>
        <v>248</v>
      </c>
      <c r="E266" s="15">
        <f>GETPIVOTDATA("Sum of Phase Net Units",'6 PeCO'!$A$5)</f>
        <v>135</v>
      </c>
      <c r="F266" s="15">
        <f>B266+D266</f>
        <v>1853</v>
      </c>
      <c r="G266" s="15">
        <f>C266+E266</f>
        <v>1655</v>
      </c>
      <c r="H266" s="3"/>
      <c r="I266" s="3"/>
      <c r="J266" s="3"/>
      <c r="K266" s="3"/>
      <c r="L266" s="3"/>
      <c r="M266" s="3"/>
      <c r="N266" s="3"/>
      <c r="O266" s="3"/>
      <c r="P266" s="2"/>
      <c r="Q266" s="2"/>
    </row>
    <row r="267" spans="1:22" x14ac:dyDescent="0.2">
      <c r="A267" s="37" t="s">
        <v>50</v>
      </c>
      <c r="B267" s="24">
        <f t="shared" ref="B267:G267" si="46">SUM(B249:B266)</f>
        <v>66197</v>
      </c>
      <c r="C267" s="24">
        <f t="shared" si="46"/>
        <v>63204</v>
      </c>
      <c r="D267" s="24">
        <f t="shared" si="46"/>
        <v>8292</v>
      </c>
      <c r="E267" s="24">
        <f t="shared" si="46"/>
        <v>5572</v>
      </c>
      <c r="F267" s="24">
        <f t="shared" si="46"/>
        <v>74489</v>
      </c>
      <c r="G267" s="24">
        <f t="shared" si="46"/>
        <v>68776</v>
      </c>
      <c r="H267" s="3"/>
      <c r="I267" s="3"/>
      <c r="J267" s="3"/>
      <c r="K267" s="3"/>
      <c r="L267" s="3"/>
      <c r="M267" s="3"/>
      <c r="N267" s="3"/>
      <c r="O267" s="3"/>
      <c r="P267" s="2"/>
      <c r="Q267" s="2"/>
    </row>
    <row r="268" spans="1:22" x14ac:dyDescent="0.2">
      <c r="A268" s="3"/>
      <c r="B268" s="3"/>
      <c r="C268" s="3"/>
      <c r="D268" s="3"/>
      <c r="E268" s="3"/>
      <c r="F268" s="3"/>
      <c r="G268" s="3"/>
      <c r="H268" s="3"/>
      <c r="I268" s="3"/>
      <c r="J268" s="3"/>
      <c r="K268" s="3"/>
      <c r="L268" s="3"/>
      <c r="M268" s="3"/>
      <c r="N268" s="3"/>
      <c r="O268" s="3"/>
      <c r="P268" s="2"/>
      <c r="Q268" s="2"/>
    </row>
    <row r="269" spans="1:22" x14ac:dyDescent="0.2">
      <c r="A269" s="6" t="s">
        <v>132</v>
      </c>
      <c r="B269" s="6" t="s">
        <v>2876</v>
      </c>
      <c r="C269" s="3"/>
      <c r="D269" s="3"/>
      <c r="E269" s="3"/>
      <c r="F269" s="3"/>
      <c r="G269" s="3"/>
      <c r="H269" s="3"/>
      <c r="I269" s="3"/>
      <c r="J269" s="3"/>
      <c r="K269" s="3"/>
      <c r="L269" s="3"/>
      <c r="M269" s="3"/>
      <c r="N269" s="3"/>
      <c r="O269" s="3"/>
      <c r="P269" s="2"/>
      <c r="Q269" s="2"/>
    </row>
    <row r="270" spans="1:22" ht="13.15" customHeight="1" x14ac:dyDescent="0.2">
      <c r="A270" s="392" t="s">
        <v>69</v>
      </c>
      <c r="B270" s="392"/>
      <c r="C270" s="392"/>
      <c r="D270" s="311" t="s">
        <v>70</v>
      </c>
      <c r="E270" s="312"/>
      <c r="F270" s="312"/>
      <c r="G270" s="312"/>
      <c r="H270" s="316" t="s">
        <v>71</v>
      </c>
      <c r="I270" s="317"/>
      <c r="J270" s="317"/>
      <c r="K270" s="317"/>
      <c r="L270" s="317"/>
      <c r="M270" s="317"/>
      <c r="N270" s="317"/>
      <c r="O270" s="317"/>
      <c r="P270" s="297" t="s">
        <v>73</v>
      </c>
      <c r="Q270" s="298"/>
      <c r="R270" s="298"/>
      <c r="S270" s="298"/>
      <c r="T270" s="301" t="s">
        <v>50</v>
      </c>
      <c r="U270" s="302"/>
      <c r="V270" s="287"/>
    </row>
    <row r="271" spans="1:22" ht="13.15" customHeight="1" x14ac:dyDescent="0.2">
      <c r="A271" s="392"/>
      <c r="B271" s="392"/>
      <c r="C271" s="392"/>
      <c r="D271" s="313"/>
      <c r="E271" s="314"/>
      <c r="F271" s="314"/>
      <c r="G271" s="315"/>
      <c r="H271" s="313" t="s">
        <v>48</v>
      </c>
      <c r="I271" s="314"/>
      <c r="J271" s="314"/>
      <c r="K271" s="315"/>
      <c r="L271" s="313" t="s">
        <v>49</v>
      </c>
      <c r="M271" s="314"/>
      <c r="N271" s="314"/>
      <c r="O271" s="314"/>
      <c r="P271" s="299"/>
      <c r="Q271" s="300"/>
      <c r="R271" s="300"/>
      <c r="S271" s="300"/>
      <c r="T271" s="303"/>
      <c r="U271" s="304"/>
      <c r="V271" s="287"/>
    </row>
    <row r="272" spans="1:22" x14ac:dyDescent="0.2">
      <c r="A272" s="392"/>
      <c r="B272" s="392"/>
      <c r="C272" s="392"/>
      <c r="D272" s="36" t="s">
        <v>75</v>
      </c>
      <c r="E272" s="36" t="s">
        <v>114</v>
      </c>
      <c r="F272" s="36" t="s">
        <v>57</v>
      </c>
      <c r="G272" s="36" t="s">
        <v>114</v>
      </c>
      <c r="H272" s="36" t="s">
        <v>75</v>
      </c>
      <c r="I272" s="36" t="s">
        <v>114</v>
      </c>
      <c r="J272" s="36" t="s">
        <v>57</v>
      </c>
      <c r="K272" s="36" t="s">
        <v>114</v>
      </c>
      <c r="L272" s="36" t="s">
        <v>75</v>
      </c>
      <c r="M272" s="36" t="s">
        <v>114</v>
      </c>
      <c r="N272" s="36" t="s">
        <v>57</v>
      </c>
      <c r="O272" s="36" t="s">
        <v>114</v>
      </c>
      <c r="P272" s="290" t="s">
        <v>75</v>
      </c>
      <c r="Q272" s="290" t="s">
        <v>114</v>
      </c>
      <c r="R272" s="290" t="s">
        <v>57</v>
      </c>
      <c r="S272" s="291" t="s">
        <v>114</v>
      </c>
      <c r="T272" s="36" t="s">
        <v>75</v>
      </c>
      <c r="U272" s="36" t="s">
        <v>57</v>
      </c>
      <c r="V272" s="288"/>
    </row>
    <row r="273" spans="1:22" x14ac:dyDescent="0.2">
      <c r="A273" s="328" t="s">
        <v>102</v>
      </c>
      <c r="B273" s="328"/>
      <c r="C273" s="328"/>
      <c r="D273" s="68">
        <f>GETPIVOTDATA("Sum of Phase Proposed Units",'11b'!$A$4,"Tenure","Open Market")</f>
        <v>929</v>
      </c>
      <c r="E273" s="286">
        <f>D273/T273</f>
        <v>0.62390866353257224</v>
      </c>
      <c r="F273" s="68">
        <f>GETPIVOTDATA("Sum of Phase Net Units",'11b'!$A$4,"Tenure","Open Market")</f>
        <v>929</v>
      </c>
      <c r="G273" s="286">
        <f>F273/U273</f>
        <v>0.655148095909732</v>
      </c>
      <c r="H273" s="68">
        <f>GETPIVOTDATA("Sum of Phase Proposed Units",'11b'!$A$4,"Tenure","Intermediate")</f>
        <v>18</v>
      </c>
      <c r="I273" s="286">
        <f>H273/T273</f>
        <v>1.208865010073875E-2</v>
      </c>
      <c r="J273" s="68">
        <f>GETPIVOTDATA("Sum of Phase Net Units",'11b'!$A$4,"Tenure","Intermediate")</f>
        <v>10</v>
      </c>
      <c r="K273" s="286">
        <f>J273/U273</f>
        <v>7.052186177715092E-3</v>
      </c>
      <c r="L273" s="68">
        <f>GETPIVOTDATA("Sum of Phase Proposed Units",'11b'!$A$4,"Tenure","Social/Affordable Rent")</f>
        <v>542</v>
      </c>
      <c r="M273" s="286">
        <f>L273/T273</f>
        <v>0.36400268636668903</v>
      </c>
      <c r="N273" s="68">
        <f>GETPIVOTDATA("Sum of Phase Net Units",'11b'!$A$4,"Tenure","Social/Affordable Rent")</f>
        <v>479</v>
      </c>
      <c r="O273" s="286">
        <f>N273/U273</f>
        <v>0.33779971791255287</v>
      </c>
      <c r="P273" s="263">
        <f>GETPIVOTDATA("Sum of Phase Proposed Units",'11b'!$A$4,"Tenure","Intermediate")+GETPIVOTDATA("Sum of Phase Proposed Units",'11b'!$A$4,"Tenure","Social/Affordable Rent")</f>
        <v>560</v>
      </c>
      <c r="Q273" s="286">
        <f>P273/T273</f>
        <v>0.37609133646742782</v>
      </c>
      <c r="R273" s="263">
        <f>GETPIVOTDATA("Sum of Phase Net Units",'11b'!$A$4,"Tenure","Intermediate")+GETPIVOTDATA("Sum of Phase Net Units",'11b'!$A$4,"Tenure","Social/Affordable Rent")</f>
        <v>489</v>
      </c>
      <c r="S273" s="286">
        <f>R273/U273</f>
        <v>0.344851904090268</v>
      </c>
      <c r="T273" s="292">
        <f>D273+H273+L273</f>
        <v>1489</v>
      </c>
      <c r="U273" s="292">
        <f>F273+J273+N273</f>
        <v>1418</v>
      </c>
      <c r="V273" s="289"/>
    </row>
    <row r="274" spans="1:22" x14ac:dyDescent="0.2">
      <c r="A274" s="281"/>
      <c r="B274" s="281"/>
      <c r="C274" s="281"/>
      <c r="D274" s="280"/>
      <c r="E274" s="282"/>
      <c r="F274" s="280"/>
      <c r="G274" s="282"/>
      <c r="H274" s="280"/>
      <c r="I274" s="282"/>
      <c r="J274" s="78"/>
      <c r="K274" s="282"/>
      <c r="L274" s="280"/>
      <c r="M274" s="282"/>
      <c r="N274" s="283"/>
      <c r="O274" s="282"/>
      <c r="P274" s="2"/>
      <c r="Q274" s="2"/>
    </row>
    <row r="275" spans="1:22" ht="15.75" x14ac:dyDescent="0.25">
      <c r="A275" s="71" t="s">
        <v>134</v>
      </c>
      <c r="B275" s="3"/>
      <c r="C275" s="3"/>
      <c r="D275" s="3"/>
      <c r="E275" s="3"/>
      <c r="F275" s="3"/>
      <c r="G275" s="3"/>
      <c r="H275" s="3"/>
      <c r="I275" s="3"/>
      <c r="J275" s="3"/>
      <c r="K275" s="3"/>
      <c r="L275" s="3"/>
      <c r="M275" s="3"/>
      <c r="N275" s="3"/>
      <c r="O275" s="3"/>
      <c r="P275" s="189"/>
      <c r="Q275" s="189"/>
    </row>
    <row r="276" spans="1:22" x14ac:dyDescent="0.2">
      <c r="A276" s="190"/>
      <c r="B276" s="3"/>
      <c r="C276" s="3"/>
      <c r="D276" s="3"/>
      <c r="E276" s="3"/>
      <c r="F276" s="3"/>
      <c r="G276" s="3"/>
      <c r="H276" s="3"/>
      <c r="I276" s="3"/>
      <c r="J276" s="3"/>
      <c r="K276" s="3"/>
      <c r="L276" s="3"/>
      <c r="M276" s="3"/>
      <c r="N276" s="3"/>
      <c r="O276" s="3"/>
      <c r="P276" s="189"/>
      <c r="Q276" s="189"/>
    </row>
    <row r="277" spans="1:22" x14ac:dyDescent="0.2">
      <c r="A277" s="191" t="s">
        <v>135</v>
      </c>
      <c r="B277" s="3"/>
      <c r="C277" s="3"/>
      <c r="D277" s="3"/>
      <c r="E277" s="3"/>
      <c r="F277" s="3"/>
      <c r="G277" s="3"/>
      <c r="H277" s="3"/>
      <c r="I277" s="3"/>
      <c r="J277" s="3"/>
      <c r="K277" s="3"/>
      <c r="L277" s="3"/>
      <c r="M277" s="3"/>
      <c r="N277" s="3"/>
      <c r="O277" s="3"/>
      <c r="P277" s="189"/>
      <c r="Q277" s="189"/>
    </row>
    <row r="278" spans="1:22" x14ac:dyDescent="0.2">
      <c r="A278" s="6" t="s">
        <v>136</v>
      </c>
      <c r="B278" s="6" t="s">
        <v>137</v>
      </c>
      <c r="C278" s="3"/>
      <c r="D278" s="3"/>
      <c r="E278" s="3"/>
      <c r="F278" s="3"/>
      <c r="G278" s="3"/>
      <c r="H278" s="3"/>
      <c r="I278" s="3"/>
      <c r="J278" s="3"/>
      <c r="K278" s="3"/>
      <c r="L278" s="3"/>
      <c r="M278" s="3"/>
      <c r="N278" s="3"/>
      <c r="O278" s="3"/>
      <c r="P278" s="189"/>
      <c r="Q278" s="189"/>
    </row>
    <row r="279" spans="1:22" x14ac:dyDescent="0.2">
      <c r="A279" s="360" t="s">
        <v>138</v>
      </c>
      <c r="B279" s="360"/>
      <c r="C279" s="360"/>
      <c r="D279" s="106" t="s">
        <v>89</v>
      </c>
      <c r="E279" s="36" t="s">
        <v>90</v>
      </c>
      <c r="F279" s="36" t="s">
        <v>91</v>
      </c>
      <c r="G279" s="36" t="s">
        <v>92</v>
      </c>
      <c r="H279" s="36" t="s">
        <v>93</v>
      </c>
      <c r="I279" s="36" t="s">
        <v>94</v>
      </c>
      <c r="J279" s="36" t="s">
        <v>95</v>
      </c>
      <c r="K279" s="36" t="s">
        <v>96</v>
      </c>
      <c r="L279" s="36" t="s">
        <v>97</v>
      </c>
      <c r="M279" s="36" t="s">
        <v>98</v>
      </c>
      <c r="N279" s="36" t="s">
        <v>10</v>
      </c>
      <c r="O279" s="36" t="s">
        <v>11</v>
      </c>
      <c r="P279" s="36" t="s">
        <v>12</v>
      </c>
      <c r="Q279" s="36" t="s">
        <v>50</v>
      </c>
    </row>
    <row r="280" spans="1:22" x14ac:dyDescent="0.2">
      <c r="A280" s="361" t="s">
        <v>139</v>
      </c>
      <c r="B280" s="361"/>
      <c r="C280" s="361"/>
      <c r="D280" s="192">
        <v>2</v>
      </c>
      <c r="E280" s="13">
        <v>5</v>
      </c>
      <c r="F280" s="13">
        <v>10</v>
      </c>
      <c r="G280" s="13">
        <v>11</v>
      </c>
      <c r="H280" s="13">
        <v>8</v>
      </c>
      <c r="I280" s="13">
        <v>4</v>
      </c>
      <c r="J280" s="13">
        <v>5</v>
      </c>
      <c r="K280" s="13">
        <v>15</v>
      </c>
      <c r="L280" s="13">
        <v>1</v>
      </c>
      <c r="M280" s="13">
        <v>12</v>
      </c>
      <c r="N280" s="13">
        <v>18</v>
      </c>
      <c r="O280" s="13">
        <v>21</v>
      </c>
      <c r="P280" s="13">
        <v>0</v>
      </c>
      <c r="Q280" s="15">
        <f t="shared" ref="Q280:Q285" si="47">SUM(D280:P280)</f>
        <v>112</v>
      </c>
    </row>
    <row r="281" spans="1:22" x14ac:dyDescent="0.2">
      <c r="A281" s="361" t="s">
        <v>140</v>
      </c>
      <c r="B281" s="361"/>
      <c r="C281" s="361"/>
      <c r="D281" s="192">
        <v>4</v>
      </c>
      <c r="E281" s="13">
        <v>1</v>
      </c>
      <c r="F281" s="13">
        <v>11</v>
      </c>
      <c r="G281" s="13">
        <v>12</v>
      </c>
      <c r="H281" s="13">
        <v>16</v>
      </c>
      <c r="I281" s="13">
        <v>90</v>
      </c>
      <c r="J281" s="13">
        <v>9</v>
      </c>
      <c r="K281" s="13">
        <v>10</v>
      </c>
      <c r="L281" s="13">
        <v>8</v>
      </c>
      <c r="M281" s="13">
        <v>37</v>
      </c>
      <c r="N281" s="13">
        <v>8</v>
      </c>
      <c r="O281" s="13">
        <v>0</v>
      </c>
      <c r="P281" s="13">
        <f>GETPIVOTDATA("Phase Net Units",'12'!$A$3,"Town Centre","Clapham Junction")</f>
        <v>8</v>
      </c>
      <c r="Q281" s="15">
        <f t="shared" si="47"/>
        <v>214</v>
      </c>
    </row>
    <row r="282" spans="1:22" x14ac:dyDescent="0.2">
      <c r="A282" s="361" t="s">
        <v>141</v>
      </c>
      <c r="B282" s="361"/>
      <c r="C282" s="361"/>
      <c r="D282" s="192">
        <v>9</v>
      </c>
      <c r="E282" s="13">
        <v>20</v>
      </c>
      <c r="F282" s="13">
        <v>56</v>
      </c>
      <c r="G282" s="13">
        <v>21</v>
      </c>
      <c r="H282" s="13">
        <v>13</v>
      </c>
      <c r="I282" s="13">
        <v>340</v>
      </c>
      <c r="J282" s="13">
        <v>11</v>
      </c>
      <c r="K282" s="13">
        <v>101</v>
      </c>
      <c r="L282" s="13">
        <v>13</v>
      </c>
      <c r="M282" s="13">
        <v>10</v>
      </c>
      <c r="N282" s="13">
        <v>4</v>
      </c>
      <c r="O282" s="13">
        <v>5</v>
      </c>
      <c r="P282" s="13">
        <f>GETPIVOTDATA("Phase Net Units",'12'!$A$3,"Town Centre","Putney")</f>
        <v>7</v>
      </c>
      <c r="Q282" s="15">
        <f t="shared" si="47"/>
        <v>610</v>
      </c>
    </row>
    <row r="283" spans="1:22" x14ac:dyDescent="0.2">
      <c r="A283" s="361" t="s">
        <v>142</v>
      </c>
      <c r="B283" s="361"/>
      <c r="C283" s="361"/>
      <c r="D283" s="192">
        <v>2</v>
      </c>
      <c r="E283" s="13">
        <v>8</v>
      </c>
      <c r="F283" s="13">
        <v>4</v>
      </c>
      <c r="G283" s="13">
        <v>27</v>
      </c>
      <c r="H283" s="13">
        <v>19</v>
      </c>
      <c r="I283" s="13">
        <v>30</v>
      </c>
      <c r="J283" s="13">
        <v>34</v>
      </c>
      <c r="K283" s="13">
        <v>6</v>
      </c>
      <c r="L283" s="13">
        <v>2</v>
      </c>
      <c r="M283" s="13">
        <v>13</v>
      </c>
      <c r="N283" s="13">
        <v>58</v>
      </c>
      <c r="O283" s="13">
        <v>56</v>
      </c>
      <c r="P283" s="13">
        <f>GETPIVOTDATA("Phase Net Units",'12'!$A$3,"Town Centre","Tooting")</f>
        <v>-19</v>
      </c>
      <c r="Q283" s="15">
        <f t="shared" si="47"/>
        <v>240</v>
      </c>
    </row>
    <row r="284" spans="1:22" x14ac:dyDescent="0.2">
      <c r="A284" s="361" t="s">
        <v>143</v>
      </c>
      <c r="B284" s="361"/>
      <c r="C284" s="361"/>
      <c r="D284" s="192">
        <v>3</v>
      </c>
      <c r="E284" s="13">
        <v>4</v>
      </c>
      <c r="F284" s="13">
        <v>240</v>
      </c>
      <c r="G284" s="13">
        <v>2</v>
      </c>
      <c r="H284" s="13">
        <v>42</v>
      </c>
      <c r="I284" s="13">
        <v>18</v>
      </c>
      <c r="J284" s="13">
        <v>314</v>
      </c>
      <c r="K284" s="13">
        <v>136</v>
      </c>
      <c r="L284" s="13">
        <v>167</v>
      </c>
      <c r="M284" s="13">
        <v>106</v>
      </c>
      <c r="N284" s="13">
        <v>80</v>
      </c>
      <c r="O284" s="13">
        <v>6</v>
      </c>
      <c r="P284" s="13">
        <f>GETPIVOTDATA("Phase Net Units",'12'!$A$3,"Town Centre","Wandsworth")</f>
        <v>13</v>
      </c>
      <c r="Q284" s="15">
        <f t="shared" si="47"/>
        <v>1131</v>
      </c>
    </row>
    <row r="285" spans="1:22" x14ac:dyDescent="0.2">
      <c r="A285" s="362" t="s">
        <v>50</v>
      </c>
      <c r="B285" s="362"/>
      <c r="C285" s="362"/>
      <c r="D285" s="193">
        <f t="shared" ref="D285:L285" si="48">SUM(D280:D284)</f>
        <v>20</v>
      </c>
      <c r="E285" s="24">
        <f t="shared" si="48"/>
        <v>38</v>
      </c>
      <c r="F285" s="24">
        <f t="shared" si="48"/>
        <v>321</v>
      </c>
      <c r="G285" s="24">
        <f t="shared" si="48"/>
        <v>73</v>
      </c>
      <c r="H285" s="24">
        <f t="shared" si="48"/>
        <v>98</v>
      </c>
      <c r="I285" s="24">
        <f t="shared" si="48"/>
        <v>482</v>
      </c>
      <c r="J285" s="24">
        <f t="shared" si="48"/>
        <v>373</v>
      </c>
      <c r="K285" s="24">
        <f t="shared" si="48"/>
        <v>268</v>
      </c>
      <c r="L285" s="24">
        <f t="shared" si="48"/>
        <v>191</v>
      </c>
      <c r="M285" s="24">
        <f>SUM(M280:M284)</f>
        <v>178</v>
      </c>
      <c r="N285" s="24">
        <f>SUM(N280:N284)</f>
        <v>168</v>
      </c>
      <c r="O285" s="24">
        <f>SUM(O280:O284)</f>
        <v>88</v>
      </c>
      <c r="P285" s="24">
        <f>SUM(P280:P284)</f>
        <v>9</v>
      </c>
      <c r="Q285" s="24">
        <f t="shared" si="47"/>
        <v>2307</v>
      </c>
    </row>
    <row r="286" spans="1:22" x14ac:dyDescent="0.2">
      <c r="A286" s="173"/>
      <c r="B286" s="173"/>
      <c r="C286" s="173"/>
      <c r="D286" s="173"/>
      <c r="E286" s="173"/>
      <c r="F286" s="173"/>
      <c r="G286" s="173"/>
      <c r="H286" s="173"/>
      <c r="I286" s="175"/>
      <c r="J286" s="173"/>
      <c r="K286" s="173"/>
      <c r="L286" s="173"/>
      <c r="M286" s="173"/>
      <c r="N286" s="173"/>
      <c r="O286" s="173"/>
      <c r="P286" s="174"/>
      <c r="Q286" s="2"/>
    </row>
    <row r="287" spans="1:22" x14ac:dyDescent="0.2">
      <c r="A287" s="191" t="s">
        <v>144</v>
      </c>
      <c r="B287" s="189"/>
      <c r="C287" s="189"/>
      <c r="D287" s="189"/>
      <c r="E287" s="189"/>
      <c r="F287" s="189"/>
      <c r="G287" s="174"/>
      <c r="H287" s="174"/>
      <c r="I287" s="174"/>
      <c r="J287" s="174"/>
      <c r="K287" s="173"/>
      <c r="L287" s="173"/>
      <c r="M287" s="173"/>
      <c r="N287" s="173"/>
      <c r="O287" s="173"/>
      <c r="P287" s="174"/>
      <c r="Q287" s="2"/>
    </row>
    <row r="288" spans="1:22" x14ac:dyDescent="0.2">
      <c r="A288" s="6" t="s">
        <v>145</v>
      </c>
      <c r="B288" s="6" t="s">
        <v>146</v>
      </c>
      <c r="C288" s="3"/>
      <c r="D288" s="3"/>
      <c r="E288" s="194"/>
      <c r="F288" s="3"/>
      <c r="G288" s="173"/>
      <c r="H288" s="173"/>
      <c r="I288" s="173"/>
      <c r="J288" s="173"/>
      <c r="K288" s="173"/>
      <c r="L288" s="173"/>
      <c r="M288" s="173"/>
      <c r="N288" s="173"/>
      <c r="O288" s="173"/>
      <c r="P288" s="174"/>
      <c r="Q288" s="2"/>
    </row>
    <row r="289" spans="1:17" x14ac:dyDescent="0.2">
      <c r="A289" s="389" t="s">
        <v>147</v>
      </c>
      <c r="B289" s="390"/>
      <c r="C289" s="390"/>
      <c r="D289" s="390"/>
      <c r="E289" s="391"/>
      <c r="F289" s="195" t="s">
        <v>12</v>
      </c>
      <c r="G289" s="176"/>
      <c r="H289" s="176"/>
      <c r="I289" s="176"/>
      <c r="J289" s="176"/>
      <c r="K289" s="176"/>
      <c r="L289" s="176"/>
      <c r="M289" s="177"/>
      <c r="N289" s="177"/>
      <c r="O289" s="177"/>
      <c r="P289" s="177"/>
      <c r="Q289" s="2"/>
    </row>
    <row r="290" spans="1:17" x14ac:dyDescent="0.2">
      <c r="A290" s="383" t="s">
        <v>139</v>
      </c>
      <c r="B290" s="384"/>
      <c r="C290" s="384"/>
      <c r="D290" s="384"/>
      <c r="E290" s="385"/>
      <c r="F290" s="196">
        <v>0</v>
      </c>
      <c r="G290" s="178"/>
      <c r="H290" s="178"/>
      <c r="I290" s="178"/>
      <c r="J290" s="178"/>
      <c r="K290" s="178"/>
      <c r="L290" s="179"/>
      <c r="M290" s="177"/>
      <c r="N290" s="177"/>
      <c r="O290" s="177"/>
      <c r="P290" s="177"/>
      <c r="Q290" s="2"/>
    </row>
    <row r="291" spans="1:17" x14ac:dyDescent="0.2">
      <c r="A291" s="383" t="s">
        <v>148</v>
      </c>
      <c r="B291" s="384"/>
      <c r="C291" s="384"/>
      <c r="D291" s="384"/>
      <c r="E291" s="385"/>
      <c r="F291" s="197">
        <f>GETPIVOTDATA("Phase Net Units",'13 Spatial areas'!A3:B16,"Spatial area",A291)</f>
        <v>-68</v>
      </c>
      <c r="G291" s="178"/>
      <c r="H291" s="178"/>
      <c r="I291" s="178"/>
      <c r="J291" s="178"/>
      <c r="K291" s="178"/>
      <c r="L291" s="179"/>
      <c r="M291" s="177"/>
      <c r="N291" s="177"/>
      <c r="O291" s="177"/>
      <c r="P291" s="177"/>
      <c r="Q291" s="2"/>
    </row>
    <row r="292" spans="1:17" x14ac:dyDescent="0.2">
      <c r="A292" s="383" t="s">
        <v>149</v>
      </c>
      <c r="B292" s="384"/>
      <c r="C292" s="384"/>
      <c r="D292" s="384"/>
      <c r="E292" s="385"/>
      <c r="F292" s="196">
        <f>GETPIVOTDATA("Phase Net Units",'13 Spatial areas'!A4:B17,"Spatial area",A292)</f>
        <v>1747</v>
      </c>
      <c r="G292" s="178"/>
      <c r="H292" s="178"/>
      <c r="I292" s="178"/>
      <c r="J292" s="178"/>
      <c r="K292" s="178"/>
      <c r="L292" s="179"/>
      <c r="M292" s="177"/>
      <c r="N292" s="177"/>
      <c r="O292" s="177"/>
      <c r="P292" s="177"/>
      <c r="Q292" s="2"/>
    </row>
    <row r="293" spans="1:17" x14ac:dyDescent="0.2">
      <c r="A293" s="383" t="s">
        <v>141</v>
      </c>
      <c r="B293" s="384"/>
      <c r="C293" s="384"/>
      <c r="D293" s="384"/>
      <c r="E293" s="385"/>
      <c r="F293" s="196">
        <f>GETPIVOTDATA("Phase Net Units",'13 Spatial areas'!A5:B18,"Spatial area",A293)</f>
        <v>8</v>
      </c>
      <c r="G293" s="178"/>
      <c r="H293" s="178"/>
      <c r="I293" s="178"/>
      <c r="J293" s="178"/>
      <c r="K293" s="178"/>
      <c r="L293" s="179"/>
      <c r="M293" s="177"/>
      <c r="N293" s="177"/>
      <c r="O293" s="177"/>
      <c r="P293" s="177"/>
      <c r="Q293" s="2"/>
    </row>
    <row r="294" spans="1:17" x14ac:dyDescent="0.2">
      <c r="A294" s="383" t="s">
        <v>150</v>
      </c>
      <c r="B294" s="384"/>
      <c r="C294" s="384"/>
      <c r="D294" s="384"/>
      <c r="E294" s="385"/>
      <c r="F294" s="198">
        <f>IFERROR(GETPIVOTDATA("Phase Net Units",'13 Spatial areas'!A6:B19,"Spatial area",A294),0)</f>
        <v>1</v>
      </c>
      <c r="G294" s="178"/>
      <c r="H294" s="178"/>
      <c r="I294" s="178"/>
      <c r="J294" s="178"/>
      <c r="K294" s="178"/>
      <c r="L294" s="179"/>
      <c r="M294" s="177"/>
      <c r="N294" s="177"/>
      <c r="O294" s="177"/>
      <c r="P294" s="177"/>
      <c r="Q294" s="2"/>
    </row>
    <row r="295" spans="1:17" x14ac:dyDescent="0.2">
      <c r="A295" s="383" t="s">
        <v>151</v>
      </c>
      <c r="B295" s="384"/>
      <c r="C295" s="384"/>
      <c r="D295" s="384"/>
      <c r="E295" s="385"/>
      <c r="F295" s="196">
        <f>GETPIVOTDATA("Phase Net Units",'13 Spatial areas'!A7:B20,"Spatial area",A295)</f>
        <v>17</v>
      </c>
      <c r="G295" s="178"/>
      <c r="H295" s="178"/>
      <c r="I295" s="178"/>
      <c r="J295" s="178"/>
      <c r="K295" s="178"/>
      <c r="L295" s="179"/>
      <c r="M295" s="177"/>
      <c r="N295" s="177"/>
      <c r="O295" s="177"/>
      <c r="P295" s="177"/>
      <c r="Q295" s="2"/>
    </row>
    <row r="296" spans="1:17" x14ac:dyDescent="0.2">
      <c r="A296" s="383" t="s">
        <v>142</v>
      </c>
      <c r="B296" s="384"/>
      <c r="C296" s="384"/>
      <c r="D296" s="384"/>
      <c r="E296" s="385"/>
      <c r="F296" s="196">
        <f>GETPIVOTDATA("Phase Net Units",'13 Spatial areas'!A8:B21,"Spatial area",A296)</f>
        <v>-12</v>
      </c>
      <c r="G296" s="178"/>
      <c r="H296" s="178"/>
      <c r="I296" s="178"/>
      <c r="J296" s="178"/>
      <c r="K296" s="178"/>
      <c r="L296" s="179"/>
      <c r="M296" s="177"/>
      <c r="N296" s="177"/>
      <c r="O296" s="177"/>
      <c r="P296" s="177"/>
      <c r="Q296" s="2"/>
    </row>
    <row r="297" spans="1:17" x14ac:dyDescent="0.2">
      <c r="A297" s="383" t="s">
        <v>152</v>
      </c>
      <c r="B297" s="384"/>
      <c r="C297" s="384"/>
      <c r="D297" s="384"/>
      <c r="E297" s="385"/>
      <c r="F297" s="196">
        <f>GETPIVOTDATA("Phase Net Units",'13 Spatial areas'!A9:B22,"Spatial area","Wandsworth riverside")</f>
        <v>94</v>
      </c>
      <c r="G297" s="178"/>
      <c r="H297" s="178"/>
      <c r="I297" s="178"/>
      <c r="J297" s="178"/>
      <c r="K297" s="178"/>
      <c r="L297" s="179"/>
      <c r="M297" s="177"/>
      <c r="N297" s="177"/>
      <c r="O297" s="177"/>
      <c r="P297" s="177"/>
      <c r="Q297" s="2"/>
    </row>
    <row r="298" spans="1:17" x14ac:dyDescent="0.2">
      <c r="A298" s="383" t="s">
        <v>153</v>
      </c>
      <c r="B298" s="384"/>
      <c r="C298" s="384"/>
      <c r="D298" s="384"/>
      <c r="E298" s="385"/>
      <c r="F298" s="199">
        <v>0</v>
      </c>
      <c r="G298" s="178"/>
      <c r="H298" s="178"/>
      <c r="I298" s="178"/>
      <c r="J298" s="178"/>
      <c r="K298" s="178"/>
      <c r="L298" s="179"/>
      <c r="M298" s="177"/>
      <c r="N298" s="177"/>
      <c r="O298" s="177"/>
      <c r="P298" s="177"/>
    </row>
    <row r="299" spans="1:17" x14ac:dyDescent="0.2">
      <c r="A299" s="383" t="s">
        <v>154</v>
      </c>
      <c r="B299" s="384"/>
      <c r="C299" s="384"/>
      <c r="D299" s="384"/>
      <c r="E299" s="385"/>
      <c r="F299" s="196">
        <f>GETPIVOTDATA("Phase Net Units",'13 Spatial areas'!A11:B24,"Spatial area","Wandsworth Town, including the Wandle Delta Masterplan Area")</f>
        <v>562</v>
      </c>
      <c r="G299" s="178"/>
      <c r="H299" s="178"/>
      <c r="I299" s="178"/>
      <c r="J299" s="178"/>
      <c r="K299" s="178"/>
      <c r="L299" s="179"/>
      <c r="M299" s="177"/>
      <c r="N299" s="177"/>
      <c r="O299" s="177"/>
      <c r="P299" s="177"/>
      <c r="Q299" s="2"/>
    </row>
    <row r="300" spans="1:17" x14ac:dyDescent="0.2">
      <c r="A300" s="386" t="s">
        <v>50</v>
      </c>
      <c r="B300" s="387"/>
      <c r="C300" s="387"/>
      <c r="D300" s="387"/>
      <c r="E300" s="388"/>
      <c r="F300" s="200">
        <f>SUM(F290:F299)</f>
        <v>2349</v>
      </c>
      <c r="G300" s="179"/>
      <c r="H300" s="179"/>
      <c r="I300" s="179"/>
      <c r="J300" s="179"/>
      <c r="K300" s="179"/>
      <c r="L300" s="179"/>
      <c r="M300" s="177"/>
      <c r="N300" s="177"/>
      <c r="O300" s="177"/>
      <c r="P300" s="177"/>
      <c r="Q300" s="2"/>
    </row>
    <row r="301" spans="1:17" x14ac:dyDescent="0.2">
      <c r="A301" s="181"/>
      <c r="B301" s="181"/>
      <c r="C301" s="181"/>
      <c r="D301" s="181"/>
      <c r="E301" s="181"/>
      <c r="F301" s="180"/>
      <c r="G301" s="180"/>
      <c r="H301" s="180"/>
      <c r="I301" s="180"/>
      <c r="J301" s="173"/>
      <c r="K301" s="173"/>
      <c r="L301" s="173"/>
      <c r="M301" s="173"/>
      <c r="N301" s="173"/>
      <c r="O301" s="173"/>
      <c r="P301" s="174"/>
      <c r="Q301" s="2"/>
    </row>
    <row r="302" spans="1:17" x14ac:dyDescent="0.2">
      <c r="A302" s="201" t="s">
        <v>155</v>
      </c>
      <c r="B302" s="3"/>
      <c r="C302" s="189"/>
      <c r="D302" s="202"/>
      <c r="E302" s="202"/>
      <c r="F302" s="202"/>
      <c r="G302" s="202"/>
      <c r="H302" s="202"/>
      <c r="I302" s="180"/>
      <c r="J302" s="173"/>
      <c r="K302" s="173"/>
      <c r="L302" s="173"/>
      <c r="M302" s="173"/>
      <c r="N302" s="173"/>
      <c r="O302" s="173"/>
      <c r="P302" s="174"/>
      <c r="Q302" s="2"/>
    </row>
    <row r="303" spans="1:17" x14ac:dyDescent="0.2">
      <c r="A303" s="6" t="s">
        <v>156</v>
      </c>
      <c r="B303" s="6" t="s">
        <v>157</v>
      </c>
      <c r="C303" s="189"/>
      <c r="D303" s="202"/>
      <c r="E303" s="202"/>
      <c r="F303" s="202"/>
      <c r="G303" s="202"/>
      <c r="H303" s="202"/>
      <c r="I303" s="180"/>
      <c r="J303" s="173"/>
      <c r="K303" s="173"/>
      <c r="L303" s="173"/>
      <c r="M303" s="173"/>
      <c r="N303" s="173"/>
      <c r="O303" s="173"/>
      <c r="P303" s="174"/>
      <c r="Q303" s="2"/>
    </row>
    <row r="304" spans="1:17" ht="12.75" customHeight="1" x14ac:dyDescent="0.2">
      <c r="A304" s="308" t="s">
        <v>158</v>
      </c>
      <c r="B304" s="308"/>
      <c r="C304" s="308"/>
      <c r="D304" s="346" t="s">
        <v>159</v>
      </c>
      <c r="E304" s="346" t="s">
        <v>59</v>
      </c>
      <c r="F304" s="346"/>
      <c r="G304" s="346" t="s">
        <v>104</v>
      </c>
      <c r="H304" s="346"/>
      <c r="I304" s="180"/>
      <c r="J304" s="173"/>
      <c r="K304" s="173"/>
      <c r="L304" s="173"/>
      <c r="M304" s="173"/>
      <c r="N304" s="173"/>
      <c r="O304" s="173"/>
      <c r="P304" s="174"/>
      <c r="Q304" s="2"/>
    </row>
    <row r="305" spans="1:17" ht="12.75" customHeight="1" x14ac:dyDescent="0.2">
      <c r="A305" s="308"/>
      <c r="B305" s="308"/>
      <c r="C305" s="308"/>
      <c r="D305" s="346"/>
      <c r="E305" s="346"/>
      <c r="F305" s="346"/>
      <c r="G305" s="346"/>
      <c r="H305" s="346"/>
      <c r="I305" s="180"/>
      <c r="J305" s="173"/>
      <c r="K305" s="173"/>
      <c r="L305" s="173"/>
      <c r="M305" s="173"/>
      <c r="N305" s="173"/>
      <c r="O305" s="173"/>
      <c r="P305" s="174"/>
      <c r="Q305" s="2"/>
    </row>
    <row r="306" spans="1:17" x14ac:dyDescent="0.2">
      <c r="A306" s="340" t="s">
        <v>139</v>
      </c>
      <c r="B306" s="340"/>
      <c r="C306" s="340"/>
      <c r="D306" s="13">
        <f>GETPIVOTDATA("Phase Net Units",'14'!$A$1,"Status","03 Planning","Ward (2022)",A306)</f>
        <v>30</v>
      </c>
      <c r="E306" s="345">
        <f>GETPIVOTDATA("Phase Net Units",'14'!$A$1,"Status","02 Under Construction","Ward (2022)",A306)</f>
        <v>13</v>
      </c>
      <c r="F306" s="345"/>
      <c r="G306" s="345">
        <f>GETPIVOTDATA("Phase Net Units",'14'!$A$1,"Status","01 Completion","Ward (2022)",A306)</f>
        <v>8</v>
      </c>
      <c r="H306" s="345"/>
      <c r="I306" s="180"/>
      <c r="J306" s="173"/>
      <c r="K306" s="173"/>
      <c r="L306" s="173"/>
      <c r="M306" s="173"/>
      <c r="N306" s="173"/>
      <c r="O306" s="173"/>
      <c r="P306" s="174"/>
      <c r="Q306" s="2"/>
    </row>
    <row r="307" spans="1:17" x14ac:dyDescent="0.2">
      <c r="A307" s="340" t="s">
        <v>160</v>
      </c>
      <c r="B307" s="340"/>
      <c r="C307" s="340"/>
      <c r="D307" s="13">
        <f>GETPIVOTDATA("Phase Net Units",'14'!$A$1,"Status","03 Planning","Ward (2022)",A307)</f>
        <v>131</v>
      </c>
      <c r="E307" s="345">
        <f>GETPIVOTDATA("Phase Net Units",'14'!$A$1,"Status","02 Under Construction","Ward (2022)",A307)</f>
        <v>148</v>
      </c>
      <c r="F307" s="345"/>
      <c r="G307" s="345">
        <f>GETPIVOTDATA("Phase Net Units",'14'!$A$1,"Status","01 Completion","Ward (2022)",A307)</f>
        <v>2</v>
      </c>
      <c r="H307" s="345"/>
      <c r="I307" s="180"/>
      <c r="J307" s="173"/>
      <c r="K307" s="173"/>
      <c r="L307" s="173"/>
      <c r="M307" s="173"/>
      <c r="N307" s="173"/>
      <c r="O307" s="173"/>
      <c r="P307" s="174"/>
      <c r="Q307" s="2"/>
    </row>
    <row r="308" spans="1:17" x14ac:dyDescent="0.2">
      <c r="A308" s="340" t="s">
        <v>161</v>
      </c>
      <c r="B308" s="340"/>
      <c r="C308" s="340"/>
      <c r="D308" s="13">
        <f>GETPIVOTDATA("Phase Net Units",'14'!$A$1,"Status","03 Planning","Ward (2022)",A308)</f>
        <v>56</v>
      </c>
      <c r="E308" s="345">
        <f>GETPIVOTDATA("Phase Net Units",'14'!$A$1,"Status","02 Under Construction","Ward (2022)",A308)</f>
        <v>50</v>
      </c>
      <c r="F308" s="345"/>
      <c r="G308" s="345">
        <f>GETPIVOTDATA("Phase Net Units",'14'!$A$1,"Status","01 Completion","Ward (2022)",A308)</f>
        <v>3</v>
      </c>
      <c r="H308" s="345"/>
      <c r="I308" s="180"/>
      <c r="J308" s="173"/>
      <c r="K308" s="173"/>
      <c r="L308" s="173"/>
      <c r="M308" s="173"/>
      <c r="N308" s="173"/>
      <c r="O308" s="173"/>
      <c r="P308" s="174"/>
      <c r="Q308" s="2"/>
    </row>
    <row r="309" spans="1:17" x14ac:dyDescent="0.2">
      <c r="A309" s="340" t="s">
        <v>162</v>
      </c>
      <c r="B309" s="340"/>
      <c r="C309" s="340"/>
      <c r="D309" s="13">
        <f>GETPIVOTDATA("Phase Net Units",'14'!$A$1,"Status","03 Planning","Ward (2022)",A309)</f>
        <v>1681</v>
      </c>
      <c r="E309" s="345">
        <f>GETPIVOTDATA("Phase Net Units",'14'!$A$1,"Status","02 Under Construction","Ward (2022)",A309)</f>
        <v>137</v>
      </c>
      <c r="F309" s="345"/>
      <c r="G309" s="345">
        <f>GETPIVOTDATA("Phase Net Units",'14'!$A$1,"Status","01 Completion","Ward (2022)",A309)</f>
        <v>1</v>
      </c>
      <c r="H309" s="345"/>
      <c r="I309" s="180"/>
      <c r="J309" s="173"/>
      <c r="K309" s="173"/>
      <c r="L309" s="173"/>
      <c r="M309" s="173"/>
      <c r="N309" s="173"/>
      <c r="O309" s="173"/>
      <c r="P309" s="174"/>
      <c r="Q309" s="2"/>
    </row>
    <row r="310" spans="1:17" x14ac:dyDescent="0.2">
      <c r="A310" s="340" t="s">
        <v>163</v>
      </c>
      <c r="B310" s="340"/>
      <c r="C310" s="340"/>
      <c r="D310" s="13">
        <f>GETPIVOTDATA("Phase Net Units",'14'!$A$1,"Status","03 Planning","Ward (2022)",A310)</f>
        <v>60</v>
      </c>
      <c r="E310" s="345">
        <f>GETPIVOTDATA("Phase Net Units",'14'!$A$1,"Status","02 Under Construction","Ward (2022)",A310)</f>
        <v>56</v>
      </c>
      <c r="F310" s="345"/>
      <c r="G310" s="345">
        <f>GETPIVOTDATA("Phase Net Units",'14'!$A$1,"Status","01 Completion","Ward (2022)",A310)</f>
        <v>20</v>
      </c>
      <c r="H310" s="345"/>
      <c r="I310" s="180"/>
      <c r="J310" s="173"/>
      <c r="K310" s="173"/>
      <c r="L310" s="173"/>
      <c r="M310" s="173"/>
      <c r="N310" s="173"/>
      <c r="O310" s="173"/>
      <c r="P310" s="174"/>
      <c r="Q310" s="2"/>
    </row>
    <row r="311" spans="1:17" x14ac:dyDescent="0.2">
      <c r="A311" s="340" t="s">
        <v>164</v>
      </c>
      <c r="B311" s="340"/>
      <c r="C311" s="340"/>
      <c r="D311" s="13">
        <f>GETPIVOTDATA("Phase Net Units",'14'!$A$1,"Status","03 Planning","Ward (2022)",A311)</f>
        <v>10</v>
      </c>
      <c r="E311" s="345">
        <f>GETPIVOTDATA("Phase Net Units",'14'!$A$1,"Status","02 Under Construction","Ward (2022)",A311)</f>
        <v>328</v>
      </c>
      <c r="F311" s="345"/>
      <c r="G311" s="345">
        <f>GETPIVOTDATA("Phase Net Units",'14'!$A$1,"Status","01 Completion","Ward (2022)",A311)</f>
        <v>-73</v>
      </c>
      <c r="H311" s="345"/>
      <c r="I311" s="180"/>
      <c r="J311" s="173"/>
      <c r="K311" s="173"/>
      <c r="L311" s="173"/>
      <c r="M311" s="173"/>
      <c r="N311" s="173"/>
      <c r="O311" s="173"/>
      <c r="P311" s="174"/>
      <c r="Q311" s="2"/>
    </row>
    <row r="312" spans="1:17" x14ac:dyDescent="0.2">
      <c r="A312" s="340" t="s">
        <v>149</v>
      </c>
      <c r="B312" s="340"/>
      <c r="C312" s="340"/>
      <c r="D312" s="13">
        <f>GETPIVOTDATA("Phase Net Units",'14'!$A$1,"Status","03 Planning","Ward (2022)",A312)</f>
        <v>3416</v>
      </c>
      <c r="E312" s="345">
        <f>GETPIVOTDATA("Phase Net Units",'14'!$A$1,"Status","02 Under Construction","Ward (2022)",A312)</f>
        <v>2514</v>
      </c>
      <c r="F312" s="345"/>
      <c r="G312" s="345">
        <f>GETPIVOTDATA("Phase Net Units",'14'!$A$1,"Status","01 Completion","Ward (2022)",A312)</f>
        <v>1747</v>
      </c>
      <c r="H312" s="345"/>
      <c r="I312" s="180"/>
      <c r="J312" s="173"/>
      <c r="K312" s="173"/>
      <c r="L312" s="173"/>
      <c r="M312" s="173"/>
      <c r="N312" s="173"/>
      <c r="O312" s="173"/>
      <c r="P312" s="174"/>
      <c r="Q312" s="2"/>
    </row>
    <row r="313" spans="1:17" x14ac:dyDescent="0.2">
      <c r="A313" s="340" t="s">
        <v>165</v>
      </c>
      <c r="B313" s="340"/>
      <c r="C313" s="340"/>
      <c r="D313" s="13">
        <f>GETPIVOTDATA("Phase Net Units",'14'!$A$1,"Status","03 Planning","Ward (2022)",A313)</f>
        <v>10</v>
      </c>
      <c r="E313" s="345">
        <f>GETPIVOTDATA("Phase Net Units",'14'!$A$1,"Status","02 Under Construction","Ward (2022)",A313)</f>
        <v>17</v>
      </c>
      <c r="F313" s="345"/>
      <c r="G313" s="345">
        <f>GETPIVOTDATA("Phase Net Units",'14'!$A$1,"Status","01 Completion","Ward (2022)",A313)</f>
        <v>6</v>
      </c>
      <c r="H313" s="345"/>
      <c r="I313" s="180"/>
      <c r="J313" s="173"/>
      <c r="K313" s="173"/>
      <c r="L313" s="173"/>
      <c r="M313" s="173"/>
      <c r="N313" s="173"/>
      <c r="O313" s="173"/>
      <c r="P313" s="174"/>
      <c r="Q313" s="2"/>
    </row>
    <row r="314" spans="1:17" x14ac:dyDescent="0.2">
      <c r="A314" s="340" t="s">
        <v>166</v>
      </c>
      <c r="B314" s="340"/>
      <c r="C314" s="340"/>
      <c r="D314" s="13">
        <f>GETPIVOTDATA("Phase Net Units",'14'!$A$1,"Status","03 Planning","Ward (2022)",A314)</f>
        <v>800</v>
      </c>
      <c r="E314" s="345">
        <f>GETPIVOTDATA("Phase Net Units",'14'!$A$1,"Status","02 Under Construction","Ward (2022)",A314)</f>
        <v>64</v>
      </c>
      <c r="F314" s="345"/>
      <c r="G314" s="345">
        <f>GETPIVOTDATA("Phase Net Units",'14'!$A$1,"Status","01 Completion","Ward (2022)",A314)</f>
        <v>7</v>
      </c>
      <c r="H314" s="345"/>
      <c r="I314" s="180"/>
      <c r="J314" s="173"/>
      <c r="K314" s="173"/>
      <c r="L314" s="173"/>
      <c r="M314" s="173"/>
      <c r="N314" s="173"/>
      <c r="O314" s="173"/>
      <c r="P314" s="174"/>
      <c r="Q314" s="2"/>
    </row>
    <row r="315" spans="1:17" x14ac:dyDescent="0.2">
      <c r="A315" s="340" t="s">
        <v>167</v>
      </c>
      <c r="B315" s="340"/>
      <c r="C315" s="340"/>
      <c r="D315" s="13">
        <f>GETPIVOTDATA("Phase Net Units",'14'!$A$1,"Status","03 Planning","Ward (2022)",A315)</f>
        <v>15</v>
      </c>
      <c r="E315" s="345">
        <f>GETPIVOTDATA("Phase Net Units",'14'!$A$1,"Status","02 Under Construction","Ward (2022)",A315)</f>
        <v>78</v>
      </c>
      <c r="F315" s="345"/>
      <c r="G315" s="345">
        <f>GETPIVOTDATA("Phase Net Units",'14'!$A$1,"Status","01 Completion","Ward (2022)",A315)</f>
        <v>5</v>
      </c>
      <c r="H315" s="345"/>
      <c r="I315" s="180"/>
      <c r="J315" s="173"/>
      <c r="K315" s="173"/>
      <c r="L315" s="173"/>
      <c r="M315" s="173"/>
      <c r="N315" s="173"/>
      <c r="O315" s="173"/>
      <c r="P315" s="174"/>
      <c r="Q315" s="2"/>
    </row>
    <row r="316" spans="1:17" x14ac:dyDescent="0.2">
      <c r="A316" s="340" t="s">
        <v>168</v>
      </c>
      <c r="B316" s="340"/>
      <c r="C316" s="340"/>
      <c r="D316" s="13">
        <f>GETPIVOTDATA("Phase Net Units",'14'!$A$1,"Status","03 Planning","Ward (2022)",A316)</f>
        <v>61</v>
      </c>
      <c r="E316" s="345">
        <f>GETPIVOTDATA("Phase Net Units",'14'!$A$1,"Status","02 Under Construction","Ward (2022)",A316)</f>
        <v>6</v>
      </c>
      <c r="F316" s="345"/>
      <c r="G316" s="345">
        <f>GETPIVOTDATA("Phase Net Units",'14'!$A$1,"Status","01 Completion","Ward (2022)",A316)</f>
        <v>6</v>
      </c>
      <c r="H316" s="345"/>
      <c r="I316" s="180"/>
      <c r="J316" s="173"/>
      <c r="K316" s="173"/>
      <c r="L316" s="173"/>
      <c r="M316" s="173"/>
      <c r="N316" s="173"/>
      <c r="O316" s="173"/>
      <c r="P316" s="174"/>
      <c r="Q316" s="2"/>
    </row>
    <row r="317" spans="1:17" x14ac:dyDescent="0.2">
      <c r="A317" s="340" t="s">
        <v>169</v>
      </c>
      <c r="B317" s="340"/>
      <c r="C317" s="340"/>
      <c r="D317" s="13">
        <f>GETPIVOTDATA("Phase Net Units",'14'!$A$1,"Status","03 Planning","Ward (2022)",A317)</f>
        <v>47</v>
      </c>
      <c r="E317" s="345">
        <f>GETPIVOTDATA("Phase Net Units",'14'!$A$1,"Status","02 Under Construction","Ward (2022)",A317)</f>
        <v>11</v>
      </c>
      <c r="F317" s="345"/>
      <c r="G317" s="345">
        <f>GETPIVOTDATA("Phase Net Units",'14'!$A$1,"Status","01 Completion","Ward (2022)",A317)</f>
        <v>6</v>
      </c>
      <c r="H317" s="345"/>
      <c r="I317" s="180"/>
      <c r="J317" s="173"/>
      <c r="K317" s="173"/>
      <c r="L317" s="173"/>
      <c r="M317" s="173"/>
      <c r="N317" s="173"/>
      <c r="O317" s="173"/>
      <c r="P317" s="174"/>
      <c r="Q317" s="2"/>
    </row>
    <row r="318" spans="1:17" x14ac:dyDescent="0.2">
      <c r="A318" s="340" t="s">
        <v>170</v>
      </c>
      <c r="B318" s="340"/>
      <c r="C318" s="340"/>
      <c r="D318" s="13">
        <f>GETPIVOTDATA("Phase Net Units",'14'!$A$1,"Status","03 Planning","Ward (2022)",A318)</f>
        <v>242</v>
      </c>
      <c r="E318" s="345">
        <f>GETPIVOTDATA("Phase Net Units",'14'!$A$1,"Status","02 Under Construction","Ward (2022)",A318)</f>
        <v>523</v>
      </c>
      <c r="F318" s="345"/>
      <c r="G318" s="345">
        <f>GETPIVOTDATA("Phase Net Units",'14'!$A$1,"Status","01 Completion","Ward (2022)",A318)</f>
        <v>643</v>
      </c>
      <c r="H318" s="345"/>
      <c r="I318" s="180"/>
      <c r="J318" s="173"/>
      <c r="K318" s="173"/>
      <c r="L318" s="173"/>
      <c r="M318" s="173"/>
      <c r="N318" s="173"/>
      <c r="O318" s="173"/>
      <c r="P318" s="174"/>
      <c r="Q318" s="2"/>
    </row>
    <row r="319" spans="1:17" x14ac:dyDescent="0.2">
      <c r="A319" s="340" t="s">
        <v>171</v>
      </c>
      <c r="B319" s="340"/>
      <c r="C319" s="340"/>
      <c r="D319" s="13">
        <f>GETPIVOTDATA("Phase Net Units",'14'!$A$1,"Status","03 Planning","Ward (2022)",A319)</f>
        <v>154</v>
      </c>
      <c r="E319" s="345">
        <f>GETPIVOTDATA("Phase Net Units",'14'!$A$1,"Status","02 Under Construction","Ward (2022)",A319)</f>
        <v>10</v>
      </c>
      <c r="F319" s="345"/>
      <c r="G319" s="345">
        <f>GETPIVOTDATA("Phase Net Units",'14'!$A$1,"Status","01 Completion","Ward (2022)",A319)</f>
        <v>31</v>
      </c>
      <c r="H319" s="345"/>
      <c r="I319" s="180"/>
      <c r="J319" s="173"/>
      <c r="K319" s="173"/>
      <c r="L319" s="173"/>
      <c r="M319" s="173"/>
      <c r="N319" s="173"/>
      <c r="O319" s="173"/>
      <c r="P319" s="174"/>
      <c r="Q319" s="2"/>
    </row>
    <row r="320" spans="1:17" x14ac:dyDescent="0.2">
      <c r="A320" s="340" t="s">
        <v>172</v>
      </c>
      <c r="B320" s="340"/>
      <c r="C320" s="340"/>
      <c r="D320" s="13">
        <f>GETPIVOTDATA("Phase Net Units",'14'!$A$1,"Status","03 Planning","Ward (2022)",A320)</f>
        <v>29</v>
      </c>
      <c r="E320" s="345">
        <f>GETPIVOTDATA("Phase Net Units",'14'!$A$1,"Status","02 Under Construction","Ward (2022)",A320)</f>
        <v>11</v>
      </c>
      <c r="F320" s="345"/>
      <c r="G320" s="345">
        <f>GETPIVOTDATA("Phase Net Units",'14'!$A$1,"Status","01 Completion","Ward (2022)",A320)</f>
        <v>-39</v>
      </c>
      <c r="H320" s="345"/>
      <c r="I320" s="180"/>
      <c r="J320" s="173"/>
      <c r="K320" s="173"/>
      <c r="L320" s="173"/>
      <c r="M320" s="173"/>
      <c r="N320" s="173"/>
      <c r="O320" s="173"/>
      <c r="P320" s="174"/>
      <c r="Q320" s="2"/>
    </row>
    <row r="321" spans="1:17" x14ac:dyDescent="0.2">
      <c r="A321" s="340" t="s">
        <v>173</v>
      </c>
      <c r="B321" s="340"/>
      <c r="C321" s="340"/>
      <c r="D321" s="13">
        <f>GETPIVOTDATA("Phase Net Units",'14'!$A$1,"Status","03 Planning","Ward (2022)",A321)</f>
        <v>129</v>
      </c>
      <c r="E321" s="345">
        <f>GETPIVOTDATA("Phase Net Units",'14'!$A$1,"Status","02 Under Construction","Ward (2022)",A321)</f>
        <v>68</v>
      </c>
      <c r="F321" s="345"/>
      <c r="G321" s="345">
        <f>GETPIVOTDATA("Phase Net Units",'14'!$A$1,"Status","01 Completion","Ward (2022)",A321)</f>
        <v>36</v>
      </c>
      <c r="H321" s="345"/>
      <c r="I321" s="180"/>
      <c r="J321" s="173"/>
      <c r="K321" s="173"/>
      <c r="L321" s="173"/>
      <c r="M321" s="173"/>
      <c r="N321" s="173"/>
      <c r="O321" s="173"/>
      <c r="P321" s="174"/>
      <c r="Q321" s="2"/>
    </row>
    <row r="322" spans="1:17" x14ac:dyDescent="0.2">
      <c r="A322" s="340" t="s">
        <v>174</v>
      </c>
      <c r="B322" s="340"/>
      <c r="C322" s="340"/>
      <c r="D322" s="13">
        <f>GETPIVOTDATA("Phase Net Units",'14'!$A$1,"Status","03 Planning","Ward (2022)",A322)</f>
        <v>11</v>
      </c>
      <c r="E322" s="345">
        <f>GETPIVOTDATA("Phase Net Units",'14'!$A$1,"Status","02 Under Construction","Ward (2022)",A322)</f>
        <v>20</v>
      </c>
      <c r="F322" s="345"/>
      <c r="G322" s="345">
        <f>GETPIVOTDATA("Phase Net Units",'14'!$A$1,"Status","01 Completion","Ward (2022)",A322)</f>
        <v>-3</v>
      </c>
      <c r="H322" s="345"/>
      <c r="I322" s="180"/>
      <c r="J322" s="173"/>
      <c r="K322" s="173"/>
      <c r="L322" s="173"/>
      <c r="M322" s="173"/>
      <c r="N322" s="173"/>
      <c r="O322" s="173"/>
      <c r="P322" s="174"/>
      <c r="Q322" s="2"/>
    </row>
    <row r="323" spans="1:17" x14ac:dyDescent="0.2">
      <c r="A323" s="340" t="s">
        <v>175</v>
      </c>
      <c r="B323" s="340"/>
      <c r="C323" s="340"/>
      <c r="D323" s="13">
        <f>GETPIVOTDATA("Phase Net Units",'14'!$A$1,"Status","03 Planning","Ward (2022)",A323)</f>
        <v>466</v>
      </c>
      <c r="E323" s="345">
        <f>GETPIVOTDATA("Phase Net Units",'14'!$A$1,"Status","02 Under Construction","Ward (2022)",A323)</f>
        <v>195</v>
      </c>
      <c r="F323" s="345"/>
      <c r="G323" s="345">
        <f>GETPIVOTDATA("Phase Net Units",'14'!$A$1,"Status","01 Completion","Ward (2022)",A323)</f>
        <v>18</v>
      </c>
      <c r="H323" s="345"/>
      <c r="I323" s="180"/>
      <c r="J323" s="173"/>
      <c r="K323" s="173"/>
      <c r="L323" s="173"/>
      <c r="M323" s="173"/>
      <c r="N323" s="173"/>
      <c r="O323" s="173"/>
      <c r="P323" s="174"/>
      <c r="Q323" s="2"/>
    </row>
    <row r="324" spans="1:17" x14ac:dyDescent="0.2">
      <c r="A324" s="340" t="s">
        <v>176</v>
      </c>
      <c r="B324" s="340"/>
      <c r="C324" s="340"/>
      <c r="D324" s="13">
        <f>GETPIVOTDATA("Phase Net Units",'14'!$A$1,"Status","03 Planning","Ward (2022)",A324)</f>
        <v>93</v>
      </c>
      <c r="E324" s="345">
        <f>GETPIVOTDATA("Phase Net Units",'14'!$A$1,"Status","02 Under Construction","Ward (2022)",A324)</f>
        <v>370</v>
      </c>
      <c r="F324" s="345"/>
      <c r="G324" s="345">
        <f>GETPIVOTDATA("Phase Net Units",'14'!$A$1,"Status","01 Completion","Ward (2022)",A324)</f>
        <v>215</v>
      </c>
      <c r="H324" s="345"/>
      <c r="I324" s="180"/>
      <c r="J324" s="173"/>
      <c r="K324" s="173"/>
      <c r="L324" s="173"/>
      <c r="M324" s="173"/>
      <c r="N324" s="173"/>
      <c r="O324" s="173"/>
      <c r="P324" s="174"/>
      <c r="Q324" s="2"/>
    </row>
    <row r="325" spans="1:17" x14ac:dyDescent="0.2">
      <c r="A325" s="340" t="s">
        <v>177</v>
      </c>
      <c r="B325" s="340"/>
      <c r="C325" s="340"/>
      <c r="D325" s="13">
        <f>GETPIVOTDATA("Phase Net Units",'14'!$A$1,"Status","03 Planning","Ward (2022)",A325)</f>
        <v>536</v>
      </c>
      <c r="E325" s="345">
        <f>GETPIVOTDATA("Phase Net Units",'14'!$A$1,"Status","02 Under Construction","Ward (2022)",A325)</f>
        <v>58</v>
      </c>
      <c r="F325" s="345"/>
      <c r="G325" s="345">
        <f>GETPIVOTDATA("Phase Net Units",'14'!$A$1,"Status","01 Completion","Ward (2022)",A325)</f>
        <v>20</v>
      </c>
      <c r="H325" s="345"/>
      <c r="I325" s="180"/>
      <c r="J325" s="173"/>
      <c r="K325" s="173"/>
      <c r="L325" s="173"/>
      <c r="M325" s="173"/>
      <c r="N325" s="173"/>
      <c r="O325" s="173"/>
      <c r="P325" s="174"/>
      <c r="Q325" s="2"/>
    </row>
    <row r="326" spans="1:17" x14ac:dyDescent="0.2">
      <c r="A326" s="340" t="s">
        <v>178</v>
      </c>
      <c r="B326" s="340"/>
      <c r="C326" s="340"/>
      <c r="D326" s="13">
        <f>GETPIVOTDATA("Phase Net Units",'14'!$A$1,"Status","03 Planning","Ward (2022)",A326)</f>
        <v>27</v>
      </c>
      <c r="E326" s="345">
        <f>GETPIVOTDATA("Phase Net Units",'14'!$A$1,"Status","02 Under Construction","Ward (2022)",A326)</f>
        <v>19</v>
      </c>
      <c r="F326" s="345"/>
      <c r="G326" s="345">
        <f>GETPIVOTDATA("Phase Net Units",'14'!$A$1,"Status","01 Completion","Ward (2022)",A326)</f>
        <v>1</v>
      </c>
      <c r="H326" s="345"/>
      <c r="I326" s="180"/>
      <c r="J326" s="173"/>
      <c r="K326" s="173"/>
      <c r="L326" s="173"/>
      <c r="M326" s="173"/>
      <c r="N326" s="173"/>
      <c r="O326" s="173"/>
      <c r="P326" s="174"/>
      <c r="Q326" s="2"/>
    </row>
    <row r="327" spans="1:17" x14ac:dyDescent="0.2">
      <c r="A327" s="340" t="s">
        <v>179</v>
      </c>
      <c r="B327" s="340"/>
      <c r="C327" s="340"/>
      <c r="D327" s="13">
        <f>GETPIVOTDATA("Phase Net Units",'14'!$A$1,"Status","03 Planning","Ward (2022)",A327)</f>
        <v>40</v>
      </c>
      <c r="E327" s="345">
        <f>GETPIVOTDATA("Phase Net Units",'14'!$A$1,"Status","02 Under Construction","Ward (2022)",A327)</f>
        <v>5</v>
      </c>
      <c r="F327" s="345"/>
      <c r="G327" s="345">
        <f>GETPIVOTDATA("Phase Net Units",'14'!$A$1,"Status","01 Completion","Ward (2022)",A327)</f>
        <v>2</v>
      </c>
      <c r="H327" s="345"/>
      <c r="I327" s="180"/>
      <c r="J327" s="173"/>
      <c r="K327" s="173"/>
      <c r="L327" s="173"/>
      <c r="M327" s="173"/>
      <c r="N327" s="173"/>
      <c r="O327" s="173"/>
      <c r="P327" s="174"/>
      <c r="Q327" s="2"/>
    </row>
    <row r="328" spans="1:17" x14ac:dyDescent="0.2">
      <c r="A328" s="379" t="s">
        <v>50</v>
      </c>
      <c r="B328" s="379"/>
      <c r="C328" s="379"/>
      <c r="D328" s="24">
        <f>SUM(D306:D327)</f>
        <v>8044</v>
      </c>
      <c r="E328" s="382">
        <f t="shared" ref="E328" si="49">SUM(E306:E327)</f>
        <v>4701</v>
      </c>
      <c r="F328" s="382"/>
      <c r="G328" s="382">
        <f>SUM(G306:G327)</f>
        <v>2662</v>
      </c>
      <c r="H328" s="382"/>
      <c r="I328" s="180"/>
      <c r="J328" s="173"/>
      <c r="K328" s="173"/>
      <c r="L328" s="173"/>
      <c r="M328" s="173"/>
      <c r="N328" s="173"/>
      <c r="O328" s="173"/>
      <c r="P328" s="174"/>
      <c r="Q328" s="2"/>
    </row>
    <row r="329" spans="1:17" x14ac:dyDescent="0.2">
      <c r="A329" s="3"/>
      <c r="B329" s="3"/>
      <c r="C329" s="189"/>
      <c r="D329" s="202"/>
      <c r="E329" s="202"/>
      <c r="F329" s="202"/>
      <c r="G329" s="202"/>
      <c r="H329" s="202"/>
      <c r="I329" s="180"/>
      <c r="J329" s="173"/>
      <c r="K329" s="173"/>
      <c r="L329" s="173"/>
      <c r="M329" s="173"/>
      <c r="N329" s="173"/>
      <c r="O329" s="173"/>
      <c r="P329" s="174"/>
      <c r="Q329" s="2"/>
    </row>
    <row r="330" spans="1:17" x14ac:dyDescent="0.2">
      <c r="A330" s="203" t="s">
        <v>180</v>
      </c>
      <c r="B330" s="3"/>
      <c r="C330" s="189"/>
      <c r="D330" s="202"/>
      <c r="E330" s="202"/>
      <c r="F330" s="202"/>
      <c r="G330" s="202"/>
      <c r="H330" s="202"/>
      <c r="I330" s="202"/>
      <c r="J330" s="3"/>
      <c r="K330" s="3"/>
      <c r="L330" s="173"/>
      <c r="M330" s="173"/>
      <c r="N330" s="173"/>
      <c r="O330" s="173"/>
      <c r="P330" s="174"/>
      <c r="Q330" s="2"/>
    </row>
    <row r="331" spans="1:17" x14ac:dyDescent="0.2">
      <c r="A331" s="6" t="s">
        <v>181</v>
      </c>
      <c r="B331" s="6" t="s">
        <v>182</v>
      </c>
      <c r="C331" s="189"/>
      <c r="D331" s="202"/>
      <c r="E331" s="202"/>
      <c r="F331" s="202"/>
      <c r="G331" s="202"/>
      <c r="H331" s="202"/>
      <c r="I331" s="202"/>
      <c r="J331" s="3"/>
      <c r="K331" s="3"/>
      <c r="L331" s="173"/>
      <c r="M331" s="173"/>
      <c r="N331" s="173"/>
      <c r="O331" s="173"/>
      <c r="P331" s="174"/>
      <c r="Q331" s="2"/>
    </row>
    <row r="332" spans="1:17" x14ac:dyDescent="0.2">
      <c r="A332" s="363"/>
      <c r="B332" s="363"/>
      <c r="C332" s="309" t="s">
        <v>159</v>
      </c>
      <c r="D332" s="381"/>
      <c r="E332" s="381"/>
      <c r="F332" s="358" t="s">
        <v>59</v>
      </c>
      <c r="G332" s="358"/>
      <c r="H332" s="358"/>
      <c r="I332" s="358" t="s">
        <v>104</v>
      </c>
      <c r="J332" s="358"/>
      <c r="K332" s="358"/>
      <c r="L332" s="173"/>
      <c r="M332" s="173"/>
      <c r="N332" s="173"/>
      <c r="O332" s="173"/>
      <c r="P332" s="174"/>
      <c r="Q332" s="2"/>
    </row>
    <row r="333" spans="1:17" x14ac:dyDescent="0.2">
      <c r="A333" s="380"/>
      <c r="B333" s="380"/>
      <c r="C333" s="36" t="s">
        <v>183</v>
      </c>
      <c r="D333" s="36" t="s">
        <v>71</v>
      </c>
      <c r="E333" s="36" t="s">
        <v>50</v>
      </c>
      <c r="F333" s="36" t="s">
        <v>183</v>
      </c>
      <c r="G333" s="36" t="s">
        <v>71</v>
      </c>
      <c r="H333" s="36" t="s">
        <v>50</v>
      </c>
      <c r="I333" s="36" t="s">
        <v>183</v>
      </c>
      <c r="J333" s="36" t="s">
        <v>71</v>
      </c>
      <c r="K333" s="36" t="s">
        <v>50</v>
      </c>
      <c r="L333" s="173"/>
      <c r="M333" s="173"/>
      <c r="N333" s="173"/>
      <c r="O333" s="173"/>
      <c r="P333" s="174"/>
      <c r="Q333" s="2"/>
    </row>
    <row r="334" spans="1:17" x14ac:dyDescent="0.2">
      <c r="A334" s="328" t="s">
        <v>184</v>
      </c>
      <c r="B334" s="328"/>
      <c r="C334" s="13">
        <f>GETPIVOTDATA("Phase Net Units",'15'!$A$1,"Status","03 Planning","Tenure","Open Market","VNEB","Y")</f>
        <v>2572</v>
      </c>
      <c r="D334" s="13">
        <f>GETPIVOTDATA("Phase Net Units",'15'!$A$1,"Status","03 Planning","Tenure","Intermediate","VNEB","Y")+GETPIVOTDATA("Phase Net Units",'15'!$A$1,"Status","03 Planning","Tenure","Social/Affordable Rent","VNEB","Y")</f>
        <v>847</v>
      </c>
      <c r="E334" s="13">
        <f>C334+D334</f>
        <v>3419</v>
      </c>
      <c r="F334" s="13">
        <f>GETPIVOTDATA("Phase Net Units",'15'!$A$1,"Status","02 Under Construction","Tenure","Open Market","VNEB","Y")</f>
        <v>2317</v>
      </c>
      <c r="G334" s="13">
        <f>GETPIVOTDATA("Phase Net Units",'15'!$A$1,"Status","02 Under Construction","Tenure","Intermediate","VNEB","Y")+GETPIVOTDATA("Phase Net Units",'15'!$A$1,"Status","02 Under Construction","Tenure","Social/Affordable Rent","VNEB","Y")</f>
        <v>284</v>
      </c>
      <c r="H334" s="13">
        <f>F334+G334</f>
        <v>2601</v>
      </c>
      <c r="I334" s="13">
        <f>GETPIVOTDATA("Phase Net Units",'15'!$A$1,"Status","01 Completion","Tenure","Open Market","VNEB","Y")</f>
        <v>1309</v>
      </c>
      <c r="J334" s="13">
        <f>GETPIVOTDATA("Phase Net Units",'15'!$A$1,"Status","01 Completion","Tenure","Intermediate","VNEB","Y")+GETPIVOTDATA("Phase Net Units",'15'!$A$1,"Status","01 Completion","Tenure","Social/Affordable Rent","VNEB","Y")</f>
        <v>438</v>
      </c>
      <c r="K334" s="13">
        <f>I334+J334</f>
        <v>1747</v>
      </c>
      <c r="L334" s="173"/>
      <c r="M334" s="173"/>
      <c r="N334" s="173"/>
      <c r="O334" s="173"/>
      <c r="P334" s="174"/>
      <c r="Q334" s="2"/>
    </row>
    <row r="335" spans="1:17" x14ac:dyDescent="0.2">
      <c r="A335" s="328" t="s">
        <v>185</v>
      </c>
      <c r="B335" s="328"/>
      <c r="C335" s="13">
        <f>GETPIVOTDATA("Phase Net Units",'15'!$A$1,"Status","03 Planning","Tenure","Open Market","VNEB",)</f>
        <v>3854</v>
      </c>
      <c r="D335" s="13">
        <f>GETPIVOTDATA("Phase Net Units",'15'!$A$1,"Status","03 Planning","Tenure","Intermediate","VNEB",)+GETPIVOTDATA("Phase Net Units",'15'!$A$1,"Status","03 Planning","Tenure","Social/Affordable Rent","VNEB",)</f>
        <v>771</v>
      </c>
      <c r="E335" s="13">
        <f>C335+D335</f>
        <v>4625</v>
      </c>
      <c r="F335" s="13">
        <f>GETPIVOTDATA("Phase Net Units",'15'!$A$1,"Status","02 Under Construction","Tenure","Open Market","VNEB",)</f>
        <v>1425</v>
      </c>
      <c r="G335" s="13">
        <f>GETPIVOTDATA("Phase Net Units",'15'!$A$1,"Status","02 Under Construction","Tenure","Intermediate","VNEB",)+GETPIVOTDATA("Phase Net Units",'15'!$A$1,"Status","02 Under Construction","Tenure","Social/Affordable Rent","VNEB",)</f>
        <v>676</v>
      </c>
      <c r="H335" s="13">
        <f>F335+G335</f>
        <v>2101</v>
      </c>
      <c r="I335" s="13">
        <f>GETPIVOTDATA("Phase Net Units",'15'!$A$1,"Status","01 Completion","Tenure","Open Market","VNEB",)</f>
        <v>529</v>
      </c>
      <c r="J335" s="13">
        <f>GETPIVOTDATA("Phase Net Units",'15'!$A$1,"Status","01 Completion","Tenure","Intermediate","VNEB",)+GETPIVOTDATA("Phase Net Units",'15'!$A$1,"Status","01 Completion","Tenure","Social/Affordable Rent","VNEB",)</f>
        <v>386</v>
      </c>
      <c r="K335" s="13">
        <f>I335+J335</f>
        <v>915</v>
      </c>
      <c r="L335" s="173"/>
      <c r="M335" s="173"/>
      <c r="N335" s="173"/>
      <c r="O335" s="173"/>
      <c r="P335" s="174"/>
      <c r="Q335" s="2"/>
    </row>
    <row r="336" spans="1:17" x14ac:dyDescent="0.2">
      <c r="A336" s="339" t="s">
        <v>50</v>
      </c>
      <c r="B336" s="339"/>
      <c r="C336" s="24">
        <f t="shared" ref="C336:J336" si="50">SUM(C334:C335)</f>
        <v>6426</v>
      </c>
      <c r="D336" s="24">
        <f t="shared" si="50"/>
        <v>1618</v>
      </c>
      <c r="E336" s="24">
        <f t="shared" si="50"/>
        <v>8044</v>
      </c>
      <c r="F336" s="24">
        <f t="shared" si="50"/>
        <v>3742</v>
      </c>
      <c r="G336" s="24">
        <f t="shared" si="50"/>
        <v>960</v>
      </c>
      <c r="H336" s="24">
        <f t="shared" si="50"/>
        <v>4702</v>
      </c>
      <c r="I336" s="24">
        <f t="shared" si="50"/>
        <v>1838</v>
      </c>
      <c r="J336" s="24">
        <f t="shared" si="50"/>
        <v>824</v>
      </c>
      <c r="K336" s="24">
        <f>SUM(K334:K335)</f>
        <v>2662</v>
      </c>
      <c r="L336" s="173"/>
      <c r="M336" s="173"/>
      <c r="N336" s="173"/>
      <c r="O336" s="173"/>
      <c r="P336" s="174"/>
      <c r="Q336" s="2"/>
    </row>
    <row r="337" spans="1:17" x14ac:dyDescent="0.2">
      <c r="A337" s="182"/>
      <c r="B337" s="182"/>
      <c r="C337" s="183"/>
      <c r="D337" s="183"/>
      <c r="E337" s="183"/>
      <c r="F337" s="183"/>
      <c r="G337" s="183"/>
      <c r="H337" s="183"/>
      <c r="I337" s="183"/>
      <c r="J337" s="183"/>
      <c r="K337" s="183"/>
      <c r="L337" s="173"/>
      <c r="M337" s="173"/>
      <c r="N337" s="173"/>
      <c r="O337" s="173"/>
      <c r="P337" s="174"/>
      <c r="Q337" s="2"/>
    </row>
    <row r="338" spans="1:17" ht="15.75" x14ac:dyDescent="0.25">
      <c r="A338" s="71" t="s">
        <v>186</v>
      </c>
      <c r="B338" s="3"/>
      <c r="C338" s="3"/>
      <c r="D338" s="3"/>
      <c r="E338" s="3"/>
      <c r="F338" s="3"/>
      <c r="G338" s="3"/>
      <c r="H338" s="3"/>
      <c r="I338" s="3"/>
      <c r="J338" s="3"/>
      <c r="K338" s="173"/>
      <c r="L338" s="184"/>
      <c r="M338" s="173"/>
      <c r="N338" s="173"/>
      <c r="O338" s="173"/>
      <c r="P338" s="174"/>
      <c r="Q338" s="2"/>
    </row>
    <row r="339" spans="1:17" x14ac:dyDescent="0.2">
      <c r="A339" s="3"/>
      <c r="B339" s="3"/>
      <c r="C339" s="3"/>
      <c r="D339" s="3"/>
      <c r="E339" s="3"/>
      <c r="F339" s="3"/>
      <c r="G339" s="3"/>
      <c r="H339" s="3"/>
      <c r="I339" s="3"/>
      <c r="J339" s="3"/>
      <c r="K339" s="173"/>
      <c r="L339" s="173"/>
      <c r="M339" s="173"/>
      <c r="N339" s="173"/>
      <c r="O339" s="173"/>
      <c r="P339" s="174"/>
      <c r="Q339" s="2"/>
    </row>
    <row r="340" spans="1:17" x14ac:dyDescent="0.2">
      <c r="A340" s="6" t="s">
        <v>187</v>
      </c>
      <c r="B340" s="6" t="s">
        <v>188</v>
      </c>
      <c r="C340" s="3"/>
      <c r="D340" s="3"/>
      <c r="E340" s="3"/>
      <c r="F340" s="3"/>
      <c r="G340" s="3"/>
      <c r="H340" s="3"/>
      <c r="I340" s="3"/>
      <c r="J340" s="204"/>
      <c r="K340" s="173"/>
      <c r="L340" s="177"/>
      <c r="M340" s="173"/>
      <c r="N340" s="173"/>
      <c r="O340" s="173"/>
      <c r="P340" s="174"/>
      <c r="Q340" s="2"/>
    </row>
    <row r="341" spans="1:17" x14ac:dyDescent="0.2">
      <c r="A341" s="377" t="s">
        <v>133</v>
      </c>
      <c r="B341" s="378"/>
      <c r="C341" s="36" t="s">
        <v>189</v>
      </c>
      <c r="D341" s="36" t="s">
        <v>190</v>
      </c>
      <c r="E341" s="36" t="s">
        <v>191</v>
      </c>
      <c r="F341" s="36" t="s">
        <v>192</v>
      </c>
      <c r="G341" s="36" t="s">
        <v>193</v>
      </c>
      <c r="H341" s="36" t="s">
        <v>194</v>
      </c>
      <c r="I341" s="36" t="s">
        <v>195</v>
      </c>
      <c r="J341" s="36" t="s">
        <v>50</v>
      </c>
      <c r="K341" s="173"/>
      <c r="L341" s="173"/>
      <c r="M341" s="173"/>
      <c r="N341" s="173"/>
      <c r="O341" s="173"/>
      <c r="P341" s="174"/>
      <c r="Q341" s="2"/>
    </row>
    <row r="342" spans="1:17" x14ac:dyDescent="0.2">
      <c r="A342" s="366" t="s">
        <v>183</v>
      </c>
      <c r="B342" s="366"/>
      <c r="C342" s="13">
        <f>GETPIVOTDATA("Sum of Net Studio Units",'16'!$A$1,"Tenure","Open Market")</f>
        <v>164</v>
      </c>
      <c r="D342" s="13">
        <f>GETPIVOTDATA("Sum of Net 1 Bed Units",'16'!$A$1,"Tenure","Open Market")</f>
        <v>416</v>
      </c>
      <c r="E342" s="13">
        <f>GETPIVOTDATA("Sum of Net 2 Bed Units",'16'!$A$1,"Tenure","Open Market")</f>
        <v>859</v>
      </c>
      <c r="F342" s="13">
        <f>GETPIVOTDATA("Sum of Net 3 Bed Units",'16'!$A$1,"Tenure","Open Market")</f>
        <v>255</v>
      </c>
      <c r="G342" s="13">
        <f>GETPIVOTDATA("Sum of Net 4 Bed Units",'16'!$A$1,"Tenure","Open Market")</f>
        <v>36</v>
      </c>
      <c r="H342" s="13">
        <f>GETPIVOTDATA("Sum of Net 5+ Bed Units",'16'!$A$1,"Tenure","Open Market")</f>
        <v>4</v>
      </c>
      <c r="I342" s="13">
        <f>GETPIVOTDATA("Sum of Net Not Known Bed Units",'16'!$A$1,"Tenure","Open Market")</f>
        <v>0</v>
      </c>
      <c r="J342" s="13">
        <f t="shared" ref="J342:J349" si="51">SUM(C342:I342)</f>
        <v>1734</v>
      </c>
      <c r="K342" s="173"/>
      <c r="L342" s="173"/>
      <c r="M342" s="173"/>
      <c r="N342" s="173"/>
      <c r="O342" s="173"/>
      <c r="P342" s="174"/>
      <c r="Q342" s="2"/>
    </row>
    <row r="343" spans="1:17" x14ac:dyDescent="0.2">
      <c r="A343" s="366"/>
      <c r="B343" s="366"/>
      <c r="C343" s="14">
        <f t="shared" ref="C343:I343" si="52">C342/$J$342</f>
        <v>9.4579008073817764E-2</v>
      </c>
      <c r="D343" s="14">
        <f t="shared" si="52"/>
        <v>0.23990772779700115</v>
      </c>
      <c r="E343" s="14">
        <f t="shared" si="52"/>
        <v>0.49538638985005767</v>
      </c>
      <c r="F343" s="14">
        <f t="shared" si="52"/>
        <v>0.14705882352941177</v>
      </c>
      <c r="G343" s="14">
        <f t="shared" si="52"/>
        <v>2.0761245674740483E-2</v>
      </c>
      <c r="H343" s="14">
        <f t="shared" si="52"/>
        <v>2.306805074971165E-3</v>
      </c>
      <c r="I343" s="14">
        <f t="shared" si="52"/>
        <v>0</v>
      </c>
      <c r="J343" s="14">
        <f t="shared" si="51"/>
        <v>1</v>
      </c>
      <c r="K343" s="173"/>
      <c r="L343" s="173"/>
      <c r="M343" s="173"/>
      <c r="N343" s="173"/>
      <c r="O343" s="173"/>
      <c r="P343" s="174"/>
      <c r="Q343" s="2"/>
    </row>
    <row r="344" spans="1:17" x14ac:dyDescent="0.2">
      <c r="A344" s="366" t="s">
        <v>48</v>
      </c>
      <c r="B344" s="366"/>
      <c r="C344" s="13">
        <f>GETPIVOTDATA("Sum of Net Studio Units",'16'!$A$1,"Tenure","Intermediate")</f>
        <v>0</v>
      </c>
      <c r="D344" s="13">
        <f>GETPIVOTDATA("Sum of Net 1 Bed Units",'16'!$A$1,"Tenure","Intermediate")</f>
        <v>161</v>
      </c>
      <c r="E344" s="13">
        <f>GETPIVOTDATA("Sum of Net 2 Bed Units",'16'!$A$1,"Tenure","Intermediate")</f>
        <v>277</v>
      </c>
      <c r="F344" s="13">
        <f>GETPIVOTDATA("Sum of Net 3 Bed Units",'16'!$A$1,"Tenure","Intermediate")</f>
        <v>10</v>
      </c>
      <c r="G344" s="13">
        <f>GETPIVOTDATA("Sum of Net 4 Bed Units",'16'!$A$1,"Tenure","Intermediate")</f>
        <v>0</v>
      </c>
      <c r="H344" s="13">
        <f>GETPIVOTDATA("Sum of Net 5+ Bed Units",'16'!$A$1,"Tenure","Intermediate")</f>
        <v>0</v>
      </c>
      <c r="I344" s="13">
        <f>GETPIVOTDATA("Sum of Net Not Known Bed Units",'16'!$A$1,"Tenure","Intermediate")</f>
        <v>-8</v>
      </c>
      <c r="J344" s="13">
        <f t="shared" si="51"/>
        <v>440</v>
      </c>
      <c r="K344" s="173"/>
      <c r="L344" s="174"/>
      <c r="M344" s="174"/>
      <c r="N344" s="174"/>
      <c r="O344" s="174"/>
      <c r="P344" s="174"/>
      <c r="Q344" s="2"/>
    </row>
    <row r="345" spans="1:17" x14ac:dyDescent="0.2">
      <c r="A345" s="366"/>
      <c r="B345" s="366"/>
      <c r="C345" s="14">
        <f t="shared" ref="C345:I345" si="53">C344/$J$344</f>
        <v>0</v>
      </c>
      <c r="D345" s="14">
        <f t="shared" si="53"/>
        <v>0.36590909090909091</v>
      </c>
      <c r="E345" s="14">
        <f t="shared" si="53"/>
        <v>0.62954545454545452</v>
      </c>
      <c r="F345" s="14">
        <f t="shared" si="53"/>
        <v>2.2727272727272728E-2</v>
      </c>
      <c r="G345" s="14">
        <f t="shared" si="53"/>
        <v>0</v>
      </c>
      <c r="H345" s="14">
        <f t="shared" si="53"/>
        <v>0</v>
      </c>
      <c r="I345" s="14">
        <f t="shared" si="53"/>
        <v>-1.8181818181818181E-2</v>
      </c>
      <c r="J345" s="14">
        <f>SUM(C345:I345)</f>
        <v>0.99999999999999989</v>
      </c>
      <c r="K345" s="173"/>
      <c r="L345" s="173"/>
      <c r="M345" s="173"/>
      <c r="N345" s="173"/>
      <c r="O345" s="173"/>
      <c r="P345" s="174"/>
      <c r="Q345" s="2"/>
    </row>
    <row r="346" spans="1:17" x14ac:dyDescent="0.2">
      <c r="A346" s="366" t="s">
        <v>49</v>
      </c>
      <c r="B346" s="366"/>
      <c r="C346" s="13">
        <f>GETPIVOTDATA("Sum of Net Studio Units",'16'!$A$1,"Tenure","Social/Affordable Rent")</f>
        <v>1</v>
      </c>
      <c r="D346" s="13">
        <f>GETPIVOTDATA("Sum of Net 1 Bed Units",'16'!$A$1,"Tenure","Social/Affordable Rent")</f>
        <v>132</v>
      </c>
      <c r="E346" s="13">
        <f>GETPIVOTDATA("Sum of Net 2 Bed Units",'16'!$A$1,"Tenure","Social/Affordable Rent")</f>
        <v>170</v>
      </c>
      <c r="F346" s="13">
        <f>GETPIVOTDATA("Sum of Net 3 Bed Units",'16'!$A$1,"Tenure","Social/Affordable Rent")</f>
        <v>102</v>
      </c>
      <c r="G346" s="13">
        <f>GETPIVOTDATA("Sum of Net 4 Bed Units",'16'!$A$1,"Tenure","Social/Affordable Rent")</f>
        <v>43</v>
      </c>
      <c r="H346" s="13">
        <f>GETPIVOTDATA("Sum of Net 5+ Bed Units",'16'!$A$1,"Tenure","Social/Affordable Rent")</f>
        <v>0</v>
      </c>
      <c r="I346" s="13">
        <f>GETPIVOTDATA("Sum of Net Not Known Bed Units",'16'!$A$1,"Tenure","Social/Affordable Rent")</f>
        <v>-63</v>
      </c>
      <c r="J346" s="13">
        <f t="shared" si="51"/>
        <v>385</v>
      </c>
      <c r="K346" s="173"/>
      <c r="L346" s="173"/>
      <c r="M346" s="173"/>
      <c r="N346" s="173"/>
      <c r="O346" s="173"/>
      <c r="P346" s="174"/>
      <c r="Q346" s="2"/>
    </row>
    <row r="347" spans="1:17" x14ac:dyDescent="0.2">
      <c r="A347" s="366"/>
      <c r="B347" s="366"/>
      <c r="C347" s="14">
        <f t="shared" ref="C347:I347" si="54">C346/$J$346</f>
        <v>2.5974025974025974E-3</v>
      </c>
      <c r="D347" s="14">
        <f t="shared" si="54"/>
        <v>0.34285714285714286</v>
      </c>
      <c r="E347" s="14">
        <f t="shared" si="54"/>
        <v>0.44155844155844154</v>
      </c>
      <c r="F347" s="14">
        <f t="shared" si="54"/>
        <v>0.26493506493506491</v>
      </c>
      <c r="G347" s="14">
        <f t="shared" si="54"/>
        <v>0.11168831168831168</v>
      </c>
      <c r="H347" s="14">
        <f t="shared" si="54"/>
        <v>0</v>
      </c>
      <c r="I347" s="14">
        <f t="shared" si="54"/>
        <v>-0.16363636363636364</v>
      </c>
      <c r="J347" s="14">
        <f t="shared" si="51"/>
        <v>1</v>
      </c>
      <c r="K347" s="173"/>
      <c r="L347" s="173"/>
      <c r="M347" s="173"/>
      <c r="N347" s="173"/>
      <c r="O347" s="173"/>
      <c r="P347" s="174"/>
      <c r="Q347" s="2"/>
    </row>
    <row r="348" spans="1:17" x14ac:dyDescent="0.2">
      <c r="A348" s="367" t="s">
        <v>50</v>
      </c>
      <c r="B348" s="367"/>
      <c r="C348" s="24">
        <f>SUM(C342,C344,C346)</f>
        <v>165</v>
      </c>
      <c r="D348" s="24">
        <f t="shared" ref="D348:I348" si="55">SUM(D342,D344,D346)</f>
        <v>709</v>
      </c>
      <c r="E348" s="24">
        <f t="shared" si="55"/>
        <v>1306</v>
      </c>
      <c r="F348" s="24">
        <f t="shared" si="55"/>
        <v>367</v>
      </c>
      <c r="G348" s="24">
        <f t="shared" si="55"/>
        <v>79</v>
      </c>
      <c r="H348" s="24">
        <f t="shared" si="55"/>
        <v>4</v>
      </c>
      <c r="I348" s="24">
        <f t="shared" si="55"/>
        <v>-71</v>
      </c>
      <c r="J348" s="24">
        <f>SUM(C348:I348)</f>
        <v>2559</v>
      </c>
      <c r="K348" s="173"/>
      <c r="L348" s="173"/>
      <c r="M348" s="173"/>
      <c r="N348" s="173"/>
      <c r="O348" s="173"/>
      <c r="P348" s="174"/>
      <c r="Q348" s="2"/>
    </row>
    <row r="349" spans="1:17" x14ac:dyDescent="0.2">
      <c r="A349" s="367"/>
      <c r="B349" s="367"/>
      <c r="C349" s="11">
        <f t="shared" ref="C349:I349" si="56">C348/$J$348</f>
        <v>6.4478311840562713E-2</v>
      </c>
      <c r="D349" s="17">
        <f t="shared" si="56"/>
        <v>0.27706135209066041</v>
      </c>
      <c r="E349" s="17">
        <f t="shared" si="56"/>
        <v>0.51035560765924193</v>
      </c>
      <c r="F349" s="17">
        <f t="shared" si="56"/>
        <v>0.14341539663931224</v>
      </c>
      <c r="G349" s="17">
        <f t="shared" si="56"/>
        <v>3.0871434153966391E-2</v>
      </c>
      <c r="H349" s="17">
        <f t="shared" si="56"/>
        <v>1.5631105900742479E-3</v>
      </c>
      <c r="I349" s="17">
        <f t="shared" si="56"/>
        <v>-2.7745212973817896E-2</v>
      </c>
      <c r="J349" s="17">
        <f t="shared" si="51"/>
        <v>0.99999999999999989</v>
      </c>
      <c r="K349" s="173"/>
      <c r="L349" s="173"/>
      <c r="M349" s="173"/>
      <c r="N349" s="173"/>
      <c r="O349" s="173"/>
      <c r="P349" s="174"/>
      <c r="Q349" s="2"/>
    </row>
    <row r="350" spans="1:17" x14ac:dyDescent="0.2">
      <c r="A350" s="3"/>
      <c r="B350" s="205"/>
      <c r="C350" s="205"/>
      <c r="D350" s="205"/>
      <c r="E350" s="205"/>
      <c r="F350" s="205"/>
      <c r="G350" s="205"/>
      <c r="H350" s="205"/>
      <c r="I350" s="3"/>
      <c r="J350" s="3"/>
      <c r="K350" s="173"/>
      <c r="L350" s="173"/>
      <c r="M350" s="173"/>
      <c r="N350" s="173"/>
      <c r="O350" s="173"/>
      <c r="P350" s="174"/>
      <c r="Q350" s="2"/>
    </row>
    <row r="351" spans="1:17" x14ac:dyDescent="0.2">
      <c r="A351" s="174"/>
      <c r="B351" s="174"/>
      <c r="C351" s="174"/>
      <c r="D351" s="174"/>
      <c r="E351" s="174"/>
      <c r="F351" s="174"/>
      <c r="G351" s="174"/>
      <c r="H351" s="174"/>
      <c r="I351" s="174"/>
      <c r="J351" s="174"/>
      <c r="K351" s="174"/>
      <c r="L351" s="173"/>
      <c r="M351" s="173"/>
      <c r="N351" s="173"/>
      <c r="O351" s="173"/>
      <c r="P351" s="174"/>
      <c r="Q351" s="2"/>
    </row>
    <row r="352" spans="1:17" x14ac:dyDescent="0.2">
      <c r="A352" s="6" t="s">
        <v>196</v>
      </c>
      <c r="B352" s="6" t="s">
        <v>197</v>
      </c>
      <c r="C352" s="3"/>
      <c r="D352" s="3"/>
      <c r="E352" s="3"/>
      <c r="F352" s="3"/>
      <c r="G352" s="3"/>
      <c r="H352" s="3"/>
      <c r="I352" s="3"/>
      <c r="J352" s="204"/>
      <c r="K352" s="173"/>
      <c r="L352" s="184"/>
      <c r="M352" s="173"/>
      <c r="N352" s="173"/>
      <c r="O352" s="173"/>
      <c r="P352" s="174"/>
      <c r="Q352" s="2"/>
    </row>
    <row r="353" spans="1:17" x14ac:dyDescent="0.2">
      <c r="A353" s="377" t="s">
        <v>133</v>
      </c>
      <c r="B353" s="378"/>
      <c r="C353" s="36" t="s">
        <v>189</v>
      </c>
      <c r="D353" s="36" t="s">
        <v>190</v>
      </c>
      <c r="E353" s="36" t="s">
        <v>191</v>
      </c>
      <c r="F353" s="36" t="s">
        <v>192</v>
      </c>
      <c r="G353" s="36" t="s">
        <v>193</v>
      </c>
      <c r="H353" s="36" t="s">
        <v>194</v>
      </c>
      <c r="I353" s="36" t="s">
        <v>195</v>
      </c>
      <c r="J353" s="36" t="s">
        <v>50</v>
      </c>
      <c r="K353" s="173"/>
      <c r="L353" s="173"/>
      <c r="M353" s="173"/>
      <c r="N353" s="173"/>
      <c r="O353" s="173"/>
      <c r="P353" s="174"/>
      <c r="Q353" s="2"/>
    </row>
    <row r="354" spans="1:17" x14ac:dyDescent="0.2">
      <c r="A354" s="366" t="s">
        <v>183</v>
      </c>
      <c r="B354" s="366"/>
      <c r="C354" s="13">
        <f>GETPIVOTDATA("Sum of Net Studio Units",'17'!$A$1,"Tenure","Open Market")</f>
        <v>456</v>
      </c>
      <c r="D354" s="13">
        <f>GETPIVOTDATA("Sum of Net 1 Bed Units",'17'!$A$1,"Tenure","Open Market")</f>
        <v>2444</v>
      </c>
      <c r="E354" s="13">
        <f>GETPIVOTDATA("Sum of Net 2 Bed Units",'17'!$A$1,"Tenure","Open Market")</f>
        <v>3494</v>
      </c>
      <c r="F354" s="13">
        <f>GETPIVOTDATA("Sum of Net 3 Bed Units",'17'!$A$1,"Tenure","Open Market")</f>
        <v>1109</v>
      </c>
      <c r="G354" s="13">
        <f>GETPIVOTDATA("Sum of Net 4 Bed Units",'17'!$A$1,"Tenure","Open Market")</f>
        <v>98</v>
      </c>
      <c r="H354" s="13">
        <f>GETPIVOTDATA("Sum of Net 5+ Bed Units",'17'!$A$1,"Tenure","Open Market")</f>
        <v>170</v>
      </c>
      <c r="I354" s="13">
        <f>GETPIVOTDATA("Sum of Net Not Known Bed Units",'17'!$A$1,"Tenure","Open Market")</f>
        <v>1700</v>
      </c>
      <c r="J354" s="13">
        <f>SUM(C354:I354)</f>
        <v>9471</v>
      </c>
      <c r="K354" s="173"/>
      <c r="L354" s="173"/>
      <c r="M354" s="173"/>
      <c r="N354" s="173"/>
      <c r="O354" s="173"/>
      <c r="P354" s="174"/>
      <c r="Q354" s="2"/>
    </row>
    <row r="355" spans="1:17" x14ac:dyDescent="0.2">
      <c r="A355" s="366"/>
      <c r="B355" s="366"/>
      <c r="C355" s="14">
        <f t="shared" ref="C355:I355" si="57">C354/$J$354</f>
        <v>4.8146974976243269E-2</v>
      </c>
      <c r="D355" s="14">
        <f t="shared" si="57"/>
        <v>0.25805089219723365</v>
      </c>
      <c r="E355" s="14">
        <f t="shared" si="57"/>
        <v>0.36891563720832016</v>
      </c>
      <c r="F355" s="14">
        <f t="shared" si="57"/>
        <v>0.11709428782599514</v>
      </c>
      <c r="G355" s="14">
        <f t="shared" si="57"/>
        <v>1.0347376201034738E-2</v>
      </c>
      <c r="H355" s="14">
        <f t="shared" si="57"/>
        <v>1.7949530144652098E-2</v>
      </c>
      <c r="I355" s="14">
        <f t="shared" si="57"/>
        <v>0.17949530144652096</v>
      </c>
      <c r="J355" s="14">
        <f>SUM(C355:I355)</f>
        <v>1</v>
      </c>
      <c r="K355" s="173"/>
      <c r="L355" s="173"/>
      <c r="M355" s="173"/>
      <c r="N355" s="173"/>
      <c r="O355" s="173"/>
      <c r="P355" s="174"/>
      <c r="Q355" s="2"/>
    </row>
    <row r="356" spans="1:17" x14ac:dyDescent="0.2">
      <c r="A356" s="366" t="s">
        <v>48</v>
      </c>
      <c r="B356" s="366"/>
      <c r="C356" s="13">
        <f>GETPIVOTDATA("Sum of Net Studio Units",'17'!$A$1,"Tenure","Intermediate")</f>
        <v>18</v>
      </c>
      <c r="D356" s="13">
        <f>GETPIVOTDATA("Sum of Net 1 Bed Units",'17'!$A$1,"Tenure","Intermediate")</f>
        <v>423</v>
      </c>
      <c r="E356" s="13">
        <f>GETPIVOTDATA("Sum of Net 2 Bed Units",'17'!$A$1,"Tenure","Intermediate")</f>
        <v>521</v>
      </c>
      <c r="F356" s="13">
        <f>GETPIVOTDATA("Sum of Net 3 Bed Units",'17'!$A$1,"Tenure","Intermediate")</f>
        <v>147</v>
      </c>
      <c r="G356" s="13">
        <f>GETPIVOTDATA("Sum of Net 4 Bed Units",'17'!$A$1,"Tenure","Intermediate")</f>
        <v>16</v>
      </c>
      <c r="H356" s="13">
        <f>GETPIVOTDATA("Sum of Net 5+ Bed Units",'17'!$A$1,"Tenure","Intermediate")</f>
        <v>0</v>
      </c>
      <c r="I356" s="13">
        <f>GETPIVOTDATA("Sum of Net Not Known Bed Units",'17'!$A$1,"Tenure","Intermediate")</f>
        <v>214</v>
      </c>
      <c r="J356" s="13">
        <f>SUM(C356:I356)</f>
        <v>1339</v>
      </c>
      <c r="K356" s="173"/>
      <c r="L356" s="173"/>
      <c r="M356" s="173"/>
      <c r="N356" s="173"/>
      <c r="O356" s="173"/>
      <c r="P356" s="174"/>
      <c r="Q356" s="2"/>
    </row>
    <row r="357" spans="1:17" x14ac:dyDescent="0.2">
      <c r="A357" s="366"/>
      <c r="B357" s="366"/>
      <c r="C357" s="14">
        <f t="shared" ref="C357:I357" si="58">C356/$J$356</f>
        <v>1.344286781179985E-2</v>
      </c>
      <c r="D357" s="14">
        <f t="shared" si="58"/>
        <v>0.31590739357729647</v>
      </c>
      <c r="E357" s="14">
        <f t="shared" si="58"/>
        <v>0.38909634055265124</v>
      </c>
      <c r="F357" s="14">
        <f t="shared" si="58"/>
        <v>0.10978342046303212</v>
      </c>
      <c r="G357" s="14">
        <f t="shared" si="58"/>
        <v>1.1949215832710979E-2</v>
      </c>
      <c r="H357" s="14">
        <f t="shared" si="58"/>
        <v>0</v>
      </c>
      <c r="I357" s="14">
        <f t="shared" si="58"/>
        <v>0.15982076176250934</v>
      </c>
      <c r="J357" s="14">
        <f>SUM(C357:I357)</f>
        <v>1</v>
      </c>
      <c r="K357" s="173"/>
      <c r="L357" s="173"/>
      <c r="M357" s="173"/>
      <c r="N357" s="173"/>
      <c r="O357" s="173"/>
      <c r="P357" s="174"/>
      <c r="Q357" s="2"/>
    </row>
    <row r="358" spans="1:17" x14ac:dyDescent="0.2">
      <c r="A358" s="366" t="s">
        <v>49</v>
      </c>
      <c r="B358" s="366"/>
      <c r="C358" s="13">
        <f>GETPIVOTDATA("Sum of Net Studio Units",'17'!$A$1,"Tenure","Social/Affordable Rent")</f>
        <v>-93</v>
      </c>
      <c r="D358" s="13">
        <f>GETPIVOTDATA("Sum of Net 1 Bed Units",'17'!$A$1,"Tenure","Social/Affordable Rent")</f>
        <v>255</v>
      </c>
      <c r="E358" s="13">
        <f>GETPIVOTDATA("Sum of Net 2 Bed Units",'17'!$A$1,"Tenure","Social/Affordable Rent")</f>
        <v>267</v>
      </c>
      <c r="F358" s="13">
        <f>GETPIVOTDATA("Sum of Net 3 Bed Units",'17'!$A$1,"Tenure","Social/Affordable Rent")</f>
        <v>199</v>
      </c>
      <c r="G358" s="13">
        <f>GETPIVOTDATA("Sum of Net 4 Bed Units",'17'!$A$1,"Tenure","Social/Affordable Rent")</f>
        <v>65</v>
      </c>
      <c r="H358" s="13">
        <f>GETPIVOTDATA("Sum of Net 5+ Bed Units",'17'!$A$1,"Tenure","Social/Affordable Rent")</f>
        <v>2</v>
      </c>
      <c r="I358" s="13">
        <f>GETPIVOTDATA("Sum of Net Not Known Bed Units",'17'!$A$1,"Tenure","Social/Affordable Rent")</f>
        <v>544</v>
      </c>
      <c r="J358" s="13">
        <f>SUM(C358:I358)</f>
        <v>1239</v>
      </c>
      <c r="K358" s="173"/>
      <c r="L358" s="173"/>
      <c r="M358" s="173"/>
      <c r="N358" s="173"/>
      <c r="O358" s="173"/>
      <c r="P358" s="174"/>
      <c r="Q358" s="2"/>
    </row>
    <row r="359" spans="1:17" x14ac:dyDescent="0.2">
      <c r="A359" s="366"/>
      <c r="B359" s="366"/>
      <c r="C359" s="14">
        <f t="shared" ref="C359:I359" si="59">C358/$J$358</f>
        <v>-7.5060532687651338E-2</v>
      </c>
      <c r="D359" s="14">
        <f t="shared" si="59"/>
        <v>0.20581113801452786</v>
      </c>
      <c r="E359" s="14">
        <f t="shared" si="59"/>
        <v>0.21549636803874092</v>
      </c>
      <c r="F359" s="14">
        <f t="shared" si="59"/>
        <v>0.16061339790153351</v>
      </c>
      <c r="G359" s="14">
        <f t="shared" si="59"/>
        <v>5.2461662631154156E-2</v>
      </c>
      <c r="H359" s="14">
        <f t="shared" si="59"/>
        <v>1.6142050040355124E-3</v>
      </c>
      <c r="I359" s="14">
        <f t="shared" si="59"/>
        <v>0.43906376109765938</v>
      </c>
      <c r="J359" s="14">
        <v>1</v>
      </c>
      <c r="K359" s="173"/>
      <c r="L359" s="173"/>
      <c r="M359" s="173"/>
      <c r="N359" s="173"/>
      <c r="O359" s="173"/>
      <c r="P359" s="174"/>
      <c r="Q359" s="2"/>
    </row>
    <row r="360" spans="1:17" x14ac:dyDescent="0.2">
      <c r="A360" s="367" t="s">
        <v>50</v>
      </c>
      <c r="B360" s="367"/>
      <c r="C360" s="24">
        <f>SUM(C354,C356,C358)</f>
        <v>381</v>
      </c>
      <c r="D360" s="24">
        <f t="shared" ref="D360:I360" si="60">SUM(D354,D356,D358)</f>
        <v>3122</v>
      </c>
      <c r="E360" s="24">
        <f t="shared" si="60"/>
        <v>4282</v>
      </c>
      <c r="F360" s="24">
        <f t="shared" si="60"/>
        <v>1455</v>
      </c>
      <c r="G360" s="24">
        <f t="shared" si="60"/>
        <v>179</v>
      </c>
      <c r="H360" s="24">
        <f t="shared" si="60"/>
        <v>172</v>
      </c>
      <c r="I360" s="24">
        <f t="shared" si="60"/>
        <v>2458</v>
      </c>
      <c r="J360" s="24">
        <f>SUM(C360:I360)</f>
        <v>12049</v>
      </c>
      <c r="K360" s="173"/>
      <c r="L360" s="173"/>
      <c r="M360" s="173"/>
      <c r="N360" s="173"/>
      <c r="O360" s="173"/>
      <c r="P360" s="174"/>
      <c r="Q360" s="2"/>
    </row>
    <row r="361" spans="1:17" x14ac:dyDescent="0.2">
      <c r="A361" s="367"/>
      <c r="B361" s="367"/>
      <c r="C361" s="17">
        <f t="shared" ref="C361:I361" si="61">C360/$J$360</f>
        <v>3.1620881400946134E-2</v>
      </c>
      <c r="D361" s="17">
        <f t="shared" si="61"/>
        <v>0.25910863972113868</v>
      </c>
      <c r="E361" s="17">
        <f t="shared" si="61"/>
        <v>0.35538218939331062</v>
      </c>
      <c r="F361" s="17">
        <f t="shared" si="61"/>
        <v>0.12075690928707776</v>
      </c>
      <c r="G361" s="17">
        <f t="shared" si="61"/>
        <v>1.4856004647688605E-2</v>
      </c>
      <c r="H361" s="17">
        <f t="shared" si="61"/>
        <v>1.427504357208067E-2</v>
      </c>
      <c r="I361" s="17">
        <f t="shared" si="61"/>
        <v>0.20400033197775749</v>
      </c>
      <c r="J361" s="17">
        <f>SUM(C361:I361)</f>
        <v>1</v>
      </c>
      <c r="K361" s="173"/>
      <c r="L361" s="173"/>
      <c r="M361" s="173"/>
      <c r="N361" s="173"/>
      <c r="O361" s="173"/>
      <c r="P361" s="174"/>
      <c r="Q361" s="2"/>
    </row>
    <row r="362" spans="1:17" x14ac:dyDescent="0.2">
      <c r="A362" s="173"/>
      <c r="B362" s="185"/>
      <c r="C362" s="185"/>
      <c r="D362" s="185"/>
      <c r="E362" s="185"/>
      <c r="F362" s="185"/>
      <c r="G362" s="185"/>
      <c r="H362" s="185"/>
      <c r="I362" s="173"/>
      <c r="J362" s="173"/>
      <c r="K362" s="173"/>
      <c r="L362" s="173"/>
      <c r="M362" s="173"/>
      <c r="N362" s="173"/>
      <c r="O362" s="173"/>
      <c r="P362" s="174"/>
      <c r="Q362" s="2"/>
    </row>
    <row r="363" spans="1:17" ht="15.75" x14ac:dyDescent="0.25">
      <c r="A363" s="71" t="s">
        <v>55</v>
      </c>
      <c r="B363" s="3"/>
      <c r="C363" s="3"/>
      <c r="D363" s="3"/>
      <c r="E363" s="3"/>
      <c r="F363" s="3"/>
      <c r="G363" s="3"/>
      <c r="H363" s="3"/>
      <c r="I363" s="3"/>
      <c r="J363" s="3"/>
      <c r="K363" s="173"/>
      <c r="L363" s="173"/>
      <c r="M363" s="173"/>
      <c r="N363" s="173"/>
      <c r="O363" s="173"/>
      <c r="P363" s="174"/>
      <c r="Q363" s="2"/>
    </row>
    <row r="364" spans="1:17" x14ac:dyDescent="0.2">
      <c r="A364" s="206"/>
      <c r="B364" s="3"/>
      <c r="C364" s="3"/>
      <c r="D364" s="3"/>
      <c r="E364" s="3"/>
      <c r="F364" s="3"/>
      <c r="G364" s="3"/>
      <c r="H364" s="3"/>
      <c r="I364" s="3"/>
      <c r="J364" s="3"/>
      <c r="K364" s="173"/>
      <c r="L364" s="173"/>
      <c r="M364" s="173"/>
      <c r="N364" s="173"/>
      <c r="O364" s="173"/>
      <c r="P364" s="174"/>
      <c r="Q364" s="2"/>
    </row>
    <row r="365" spans="1:17" x14ac:dyDescent="0.2">
      <c r="A365" s="6" t="s">
        <v>198</v>
      </c>
      <c r="B365" s="6" t="s">
        <v>199</v>
      </c>
      <c r="C365" s="3"/>
      <c r="D365" s="3"/>
      <c r="E365" s="3"/>
      <c r="F365" s="3"/>
      <c r="G365" s="3"/>
      <c r="H365" s="3"/>
      <c r="I365" s="3"/>
      <c r="J365" s="3"/>
      <c r="K365" s="173"/>
      <c r="L365" s="173"/>
      <c r="M365" s="173"/>
      <c r="N365" s="173"/>
      <c r="O365" s="173"/>
      <c r="P365" s="174"/>
      <c r="Q365" s="2"/>
    </row>
    <row r="366" spans="1:17" x14ac:dyDescent="0.2">
      <c r="A366" s="363"/>
      <c r="B366" s="363"/>
      <c r="C366" s="36" t="s">
        <v>95</v>
      </c>
      <c r="D366" s="36" t="s">
        <v>96</v>
      </c>
      <c r="E366" s="36" t="s">
        <v>97</v>
      </c>
      <c r="F366" s="36" t="s">
        <v>98</v>
      </c>
      <c r="G366" s="36" t="s">
        <v>10</v>
      </c>
      <c r="H366" s="36" t="s">
        <v>11</v>
      </c>
      <c r="I366" s="36" t="s">
        <v>12</v>
      </c>
      <c r="J366" s="36" t="s">
        <v>50</v>
      </c>
      <c r="K366" s="173"/>
      <c r="L366" s="174"/>
      <c r="M366" s="174"/>
      <c r="N366" s="174"/>
      <c r="O366" s="174"/>
      <c r="P366" s="174"/>
      <c r="Q366" s="2"/>
    </row>
    <row r="367" spans="1:17" x14ac:dyDescent="0.2">
      <c r="A367" s="329" t="s">
        <v>200</v>
      </c>
      <c r="B367" s="329"/>
      <c r="C367" s="13">
        <v>69</v>
      </c>
      <c r="D367" s="13">
        <v>78</v>
      </c>
      <c r="E367" s="13">
        <v>42</v>
      </c>
      <c r="F367" s="13">
        <v>43</v>
      </c>
      <c r="G367" s="13">
        <v>12</v>
      </c>
      <c r="H367" s="13">
        <v>36</v>
      </c>
      <c r="I367" s="13">
        <f>GETPIVOTDATA("Phase Proposed Units",'18'!$A$3,"Large Residential Development Type","n/a","Minor Residential Development Type","a")</f>
        <v>25</v>
      </c>
      <c r="J367" s="13">
        <f t="shared" ref="J367:J373" si="62">SUM(C367:I367)</f>
        <v>305</v>
      </c>
      <c r="K367" s="173"/>
      <c r="L367" s="173"/>
      <c r="M367" s="173"/>
      <c r="N367" s="173"/>
      <c r="O367" s="173"/>
      <c r="P367" s="174"/>
      <c r="Q367" s="2"/>
    </row>
    <row r="368" spans="1:17" x14ac:dyDescent="0.2">
      <c r="A368" s="329" t="s">
        <v>201</v>
      </c>
      <c r="B368" s="329"/>
      <c r="C368" s="13">
        <v>29</v>
      </c>
      <c r="D368" s="13">
        <v>11</v>
      </c>
      <c r="E368" s="13">
        <v>8</v>
      </c>
      <c r="F368" s="13">
        <v>6</v>
      </c>
      <c r="G368" s="13">
        <v>14</v>
      </c>
      <c r="H368" s="13">
        <v>17</v>
      </c>
      <c r="I368" s="13">
        <f>GETPIVOTDATA("Phase Proposed Units",'18'!$A$3,"Large Residential Development Type","n/a","Minor Residential Development Type","b")</f>
        <v>16</v>
      </c>
      <c r="J368" s="13">
        <f t="shared" si="62"/>
        <v>101</v>
      </c>
      <c r="K368" s="173"/>
      <c r="L368" s="173"/>
      <c r="M368" s="173"/>
      <c r="N368" s="173"/>
      <c r="O368" s="173"/>
      <c r="P368" s="174"/>
      <c r="Q368" s="2"/>
    </row>
    <row r="369" spans="1:17" x14ac:dyDescent="0.2">
      <c r="A369" s="329" t="s">
        <v>202</v>
      </c>
      <c r="B369" s="329"/>
      <c r="C369" s="13">
        <v>95</v>
      </c>
      <c r="D369" s="13">
        <v>96</v>
      </c>
      <c r="E369" s="13">
        <v>52</v>
      </c>
      <c r="F369" s="13">
        <v>39</v>
      </c>
      <c r="G369" s="13">
        <v>55</v>
      </c>
      <c r="H369" s="13">
        <v>49</v>
      </c>
      <c r="I369" s="13">
        <f>GETPIVOTDATA("Phase Proposed Units",'18'!$A$3,"Large Residential Development Type","n/a","Minor Residential Development Type","c-")+GETPIVOTDATA("Phase Proposed Units",'18'!$A$3,"Large Residential Development Type","n/a","Minor Residential Development Type","c+")</f>
        <v>47</v>
      </c>
      <c r="J369" s="13">
        <f t="shared" si="62"/>
        <v>433</v>
      </c>
      <c r="K369" s="173"/>
      <c r="L369" s="173"/>
      <c r="M369" s="173"/>
      <c r="N369" s="173"/>
      <c r="O369" s="173"/>
      <c r="P369" s="174"/>
      <c r="Q369" s="2"/>
    </row>
    <row r="370" spans="1:17" x14ac:dyDescent="0.2">
      <c r="A370" s="364" t="s">
        <v>203</v>
      </c>
      <c r="B370" s="365"/>
      <c r="C370" s="13">
        <v>2</v>
      </c>
      <c r="D370" s="13">
        <v>0</v>
      </c>
      <c r="E370" s="13">
        <v>0</v>
      </c>
      <c r="F370" s="13">
        <v>3</v>
      </c>
      <c r="G370" s="13">
        <v>23</v>
      </c>
      <c r="H370" s="13">
        <v>19</v>
      </c>
      <c r="I370" s="13">
        <f>GETPIVOTDATA("Phase Proposed Units",'18'!$A$3,"Large Residential Development Type","n/a","Minor Residential Development Type","g")</f>
        <v>31</v>
      </c>
      <c r="J370" s="13">
        <f t="shared" si="62"/>
        <v>78</v>
      </c>
      <c r="K370" s="173"/>
      <c r="L370" s="173"/>
      <c r="M370" s="173"/>
      <c r="N370" s="173"/>
      <c r="O370" s="173"/>
      <c r="P370" s="174"/>
      <c r="Q370" s="2"/>
    </row>
    <row r="371" spans="1:17" ht="12.75" customHeight="1" x14ac:dyDescent="0.2">
      <c r="A371" s="329" t="s">
        <v>204</v>
      </c>
      <c r="B371" s="329"/>
      <c r="C371" s="13">
        <v>148</v>
      </c>
      <c r="D371" s="13">
        <v>134</v>
      </c>
      <c r="E371" s="13">
        <v>59</v>
      </c>
      <c r="F371" s="13">
        <v>91</v>
      </c>
      <c r="G371" s="13">
        <v>39</v>
      </c>
      <c r="H371" s="13">
        <v>41</v>
      </c>
      <c r="I371" s="13">
        <f>GETPIVOTDATA("Phase Proposed Units",'18'!$A$3,"Large Residential Development Type","n/a","Minor Residential Development Type","d")+GETPIVOTDATA("Phase Proposed Units",'18'!$A$3,"Large Residential Development Type","n/a","Minor Residential Development Type","e")+GETPIVOTDATA("Phase Proposed Units",'18'!$A$3,"Large Residential Development Type","n/a","Minor Residential Development Type","f")</f>
        <v>46</v>
      </c>
      <c r="J371" s="13">
        <f t="shared" si="62"/>
        <v>558</v>
      </c>
      <c r="K371" s="173"/>
      <c r="L371" s="173"/>
      <c r="M371" s="173"/>
      <c r="N371" s="173"/>
      <c r="O371" s="173"/>
      <c r="P371" s="174"/>
      <c r="Q371" s="2"/>
    </row>
    <row r="372" spans="1:17" ht="12.75" customHeight="1" x14ac:dyDescent="0.2">
      <c r="A372" s="364" t="s">
        <v>205</v>
      </c>
      <c r="B372" s="365"/>
      <c r="C372" s="13">
        <v>13</v>
      </c>
      <c r="D372" s="13">
        <v>23</v>
      </c>
      <c r="E372" s="13">
        <v>37</v>
      </c>
      <c r="F372" s="13">
        <v>63</v>
      </c>
      <c r="G372" s="13">
        <v>57</v>
      </c>
      <c r="H372" s="13">
        <v>84</v>
      </c>
      <c r="I372" s="13">
        <f>GETPIVOTDATA("Phase Proposed Units",'18'!$A$3,"Large Residential Development Type","n/a","Minor Residential Development Type","k")</f>
        <v>43</v>
      </c>
      <c r="J372" s="13">
        <f t="shared" si="62"/>
        <v>320</v>
      </c>
      <c r="K372" s="173"/>
      <c r="L372" s="173"/>
      <c r="M372" s="173"/>
      <c r="N372" s="173"/>
      <c r="O372" s="173"/>
      <c r="P372" s="174"/>
      <c r="Q372" s="2"/>
    </row>
    <row r="373" spans="1:17" ht="12.75" customHeight="1" x14ac:dyDescent="0.2">
      <c r="A373" s="339" t="s">
        <v>50</v>
      </c>
      <c r="B373" s="339"/>
      <c r="C373" s="24">
        <f t="shared" ref="C373:I373" si="63">SUM(C367:C372)</f>
        <v>356</v>
      </c>
      <c r="D373" s="24">
        <f t="shared" si="63"/>
        <v>342</v>
      </c>
      <c r="E373" s="24">
        <f t="shared" si="63"/>
        <v>198</v>
      </c>
      <c r="F373" s="24">
        <f t="shared" si="63"/>
        <v>245</v>
      </c>
      <c r="G373" s="24">
        <f t="shared" si="63"/>
        <v>200</v>
      </c>
      <c r="H373" s="24">
        <f t="shared" si="63"/>
        <v>246</v>
      </c>
      <c r="I373" s="24">
        <f t="shared" si="63"/>
        <v>208</v>
      </c>
      <c r="J373" s="24">
        <f t="shared" si="62"/>
        <v>1795</v>
      </c>
      <c r="K373" s="173"/>
      <c r="L373" s="173"/>
      <c r="M373" s="173"/>
      <c r="N373" s="173"/>
      <c r="O373" s="173"/>
      <c r="P373" s="174"/>
      <c r="Q373" s="2"/>
    </row>
    <row r="374" spans="1:17" ht="12.75" customHeight="1" x14ac:dyDescent="0.2">
      <c r="A374" s="3"/>
      <c r="B374" s="3"/>
      <c r="C374" s="3"/>
      <c r="D374" s="3"/>
      <c r="E374" s="204"/>
      <c r="F374" s="204"/>
      <c r="G374" s="3"/>
      <c r="H374" s="23"/>
      <c r="I374" s="3"/>
      <c r="J374" s="3"/>
      <c r="K374" s="173"/>
      <c r="L374" s="173"/>
      <c r="M374" s="173"/>
      <c r="N374" s="173"/>
      <c r="O374" s="173"/>
      <c r="P374" s="174"/>
      <c r="Q374" s="2"/>
    </row>
    <row r="375" spans="1:17" x14ac:dyDescent="0.2">
      <c r="A375" s="6" t="s">
        <v>206</v>
      </c>
      <c r="B375" s="6" t="s">
        <v>207</v>
      </c>
      <c r="C375" s="204"/>
      <c r="D375" s="204"/>
      <c r="E375" s="204"/>
      <c r="F375" s="204"/>
      <c r="G375" s="204"/>
      <c r="H375" s="204"/>
      <c r="I375" s="189"/>
      <c r="J375" s="189"/>
      <c r="K375" s="189"/>
      <c r="L375" s="173"/>
      <c r="M375" s="173"/>
      <c r="N375" s="173"/>
      <c r="O375" s="173"/>
      <c r="P375" s="173"/>
      <c r="Q375" s="3"/>
    </row>
    <row r="376" spans="1:17" ht="12.75" customHeight="1" x14ac:dyDescent="0.2">
      <c r="A376" s="363"/>
      <c r="B376" s="363"/>
      <c r="C376" s="36" t="s">
        <v>95</v>
      </c>
      <c r="D376" s="36" t="s">
        <v>96</v>
      </c>
      <c r="E376" s="36" t="s">
        <v>97</v>
      </c>
      <c r="F376" s="36" t="s">
        <v>98</v>
      </c>
      <c r="G376" s="36" t="s">
        <v>10</v>
      </c>
      <c r="H376" s="36" t="s">
        <v>11</v>
      </c>
      <c r="I376" s="36" t="s">
        <v>12</v>
      </c>
      <c r="J376" s="36" t="s">
        <v>50</v>
      </c>
      <c r="K376" s="3"/>
      <c r="L376" s="174"/>
      <c r="M376" s="174"/>
      <c r="N376" s="174"/>
      <c r="O376" s="174"/>
      <c r="P376" s="174"/>
      <c r="Q376" s="3"/>
    </row>
    <row r="377" spans="1:17" ht="12.75" customHeight="1" x14ac:dyDescent="0.2">
      <c r="A377" s="329" t="s">
        <v>200</v>
      </c>
      <c r="B377" s="329"/>
      <c r="C377" s="13">
        <v>129</v>
      </c>
      <c r="D377" s="13">
        <v>97</v>
      </c>
      <c r="E377" s="13">
        <v>115</v>
      </c>
      <c r="F377" s="13">
        <v>87</v>
      </c>
      <c r="G377" s="13">
        <v>116</v>
      </c>
      <c r="H377" s="13">
        <v>118</v>
      </c>
      <c r="I377" s="13">
        <f>GETPIVOTDATA("Phase Proposed Units",'19'!$A$1,"Minor Residential Development Type","a")</f>
        <v>97</v>
      </c>
      <c r="J377" s="13">
        <f t="shared" ref="J377:J383" si="64">SUM(C377:I377)</f>
        <v>759</v>
      </c>
      <c r="K377" s="3"/>
      <c r="L377" s="173"/>
      <c r="M377" s="173"/>
      <c r="N377" s="173"/>
      <c r="O377" s="173"/>
      <c r="P377" s="173"/>
      <c r="Q377" s="3"/>
    </row>
    <row r="378" spans="1:17" ht="12.75" customHeight="1" x14ac:dyDescent="0.2">
      <c r="A378" s="329" t="s">
        <v>201</v>
      </c>
      <c r="B378" s="329"/>
      <c r="C378" s="13">
        <v>26</v>
      </c>
      <c r="D378" s="13">
        <v>25</v>
      </c>
      <c r="E378" s="13">
        <v>24</v>
      </c>
      <c r="F378" s="13">
        <v>37</v>
      </c>
      <c r="G378" s="13">
        <v>35</v>
      </c>
      <c r="H378" s="13">
        <v>36</v>
      </c>
      <c r="I378" s="13">
        <f>GETPIVOTDATA("Phase Proposed Units",'19'!$A$1,"Minor Residential Development Type","b")</f>
        <v>30</v>
      </c>
      <c r="J378" s="13">
        <f t="shared" si="64"/>
        <v>213</v>
      </c>
      <c r="K378" s="3"/>
      <c r="L378" s="173"/>
      <c r="M378" s="173"/>
      <c r="N378" s="173"/>
      <c r="O378" s="173"/>
      <c r="P378" s="173"/>
      <c r="Q378" s="3"/>
    </row>
    <row r="379" spans="1:17" ht="12.75" customHeight="1" x14ac:dyDescent="0.2">
      <c r="A379" s="329" t="s">
        <v>202</v>
      </c>
      <c r="B379" s="329"/>
      <c r="C379" s="13">
        <v>247</v>
      </c>
      <c r="D379" s="13">
        <v>473</v>
      </c>
      <c r="E379" s="13">
        <v>469</v>
      </c>
      <c r="F379" s="13">
        <v>209</v>
      </c>
      <c r="G379" s="13">
        <v>183</v>
      </c>
      <c r="H379" s="13">
        <v>133</v>
      </c>
      <c r="I379" s="13">
        <f>GETPIVOTDATA("Phase Proposed Units",'19'!$A$1,"Minor Residential Development Type","c-")+GETPIVOTDATA("Phase Proposed Units",'19'!$A$1,"Minor Residential Development Type","c+")</f>
        <v>123</v>
      </c>
      <c r="J379" s="13">
        <f t="shared" si="64"/>
        <v>1837</v>
      </c>
      <c r="K379" s="3"/>
      <c r="L379" s="173"/>
      <c r="M379" s="173"/>
      <c r="N379" s="173"/>
      <c r="O379" s="173"/>
      <c r="P379" s="173"/>
      <c r="Q379" s="3"/>
    </row>
    <row r="380" spans="1:17" ht="12.75" customHeight="1" x14ac:dyDescent="0.2">
      <c r="A380" s="364" t="s">
        <v>203</v>
      </c>
      <c r="B380" s="365"/>
      <c r="C380" s="13">
        <v>0</v>
      </c>
      <c r="D380" s="13">
        <v>2</v>
      </c>
      <c r="E380" s="13">
        <v>4</v>
      </c>
      <c r="F380" s="13">
        <v>2</v>
      </c>
      <c r="G380" s="13">
        <v>3</v>
      </c>
      <c r="H380" s="13">
        <v>2</v>
      </c>
      <c r="I380" s="13">
        <f>GETPIVOTDATA("Phase Proposed Units",'19'!$A$3,"Large Residential Development Type","n/a","Minor Residential Development Type","j-")+GETPIVOTDATA("Phase Proposed Units",'19'!$A$3,"Large Residential Development Type","n/a","Minor Residential Development Type","j+")</f>
        <v>1</v>
      </c>
      <c r="J380" s="13">
        <f t="shared" si="64"/>
        <v>14</v>
      </c>
      <c r="K380" s="3"/>
      <c r="L380" s="173"/>
      <c r="M380" s="173"/>
      <c r="N380" s="173"/>
      <c r="O380" s="173"/>
      <c r="P380" s="173"/>
      <c r="Q380" s="3"/>
    </row>
    <row r="381" spans="1:17" ht="12.75" customHeight="1" x14ac:dyDescent="0.2">
      <c r="A381" s="329" t="s">
        <v>204</v>
      </c>
      <c r="B381" s="329"/>
      <c r="C381" s="13">
        <v>1208</v>
      </c>
      <c r="D381" s="13">
        <v>853</v>
      </c>
      <c r="E381" s="13">
        <v>688</v>
      </c>
      <c r="F381" s="13">
        <v>1006</v>
      </c>
      <c r="G381" s="13">
        <v>757</v>
      </c>
      <c r="H381" s="13">
        <v>620</v>
      </c>
      <c r="I381" s="13">
        <f>GETPIVOTDATA("Phase Proposed Units",'19'!$A$3,"Large Residential Development Type","n/a","Minor Residential Development Type","d")+GETPIVOTDATA("Phase Proposed Units",'19'!$A$3,"Large Residential Development Type","n/a","Minor Residential Development Type","e")+GETPIVOTDATA("Phase Proposed Units",'19'!$A$3,"Large Residential Development Type","n/a","Minor Residential Development Type","f")+GETPIVOTDATA("Phase Proposed Units",'19'!$A$3,"Large Residential Development Type","n/a","Minor Residential Development Type","g")+GETPIVOTDATA("Phase Proposed Units",'19'!$A$3,"Large Residential Development Type","n/a","Minor Residential Development Type","h")+GETPIVOTDATA("Phase Proposed Units",'19'!$A$3,"Large Residential Development Type","OFC","Minor Residential Development Type","n/a")+GETPIVOTDATA("Phase Proposed Units",'19'!$A$3,"Large Residential Development Type","OTC","Minor Residential Development Type","n/a")</f>
        <v>425</v>
      </c>
      <c r="J381" s="13">
        <f t="shared" si="64"/>
        <v>5557</v>
      </c>
      <c r="K381" s="3"/>
      <c r="L381" s="173"/>
      <c r="M381" s="173"/>
      <c r="N381" s="173"/>
      <c r="O381" s="173"/>
      <c r="P381" s="173"/>
      <c r="Q381" s="3"/>
    </row>
    <row r="382" spans="1:17" ht="12.75" customHeight="1" x14ac:dyDescent="0.2">
      <c r="A382" s="364" t="s">
        <v>205</v>
      </c>
      <c r="B382" s="365"/>
      <c r="C382" s="13">
        <v>90</v>
      </c>
      <c r="D382" s="13">
        <v>184</v>
      </c>
      <c r="E382" s="13">
        <v>244</v>
      </c>
      <c r="F382" s="13">
        <v>246</v>
      </c>
      <c r="G382" s="13">
        <v>320</v>
      </c>
      <c r="H382" s="13">
        <v>285</v>
      </c>
      <c r="I382" s="13">
        <f>GETPIVOTDATA("Phase Proposed Units",'19'!$A$1,"Large Residential Development Type","n/a","Minor Residential Development Type","k")</f>
        <v>266</v>
      </c>
      <c r="J382" s="13">
        <f t="shared" si="64"/>
        <v>1635</v>
      </c>
      <c r="K382" s="3"/>
      <c r="L382" s="173"/>
      <c r="M382" s="173"/>
      <c r="N382" s="173"/>
      <c r="O382" s="173"/>
      <c r="P382" s="173"/>
      <c r="Q382" s="3"/>
    </row>
    <row r="383" spans="1:17" ht="12.75" customHeight="1" x14ac:dyDescent="0.2">
      <c r="A383" s="339" t="s">
        <v>50</v>
      </c>
      <c r="B383" s="339"/>
      <c r="C383" s="24">
        <f t="shared" ref="C383:D383" si="65">SUM(C377:C382)</f>
        <v>1700</v>
      </c>
      <c r="D383" s="24">
        <f t="shared" si="65"/>
        <v>1634</v>
      </c>
      <c r="E383" s="24">
        <f>SUM(E377:E382)</f>
        <v>1544</v>
      </c>
      <c r="F383" s="24">
        <f>SUM(F377:F382)</f>
        <v>1587</v>
      </c>
      <c r="G383" s="24">
        <v>1414</v>
      </c>
      <c r="H383" s="24">
        <f>SUM(H377:H382)</f>
        <v>1194</v>
      </c>
      <c r="I383" s="24">
        <f>SUM(I377:I382)</f>
        <v>942</v>
      </c>
      <c r="J383" s="24">
        <f t="shared" si="64"/>
        <v>10015</v>
      </c>
      <c r="K383" s="3"/>
      <c r="L383" s="173"/>
      <c r="M383" s="173"/>
      <c r="N383" s="173"/>
      <c r="O383" s="173"/>
      <c r="P383" s="173"/>
      <c r="Q383" s="3"/>
    </row>
    <row r="384" spans="1:17" x14ac:dyDescent="0.2">
      <c r="A384" s="3"/>
      <c r="B384" s="3"/>
      <c r="C384" s="3"/>
      <c r="D384" s="3"/>
      <c r="E384" s="3"/>
      <c r="F384" s="3"/>
      <c r="G384" s="3"/>
      <c r="H384" s="3"/>
      <c r="I384" s="3"/>
      <c r="J384" s="3"/>
      <c r="K384" s="3"/>
      <c r="L384" s="174"/>
      <c r="M384" s="174"/>
      <c r="N384" s="174"/>
      <c r="O384" s="174"/>
      <c r="P384" s="174"/>
      <c r="Q384" s="2"/>
    </row>
    <row r="385" spans="1:21" x14ac:dyDescent="0.2">
      <c r="A385" s="207" t="s">
        <v>208</v>
      </c>
      <c r="B385" s="48"/>
      <c r="C385" s="48"/>
      <c r="D385" s="48"/>
      <c r="E385" s="48"/>
      <c r="F385" s="48"/>
      <c r="G385" s="48"/>
      <c r="H385" s="48"/>
      <c r="I385" s="48"/>
      <c r="J385" s="48"/>
      <c r="K385" s="48"/>
      <c r="L385" s="186"/>
      <c r="M385" s="186"/>
      <c r="N385" s="186"/>
      <c r="O385" s="186"/>
      <c r="P385" s="186"/>
      <c r="Q385" s="48"/>
      <c r="R385" s="48"/>
      <c r="S385" s="48"/>
      <c r="T385" s="48"/>
      <c r="U385" s="49" t="s">
        <v>2878</v>
      </c>
    </row>
  </sheetData>
  <mergeCells count="276">
    <mergeCell ref="G327:H327"/>
    <mergeCell ref="G328:H328"/>
    <mergeCell ref="E306:F306"/>
    <mergeCell ref="E307:F307"/>
    <mergeCell ref="E308:F308"/>
    <mergeCell ref="E309:F309"/>
    <mergeCell ref="E310:F310"/>
    <mergeCell ref="E311:F311"/>
    <mergeCell ref="E312:F312"/>
    <mergeCell ref="E313:F313"/>
    <mergeCell ref="E314:F314"/>
    <mergeCell ref="E315:F315"/>
    <mergeCell ref="E316:F316"/>
    <mergeCell ref="E319:F319"/>
    <mergeCell ref="E320:F320"/>
    <mergeCell ref="E321:F321"/>
    <mergeCell ref="G312:H312"/>
    <mergeCell ref="E324:F324"/>
    <mergeCell ref="E327:F327"/>
    <mergeCell ref="E323:F323"/>
    <mergeCell ref="E322:F322"/>
    <mergeCell ref="G323:H323"/>
    <mergeCell ref="G322:H322"/>
    <mergeCell ref="G320:H320"/>
    <mergeCell ref="F6:F8"/>
    <mergeCell ref="I165:J165"/>
    <mergeCell ref="F33:G33"/>
    <mergeCell ref="F112:G112"/>
    <mergeCell ref="G152:H152"/>
    <mergeCell ref="H33:I33"/>
    <mergeCell ref="J60:K61"/>
    <mergeCell ref="H61:I61"/>
    <mergeCell ref="J6:J8"/>
    <mergeCell ref="B21:G21"/>
    <mergeCell ref="A97:B97"/>
    <mergeCell ref="A159:B159"/>
    <mergeCell ref="A162:B162"/>
    <mergeCell ref="A158:B158"/>
    <mergeCell ref="A24:I24"/>
    <mergeCell ref="A6:D8"/>
    <mergeCell ref="A9:D9"/>
    <mergeCell ref="F61:G61"/>
    <mergeCell ref="K6:K8"/>
    <mergeCell ref="G6:I7"/>
    <mergeCell ref="D60:E61"/>
    <mergeCell ref="D46:E47"/>
    <mergeCell ref="A60:C62"/>
    <mergeCell ref="D27:E27"/>
    <mergeCell ref="A293:E293"/>
    <mergeCell ref="A294:E294"/>
    <mergeCell ref="A295:E295"/>
    <mergeCell ref="A296:E296"/>
    <mergeCell ref="A297:E297"/>
    <mergeCell ref="A298:E298"/>
    <mergeCell ref="G311:H311"/>
    <mergeCell ref="G310:H310"/>
    <mergeCell ref="F197:G197"/>
    <mergeCell ref="F247:G247"/>
    <mergeCell ref="A222:A223"/>
    <mergeCell ref="B222:C222"/>
    <mergeCell ref="D222:E222"/>
    <mergeCell ref="F222:G222"/>
    <mergeCell ref="A299:E299"/>
    <mergeCell ref="A300:E300"/>
    <mergeCell ref="G304:H305"/>
    <mergeCell ref="A289:E289"/>
    <mergeCell ref="A290:E290"/>
    <mergeCell ref="A291:E291"/>
    <mergeCell ref="A292:E292"/>
    <mergeCell ref="A273:C273"/>
    <mergeCell ref="A270:C272"/>
    <mergeCell ref="A367:B367"/>
    <mergeCell ref="A341:B341"/>
    <mergeCell ref="A328:C328"/>
    <mergeCell ref="A322:C322"/>
    <mergeCell ref="A323:C323"/>
    <mergeCell ref="A324:C324"/>
    <mergeCell ref="A334:B334"/>
    <mergeCell ref="A360:B361"/>
    <mergeCell ref="A332:B333"/>
    <mergeCell ref="A336:B336"/>
    <mergeCell ref="A327:C327"/>
    <mergeCell ref="C332:E332"/>
    <mergeCell ref="E328:F328"/>
    <mergeCell ref="A326:C326"/>
    <mergeCell ref="A325:C325"/>
    <mergeCell ref="A335:B335"/>
    <mergeCell ref="E326:F326"/>
    <mergeCell ref="E325:F325"/>
    <mergeCell ref="A366:B366"/>
    <mergeCell ref="A353:B353"/>
    <mergeCell ref="A354:B355"/>
    <mergeCell ref="A356:B357"/>
    <mergeCell ref="A358:B359"/>
    <mergeCell ref="A342:B343"/>
    <mergeCell ref="A344:B345"/>
    <mergeCell ref="D33:E33"/>
    <mergeCell ref="A65:C65"/>
    <mergeCell ref="D112:E112"/>
    <mergeCell ref="A69:C69"/>
    <mergeCell ref="E152:F152"/>
    <mergeCell ref="E165:F165"/>
    <mergeCell ref="A346:B347"/>
    <mergeCell ref="A348:B349"/>
    <mergeCell ref="A35:C35"/>
    <mergeCell ref="A33:C34"/>
    <mergeCell ref="A49:C49"/>
    <mergeCell ref="A39:C39"/>
    <mergeCell ref="A54:C54"/>
    <mergeCell ref="A55:C55"/>
    <mergeCell ref="A46:C48"/>
    <mergeCell ref="A37:C37"/>
    <mergeCell ref="A38:C38"/>
    <mergeCell ref="A36:C36"/>
    <mergeCell ref="A40:C40"/>
    <mergeCell ref="A41:C41"/>
    <mergeCell ref="A318:C318"/>
    <mergeCell ref="A319:C319"/>
    <mergeCell ref="A320:C320"/>
    <mergeCell ref="A383:B383"/>
    <mergeCell ref="A376:B376"/>
    <mergeCell ref="A377:B377"/>
    <mergeCell ref="A378:B378"/>
    <mergeCell ref="A379:B379"/>
    <mergeCell ref="A371:B371"/>
    <mergeCell ref="A368:B368"/>
    <mergeCell ref="A369:B369"/>
    <mergeCell ref="A381:B381"/>
    <mergeCell ref="A373:B373"/>
    <mergeCell ref="A382:B382"/>
    <mergeCell ref="A380:B380"/>
    <mergeCell ref="A372:B372"/>
    <mergeCell ref="A370:B370"/>
    <mergeCell ref="I332:K332"/>
    <mergeCell ref="F332:H332"/>
    <mergeCell ref="A155:B155"/>
    <mergeCell ref="A165:B166"/>
    <mergeCell ref="A152:B153"/>
    <mergeCell ref="A156:B156"/>
    <mergeCell ref="A279:C279"/>
    <mergeCell ref="A280:C280"/>
    <mergeCell ref="A281:C281"/>
    <mergeCell ref="A282:C282"/>
    <mergeCell ref="A283:C283"/>
    <mergeCell ref="A284:C284"/>
    <mergeCell ref="A285:C285"/>
    <mergeCell ref="G313:H313"/>
    <mergeCell ref="G317:H317"/>
    <mergeCell ref="G321:H321"/>
    <mergeCell ref="G316:H316"/>
    <mergeCell ref="A317:C317"/>
    <mergeCell ref="G318:H318"/>
    <mergeCell ref="E317:F317"/>
    <mergeCell ref="E318:F318"/>
    <mergeCell ref="H222:I222"/>
    <mergeCell ref="A247:A248"/>
    <mergeCell ref="B247:C247"/>
    <mergeCell ref="A1:Q1"/>
    <mergeCell ref="A66:C66"/>
    <mergeCell ref="A63:C63"/>
    <mergeCell ref="A64:C64"/>
    <mergeCell ref="P46:Q47"/>
    <mergeCell ref="P60:Q61"/>
    <mergeCell ref="J46:K47"/>
    <mergeCell ref="F60:I60"/>
    <mergeCell ref="H47:I47"/>
    <mergeCell ref="F47:G47"/>
    <mergeCell ref="F46:I46"/>
    <mergeCell ref="N46:O47"/>
    <mergeCell ref="A50:C50"/>
    <mergeCell ref="A51:C51"/>
    <mergeCell ref="A53:C53"/>
    <mergeCell ref="A52:C52"/>
    <mergeCell ref="A56:C56"/>
    <mergeCell ref="N60:O61"/>
    <mergeCell ref="A27:B27"/>
    <mergeCell ref="E6:E8"/>
    <mergeCell ref="A28:B28"/>
    <mergeCell ref="A30:B30"/>
    <mergeCell ref="A42:C42"/>
    <mergeCell ref="L6:L8"/>
    <mergeCell ref="L60:M61"/>
    <mergeCell ref="M6:M8"/>
    <mergeCell ref="L46:M47"/>
    <mergeCell ref="A67:C67"/>
    <mergeCell ref="A68:C68"/>
    <mergeCell ref="G326:H326"/>
    <mergeCell ref="G325:H325"/>
    <mergeCell ref="A112:A113"/>
    <mergeCell ref="B112:C112"/>
    <mergeCell ref="G319:H319"/>
    <mergeCell ref="G314:H314"/>
    <mergeCell ref="G315:H315"/>
    <mergeCell ref="G306:H306"/>
    <mergeCell ref="G307:H307"/>
    <mergeCell ref="G308:H308"/>
    <mergeCell ref="G324:H324"/>
    <mergeCell ref="G309:H309"/>
    <mergeCell ref="A154:B154"/>
    <mergeCell ref="A310:C310"/>
    <mergeCell ref="A312:C312"/>
    <mergeCell ref="A311:C311"/>
    <mergeCell ref="D304:D305"/>
    <mergeCell ref="A304:C305"/>
    <mergeCell ref="E304:F305"/>
    <mergeCell ref="A321:C321"/>
    <mergeCell ref="A306:C306"/>
    <mergeCell ref="A307:C307"/>
    <mergeCell ref="A308:C308"/>
    <mergeCell ref="A309:C309"/>
    <mergeCell ref="A313:C313"/>
    <mergeCell ref="A314:C314"/>
    <mergeCell ref="A315:C315"/>
    <mergeCell ref="A316:C316"/>
    <mergeCell ref="A96:B96"/>
    <mergeCell ref="A95:B95"/>
    <mergeCell ref="A70:C70"/>
    <mergeCell ref="A98:B98"/>
    <mergeCell ref="C152:D152"/>
    <mergeCell ref="C165:D165"/>
    <mergeCell ref="D197:E197"/>
    <mergeCell ref="D247:E247"/>
    <mergeCell ref="A197:A198"/>
    <mergeCell ref="A168:B168"/>
    <mergeCell ref="A161:B161"/>
    <mergeCell ref="A174:B174"/>
    <mergeCell ref="A169:B169"/>
    <mergeCell ref="B197:C197"/>
    <mergeCell ref="A157:B157"/>
    <mergeCell ref="A170:B170"/>
    <mergeCell ref="A175:B175"/>
    <mergeCell ref="A173:B173"/>
    <mergeCell ref="A178:B179"/>
    <mergeCell ref="C178:D178"/>
    <mergeCell ref="E178:F178"/>
    <mergeCell ref="A187:B187"/>
    <mergeCell ref="A188:B188"/>
    <mergeCell ref="A172:B172"/>
    <mergeCell ref="G178:H178"/>
    <mergeCell ref="I178:J178"/>
    <mergeCell ref="A180:B180"/>
    <mergeCell ref="A181:B181"/>
    <mergeCell ref="J101:K102"/>
    <mergeCell ref="L101:M102"/>
    <mergeCell ref="F102:G102"/>
    <mergeCell ref="H102:I102"/>
    <mergeCell ref="A104:C104"/>
    <mergeCell ref="A105:C105"/>
    <mergeCell ref="A106:C106"/>
    <mergeCell ref="A101:C103"/>
    <mergeCell ref="D101:E102"/>
    <mergeCell ref="F101:I101"/>
    <mergeCell ref="A182:B182"/>
    <mergeCell ref="A183:B183"/>
    <mergeCell ref="A184:B184"/>
    <mergeCell ref="P270:S271"/>
    <mergeCell ref="T270:U271"/>
    <mergeCell ref="K191:K192"/>
    <mergeCell ref="N101:N103"/>
    <mergeCell ref="A191:B192"/>
    <mergeCell ref="C191:D191"/>
    <mergeCell ref="E191:F191"/>
    <mergeCell ref="G191:H191"/>
    <mergeCell ref="I191:J191"/>
    <mergeCell ref="A193:B193"/>
    <mergeCell ref="D270:G271"/>
    <mergeCell ref="H271:K271"/>
    <mergeCell ref="H270:O270"/>
    <mergeCell ref="L271:O271"/>
    <mergeCell ref="A185:B185"/>
    <mergeCell ref="A186:B186"/>
    <mergeCell ref="A167:B167"/>
    <mergeCell ref="H112:I112"/>
    <mergeCell ref="I152:J152"/>
    <mergeCell ref="G165:H165"/>
    <mergeCell ref="A171:B171"/>
  </mergeCells>
  <phoneticPr fontId="3" type="noConversion"/>
  <printOptions horizontalCentered="1"/>
  <pageMargins left="0.39370078740157483" right="0.39370078740157483" top="0.39370078740157483" bottom="0.39370078740157483" header="0.19685039370078741" footer="0.19685039370078741"/>
  <pageSetup paperSize="9" fitToHeight="0" orientation="landscape" verticalDpi="144" r:id="rId1"/>
  <headerFooter alignWithMargins="0">
    <oddHeader>&amp;L&amp;"Calibri"&amp;10&amp;K000000Official&amp;1#</oddHeader>
    <oddFooter>&amp;C&amp;8&amp;P of &amp;N</oddFooter>
  </headerFooter>
  <rowBreaks count="7" manualBreakCount="7">
    <brk id="31" max="16" man="1"/>
    <brk id="72" max="16" man="1"/>
    <brk id="107" max="16" man="1"/>
    <brk id="149" max="16" man="1"/>
    <brk id="218" max="16" man="1"/>
    <brk id="274" max="16" man="1"/>
    <brk id="301" max="16" man="1"/>
  </rowBreaks>
  <ignoredErrors>
    <ignoredError sqref="D70:E70" formulaRange="1"/>
    <ignoredError sqref="C132 I132 E132 G132 C242 E242 I242" formula="1" formulaRange="1"/>
    <ignoredError sqref="I161 I174 H175 F175 D175 J175 J162 H162 F162 D162 I154:I159 I167:I172 D180:D184 D187:D188 F180:F185 F187:F188 I180:I187 I193" 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1">
    <pageSetUpPr fitToPage="1"/>
  </sheetPr>
  <dimension ref="A1:Y70"/>
  <sheetViews>
    <sheetView zoomScale="90" zoomScaleNormal="90" workbookViewId="0"/>
  </sheetViews>
  <sheetFormatPr defaultColWidth="9.140625" defaultRowHeight="12.75" x14ac:dyDescent="0.2"/>
  <cols>
    <col min="1" max="1" width="12.42578125" style="177" customWidth="1"/>
    <col min="2" max="2" width="31.85546875" style="177" customWidth="1"/>
    <col min="3" max="24" width="8.7109375" style="177" customWidth="1"/>
    <col min="25" max="16384" width="9.140625" style="177"/>
  </cols>
  <sheetData>
    <row r="1" spans="1:25" s="278" customFormat="1" ht="15.75" x14ac:dyDescent="0.25">
      <c r="A1" s="276" t="s">
        <v>209</v>
      </c>
      <c r="B1" s="277"/>
      <c r="C1" s="277"/>
      <c r="D1" s="277"/>
      <c r="E1" s="277"/>
      <c r="F1" s="277"/>
      <c r="G1" s="277"/>
      <c r="H1" s="277"/>
      <c r="I1" s="277"/>
      <c r="J1" s="277"/>
      <c r="K1" s="277"/>
      <c r="L1" s="277"/>
      <c r="M1" s="277"/>
      <c r="N1" s="277"/>
      <c r="O1" s="277"/>
      <c r="P1" s="277"/>
      <c r="Q1" s="277"/>
      <c r="R1" s="277"/>
      <c r="S1" s="277"/>
      <c r="T1" s="277"/>
      <c r="U1" s="277"/>
      <c r="V1" s="277"/>
      <c r="W1" s="277"/>
      <c r="X1" s="277"/>
    </row>
    <row r="2" spans="1:25" x14ac:dyDescent="0.2">
      <c r="A2" s="204"/>
      <c r="B2" s="204"/>
      <c r="C2" s="204"/>
      <c r="D2" s="204"/>
      <c r="E2" s="204"/>
      <c r="F2" s="204"/>
      <c r="G2" s="204"/>
      <c r="H2" s="204"/>
      <c r="I2" s="204"/>
      <c r="J2" s="204"/>
      <c r="K2" s="204"/>
      <c r="L2" s="204"/>
      <c r="M2" s="204"/>
      <c r="N2" s="204"/>
      <c r="O2" s="204"/>
      <c r="P2" s="204"/>
      <c r="Q2" s="204"/>
      <c r="R2" s="204"/>
      <c r="S2" s="204"/>
      <c r="T2" s="204"/>
      <c r="U2" s="204"/>
      <c r="V2" s="204"/>
      <c r="W2" s="204"/>
      <c r="X2" s="204"/>
    </row>
    <row r="3" spans="1:25" x14ac:dyDescent="0.2">
      <c r="A3" s="411" t="s">
        <v>210</v>
      </c>
      <c r="B3" s="412"/>
      <c r="C3" s="208" t="s">
        <v>211</v>
      </c>
      <c r="D3" s="208"/>
      <c r="E3" s="208"/>
      <c r="F3" s="208"/>
      <c r="G3" s="209"/>
      <c r="H3" s="208" t="s">
        <v>212</v>
      </c>
      <c r="I3" s="208"/>
      <c r="J3" s="208"/>
      <c r="K3" s="208"/>
      <c r="L3" s="208"/>
      <c r="M3" s="208"/>
      <c r="N3" s="208"/>
      <c r="O3" s="208"/>
      <c r="P3" s="210" t="s">
        <v>213</v>
      </c>
      <c r="Q3" s="208"/>
      <c r="R3" s="208"/>
      <c r="S3" s="208"/>
      <c r="T3" s="208"/>
      <c r="U3" s="208"/>
      <c r="V3" s="208"/>
      <c r="W3" s="208"/>
      <c r="X3" s="211"/>
    </row>
    <row r="4" spans="1:25" x14ac:dyDescent="0.2">
      <c r="A4" s="406" t="s">
        <v>80</v>
      </c>
      <c r="B4" s="407"/>
      <c r="C4" s="212" t="s">
        <v>94</v>
      </c>
      <c r="D4" s="213" t="s">
        <v>95</v>
      </c>
      <c r="E4" s="213" t="s">
        <v>96</v>
      </c>
      <c r="F4" s="213" t="s">
        <v>97</v>
      </c>
      <c r="G4" s="214" t="s">
        <v>98</v>
      </c>
      <c r="H4" s="213" t="s">
        <v>10</v>
      </c>
      <c r="I4" s="213" t="s">
        <v>11</v>
      </c>
      <c r="J4" s="213" t="s">
        <v>12</v>
      </c>
      <c r="K4" s="213" t="s">
        <v>214</v>
      </c>
      <c r="L4" s="213" t="s">
        <v>215</v>
      </c>
      <c r="M4" s="215" t="s">
        <v>216</v>
      </c>
      <c r="N4" s="215" t="s">
        <v>217</v>
      </c>
      <c r="O4" s="214" t="s">
        <v>218</v>
      </c>
      <c r="P4" s="216" t="s">
        <v>219</v>
      </c>
      <c r="Q4" s="217" t="s">
        <v>220</v>
      </c>
      <c r="R4" s="217" t="s">
        <v>221</v>
      </c>
      <c r="S4" s="217" t="s">
        <v>222</v>
      </c>
      <c r="T4" s="217" t="s">
        <v>223</v>
      </c>
      <c r="U4" s="217" t="s">
        <v>224</v>
      </c>
      <c r="V4" s="217" t="s">
        <v>225</v>
      </c>
      <c r="W4" s="217" t="s">
        <v>226</v>
      </c>
      <c r="X4" s="218" t="s">
        <v>227</v>
      </c>
    </row>
    <row r="5" spans="1:25" ht="22.9" hidden="1" customHeight="1" x14ac:dyDescent="0.2">
      <c r="A5" s="406" t="s">
        <v>228</v>
      </c>
      <c r="B5" s="407"/>
      <c r="C5" s="219">
        <v>10</v>
      </c>
      <c r="D5" s="220">
        <v>9</v>
      </c>
      <c r="E5" s="220">
        <v>8</v>
      </c>
      <c r="F5" s="220">
        <v>7</v>
      </c>
      <c r="G5" s="221">
        <f t="shared" ref="G5" si="0">F5-1</f>
        <v>6</v>
      </c>
      <c r="H5" s="220">
        <v>8</v>
      </c>
      <c r="I5" s="220">
        <v>7</v>
      </c>
      <c r="J5" s="220">
        <v>6</v>
      </c>
      <c r="K5" s="220">
        <v>5</v>
      </c>
      <c r="L5" s="220">
        <v>4</v>
      </c>
      <c r="M5" s="220">
        <v>3</v>
      </c>
      <c r="N5" s="220">
        <v>2</v>
      </c>
      <c r="O5" s="220">
        <v>1</v>
      </c>
      <c r="P5" s="222"/>
      <c r="Q5" s="223"/>
      <c r="R5" s="220"/>
      <c r="S5" s="220"/>
      <c r="T5" s="220"/>
      <c r="U5" s="220"/>
      <c r="V5" s="220"/>
      <c r="W5" s="220"/>
      <c r="X5" s="224"/>
    </row>
    <row r="6" spans="1:25" ht="24" customHeight="1" x14ac:dyDescent="0.2">
      <c r="A6" s="408" t="s">
        <v>104</v>
      </c>
      <c r="B6" s="225" t="s">
        <v>229</v>
      </c>
      <c r="C6" s="226">
        <v>2710</v>
      </c>
      <c r="D6" s="227">
        <v>2025</v>
      </c>
      <c r="E6" s="227">
        <v>1877</v>
      </c>
      <c r="F6" s="227">
        <v>1359</v>
      </c>
      <c r="G6" s="228">
        <v>1470</v>
      </c>
      <c r="H6" s="227">
        <v>1974</v>
      </c>
      <c r="I6" s="227">
        <v>2264</v>
      </c>
      <c r="J6" s="227">
        <f>SUM('Conventional Supply'!BT:BT,'Non-Self-Contained Supply'!AT:AT)</f>
        <v>2815.333333333333</v>
      </c>
      <c r="K6" s="227"/>
      <c r="L6" s="227"/>
      <c r="M6" s="227"/>
      <c r="N6" s="227"/>
      <c r="O6" s="227"/>
      <c r="P6" s="229"/>
      <c r="Q6" s="230"/>
      <c r="R6" s="227"/>
      <c r="S6" s="227"/>
      <c r="T6" s="231"/>
      <c r="U6" s="204"/>
      <c r="V6" s="204"/>
      <c r="W6" s="204"/>
      <c r="X6" s="232"/>
    </row>
    <row r="7" spans="1:25" ht="24" customHeight="1" x14ac:dyDescent="0.2">
      <c r="A7" s="409"/>
      <c r="B7" s="233" t="s">
        <v>230</v>
      </c>
      <c r="C7" s="234"/>
      <c r="D7" s="235"/>
      <c r="E7" s="235"/>
      <c r="F7" s="235"/>
      <c r="G7" s="236"/>
      <c r="H7" s="235"/>
      <c r="I7" s="235"/>
      <c r="J7" s="235"/>
      <c r="K7" s="235">
        <f>SUM('Conventional Supply'!BU:BU)+SUM('Non-Self-Contained Supply'!AU:AU)</f>
        <v>2198.1888888888889</v>
      </c>
      <c r="L7" s="235">
        <f>SUM('Conventional Supply'!BV:BV)+SUM('Non-Self-Contained Supply'!AV:AV)</f>
        <v>1316.9722222222222</v>
      </c>
      <c r="M7" s="235">
        <f>SUM('Conventional Supply'!BW:BW)+SUM('Non-Self-Contained Supply'!AW:AW)</f>
        <v>1810.8944444444446</v>
      </c>
      <c r="N7" s="235">
        <f>SUM('Conventional Supply'!BX:BX)+SUM('Non-Self-Contained Supply'!AX:AX)</f>
        <v>3668.3526143790855</v>
      </c>
      <c r="O7" s="235">
        <f>SUM('Conventional Supply'!BY:BY)+SUM('Non-Self-Contained Supply'!AY:AY)</f>
        <v>3617.116900093371</v>
      </c>
      <c r="P7" s="237">
        <f>SUM('Conventional Supply'!BZ:BZ)+SUM('Non-Self-Contained Supply'!AZ:AZ)</f>
        <v>3354.7224556489259</v>
      </c>
      <c r="Q7" s="235">
        <f>SUM('Conventional Supply'!CA:CA)+SUM('Non-Self-Contained Supply'!BA:BA)</f>
        <v>914.86134453781506</v>
      </c>
      <c r="R7" s="235">
        <f>SUM('Conventional Supply'!CB:CB)+SUM('Non-Self-Contained Supply'!BB:BB)</f>
        <v>1351.1113445378148</v>
      </c>
      <c r="S7" s="235">
        <f>SUM('Conventional Supply'!CC:CC)+SUM('Non-Self-Contained Supply'!BC:BC)</f>
        <v>1197.5613445378151</v>
      </c>
      <c r="T7" s="235">
        <f>SUM('Conventional Supply'!CD:CD)+SUM('Non-Self-Contained Supply'!BD:BD)</f>
        <v>844.0613445378151</v>
      </c>
      <c r="U7" s="235">
        <f>SUM('Conventional Supply'!CE:CE)+SUM('Non-Self-Contained Supply'!BE:BE)</f>
        <v>747.81134453781488</v>
      </c>
      <c r="V7" s="235">
        <f>SUM('Conventional Supply'!CF:CF)+SUM('Non-Self-Contained Supply'!BF:BF)</f>
        <v>747.81134453781488</v>
      </c>
      <c r="W7" s="235">
        <f>SUM('Conventional Supply'!CG:CG,'Non-Self-Contained Supply'!BG:BG)</f>
        <v>610.61134453781506</v>
      </c>
      <c r="X7" s="238">
        <f>SUM('Conventional Supply'!CH:CH,'Non-Self-Contained Supply'!BH:BH)</f>
        <v>624.85420168067219</v>
      </c>
    </row>
    <row r="8" spans="1:25" ht="24" customHeight="1" x14ac:dyDescent="0.2">
      <c r="A8" s="410"/>
      <c r="B8" s="239" t="s">
        <v>231</v>
      </c>
      <c r="C8" s="240">
        <f>C6+C7</f>
        <v>2710</v>
      </c>
      <c r="D8" s="241">
        <f t="shared" ref="D8:K8" si="1">C8+D6+D7</f>
        <v>4735</v>
      </c>
      <c r="E8" s="241">
        <f t="shared" si="1"/>
        <v>6612</v>
      </c>
      <c r="F8" s="241">
        <f t="shared" si="1"/>
        <v>7971</v>
      </c>
      <c r="G8" s="242">
        <f t="shared" si="1"/>
        <v>9441</v>
      </c>
      <c r="H8" s="241">
        <f>H6</f>
        <v>1974</v>
      </c>
      <c r="I8" s="241">
        <f t="shared" si="1"/>
        <v>4238</v>
      </c>
      <c r="J8" s="241">
        <f t="shared" si="1"/>
        <v>7053.333333333333</v>
      </c>
      <c r="K8" s="241">
        <f t="shared" si="1"/>
        <v>9251.5222222222219</v>
      </c>
      <c r="L8" s="241">
        <f>K8+L6+L7</f>
        <v>10568.494444444445</v>
      </c>
      <c r="M8" s="241">
        <f>L8+M6+M7</f>
        <v>12379.388888888889</v>
      </c>
      <c r="N8" s="241">
        <f>M8+N6+N7</f>
        <v>16047.741503267975</v>
      </c>
      <c r="O8" s="242">
        <f>N8+O6+O7</f>
        <v>19664.858403361344</v>
      </c>
      <c r="P8" s="241">
        <f>O8+P6+P7</f>
        <v>23019.580859010272</v>
      </c>
      <c r="Q8" s="241">
        <f t="shared" ref="Q8:T8" si="2">P8+Q7</f>
        <v>23934.442203548086</v>
      </c>
      <c r="R8" s="241">
        <f t="shared" si="2"/>
        <v>25285.5535480859</v>
      </c>
      <c r="S8" s="241">
        <f t="shared" si="2"/>
        <v>26483.114892623715</v>
      </c>
      <c r="T8" s="241">
        <f t="shared" si="2"/>
        <v>27327.17623716153</v>
      </c>
      <c r="U8" s="241">
        <f>T8+U7</f>
        <v>28074.987581699344</v>
      </c>
      <c r="V8" s="241">
        <f t="shared" ref="V8:X8" si="3">U8+V7</f>
        <v>28822.798926237159</v>
      </c>
      <c r="W8" s="241">
        <f t="shared" si="3"/>
        <v>29433.410270774973</v>
      </c>
      <c r="X8" s="243">
        <f t="shared" si="3"/>
        <v>30058.264472455645</v>
      </c>
    </row>
    <row r="9" spans="1:25" ht="24" customHeight="1" x14ac:dyDescent="0.2">
      <c r="A9" s="408" t="s">
        <v>232</v>
      </c>
      <c r="B9" s="225" t="s">
        <v>6</v>
      </c>
      <c r="C9" s="226">
        <v>1812</v>
      </c>
      <c r="D9" s="227">
        <v>1812</v>
      </c>
      <c r="E9" s="227">
        <v>1812</v>
      </c>
      <c r="F9" s="227">
        <v>1812</v>
      </c>
      <c r="G9" s="228">
        <v>1812</v>
      </c>
      <c r="H9" s="227">
        <v>1950</v>
      </c>
      <c r="I9" s="227">
        <v>1950</v>
      </c>
      <c r="J9" s="227">
        <v>1950</v>
      </c>
      <c r="K9" s="227">
        <v>1950</v>
      </c>
      <c r="L9" s="227">
        <v>1950</v>
      </c>
      <c r="M9" s="227">
        <v>1950</v>
      </c>
      <c r="N9" s="227">
        <v>1950</v>
      </c>
      <c r="O9" s="227">
        <v>1950</v>
      </c>
      <c r="P9" s="244">
        <v>957</v>
      </c>
      <c r="Q9" s="227">
        <v>957</v>
      </c>
      <c r="R9" s="227">
        <v>957</v>
      </c>
      <c r="S9" s="227">
        <v>957</v>
      </c>
      <c r="T9" s="227">
        <v>957</v>
      </c>
      <c r="U9" s="227">
        <v>957</v>
      </c>
      <c r="V9" s="227">
        <v>957</v>
      </c>
      <c r="W9" s="227">
        <v>957</v>
      </c>
      <c r="X9" s="245">
        <v>957</v>
      </c>
      <c r="Y9" s="187"/>
    </row>
    <row r="10" spans="1:25" ht="24" customHeight="1" x14ac:dyDescent="0.2">
      <c r="A10" s="410"/>
      <c r="B10" s="239" t="s">
        <v>233</v>
      </c>
      <c r="C10" s="240">
        <f>C9</f>
        <v>1812</v>
      </c>
      <c r="D10" s="241">
        <f t="shared" ref="D10:T10" si="4">C10+D9</f>
        <v>3624</v>
      </c>
      <c r="E10" s="241">
        <f t="shared" si="4"/>
        <v>5436</v>
      </c>
      <c r="F10" s="241">
        <f t="shared" si="4"/>
        <v>7248</v>
      </c>
      <c r="G10" s="242">
        <f t="shared" si="4"/>
        <v>9060</v>
      </c>
      <c r="H10" s="241">
        <v>1950</v>
      </c>
      <c r="I10" s="241">
        <f t="shared" si="4"/>
        <v>3900</v>
      </c>
      <c r="J10" s="241">
        <f t="shared" si="4"/>
        <v>5850</v>
      </c>
      <c r="K10" s="241">
        <f t="shared" si="4"/>
        <v>7800</v>
      </c>
      <c r="L10" s="241">
        <f t="shared" si="4"/>
        <v>9750</v>
      </c>
      <c r="M10" s="241">
        <f t="shared" si="4"/>
        <v>11700</v>
      </c>
      <c r="N10" s="241">
        <f t="shared" si="4"/>
        <v>13650</v>
      </c>
      <c r="O10" s="241">
        <f t="shared" si="4"/>
        <v>15600</v>
      </c>
      <c r="P10" s="246">
        <f t="shared" si="4"/>
        <v>16557</v>
      </c>
      <c r="Q10" s="241">
        <f t="shared" si="4"/>
        <v>17514</v>
      </c>
      <c r="R10" s="241">
        <f t="shared" si="4"/>
        <v>18471</v>
      </c>
      <c r="S10" s="241">
        <f t="shared" si="4"/>
        <v>19428</v>
      </c>
      <c r="T10" s="241">
        <f t="shared" si="4"/>
        <v>20385</v>
      </c>
      <c r="U10" s="241">
        <f>T10+U9</f>
        <v>21342</v>
      </c>
      <c r="V10" s="241">
        <f t="shared" ref="V10:X10" si="5">U10+V9</f>
        <v>22299</v>
      </c>
      <c r="W10" s="241">
        <f t="shared" si="5"/>
        <v>23256</v>
      </c>
      <c r="X10" s="243">
        <f t="shared" si="5"/>
        <v>24213</v>
      </c>
    </row>
    <row r="11" spans="1:25" ht="24" customHeight="1" x14ac:dyDescent="0.2">
      <c r="A11" s="408" t="s">
        <v>234</v>
      </c>
      <c r="B11" s="225" t="s">
        <v>235</v>
      </c>
      <c r="C11" s="226">
        <f t="shared" ref="C11:X11" si="6">C8-C10</f>
        <v>898</v>
      </c>
      <c r="D11" s="227">
        <f t="shared" si="6"/>
        <v>1111</v>
      </c>
      <c r="E11" s="227">
        <f t="shared" si="6"/>
        <v>1176</v>
      </c>
      <c r="F11" s="227">
        <f t="shared" si="6"/>
        <v>723</v>
      </c>
      <c r="G11" s="228">
        <f t="shared" si="6"/>
        <v>381</v>
      </c>
      <c r="H11" s="227">
        <f t="shared" si="6"/>
        <v>24</v>
      </c>
      <c r="I11" s="227">
        <f t="shared" si="6"/>
        <v>338</v>
      </c>
      <c r="J11" s="227">
        <f t="shared" si="6"/>
        <v>1203.333333333333</v>
      </c>
      <c r="K11" s="227">
        <f t="shared" si="6"/>
        <v>1451.5222222222219</v>
      </c>
      <c r="L11" s="235">
        <f t="shared" si="6"/>
        <v>818.49444444444453</v>
      </c>
      <c r="M11" s="227">
        <f t="shared" si="6"/>
        <v>679.38888888888869</v>
      </c>
      <c r="N11" s="227">
        <f t="shared" si="6"/>
        <v>2397.7415032679746</v>
      </c>
      <c r="O11" s="227">
        <f t="shared" si="6"/>
        <v>4064.8584033613442</v>
      </c>
      <c r="P11" s="244">
        <f t="shared" si="6"/>
        <v>6462.5808590102715</v>
      </c>
      <c r="Q11" s="227">
        <f t="shared" si="6"/>
        <v>6420.4422035480857</v>
      </c>
      <c r="R11" s="227">
        <f t="shared" si="6"/>
        <v>6814.5535480858998</v>
      </c>
      <c r="S11" s="227">
        <f t="shared" si="6"/>
        <v>7055.1148926237147</v>
      </c>
      <c r="T11" s="227">
        <f t="shared" si="6"/>
        <v>6942.1762371615296</v>
      </c>
      <c r="U11" s="227">
        <f t="shared" si="6"/>
        <v>6732.9875816993444</v>
      </c>
      <c r="V11" s="227">
        <f t="shared" si="6"/>
        <v>6523.7989262371593</v>
      </c>
      <c r="W11" s="227">
        <f t="shared" si="6"/>
        <v>6177.4102707749735</v>
      </c>
      <c r="X11" s="245">
        <f t="shared" si="6"/>
        <v>5845.2644724556449</v>
      </c>
    </row>
    <row r="12" spans="1:25" ht="34.15" customHeight="1" x14ac:dyDescent="0.2">
      <c r="A12" s="410"/>
      <c r="B12" s="247" t="s">
        <v>236</v>
      </c>
      <c r="C12" s="248">
        <f>C9</f>
        <v>1812</v>
      </c>
      <c r="D12" s="249">
        <f t="shared" ref="D12:G12" si="7">IF((D9*10-C8)/D5&gt;0,(D9*10-C8)/D5,0)</f>
        <v>1712.2222222222222</v>
      </c>
      <c r="E12" s="249">
        <f t="shared" si="7"/>
        <v>1673.125</v>
      </c>
      <c r="F12" s="249">
        <f t="shared" si="7"/>
        <v>1644</v>
      </c>
      <c r="G12" s="250">
        <f t="shared" si="7"/>
        <v>1691.5</v>
      </c>
      <c r="H12" s="249">
        <f>H9</f>
        <v>1950</v>
      </c>
      <c r="I12" s="249">
        <f t="shared" ref="I12:O12" si="8">IF((I9*8-H8)/I5&gt;0,(I9*8-H8)/I5,0)</f>
        <v>1946.5714285714287</v>
      </c>
      <c r="J12" s="249">
        <f t="shared" si="8"/>
        <v>1893.6666666666667</v>
      </c>
      <c r="K12" s="249">
        <f t="shared" si="8"/>
        <v>1709.3333333333335</v>
      </c>
      <c r="L12" s="249">
        <f t="shared" si="8"/>
        <v>1587.1194444444445</v>
      </c>
      <c r="M12" s="249">
        <f t="shared" si="8"/>
        <v>1677.1685185185186</v>
      </c>
      <c r="N12" s="249">
        <f t="shared" si="8"/>
        <v>1610.3055555555557</v>
      </c>
      <c r="O12" s="249">
        <f t="shared" si="8"/>
        <v>0</v>
      </c>
      <c r="P12" s="248"/>
      <c r="Q12" s="249"/>
      <c r="R12" s="241"/>
      <c r="S12" s="241"/>
      <c r="T12" s="251"/>
      <c r="U12" s="251"/>
      <c r="V12" s="251"/>
      <c r="W12" s="251"/>
      <c r="X12" s="252"/>
    </row>
    <row r="13" spans="1:25" x14ac:dyDescent="0.2">
      <c r="A13" s="188"/>
      <c r="B13" s="172"/>
      <c r="C13" s="188"/>
      <c r="D13" s="188"/>
      <c r="E13" s="188"/>
      <c r="F13" s="188"/>
      <c r="G13" s="188"/>
      <c r="H13" s="188"/>
      <c r="I13" s="188"/>
      <c r="J13" s="188"/>
      <c r="K13" s="188"/>
      <c r="L13" s="188"/>
      <c r="M13" s="188"/>
      <c r="N13" s="188"/>
      <c r="O13" s="188"/>
      <c r="P13" s="188"/>
      <c r="Q13" s="188"/>
      <c r="R13" s="188"/>
      <c r="S13" s="188"/>
    </row>
    <row r="14" spans="1:25" x14ac:dyDescent="0.2">
      <c r="A14" s="188"/>
      <c r="B14" s="172"/>
      <c r="C14" s="188"/>
      <c r="D14" s="188"/>
      <c r="E14" s="188"/>
      <c r="F14" s="188"/>
      <c r="G14" s="188"/>
      <c r="H14" s="188"/>
      <c r="I14" s="188"/>
      <c r="J14" s="188"/>
      <c r="K14" s="188"/>
      <c r="L14" s="188"/>
      <c r="M14" s="188"/>
      <c r="N14" s="188"/>
      <c r="O14" s="188"/>
      <c r="P14" s="188"/>
      <c r="Q14" s="188"/>
      <c r="R14" s="188"/>
      <c r="S14" s="188"/>
    </row>
    <row r="15" spans="1:25" x14ac:dyDescent="0.2">
      <c r="A15" s="188"/>
      <c r="B15" s="172"/>
      <c r="C15" s="188"/>
      <c r="D15" s="188"/>
      <c r="E15" s="188"/>
      <c r="F15" s="188"/>
      <c r="G15" s="188"/>
      <c r="H15" s="188"/>
      <c r="I15" s="188"/>
      <c r="J15" s="188"/>
      <c r="K15" s="188"/>
      <c r="L15" s="188"/>
      <c r="M15" s="188"/>
      <c r="N15" s="188"/>
      <c r="O15" s="188"/>
      <c r="P15" s="188"/>
      <c r="Q15" s="188"/>
      <c r="R15" s="188"/>
      <c r="S15" s="188"/>
    </row>
    <row r="16" spans="1:25" x14ac:dyDescent="0.2">
      <c r="A16" s="188"/>
      <c r="B16" s="172"/>
      <c r="C16" s="188"/>
      <c r="D16" s="188"/>
      <c r="E16" s="188"/>
      <c r="F16" s="188"/>
      <c r="G16" s="188"/>
      <c r="H16" s="188"/>
      <c r="I16" s="188"/>
      <c r="J16" s="188"/>
      <c r="K16" s="188"/>
      <c r="L16" s="188"/>
      <c r="M16" s="188"/>
      <c r="N16" s="188"/>
      <c r="O16" s="188"/>
      <c r="P16" s="188"/>
      <c r="Q16" s="188"/>
      <c r="R16" s="188"/>
      <c r="S16" s="188"/>
    </row>
    <row r="17" spans="1:19" x14ac:dyDescent="0.2">
      <c r="A17" s="188"/>
      <c r="B17" s="172"/>
      <c r="C17" s="188"/>
      <c r="D17" s="188"/>
      <c r="E17" s="188"/>
      <c r="F17" s="188"/>
      <c r="G17" s="188"/>
      <c r="H17" s="188"/>
      <c r="I17" s="188"/>
      <c r="J17" s="188"/>
      <c r="K17" s="188"/>
      <c r="L17" s="188"/>
      <c r="M17" s="188"/>
      <c r="N17" s="188"/>
      <c r="O17" s="188"/>
      <c r="P17" s="188"/>
      <c r="Q17" s="188"/>
      <c r="R17" s="188"/>
      <c r="S17" s="188"/>
    </row>
    <row r="18" spans="1:19" x14ac:dyDescent="0.2">
      <c r="A18" s="188"/>
      <c r="B18" s="172"/>
      <c r="C18" s="188"/>
      <c r="D18" s="188"/>
      <c r="E18" s="188"/>
      <c r="F18" s="188"/>
      <c r="G18" s="188"/>
      <c r="H18" s="188"/>
      <c r="I18" s="188"/>
      <c r="J18" s="188"/>
      <c r="K18" s="188"/>
      <c r="L18" s="188"/>
      <c r="M18" s="188"/>
      <c r="N18" s="188"/>
      <c r="O18" s="188"/>
      <c r="P18" s="188"/>
      <c r="Q18" s="188"/>
      <c r="R18" s="188"/>
      <c r="S18" s="188"/>
    </row>
    <row r="19" spans="1:19" x14ac:dyDescent="0.2">
      <c r="A19" s="188"/>
      <c r="B19" s="172"/>
      <c r="C19" s="188"/>
      <c r="D19" s="188"/>
      <c r="E19" s="188"/>
      <c r="F19" s="188"/>
      <c r="G19" s="188"/>
      <c r="H19" s="188"/>
      <c r="I19" s="188"/>
      <c r="J19" s="188"/>
      <c r="K19" s="188"/>
      <c r="L19" s="188"/>
      <c r="M19" s="188"/>
      <c r="N19" s="188"/>
      <c r="O19" s="188"/>
      <c r="P19" s="188"/>
      <c r="Q19" s="188"/>
      <c r="R19" s="188"/>
      <c r="S19" s="188"/>
    </row>
    <row r="20" spans="1:19" x14ac:dyDescent="0.2">
      <c r="A20" s="188"/>
      <c r="B20" s="172"/>
      <c r="C20" s="188"/>
      <c r="D20" s="188"/>
      <c r="E20" s="188"/>
      <c r="F20" s="188"/>
      <c r="G20" s="188"/>
      <c r="H20" s="188"/>
      <c r="I20" s="188"/>
      <c r="J20" s="188"/>
      <c r="K20" s="188"/>
      <c r="L20" s="188"/>
      <c r="M20" s="188"/>
      <c r="N20" s="188"/>
      <c r="O20" s="188"/>
      <c r="P20" s="188"/>
      <c r="Q20" s="188"/>
      <c r="R20" s="188"/>
      <c r="S20" s="188"/>
    </row>
    <row r="21" spans="1:19" x14ac:dyDescent="0.2">
      <c r="A21" s="188"/>
      <c r="B21" s="172"/>
      <c r="C21" s="188"/>
      <c r="D21" s="188"/>
      <c r="E21" s="188"/>
      <c r="F21" s="188"/>
      <c r="G21" s="188"/>
      <c r="H21" s="188"/>
      <c r="I21" s="188"/>
      <c r="J21" s="188"/>
      <c r="K21" s="188"/>
      <c r="L21" s="188"/>
      <c r="M21" s="188"/>
      <c r="N21" s="188"/>
      <c r="O21" s="188"/>
      <c r="P21" s="188"/>
      <c r="Q21" s="188"/>
      <c r="R21" s="188"/>
      <c r="S21" s="188"/>
    </row>
    <row r="22" spans="1:19" x14ac:dyDescent="0.2">
      <c r="A22" s="188"/>
      <c r="B22" s="172"/>
      <c r="C22" s="188"/>
      <c r="D22" s="188"/>
      <c r="E22" s="188"/>
      <c r="F22" s="188"/>
      <c r="G22" s="188"/>
      <c r="H22" s="188"/>
      <c r="I22" s="188"/>
      <c r="J22" s="188"/>
      <c r="K22" s="188"/>
      <c r="L22" s="188"/>
      <c r="M22" s="188"/>
      <c r="N22" s="188"/>
      <c r="O22" s="188"/>
      <c r="P22" s="188"/>
      <c r="Q22" s="188"/>
      <c r="R22" s="188"/>
      <c r="S22" s="188"/>
    </row>
    <row r="23" spans="1:19" x14ac:dyDescent="0.2">
      <c r="A23" s="188"/>
      <c r="B23" s="172"/>
      <c r="C23" s="188"/>
      <c r="D23" s="188"/>
      <c r="E23" s="188"/>
      <c r="F23" s="188"/>
      <c r="G23" s="188"/>
      <c r="H23" s="188"/>
      <c r="I23" s="188"/>
      <c r="J23" s="188"/>
      <c r="K23" s="188"/>
      <c r="L23" s="188"/>
      <c r="M23" s="188"/>
      <c r="N23" s="188"/>
      <c r="O23" s="188"/>
      <c r="P23" s="188"/>
      <c r="Q23" s="188"/>
      <c r="R23" s="188"/>
      <c r="S23" s="188"/>
    </row>
    <row r="24" spans="1:19" x14ac:dyDescent="0.2">
      <c r="A24" s="188"/>
      <c r="B24" s="172"/>
      <c r="C24" s="188"/>
      <c r="D24" s="188"/>
      <c r="E24" s="188"/>
      <c r="F24" s="188"/>
      <c r="G24" s="188"/>
      <c r="H24" s="188"/>
      <c r="I24" s="188"/>
      <c r="J24" s="188"/>
      <c r="K24" s="188"/>
      <c r="L24" s="188"/>
      <c r="M24" s="188"/>
      <c r="N24" s="188"/>
      <c r="O24" s="188"/>
      <c r="P24" s="188"/>
      <c r="Q24" s="188"/>
      <c r="R24" s="188"/>
      <c r="S24" s="188"/>
    </row>
    <row r="25" spans="1:19" x14ac:dyDescent="0.2">
      <c r="A25" s="188"/>
      <c r="B25" s="172"/>
      <c r="C25" s="188"/>
      <c r="D25" s="188"/>
      <c r="E25" s="188"/>
      <c r="F25" s="188"/>
      <c r="G25" s="188"/>
      <c r="H25" s="188"/>
      <c r="I25" s="188"/>
      <c r="J25" s="188"/>
      <c r="K25" s="188"/>
      <c r="L25" s="188"/>
      <c r="M25" s="188"/>
      <c r="N25" s="188"/>
      <c r="O25" s="188"/>
      <c r="P25" s="188"/>
      <c r="Q25" s="188"/>
      <c r="R25" s="188"/>
      <c r="S25" s="188"/>
    </row>
    <row r="26" spans="1:19" x14ac:dyDescent="0.2">
      <c r="A26" s="188"/>
      <c r="B26" s="172"/>
      <c r="C26" s="188"/>
      <c r="D26" s="188"/>
      <c r="E26" s="188"/>
      <c r="F26" s="188"/>
      <c r="G26" s="188"/>
      <c r="H26" s="188"/>
      <c r="I26" s="188"/>
      <c r="J26" s="188"/>
      <c r="K26" s="188"/>
      <c r="L26" s="188"/>
      <c r="M26" s="188"/>
      <c r="N26" s="188"/>
      <c r="O26" s="188"/>
      <c r="P26" s="188"/>
      <c r="Q26" s="188"/>
      <c r="R26" s="188"/>
      <c r="S26" s="188"/>
    </row>
    <row r="27" spans="1:19" x14ac:dyDescent="0.2">
      <c r="A27" s="188"/>
      <c r="B27" s="172"/>
      <c r="C27" s="188"/>
      <c r="D27" s="188"/>
      <c r="E27" s="188"/>
      <c r="F27" s="188"/>
      <c r="G27" s="188"/>
      <c r="H27" s="188"/>
      <c r="I27" s="188"/>
      <c r="J27" s="188"/>
      <c r="K27" s="188"/>
      <c r="L27" s="188"/>
      <c r="M27" s="188"/>
      <c r="N27" s="188"/>
      <c r="O27" s="188"/>
      <c r="P27" s="188"/>
      <c r="Q27" s="188"/>
      <c r="R27" s="188"/>
      <c r="S27" s="188"/>
    </row>
    <row r="28" spans="1:19" x14ac:dyDescent="0.2">
      <c r="A28" s="188"/>
      <c r="B28" s="172"/>
      <c r="C28" s="188"/>
      <c r="D28" s="188"/>
      <c r="E28" s="188"/>
      <c r="F28" s="188"/>
      <c r="G28" s="188"/>
      <c r="H28" s="188"/>
      <c r="I28" s="188"/>
      <c r="J28" s="188"/>
      <c r="K28" s="188"/>
      <c r="L28" s="188"/>
      <c r="M28" s="188"/>
      <c r="N28" s="188"/>
      <c r="O28" s="188"/>
      <c r="P28" s="188"/>
      <c r="Q28" s="188"/>
      <c r="R28" s="188"/>
      <c r="S28" s="188"/>
    </row>
    <row r="29" spans="1:19" x14ac:dyDescent="0.2">
      <c r="A29" s="188"/>
      <c r="B29" s="172"/>
      <c r="C29" s="188"/>
      <c r="D29" s="188"/>
      <c r="E29" s="188"/>
      <c r="F29" s="188"/>
      <c r="G29" s="188"/>
      <c r="H29" s="188"/>
      <c r="I29" s="188"/>
      <c r="J29" s="188"/>
      <c r="K29" s="188"/>
      <c r="L29" s="188"/>
      <c r="M29" s="188"/>
      <c r="N29" s="188"/>
      <c r="O29" s="188"/>
      <c r="P29" s="188"/>
      <c r="Q29" s="188"/>
      <c r="R29" s="188"/>
      <c r="S29" s="188"/>
    </row>
    <row r="30" spans="1:19" x14ac:dyDescent="0.2">
      <c r="A30" s="188"/>
      <c r="B30" s="172"/>
      <c r="C30" s="188"/>
      <c r="D30" s="188"/>
      <c r="E30" s="188"/>
      <c r="F30" s="188"/>
      <c r="G30" s="188"/>
      <c r="H30" s="188"/>
      <c r="I30" s="188"/>
      <c r="J30" s="188"/>
      <c r="K30" s="188"/>
      <c r="L30" s="188"/>
      <c r="M30" s="188"/>
      <c r="N30" s="188"/>
      <c r="O30" s="188"/>
      <c r="P30" s="188"/>
      <c r="Q30" s="188"/>
      <c r="R30" s="188"/>
      <c r="S30" s="188"/>
    </row>
    <row r="31" spans="1:19" x14ac:dyDescent="0.2">
      <c r="A31" s="188"/>
      <c r="B31" s="172"/>
      <c r="C31" s="188"/>
      <c r="D31" s="188"/>
      <c r="E31" s="188"/>
      <c r="F31" s="188"/>
      <c r="G31" s="188"/>
      <c r="H31" s="188"/>
      <c r="I31" s="188"/>
      <c r="J31" s="188"/>
      <c r="K31" s="188"/>
      <c r="L31" s="188"/>
      <c r="M31" s="188"/>
      <c r="N31" s="188"/>
      <c r="O31" s="188"/>
      <c r="P31" s="188"/>
      <c r="Q31" s="188"/>
      <c r="R31" s="188"/>
      <c r="S31" s="188"/>
    </row>
    <row r="32" spans="1:19" x14ac:dyDescent="0.2">
      <c r="A32" s="188"/>
      <c r="B32" s="172"/>
      <c r="C32" s="188"/>
      <c r="D32" s="188"/>
      <c r="E32" s="188"/>
      <c r="F32" s="188"/>
      <c r="G32" s="188"/>
      <c r="H32" s="188"/>
      <c r="I32" s="188"/>
      <c r="J32" s="188"/>
      <c r="K32" s="188"/>
      <c r="L32" s="188"/>
      <c r="M32" s="188"/>
      <c r="N32" s="188"/>
      <c r="O32" s="188"/>
      <c r="P32" s="188"/>
      <c r="Q32" s="188"/>
      <c r="R32" s="188"/>
      <c r="S32" s="188"/>
    </row>
    <row r="33" spans="1:19" x14ac:dyDescent="0.2">
      <c r="A33" s="188"/>
      <c r="B33" s="172"/>
      <c r="C33" s="188"/>
      <c r="D33" s="188"/>
      <c r="E33" s="188"/>
      <c r="F33" s="188"/>
      <c r="G33" s="188"/>
      <c r="H33" s="188"/>
      <c r="I33" s="188"/>
      <c r="J33" s="188"/>
      <c r="K33" s="188"/>
      <c r="L33" s="188"/>
      <c r="M33" s="188"/>
      <c r="N33" s="188"/>
      <c r="O33" s="188"/>
      <c r="P33" s="188"/>
      <c r="Q33" s="188"/>
      <c r="R33" s="188"/>
      <c r="S33" s="188"/>
    </row>
    <row r="34" spans="1:19" x14ac:dyDescent="0.2">
      <c r="A34" s="188"/>
      <c r="B34" s="172"/>
      <c r="C34" s="188"/>
      <c r="D34" s="188"/>
      <c r="E34" s="188"/>
      <c r="F34" s="188"/>
      <c r="G34" s="188"/>
      <c r="H34" s="188"/>
      <c r="I34" s="188"/>
      <c r="J34" s="188"/>
      <c r="K34" s="188"/>
      <c r="L34" s="188"/>
      <c r="M34" s="188"/>
      <c r="N34" s="188"/>
      <c r="O34" s="188"/>
      <c r="P34" s="188"/>
      <c r="Q34" s="188"/>
      <c r="R34" s="188"/>
      <c r="S34" s="188"/>
    </row>
    <row r="35" spans="1:19" x14ac:dyDescent="0.2">
      <c r="A35" s="188"/>
      <c r="B35" s="172"/>
      <c r="C35" s="188"/>
      <c r="D35" s="188"/>
      <c r="E35" s="188"/>
      <c r="F35" s="188"/>
      <c r="G35" s="188"/>
      <c r="H35" s="188"/>
      <c r="I35" s="188"/>
      <c r="J35" s="188"/>
      <c r="K35" s="188"/>
      <c r="L35" s="188"/>
      <c r="M35" s="188"/>
      <c r="N35" s="188"/>
      <c r="O35" s="188"/>
      <c r="P35" s="188"/>
      <c r="Q35" s="188"/>
      <c r="R35" s="188"/>
      <c r="S35" s="188"/>
    </row>
    <row r="36" spans="1:19" x14ac:dyDescent="0.2">
      <c r="A36" s="188"/>
      <c r="B36" s="172"/>
      <c r="C36" s="188"/>
      <c r="D36" s="188"/>
      <c r="E36" s="188"/>
      <c r="F36" s="188"/>
      <c r="G36" s="188"/>
      <c r="H36" s="188"/>
      <c r="I36" s="188"/>
      <c r="J36" s="188"/>
      <c r="K36" s="188"/>
      <c r="L36" s="188"/>
      <c r="M36" s="188"/>
      <c r="N36" s="188"/>
      <c r="O36" s="188"/>
      <c r="P36" s="188"/>
      <c r="Q36" s="188"/>
      <c r="R36" s="188"/>
      <c r="S36" s="188"/>
    </row>
    <row r="37" spans="1:19" x14ac:dyDescent="0.2">
      <c r="A37" s="188"/>
      <c r="B37" s="172"/>
      <c r="C37" s="188"/>
      <c r="D37" s="188"/>
      <c r="E37" s="188"/>
      <c r="F37" s="188"/>
      <c r="G37" s="188"/>
      <c r="H37" s="188"/>
      <c r="I37" s="188"/>
      <c r="J37" s="188"/>
      <c r="K37" s="188"/>
      <c r="L37" s="188"/>
      <c r="M37" s="188"/>
      <c r="N37" s="188"/>
      <c r="O37" s="188"/>
      <c r="P37" s="188"/>
      <c r="Q37" s="188"/>
      <c r="R37" s="188"/>
      <c r="S37" s="188"/>
    </row>
    <row r="38" spans="1:19" x14ac:dyDescent="0.2">
      <c r="A38" s="188"/>
      <c r="B38" s="172"/>
      <c r="C38" s="188"/>
      <c r="D38" s="188"/>
      <c r="E38" s="188"/>
      <c r="F38" s="188"/>
      <c r="G38" s="188"/>
      <c r="H38" s="188"/>
      <c r="I38" s="188"/>
      <c r="J38" s="188"/>
      <c r="K38" s="188"/>
      <c r="L38" s="188"/>
      <c r="M38" s="188"/>
      <c r="N38" s="188"/>
      <c r="O38" s="188"/>
      <c r="P38" s="188"/>
      <c r="Q38" s="188"/>
      <c r="R38" s="188"/>
      <c r="S38" s="188"/>
    </row>
    <row r="39" spans="1:19" x14ac:dyDescent="0.2">
      <c r="A39" s="188"/>
      <c r="B39" s="172"/>
      <c r="C39" s="188"/>
      <c r="D39" s="188"/>
      <c r="E39" s="188"/>
      <c r="F39" s="188"/>
      <c r="G39" s="188"/>
      <c r="H39" s="188"/>
      <c r="I39" s="188"/>
      <c r="J39" s="188"/>
      <c r="K39" s="188"/>
      <c r="L39" s="188"/>
      <c r="M39" s="188"/>
      <c r="N39" s="188"/>
      <c r="O39" s="188"/>
      <c r="P39" s="188"/>
      <c r="Q39" s="188"/>
      <c r="R39" s="188"/>
      <c r="S39" s="188"/>
    </row>
    <row r="40" spans="1:19" x14ac:dyDescent="0.2">
      <c r="A40" s="188"/>
      <c r="B40" s="172"/>
      <c r="C40" s="188"/>
      <c r="D40" s="188"/>
      <c r="E40" s="188"/>
      <c r="F40" s="188"/>
      <c r="G40" s="188"/>
      <c r="H40" s="188"/>
      <c r="I40" s="188"/>
      <c r="J40" s="188"/>
      <c r="K40" s="188"/>
      <c r="L40" s="188"/>
      <c r="M40" s="188"/>
      <c r="N40" s="188"/>
      <c r="O40" s="188"/>
      <c r="P40" s="188"/>
      <c r="Q40" s="188"/>
      <c r="R40" s="188"/>
      <c r="S40" s="188"/>
    </row>
    <row r="41" spans="1:19" x14ac:dyDescent="0.2">
      <c r="A41" s="188"/>
      <c r="B41" s="172"/>
      <c r="C41" s="188"/>
      <c r="D41" s="188"/>
      <c r="E41" s="188"/>
      <c r="F41" s="188"/>
      <c r="G41" s="188"/>
      <c r="H41" s="188"/>
      <c r="I41" s="188"/>
      <c r="J41" s="188"/>
      <c r="K41" s="188"/>
      <c r="L41" s="188"/>
      <c r="M41" s="188"/>
      <c r="N41" s="188"/>
      <c r="O41" s="188"/>
      <c r="P41" s="188"/>
      <c r="Q41" s="188"/>
      <c r="R41" s="188"/>
      <c r="S41" s="188"/>
    </row>
    <row r="42" spans="1:19" x14ac:dyDescent="0.2">
      <c r="A42" s="188"/>
      <c r="B42" s="172"/>
      <c r="C42" s="188"/>
      <c r="D42" s="188"/>
      <c r="E42" s="188"/>
      <c r="F42" s="188"/>
      <c r="G42" s="188"/>
      <c r="H42" s="188"/>
      <c r="I42" s="188"/>
      <c r="J42" s="188"/>
      <c r="K42" s="188"/>
      <c r="L42" s="188"/>
      <c r="M42" s="188"/>
      <c r="N42" s="188"/>
      <c r="O42" s="188"/>
      <c r="P42" s="188"/>
      <c r="Q42" s="188"/>
      <c r="R42" s="188"/>
      <c r="S42" s="188"/>
    </row>
    <row r="43" spans="1:19" x14ac:dyDescent="0.2">
      <c r="A43" s="188"/>
      <c r="B43" s="172"/>
      <c r="C43" s="188"/>
      <c r="D43" s="188"/>
      <c r="E43" s="188"/>
      <c r="F43" s="188"/>
      <c r="G43" s="188"/>
      <c r="H43" s="188"/>
      <c r="I43" s="188"/>
      <c r="J43" s="188"/>
      <c r="K43" s="188"/>
      <c r="L43" s="188"/>
      <c r="M43" s="188"/>
      <c r="N43" s="188"/>
      <c r="O43" s="188"/>
      <c r="P43" s="188"/>
      <c r="Q43" s="188"/>
      <c r="R43" s="188"/>
      <c r="S43" s="188"/>
    </row>
    <row r="44" spans="1:19" x14ac:dyDescent="0.2">
      <c r="A44" s="188"/>
      <c r="B44" s="172"/>
      <c r="C44" s="188"/>
      <c r="D44" s="188"/>
      <c r="E44" s="188"/>
      <c r="F44" s="188"/>
      <c r="G44" s="188"/>
      <c r="H44" s="188"/>
      <c r="I44" s="188"/>
      <c r="J44" s="188"/>
      <c r="K44" s="188"/>
      <c r="L44" s="188"/>
      <c r="M44" s="188"/>
      <c r="N44" s="188"/>
      <c r="O44" s="188"/>
      <c r="P44" s="188"/>
      <c r="Q44" s="188"/>
      <c r="R44" s="188"/>
      <c r="S44" s="188"/>
    </row>
    <row r="45" spans="1:19" x14ac:dyDescent="0.2">
      <c r="A45" s="188"/>
      <c r="B45" s="172"/>
      <c r="C45" s="188"/>
      <c r="D45" s="188"/>
      <c r="E45" s="188"/>
      <c r="F45" s="188"/>
      <c r="G45" s="188"/>
      <c r="H45" s="188"/>
      <c r="I45" s="188"/>
      <c r="J45" s="188"/>
      <c r="K45" s="188"/>
      <c r="L45" s="188"/>
      <c r="M45" s="188"/>
      <c r="N45" s="188"/>
      <c r="O45" s="188"/>
      <c r="P45" s="188"/>
      <c r="Q45" s="188"/>
      <c r="R45" s="188"/>
      <c r="S45" s="188"/>
    </row>
    <row r="46" spans="1:19" x14ac:dyDescent="0.2">
      <c r="A46" s="188"/>
      <c r="B46" s="172"/>
      <c r="C46" s="188"/>
      <c r="D46" s="188"/>
      <c r="E46" s="188"/>
      <c r="F46" s="188"/>
      <c r="G46" s="188"/>
      <c r="H46" s="188"/>
      <c r="I46" s="188"/>
      <c r="J46" s="188"/>
      <c r="K46" s="188"/>
      <c r="L46" s="188"/>
      <c r="M46" s="188"/>
      <c r="N46" s="188"/>
      <c r="O46" s="188"/>
      <c r="P46" s="188"/>
      <c r="Q46" s="188"/>
      <c r="R46" s="188"/>
      <c r="S46" s="188"/>
    </row>
    <row r="47" spans="1:19" x14ac:dyDescent="0.2">
      <c r="A47" s="188"/>
      <c r="B47" s="172"/>
      <c r="C47" s="188"/>
      <c r="D47" s="188"/>
      <c r="E47" s="188"/>
      <c r="F47" s="188"/>
      <c r="G47" s="188"/>
      <c r="H47" s="188"/>
      <c r="I47" s="188"/>
      <c r="J47" s="188"/>
      <c r="K47" s="188"/>
      <c r="L47" s="188"/>
      <c r="M47" s="188"/>
      <c r="N47" s="188"/>
      <c r="O47" s="188"/>
      <c r="P47" s="188"/>
      <c r="Q47" s="188"/>
      <c r="R47" s="188"/>
      <c r="S47" s="188"/>
    </row>
    <row r="48" spans="1:19" x14ac:dyDescent="0.2">
      <c r="A48" s="188"/>
      <c r="B48" s="172"/>
      <c r="C48" s="188"/>
      <c r="D48" s="188"/>
      <c r="E48" s="188"/>
      <c r="F48" s="188"/>
      <c r="G48" s="188"/>
      <c r="H48" s="188"/>
      <c r="I48" s="188"/>
      <c r="J48" s="188"/>
      <c r="K48" s="188"/>
      <c r="L48" s="188"/>
      <c r="M48" s="188"/>
      <c r="N48" s="188"/>
      <c r="O48" s="188"/>
      <c r="P48" s="188"/>
      <c r="Q48" s="188"/>
      <c r="R48" s="188"/>
      <c r="S48" s="188"/>
    </row>
    <row r="49" spans="1:19" x14ac:dyDescent="0.2">
      <c r="A49" s="188"/>
      <c r="B49" s="172"/>
      <c r="C49" s="188"/>
      <c r="D49" s="188"/>
      <c r="E49" s="188"/>
      <c r="F49" s="188"/>
      <c r="G49" s="188"/>
      <c r="H49" s="188"/>
      <c r="I49" s="188"/>
      <c r="J49" s="188"/>
      <c r="K49" s="188"/>
      <c r="L49" s="188"/>
      <c r="M49" s="188"/>
      <c r="N49" s="188"/>
      <c r="O49" s="188"/>
      <c r="P49" s="188"/>
      <c r="Q49" s="188"/>
      <c r="R49" s="188"/>
      <c r="S49" s="188"/>
    </row>
    <row r="50" spans="1:19" x14ac:dyDescent="0.2">
      <c r="A50" s="188"/>
      <c r="B50" s="172"/>
      <c r="C50" s="188"/>
      <c r="D50" s="188"/>
      <c r="E50" s="188"/>
      <c r="F50" s="188"/>
      <c r="G50" s="188"/>
      <c r="H50" s="188"/>
      <c r="I50" s="188"/>
      <c r="J50" s="188"/>
      <c r="K50" s="188"/>
      <c r="L50" s="188"/>
      <c r="M50" s="188"/>
      <c r="N50" s="188"/>
      <c r="O50" s="188"/>
      <c r="P50" s="188"/>
      <c r="Q50" s="188"/>
      <c r="R50" s="188"/>
      <c r="S50" s="188"/>
    </row>
    <row r="51" spans="1:19" x14ac:dyDescent="0.2">
      <c r="A51" s="188"/>
      <c r="B51" s="172"/>
      <c r="C51" s="188"/>
      <c r="D51" s="188"/>
      <c r="E51" s="188"/>
      <c r="F51" s="188"/>
      <c r="G51" s="188"/>
      <c r="H51" s="188"/>
      <c r="I51" s="188"/>
      <c r="J51" s="188"/>
      <c r="K51" s="188"/>
      <c r="L51" s="188"/>
      <c r="M51" s="188"/>
      <c r="N51" s="188"/>
      <c r="O51" s="188"/>
      <c r="P51" s="188"/>
      <c r="Q51" s="188"/>
      <c r="R51" s="188"/>
      <c r="S51" s="188"/>
    </row>
    <row r="52" spans="1:19" x14ac:dyDescent="0.2">
      <c r="A52" s="188"/>
      <c r="B52" s="172"/>
      <c r="C52" s="188"/>
      <c r="D52" s="188"/>
      <c r="E52" s="188"/>
      <c r="F52" s="188"/>
      <c r="G52" s="188"/>
      <c r="H52" s="188"/>
      <c r="I52" s="188"/>
      <c r="J52" s="188"/>
      <c r="K52" s="188"/>
      <c r="L52" s="188"/>
      <c r="M52" s="188"/>
      <c r="N52" s="188"/>
      <c r="O52" s="188"/>
      <c r="P52" s="188"/>
      <c r="Q52" s="188"/>
      <c r="R52" s="188"/>
      <c r="S52" s="188"/>
    </row>
    <row r="53" spans="1:19" x14ac:dyDescent="0.2">
      <c r="A53" s="188"/>
      <c r="B53" s="172"/>
      <c r="C53" s="188"/>
      <c r="D53" s="188"/>
      <c r="E53" s="188"/>
      <c r="F53" s="188"/>
      <c r="G53" s="188"/>
      <c r="H53" s="188"/>
      <c r="I53" s="188"/>
      <c r="J53" s="188"/>
      <c r="K53" s="188"/>
      <c r="L53" s="188"/>
      <c r="M53" s="188"/>
      <c r="N53" s="188"/>
      <c r="O53" s="188"/>
      <c r="P53" s="188"/>
      <c r="Q53" s="188"/>
      <c r="R53" s="188"/>
      <c r="S53" s="188"/>
    </row>
    <row r="54" spans="1:19" x14ac:dyDescent="0.2">
      <c r="A54" s="188"/>
      <c r="B54" s="172"/>
      <c r="C54" s="188"/>
      <c r="D54" s="188"/>
      <c r="E54" s="188"/>
      <c r="F54" s="188"/>
      <c r="G54" s="188"/>
      <c r="H54" s="188"/>
      <c r="I54" s="188"/>
      <c r="J54" s="188"/>
      <c r="K54" s="188"/>
      <c r="L54" s="188"/>
      <c r="M54" s="188"/>
      <c r="N54" s="188"/>
      <c r="O54" s="188"/>
      <c r="P54" s="188"/>
      <c r="Q54" s="188"/>
      <c r="R54" s="188"/>
      <c r="S54" s="188"/>
    </row>
    <row r="55" spans="1:19" x14ac:dyDescent="0.2">
      <c r="A55" s="188"/>
      <c r="B55" s="172"/>
      <c r="C55" s="188"/>
      <c r="D55" s="188"/>
      <c r="E55" s="188"/>
      <c r="F55" s="188"/>
      <c r="G55" s="188"/>
      <c r="H55" s="188"/>
      <c r="I55" s="188"/>
      <c r="J55" s="188"/>
      <c r="K55" s="188"/>
      <c r="L55" s="188"/>
      <c r="M55" s="188"/>
      <c r="N55" s="188"/>
      <c r="O55" s="188"/>
      <c r="P55" s="188"/>
      <c r="Q55" s="188"/>
      <c r="R55" s="188"/>
      <c r="S55" s="188"/>
    </row>
    <row r="56" spans="1:19" x14ac:dyDescent="0.2">
      <c r="A56" s="188"/>
      <c r="B56" s="172"/>
      <c r="C56" s="188"/>
      <c r="D56" s="188"/>
      <c r="E56" s="188"/>
      <c r="F56" s="188"/>
      <c r="G56" s="188"/>
      <c r="H56" s="188"/>
      <c r="I56" s="188"/>
      <c r="J56" s="188"/>
      <c r="K56" s="188"/>
      <c r="L56" s="188"/>
      <c r="M56" s="188"/>
      <c r="N56" s="188"/>
      <c r="O56" s="188"/>
      <c r="P56" s="188"/>
      <c r="Q56" s="188"/>
      <c r="R56" s="188"/>
      <c r="S56" s="188"/>
    </row>
    <row r="57" spans="1:19" x14ac:dyDescent="0.2">
      <c r="A57" s="188"/>
      <c r="B57" s="172"/>
      <c r="C57" s="188"/>
      <c r="D57" s="188"/>
      <c r="E57" s="188"/>
      <c r="F57" s="188"/>
      <c r="G57" s="188"/>
      <c r="H57" s="188"/>
      <c r="I57" s="188"/>
      <c r="J57" s="188"/>
      <c r="K57" s="188"/>
      <c r="L57" s="188"/>
      <c r="M57" s="188"/>
      <c r="N57" s="188"/>
      <c r="O57" s="188"/>
      <c r="P57" s="188"/>
      <c r="Q57" s="188"/>
      <c r="R57" s="188"/>
      <c r="S57" s="188"/>
    </row>
    <row r="58" spans="1:19" x14ac:dyDescent="0.2">
      <c r="A58" s="188"/>
      <c r="B58" s="172"/>
      <c r="C58" s="188"/>
      <c r="D58" s="188"/>
      <c r="E58" s="188"/>
      <c r="F58" s="188"/>
      <c r="G58" s="188"/>
      <c r="H58" s="188"/>
      <c r="I58" s="188"/>
      <c r="J58" s="188"/>
      <c r="K58" s="188"/>
      <c r="L58" s="188"/>
      <c r="M58" s="188"/>
      <c r="N58" s="188"/>
      <c r="O58" s="188"/>
      <c r="P58" s="188"/>
      <c r="Q58" s="188"/>
      <c r="R58" s="188"/>
      <c r="S58" s="188"/>
    </row>
    <row r="59" spans="1:19" x14ac:dyDescent="0.2">
      <c r="A59" s="188"/>
      <c r="B59" s="172"/>
      <c r="C59" s="188"/>
      <c r="D59" s="188"/>
      <c r="E59" s="188"/>
      <c r="F59" s="188"/>
      <c r="G59" s="188"/>
      <c r="H59" s="188"/>
      <c r="I59" s="188"/>
      <c r="J59" s="188"/>
      <c r="K59" s="188"/>
      <c r="L59" s="188"/>
      <c r="M59" s="188"/>
      <c r="N59" s="188"/>
      <c r="O59" s="188"/>
      <c r="P59" s="188"/>
      <c r="Q59" s="188"/>
      <c r="R59" s="188"/>
      <c r="S59" s="188"/>
    </row>
    <row r="60" spans="1:19" x14ac:dyDescent="0.2">
      <c r="A60" s="188"/>
      <c r="B60" s="172"/>
      <c r="C60" s="188"/>
      <c r="D60" s="188"/>
      <c r="E60" s="188"/>
      <c r="F60" s="188"/>
      <c r="G60" s="188"/>
      <c r="H60" s="188"/>
      <c r="I60" s="188"/>
      <c r="J60" s="188"/>
      <c r="K60" s="188"/>
      <c r="L60" s="188"/>
      <c r="M60" s="188"/>
      <c r="N60" s="188"/>
      <c r="O60" s="188"/>
      <c r="P60" s="188"/>
      <c r="Q60" s="188"/>
      <c r="R60" s="188"/>
      <c r="S60" s="188"/>
    </row>
    <row r="61" spans="1:19" x14ac:dyDescent="0.2">
      <c r="A61" s="188"/>
      <c r="B61" s="172"/>
      <c r="C61" s="188"/>
      <c r="D61" s="188"/>
      <c r="E61" s="188"/>
      <c r="F61" s="188"/>
      <c r="G61" s="188"/>
      <c r="H61" s="188"/>
      <c r="I61" s="188"/>
      <c r="J61" s="188"/>
      <c r="K61" s="188"/>
      <c r="L61" s="188"/>
      <c r="M61" s="188"/>
      <c r="N61" s="188"/>
      <c r="O61" s="188"/>
      <c r="P61" s="188"/>
      <c r="Q61" s="188"/>
      <c r="R61" s="188"/>
      <c r="S61" s="188"/>
    </row>
    <row r="62" spans="1:19" x14ac:dyDescent="0.2">
      <c r="A62" s="188"/>
      <c r="B62" s="172"/>
      <c r="C62" s="188"/>
      <c r="D62" s="188"/>
      <c r="E62" s="188"/>
      <c r="F62" s="188"/>
      <c r="G62" s="188"/>
      <c r="H62" s="188"/>
      <c r="I62" s="188"/>
      <c r="J62" s="188"/>
      <c r="K62" s="188"/>
      <c r="L62" s="188"/>
      <c r="M62" s="188"/>
      <c r="N62" s="188"/>
      <c r="O62" s="188"/>
      <c r="P62" s="188"/>
      <c r="Q62" s="188"/>
      <c r="R62" s="188"/>
      <c r="S62" s="188"/>
    </row>
    <row r="63" spans="1:19" x14ac:dyDescent="0.2">
      <c r="A63" s="188"/>
      <c r="B63" s="172"/>
      <c r="C63" s="188"/>
      <c r="D63" s="188"/>
      <c r="E63" s="188"/>
      <c r="F63" s="188"/>
      <c r="G63" s="188"/>
      <c r="H63" s="188"/>
      <c r="I63" s="188"/>
      <c r="J63" s="188"/>
      <c r="K63" s="188"/>
      <c r="L63" s="188"/>
      <c r="M63" s="188"/>
      <c r="N63" s="188"/>
      <c r="O63" s="188"/>
      <c r="P63" s="188"/>
      <c r="Q63" s="188"/>
      <c r="R63" s="188"/>
      <c r="S63" s="188"/>
    </row>
    <row r="64" spans="1:19" x14ac:dyDescent="0.2">
      <c r="A64" s="188"/>
      <c r="B64" s="172"/>
      <c r="C64" s="188"/>
      <c r="D64" s="188"/>
      <c r="E64" s="188"/>
      <c r="F64" s="188"/>
      <c r="G64" s="188"/>
      <c r="H64" s="188"/>
      <c r="I64" s="188"/>
      <c r="J64" s="188"/>
      <c r="K64" s="188"/>
      <c r="L64" s="188"/>
      <c r="M64" s="188"/>
      <c r="N64" s="188"/>
      <c r="O64" s="188"/>
      <c r="P64" s="188"/>
      <c r="Q64" s="188"/>
      <c r="R64" s="188"/>
      <c r="S64" s="188"/>
    </row>
    <row r="65" spans="1:19" x14ac:dyDescent="0.2">
      <c r="A65" s="188"/>
      <c r="B65" s="172"/>
      <c r="C65" s="188"/>
      <c r="D65" s="188"/>
      <c r="E65" s="188"/>
      <c r="F65" s="188"/>
      <c r="G65" s="188"/>
      <c r="H65" s="188"/>
      <c r="I65" s="188"/>
      <c r="J65" s="188"/>
      <c r="K65" s="188"/>
      <c r="L65" s="188"/>
      <c r="M65" s="188"/>
      <c r="N65" s="188"/>
      <c r="O65" s="188"/>
      <c r="P65" s="188"/>
      <c r="Q65" s="188"/>
      <c r="R65" s="188"/>
      <c r="S65" s="188"/>
    </row>
    <row r="66" spans="1:19" x14ac:dyDescent="0.2">
      <c r="A66" s="188"/>
      <c r="B66" s="172"/>
      <c r="C66" s="188"/>
      <c r="D66" s="188"/>
      <c r="E66" s="188"/>
      <c r="F66" s="188"/>
      <c r="G66" s="188"/>
      <c r="H66" s="188"/>
      <c r="I66" s="188"/>
      <c r="J66" s="188"/>
      <c r="K66" s="188"/>
      <c r="L66" s="188"/>
      <c r="M66" s="188"/>
      <c r="N66" s="188"/>
      <c r="O66" s="188"/>
      <c r="P66" s="188"/>
      <c r="Q66" s="188"/>
      <c r="R66" s="188"/>
      <c r="S66" s="188"/>
    </row>
    <row r="67" spans="1:19" x14ac:dyDescent="0.2">
      <c r="A67" s="188"/>
      <c r="B67" s="172"/>
      <c r="C67" s="188"/>
      <c r="D67" s="188"/>
      <c r="E67" s="188"/>
      <c r="F67" s="188"/>
      <c r="G67" s="188"/>
      <c r="H67" s="188"/>
      <c r="I67" s="188"/>
      <c r="J67" s="188"/>
      <c r="K67" s="188"/>
      <c r="L67" s="188"/>
      <c r="M67" s="188"/>
      <c r="N67" s="188"/>
      <c r="O67" s="188"/>
      <c r="P67" s="188"/>
      <c r="Q67" s="188"/>
      <c r="R67" s="188"/>
      <c r="S67" s="188"/>
    </row>
    <row r="68" spans="1:19" x14ac:dyDescent="0.2">
      <c r="A68" s="188"/>
      <c r="B68" s="172"/>
      <c r="C68" s="188"/>
      <c r="D68" s="188"/>
      <c r="E68" s="188"/>
      <c r="F68" s="188"/>
      <c r="G68" s="188"/>
      <c r="H68" s="188"/>
      <c r="I68" s="188"/>
      <c r="J68" s="188"/>
      <c r="K68" s="188"/>
      <c r="L68" s="188"/>
      <c r="M68" s="188"/>
      <c r="N68" s="188"/>
      <c r="O68" s="188"/>
      <c r="P68" s="188"/>
      <c r="Q68" s="188"/>
      <c r="R68" s="188"/>
      <c r="S68" s="188"/>
    </row>
    <row r="69" spans="1:19" x14ac:dyDescent="0.2">
      <c r="A69" s="188"/>
      <c r="B69" s="172"/>
      <c r="C69" s="188"/>
      <c r="D69" s="188"/>
      <c r="E69" s="188"/>
      <c r="F69" s="188"/>
      <c r="G69" s="188"/>
      <c r="H69" s="188"/>
      <c r="I69" s="188"/>
      <c r="J69" s="188"/>
      <c r="K69" s="188"/>
      <c r="L69" s="188"/>
      <c r="M69" s="188"/>
      <c r="N69" s="188"/>
      <c r="O69" s="188"/>
      <c r="P69" s="188"/>
      <c r="Q69" s="188"/>
      <c r="R69" s="188"/>
      <c r="S69" s="188"/>
    </row>
    <row r="70" spans="1:19" x14ac:dyDescent="0.2">
      <c r="A70" s="188"/>
      <c r="B70" s="172"/>
      <c r="C70" s="188"/>
      <c r="D70" s="188"/>
      <c r="E70" s="188"/>
      <c r="F70" s="188"/>
      <c r="G70" s="188"/>
      <c r="H70" s="188"/>
      <c r="I70" s="188"/>
      <c r="J70" s="188"/>
      <c r="K70" s="188"/>
      <c r="L70" s="188"/>
      <c r="M70" s="188"/>
      <c r="N70" s="188"/>
      <c r="O70" s="188"/>
      <c r="P70" s="188"/>
      <c r="Q70" s="188"/>
      <c r="R70" s="188"/>
      <c r="S70" s="188"/>
    </row>
  </sheetData>
  <mergeCells count="6">
    <mergeCell ref="A5:B5"/>
    <mergeCell ref="A6:A8"/>
    <mergeCell ref="A9:A10"/>
    <mergeCell ref="A11:A12"/>
    <mergeCell ref="A3:B3"/>
    <mergeCell ref="A4:B4"/>
  </mergeCells>
  <phoneticPr fontId="3" type="noConversion"/>
  <printOptions horizontalCentered="1"/>
  <pageMargins left="0.39370078740157483" right="0.39370078740157483" top="0.39370078740157483" bottom="0.39370078740157483" header="0.19685039370078741" footer="0.19685039370078741"/>
  <pageSetup paperSize="9" scale="76" fitToHeight="0" orientation="landscape" r:id="rId1"/>
  <headerFooter alignWithMargins="0">
    <oddHeader>&amp;L&amp;"Calibri"&amp;10&amp;K000000Official&amp;1#</oddHeader>
    <oddFooter>&amp;C&amp;8&amp;P of &amp;N</oddFooter>
  </headerFooter>
  <rowBreaks count="1" manualBreakCount="1">
    <brk id="49" max="20" man="1"/>
  </rowBreaks>
  <ignoredErrors>
    <ignoredError sqref="H12" formula="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75E611-63B0-4BA3-ACCF-814252AB6B26}">
  <dimension ref="A1:I40"/>
  <sheetViews>
    <sheetView workbookViewId="0">
      <selection sqref="A1:G1"/>
    </sheetView>
  </sheetViews>
  <sheetFormatPr defaultRowHeight="12.75" x14ac:dyDescent="0.2"/>
  <cols>
    <col min="1" max="1" width="3.42578125" style="272" customWidth="1"/>
    <col min="2" max="2" width="118" customWidth="1"/>
  </cols>
  <sheetData>
    <row r="1" spans="1:9" ht="15.6" customHeight="1" x14ac:dyDescent="0.25">
      <c r="A1" s="413" t="s">
        <v>237</v>
      </c>
      <c r="B1" s="413"/>
      <c r="C1" s="413"/>
      <c r="D1" s="413"/>
      <c r="E1" s="413"/>
      <c r="F1" s="413"/>
      <c r="G1" s="413"/>
    </row>
    <row r="3" spans="1:9" x14ac:dyDescent="0.2">
      <c r="A3" s="271" t="s">
        <v>238</v>
      </c>
      <c r="B3" s="269" t="s">
        <v>239</v>
      </c>
      <c r="C3" s="269"/>
      <c r="D3" s="269"/>
      <c r="E3" s="269"/>
      <c r="F3" s="269"/>
      <c r="G3" s="269"/>
      <c r="H3" s="269"/>
      <c r="I3" s="269"/>
    </row>
    <row r="4" spans="1:9" x14ac:dyDescent="0.2">
      <c r="A4" s="271"/>
      <c r="B4" s="269"/>
      <c r="C4" s="269"/>
      <c r="D4" s="269"/>
      <c r="E4" s="269"/>
      <c r="F4" s="269"/>
      <c r="G4" s="269"/>
      <c r="H4" s="269"/>
      <c r="I4" s="269"/>
    </row>
    <row r="5" spans="1:9" ht="38.25" x14ac:dyDescent="0.2">
      <c r="A5" s="271" t="s">
        <v>240</v>
      </c>
      <c r="B5" s="270" t="s">
        <v>241</v>
      </c>
      <c r="C5" s="269"/>
      <c r="D5" s="269"/>
      <c r="E5" s="269"/>
      <c r="F5" s="269"/>
      <c r="G5" s="269"/>
      <c r="H5" s="269"/>
      <c r="I5" s="269"/>
    </row>
    <row r="6" spans="1:9" x14ac:dyDescent="0.2">
      <c r="A6" s="271"/>
      <c r="B6" s="269"/>
      <c r="C6" s="269"/>
      <c r="D6" s="269"/>
      <c r="E6" s="269"/>
      <c r="F6" s="269"/>
      <c r="G6" s="269"/>
      <c r="H6" s="269"/>
      <c r="I6" s="269"/>
    </row>
    <row r="7" spans="1:9" x14ac:dyDescent="0.2">
      <c r="A7" s="271" t="s">
        <v>242</v>
      </c>
      <c r="B7" s="269" t="s">
        <v>243</v>
      </c>
      <c r="C7" s="269"/>
      <c r="D7" s="269"/>
      <c r="E7" s="269"/>
      <c r="F7" s="269"/>
      <c r="G7" s="269"/>
      <c r="H7" s="269"/>
      <c r="I7" s="269"/>
    </row>
    <row r="8" spans="1:9" x14ac:dyDescent="0.2">
      <c r="A8" s="271"/>
      <c r="B8" s="269"/>
      <c r="C8" s="269"/>
      <c r="D8" s="269"/>
      <c r="E8" s="269"/>
      <c r="F8" s="269"/>
      <c r="G8" s="269"/>
      <c r="H8" s="269"/>
      <c r="I8" s="269"/>
    </row>
    <row r="9" spans="1:9" ht="96" customHeight="1" x14ac:dyDescent="0.2">
      <c r="A9" s="271" t="s">
        <v>244</v>
      </c>
      <c r="B9" s="275" t="s">
        <v>2872</v>
      </c>
      <c r="C9" s="269"/>
      <c r="D9" s="269"/>
      <c r="E9" s="269"/>
      <c r="F9" s="269"/>
      <c r="G9" s="269"/>
      <c r="H9" s="269"/>
      <c r="I9" s="269"/>
    </row>
    <row r="10" spans="1:9" x14ac:dyDescent="0.2">
      <c r="A10" s="271"/>
      <c r="B10" s="270"/>
      <c r="C10" s="269"/>
      <c r="D10" s="269"/>
      <c r="E10" s="269"/>
      <c r="F10" s="269"/>
      <c r="G10" s="269"/>
      <c r="H10" s="269"/>
      <c r="I10" s="269"/>
    </row>
    <row r="11" spans="1:9" ht="38.25" x14ac:dyDescent="0.2">
      <c r="A11" s="271" t="s">
        <v>245</v>
      </c>
      <c r="B11" s="270" t="s">
        <v>246</v>
      </c>
      <c r="C11" s="269"/>
      <c r="D11" s="269"/>
      <c r="E11" s="269"/>
      <c r="F11" s="269"/>
      <c r="G11" s="269"/>
      <c r="H11" s="269"/>
      <c r="I11" s="269"/>
    </row>
    <row r="12" spans="1:9" x14ac:dyDescent="0.2">
      <c r="A12" s="271"/>
      <c r="B12" s="270"/>
      <c r="C12" s="269"/>
      <c r="D12" s="269"/>
      <c r="E12" s="269"/>
      <c r="F12" s="269"/>
      <c r="G12" s="269"/>
      <c r="H12" s="269"/>
      <c r="I12" s="269"/>
    </row>
    <row r="13" spans="1:9" ht="27" customHeight="1" x14ac:dyDescent="0.2">
      <c r="A13" s="271" t="s">
        <v>247</v>
      </c>
      <c r="B13" s="270" t="s">
        <v>248</v>
      </c>
      <c r="C13" s="269"/>
      <c r="D13" s="269"/>
      <c r="E13" s="269"/>
      <c r="F13" s="269"/>
      <c r="G13" s="269"/>
      <c r="H13" s="269"/>
      <c r="I13" s="269"/>
    </row>
    <row r="14" spans="1:9" x14ac:dyDescent="0.2">
      <c r="A14" s="271"/>
      <c r="B14" s="269"/>
      <c r="C14" s="269"/>
      <c r="D14" s="269"/>
      <c r="E14" s="269"/>
      <c r="F14" s="269"/>
      <c r="G14" s="269"/>
      <c r="H14" s="269"/>
      <c r="I14" s="269"/>
    </row>
    <row r="15" spans="1:9" ht="165.6" customHeight="1" x14ac:dyDescent="0.2">
      <c r="A15" s="271" t="s">
        <v>249</v>
      </c>
      <c r="B15" s="274" t="s">
        <v>2873</v>
      </c>
      <c r="C15" s="269"/>
      <c r="D15" s="269"/>
      <c r="E15" s="269"/>
      <c r="F15" s="269"/>
      <c r="G15" s="269"/>
      <c r="H15" s="269"/>
      <c r="I15" s="269"/>
    </row>
    <row r="16" spans="1:9" x14ac:dyDescent="0.2">
      <c r="A16" s="271"/>
      <c r="B16" s="269"/>
      <c r="C16" s="269"/>
      <c r="D16" s="269"/>
      <c r="E16" s="269"/>
      <c r="F16" s="269"/>
      <c r="G16" s="269"/>
      <c r="H16" s="269"/>
      <c r="I16" s="269"/>
    </row>
    <row r="17" spans="1:9" x14ac:dyDescent="0.2">
      <c r="A17" s="271"/>
      <c r="B17" s="273"/>
      <c r="C17" s="269"/>
      <c r="D17" s="269"/>
      <c r="E17" s="269"/>
      <c r="F17" s="269"/>
      <c r="G17" s="269"/>
      <c r="H17" s="269"/>
      <c r="I17" s="269"/>
    </row>
    <row r="18" spans="1:9" x14ac:dyDescent="0.2">
      <c r="A18" s="271"/>
      <c r="B18" s="269"/>
      <c r="C18" s="269"/>
      <c r="D18" s="269"/>
      <c r="E18" s="269"/>
      <c r="F18" s="269"/>
      <c r="G18" s="269"/>
      <c r="H18" s="269"/>
      <c r="I18" s="269"/>
    </row>
    <row r="19" spans="1:9" x14ac:dyDescent="0.2">
      <c r="A19" s="271"/>
      <c r="B19" s="269"/>
      <c r="C19" s="269"/>
      <c r="D19" s="269"/>
      <c r="E19" s="269"/>
      <c r="F19" s="269"/>
      <c r="G19" s="269"/>
      <c r="H19" s="269"/>
      <c r="I19" s="269"/>
    </row>
    <row r="20" spans="1:9" x14ac:dyDescent="0.2">
      <c r="A20" s="271"/>
      <c r="B20" s="269"/>
      <c r="C20" s="269"/>
      <c r="D20" s="269"/>
      <c r="E20" s="269"/>
      <c r="F20" s="269"/>
      <c r="G20" s="269"/>
      <c r="H20" s="269"/>
      <c r="I20" s="269"/>
    </row>
    <row r="21" spans="1:9" x14ac:dyDescent="0.2">
      <c r="A21" s="271"/>
      <c r="B21" s="269"/>
      <c r="C21" s="269"/>
      <c r="D21" s="269"/>
      <c r="E21" s="269"/>
      <c r="F21" s="269"/>
      <c r="G21" s="269"/>
      <c r="H21" s="269"/>
      <c r="I21" s="269"/>
    </row>
    <row r="22" spans="1:9" x14ac:dyDescent="0.2">
      <c r="A22" s="271"/>
      <c r="B22" s="269"/>
      <c r="C22" s="269"/>
      <c r="D22" s="269"/>
      <c r="E22" s="269"/>
      <c r="F22" s="269"/>
      <c r="G22" s="269"/>
      <c r="H22" s="269"/>
      <c r="I22" s="269"/>
    </row>
    <row r="23" spans="1:9" x14ac:dyDescent="0.2">
      <c r="A23" s="271"/>
      <c r="B23" s="269"/>
      <c r="C23" s="269"/>
      <c r="D23" s="269"/>
      <c r="E23" s="269"/>
      <c r="F23" s="269"/>
      <c r="G23" s="269"/>
      <c r="H23" s="269"/>
      <c r="I23" s="269"/>
    </row>
    <row r="24" spans="1:9" x14ac:dyDescent="0.2">
      <c r="A24" s="271"/>
      <c r="B24" s="269"/>
      <c r="C24" s="269"/>
      <c r="D24" s="269"/>
      <c r="E24" s="269"/>
      <c r="F24" s="269"/>
      <c r="G24" s="269"/>
      <c r="H24" s="269"/>
      <c r="I24" s="269"/>
    </row>
    <row r="25" spans="1:9" x14ac:dyDescent="0.2">
      <c r="A25" s="271"/>
      <c r="B25" s="269"/>
      <c r="C25" s="269"/>
      <c r="D25" s="269"/>
      <c r="E25" s="269"/>
      <c r="F25" s="269"/>
      <c r="G25" s="269"/>
      <c r="H25" s="269"/>
      <c r="I25" s="269"/>
    </row>
    <row r="26" spans="1:9" x14ac:dyDescent="0.2">
      <c r="A26" s="271"/>
      <c r="B26" s="269"/>
      <c r="C26" s="269"/>
      <c r="D26" s="269"/>
      <c r="E26" s="269"/>
      <c r="F26" s="269"/>
      <c r="G26" s="269"/>
      <c r="H26" s="269"/>
      <c r="I26" s="269"/>
    </row>
    <row r="27" spans="1:9" x14ac:dyDescent="0.2">
      <c r="A27" s="271"/>
      <c r="B27" s="269"/>
      <c r="C27" s="269"/>
      <c r="D27" s="269"/>
      <c r="E27" s="269"/>
      <c r="F27" s="269"/>
      <c r="G27" s="269"/>
      <c r="H27" s="269"/>
      <c r="I27" s="269"/>
    </row>
    <row r="28" spans="1:9" x14ac:dyDescent="0.2">
      <c r="A28" s="271"/>
      <c r="B28" s="269"/>
      <c r="C28" s="269"/>
      <c r="D28" s="269"/>
      <c r="E28" s="269"/>
      <c r="F28" s="269"/>
      <c r="G28" s="269"/>
      <c r="H28" s="269"/>
      <c r="I28" s="269"/>
    </row>
    <row r="29" spans="1:9" x14ac:dyDescent="0.2">
      <c r="A29" s="271"/>
      <c r="B29" s="269"/>
      <c r="C29" s="269"/>
      <c r="D29" s="269"/>
      <c r="E29" s="269"/>
      <c r="F29" s="269"/>
      <c r="G29" s="269"/>
      <c r="H29" s="269"/>
      <c r="I29" s="269"/>
    </row>
    <row r="30" spans="1:9" x14ac:dyDescent="0.2">
      <c r="A30" s="271"/>
      <c r="B30" s="269"/>
      <c r="C30" s="269"/>
      <c r="D30" s="269"/>
      <c r="E30" s="269"/>
      <c r="F30" s="269"/>
      <c r="G30" s="269"/>
      <c r="H30" s="269"/>
      <c r="I30" s="269"/>
    </row>
    <row r="31" spans="1:9" x14ac:dyDescent="0.2">
      <c r="A31" s="271"/>
      <c r="B31" s="269"/>
      <c r="C31" s="269"/>
      <c r="D31" s="269"/>
      <c r="E31" s="269"/>
      <c r="F31" s="269"/>
      <c r="G31" s="269"/>
      <c r="H31" s="269"/>
      <c r="I31" s="269"/>
    </row>
    <row r="32" spans="1:9" x14ac:dyDescent="0.2">
      <c r="A32" s="271"/>
      <c r="B32" s="269"/>
      <c r="C32" s="269"/>
      <c r="D32" s="269"/>
      <c r="E32" s="269"/>
      <c r="F32" s="269"/>
      <c r="G32" s="269"/>
      <c r="H32" s="269"/>
      <c r="I32" s="269"/>
    </row>
    <row r="33" spans="1:9" x14ac:dyDescent="0.2">
      <c r="A33" s="271"/>
      <c r="B33" s="269"/>
      <c r="C33" s="269"/>
      <c r="D33" s="269"/>
      <c r="E33" s="269"/>
      <c r="F33" s="269"/>
      <c r="G33" s="269"/>
      <c r="H33" s="269"/>
      <c r="I33" s="269"/>
    </row>
    <row r="34" spans="1:9" x14ac:dyDescent="0.2">
      <c r="A34" s="271"/>
      <c r="B34" s="269"/>
      <c r="C34" s="269"/>
      <c r="D34" s="269"/>
      <c r="E34" s="269"/>
      <c r="F34" s="269"/>
      <c r="G34" s="269"/>
      <c r="H34" s="269"/>
      <c r="I34" s="269"/>
    </row>
    <row r="35" spans="1:9" x14ac:dyDescent="0.2">
      <c r="A35" s="271"/>
      <c r="B35" s="269"/>
      <c r="C35" s="269"/>
      <c r="D35" s="269"/>
      <c r="E35" s="269"/>
      <c r="F35" s="269"/>
      <c r="G35" s="269"/>
      <c r="H35" s="269"/>
      <c r="I35" s="269"/>
    </row>
    <row r="36" spans="1:9" x14ac:dyDescent="0.2">
      <c r="A36" s="271"/>
      <c r="B36" s="269"/>
      <c r="C36" s="269"/>
      <c r="D36" s="269"/>
      <c r="E36" s="269"/>
      <c r="F36" s="269"/>
      <c r="G36" s="269"/>
      <c r="H36" s="269"/>
      <c r="I36" s="269"/>
    </row>
    <row r="37" spans="1:9" x14ac:dyDescent="0.2">
      <c r="A37" s="271"/>
      <c r="B37" s="269"/>
      <c r="C37" s="269"/>
      <c r="D37" s="269"/>
      <c r="E37" s="269"/>
      <c r="F37" s="269"/>
      <c r="G37" s="269"/>
      <c r="H37" s="269"/>
      <c r="I37" s="269"/>
    </row>
    <row r="38" spans="1:9" x14ac:dyDescent="0.2">
      <c r="A38" s="271"/>
      <c r="B38" s="269"/>
      <c r="C38" s="269"/>
      <c r="D38" s="269"/>
      <c r="E38" s="269"/>
      <c r="F38" s="269"/>
      <c r="G38" s="269"/>
      <c r="H38" s="269"/>
      <c r="I38" s="269"/>
    </row>
    <row r="39" spans="1:9" x14ac:dyDescent="0.2">
      <c r="A39" s="271"/>
      <c r="B39" s="269"/>
      <c r="C39" s="269"/>
      <c r="D39" s="269"/>
      <c r="E39" s="269"/>
      <c r="F39" s="269"/>
      <c r="G39" s="269"/>
      <c r="H39" s="269"/>
      <c r="I39" s="269"/>
    </row>
    <row r="40" spans="1:9" x14ac:dyDescent="0.2">
      <c r="A40" s="271"/>
      <c r="B40" s="269"/>
      <c r="C40" s="269"/>
      <c r="D40" s="269"/>
      <c r="E40" s="269"/>
      <c r="F40" s="269"/>
      <c r="G40" s="269"/>
      <c r="H40" s="269"/>
      <c r="I40" s="269"/>
    </row>
  </sheetData>
  <mergeCells count="1">
    <mergeCell ref="A1:G1"/>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CO1041"/>
  <sheetViews>
    <sheetView zoomScale="78" zoomScaleNormal="78" workbookViewId="0">
      <pane ySplit="1" topLeftCell="A2" activePane="bottomLeft" state="frozen"/>
      <selection activeCell="N274" sqref="N274"/>
      <selection pane="bottomLeft" sqref="A1:XFD1"/>
    </sheetView>
  </sheetViews>
  <sheetFormatPr defaultColWidth="9.140625" defaultRowHeight="12" customHeight="1" x14ac:dyDescent="0.2"/>
  <cols>
    <col min="1" max="1" width="6.5703125" style="160" customWidth="1"/>
    <col min="2" max="2" width="17.28515625" style="155" customWidth="1"/>
    <col min="3" max="3" width="12.140625" style="155" bestFit="1" customWidth="1"/>
    <col min="4" max="4" width="28" style="155" customWidth="1"/>
    <col min="5" max="5" width="25.28515625" style="155" customWidth="1"/>
    <col min="6" max="6" width="8.5703125" style="160" customWidth="1"/>
    <col min="7" max="7" width="12" style="160" customWidth="1"/>
    <col min="8" max="8" width="12.85546875" style="155" customWidth="1"/>
    <col min="9" max="9" width="12.5703125" style="161" customWidth="1"/>
    <col min="10" max="10" width="11.28515625" style="162" customWidth="1"/>
    <col min="11" max="11" width="9.140625" style="163" customWidth="1"/>
    <col min="12" max="12" width="10" style="163" customWidth="1"/>
    <col min="13" max="13" width="9.28515625" style="163" customWidth="1"/>
    <col min="14" max="14" width="12.140625" style="163" customWidth="1"/>
    <col min="15" max="15" width="12.28515625" style="163" customWidth="1"/>
    <col min="16" max="16" width="15" style="160" customWidth="1"/>
    <col min="17" max="17" width="28.7109375" style="155" customWidth="1"/>
    <col min="18" max="18" width="11.42578125" style="160" customWidth="1"/>
    <col min="19" max="19" width="11.42578125" style="161" customWidth="1"/>
    <col min="20" max="20" width="11.28515625" style="162" customWidth="1"/>
    <col min="21" max="21" width="10.28515625" style="160" customWidth="1"/>
    <col min="22" max="22" width="7.7109375" style="160" customWidth="1"/>
    <col min="23" max="23" width="9.85546875" style="162" customWidth="1"/>
    <col min="24" max="24" width="6.7109375" style="160" customWidth="1"/>
    <col min="25" max="25" width="13.140625" style="160" customWidth="1"/>
    <col min="26" max="26" width="18.28515625" style="160" customWidth="1"/>
    <col min="27" max="27" width="16.140625" style="160" customWidth="1"/>
    <col min="28" max="28" width="13.7109375" style="164" customWidth="1"/>
    <col min="29" max="29" width="12.140625" style="161" customWidth="1"/>
    <col min="30" max="30" width="10.85546875" style="160" customWidth="1"/>
    <col min="31" max="31" width="11.5703125" style="162" customWidth="1"/>
    <col min="32" max="32" width="18.5703125" style="160" customWidth="1"/>
    <col min="33" max="33" width="8.85546875" style="160" customWidth="1"/>
    <col min="34" max="34" width="21.28515625" style="160" customWidth="1"/>
    <col min="35" max="35" width="13.7109375" style="160" customWidth="1"/>
    <col min="36" max="36" width="9.42578125" style="165" customWidth="1"/>
    <col min="37" max="37" width="9.7109375" style="165" customWidth="1"/>
    <col min="38" max="38" width="13.140625" style="165" customWidth="1"/>
    <col min="39" max="39" width="11" style="165" customWidth="1"/>
    <col min="40" max="40" width="8.28515625" style="165" customWidth="1"/>
    <col min="41" max="44" width="5.140625" style="165" customWidth="1"/>
    <col min="45" max="45" width="7.28515625" style="165" customWidth="1"/>
    <col min="46" max="46" width="9.28515625" style="165" customWidth="1"/>
    <col min="47" max="47" width="8.7109375" style="165" customWidth="1"/>
    <col min="48" max="48" width="7.28515625" style="165" customWidth="1"/>
    <col min="49" max="51" width="5.140625" style="165" customWidth="1"/>
    <col min="52" max="52" width="7" style="165" customWidth="1"/>
    <col min="53" max="53" width="9.140625" style="165" customWidth="1"/>
    <col min="54" max="54" width="6.85546875" style="165" customWidth="1"/>
    <col min="55" max="59" width="7" style="165" customWidth="1"/>
    <col min="60" max="60" width="11.5703125" style="165" customWidth="1"/>
    <col min="61" max="67" width="9.7109375" style="165" customWidth="1"/>
    <col min="68" max="68" width="15.42578125" style="160" customWidth="1"/>
    <col min="69" max="69" width="7.5703125" style="160" customWidth="1"/>
    <col min="70" max="70" width="69.5703125" style="166" customWidth="1"/>
    <col min="71" max="71" width="14.28515625" style="160" customWidth="1"/>
    <col min="72" max="91" width="7.7109375" style="165" customWidth="1"/>
    <col min="92" max="93" width="9.140625" style="165" customWidth="1"/>
    <col min="94" max="16384" width="9.140625" style="155"/>
  </cols>
  <sheetData>
    <row r="1" spans="1:93" s="131" customFormat="1" ht="49.15" customHeight="1" x14ac:dyDescent="0.2">
      <c r="A1" s="131" t="s">
        <v>250</v>
      </c>
      <c r="B1" s="131" t="s">
        <v>69</v>
      </c>
      <c r="C1" s="131" t="s">
        <v>251</v>
      </c>
      <c r="D1" s="131" t="s">
        <v>252</v>
      </c>
      <c r="E1" s="131" t="s">
        <v>253</v>
      </c>
      <c r="F1" s="131" t="s">
        <v>254</v>
      </c>
      <c r="G1" s="131" t="s">
        <v>255</v>
      </c>
      <c r="H1" s="131" t="s">
        <v>256</v>
      </c>
      <c r="I1" s="132" t="s">
        <v>257</v>
      </c>
      <c r="J1" s="147" t="s">
        <v>258</v>
      </c>
      <c r="K1" s="133" t="s">
        <v>259</v>
      </c>
      <c r="L1" s="133" t="s">
        <v>260</v>
      </c>
      <c r="M1" s="133" t="s">
        <v>261</v>
      </c>
      <c r="N1" s="133" t="s">
        <v>262</v>
      </c>
      <c r="O1" s="133" t="s">
        <v>263</v>
      </c>
      <c r="P1" s="167" t="s">
        <v>264</v>
      </c>
      <c r="Q1" s="131" t="s">
        <v>265</v>
      </c>
      <c r="R1" s="131" t="s">
        <v>266</v>
      </c>
      <c r="S1" s="132" t="s">
        <v>267</v>
      </c>
      <c r="T1" s="147" t="s">
        <v>268</v>
      </c>
      <c r="U1" s="131" t="s">
        <v>269</v>
      </c>
      <c r="V1" s="131" t="s">
        <v>270</v>
      </c>
      <c r="W1" s="147" t="s">
        <v>271</v>
      </c>
      <c r="X1" s="131" t="s">
        <v>272</v>
      </c>
      <c r="Y1" s="131" t="s">
        <v>101</v>
      </c>
      <c r="Z1" s="131" t="s">
        <v>273</v>
      </c>
      <c r="AA1" s="131" t="s">
        <v>274</v>
      </c>
      <c r="AB1" s="148" t="s">
        <v>275</v>
      </c>
      <c r="AC1" s="132" t="s">
        <v>276</v>
      </c>
      <c r="AD1" s="131" t="s">
        <v>277</v>
      </c>
      <c r="AE1" s="147" t="s">
        <v>278</v>
      </c>
      <c r="AF1" s="131" t="s">
        <v>133</v>
      </c>
      <c r="AG1" s="131" t="s">
        <v>279</v>
      </c>
      <c r="AH1" s="131" t="s">
        <v>280</v>
      </c>
      <c r="AI1" s="131" t="s">
        <v>281</v>
      </c>
      <c r="AJ1" s="133" t="s">
        <v>282</v>
      </c>
      <c r="AK1" s="133" t="s">
        <v>283</v>
      </c>
      <c r="AL1" s="133" t="s">
        <v>284</v>
      </c>
      <c r="AM1" s="133" t="s">
        <v>285</v>
      </c>
      <c r="AN1" s="133" t="s">
        <v>286</v>
      </c>
      <c r="AO1" s="133" t="s">
        <v>287</v>
      </c>
      <c r="AP1" s="133" t="s">
        <v>288</v>
      </c>
      <c r="AQ1" s="133" t="s">
        <v>289</v>
      </c>
      <c r="AR1" s="133" t="s">
        <v>290</v>
      </c>
      <c r="AS1" s="133" t="s">
        <v>291</v>
      </c>
      <c r="AT1" s="133" t="s">
        <v>292</v>
      </c>
      <c r="AU1" s="133" t="s">
        <v>293</v>
      </c>
      <c r="AV1" s="133" t="s">
        <v>294</v>
      </c>
      <c r="AW1" s="133" t="s">
        <v>295</v>
      </c>
      <c r="AX1" s="133" t="s">
        <v>296</v>
      </c>
      <c r="AY1" s="133" t="s">
        <v>297</v>
      </c>
      <c r="AZ1" s="133" t="s">
        <v>298</v>
      </c>
      <c r="BA1" s="133" t="s">
        <v>299</v>
      </c>
      <c r="BB1" s="133" t="s">
        <v>300</v>
      </c>
      <c r="BC1" s="133" t="s">
        <v>301</v>
      </c>
      <c r="BD1" s="133" t="s">
        <v>302</v>
      </c>
      <c r="BE1" s="133" t="s">
        <v>303</v>
      </c>
      <c r="BF1" s="133" t="s">
        <v>304</v>
      </c>
      <c r="BG1" s="133" t="s">
        <v>305</v>
      </c>
      <c r="BH1" s="133" t="s">
        <v>306</v>
      </c>
      <c r="BI1" s="133" t="s">
        <v>307</v>
      </c>
      <c r="BJ1" s="133" t="s">
        <v>308</v>
      </c>
      <c r="BK1" s="133" t="s">
        <v>309</v>
      </c>
      <c r="BL1" s="133" t="s">
        <v>310</v>
      </c>
      <c r="BM1" s="133" t="s">
        <v>311</v>
      </c>
      <c r="BN1" s="133" t="s">
        <v>312</v>
      </c>
      <c r="BO1" s="133" t="s">
        <v>313</v>
      </c>
      <c r="BP1" s="131" t="s">
        <v>138</v>
      </c>
      <c r="BQ1" s="131" t="s">
        <v>184</v>
      </c>
      <c r="BR1" s="131" t="s">
        <v>314</v>
      </c>
      <c r="BS1" s="131" t="s">
        <v>315</v>
      </c>
      <c r="BT1" s="133" t="s">
        <v>12</v>
      </c>
      <c r="BU1" s="133" t="s">
        <v>214</v>
      </c>
      <c r="BV1" s="133" t="s">
        <v>215</v>
      </c>
      <c r="BW1" s="133" t="s">
        <v>216</v>
      </c>
      <c r="BX1" s="133" t="s">
        <v>217</v>
      </c>
      <c r="BY1" s="133" t="s">
        <v>218</v>
      </c>
      <c r="BZ1" s="133" t="s">
        <v>219</v>
      </c>
      <c r="CA1" s="133" t="s">
        <v>220</v>
      </c>
      <c r="CB1" s="133" t="s">
        <v>221</v>
      </c>
      <c r="CC1" s="133" t="s">
        <v>222</v>
      </c>
      <c r="CD1" s="133" t="s">
        <v>223</v>
      </c>
      <c r="CE1" s="133" t="s">
        <v>224</v>
      </c>
      <c r="CF1" s="133" t="s">
        <v>225</v>
      </c>
      <c r="CG1" s="133" t="s">
        <v>226</v>
      </c>
      <c r="CH1" s="133" t="s">
        <v>227</v>
      </c>
      <c r="CI1" s="133" t="s">
        <v>316</v>
      </c>
      <c r="CJ1" s="133" t="s">
        <v>317</v>
      </c>
      <c r="CK1" s="133" t="s">
        <v>318</v>
      </c>
      <c r="CL1" s="133" t="s">
        <v>319</v>
      </c>
      <c r="CM1" s="133" t="s">
        <v>320</v>
      </c>
      <c r="CN1" s="133" t="s">
        <v>321</v>
      </c>
      <c r="CO1" s="133" t="s">
        <v>322</v>
      </c>
    </row>
    <row r="2" spans="1:93" ht="13.9" customHeight="1" x14ac:dyDescent="0.2">
      <c r="A2" s="149">
        <v>4474</v>
      </c>
      <c r="B2" s="150" t="s">
        <v>323</v>
      </c>
      <c r="C2" s="150" t="s">
        <v>324</v>
      </c>
      <c r="D2" s="150" t="s">
        <v>325</v>
      </c>
      <c r="E2" s="150" t="s">
        <v>326</v>
      </c>
      <c r="F2" s="149">
        <v>527533</v>
      </c>
      <c r="G2" s="149">
        <v>171477</v>
      </c>
      <c r="H2" s="150" t="s">
        <v>173</v>
      </c>
      <c r="I2" s="151">
        <v>43683</v>
      </c>
      <c r="J2" s="151">
        <v>45260</v>
      </c>
      <c r="K2" s="149">
        <v>0</v>
      </c>
      <c r="L2" s="149">
        <v>6</v>
      </c>
      <c r="M2" s="149">
        <v>6</v>
      </c>
      <c r="N2" s="149">
        <v>19</v>
      </c>
      <c r="O2" s="149">
        <v>19</v>
      </c>
      <c r="P2" s="152" t="s">
        <v>327</v>
      </c>
      <c r="Q2" s="150" t="s">
        <v>328</v>
      </c>
      <c r="R2" s="150" t="s">
        <v>329</v>
      </c>
      <c r="S2" s="151">
        <v>41891</v>
      </c>
      <c r="T2" s="151">
        <v>42594</v>
      </c>
      <c r="U2" s="152"/>
      <c r="V2" s="150" t="s">
        <v>330</v>
      </c>
      <c r="W2" s="151"/>
      <c r="X2" s="150" t="s">
        <v>331</v>
      </c>
      <c r="Y2" s="150" t="s">
        <v>332</v>
      </c>
      <c r="Z2" s="150" t="s">
        <v>333</v>
      </c>
      <c r="AA2" s="150" t="s">
        <v>334</v>
      </c>
      <c r="AB2" s="153">
        <v>4.2999999999999997E-2</v>
      </c>
      <c r="AC2" s="151">
        <v>43683</v>
      </c>
      <c r="AD2" s="150"/>
      <c r="AE2" s="151">
        <v>45260</v>
      </c>
      <c r="AF2" s="150" t="s">
        <v>48</v>
      </c>
      <c r="AG2" s="152" t="s">
        <v>335</v>
      </c>
      <c r="AH2" s="150" t="s">
        <v>336</v>
      </c>
      <c r="AI2" s="99"/>
      <c r="AJ2" s="149"/>
      <c r="AK2" s="99"/>
      <c r="AL2" s="149"/>
      <c r="AM2" s="99"/>
      <c r="AN2" s="149">
        <v>0</v>
      </c>
      <c r="AO2" s="149">
        <v>3</v>
      </c>
      <c r="AP2" s="149">
        <v>3</v>
      </c>
      <c r="AQ2" s="149">
        <v>0</v>
      </c>
      <c r="AR2" s="149">
        <v>0</v>
      </c>
      <c r="AS2" s="149">
        <v>0</v>
      </c>
      <c r="AT2" s="149">
        <v>0</v>
      </c>
      <c r="AU2" s="149">
        <v>0</v>
      </c>
      <c r="AV2" s="149">
        <v>3</v>
      </c>
      <c r="AW2" s="149">
        <v>3</v>
      </c>
      <c r="AX2" s="149">
        <v>0</v>
      </c>
      <c r="AY2" s="149">
        <v>0</v>
      </c>
      <c r="AZ2" s="149">
        <v>0</v>
      </c>
      <c r="BA2" s="149">
        <v>0</v>
      </c>
      <c r="BB2" s="149">
        <v>0</v>
      </c>
      <c r="BC2" s="149">
        <v>0</v>
      </c>
      <c r="BD2" s="149">
        <v>0</v>
      </c>
      <c r="BE2" s="149">
        <v>0</v>
      </c>
      <c r="BF2" s="149">
        <v>0</v>
      </c>
      <c r="BG2" s="149">
        <v>0</v>
      </c>
      <c r="BH2" s="149">
        <v>0</v>
      </c>
      <c r="BI2" s="149">
        <v>0</v>
      </c>
      <c r="BJ2" s="149">
        <v>0</v>
      </c>
      <c r="BK2" s="149">
        <v>0</v>
      </c>
      <c r="BL2" s="149">
        <v>0</v>
      </c>
      <c r="BM2" s="149">
        <v>0</v>
      </c>
      <c r="BN2" s="149">
        <v>0</v>
      </c>
      <c r="BO2" s="149">
        <v>0</v>
      </c>
      <c r="BP2" s="152" t="s">
        <v>142</v>
      </c>
      <c r="BQ2" s="152"/>
      <c r="BR2" s="154" t="s">
        <v>142</v>
      </c>
      <c r="BS2" s="136">
        <v>11</v>
      </c>
      <c r="BT2" s="267">
        <f t="shared" ref="BT2:BT33" si="0">M2</f>
        <v>6</v>
      </c>
      <c r="BU2" s="267"/>
      <c r="BV2" s="267"/>
      <c r="BW2" s="267"/>
      <c r="BX2" s="267"/>
      <c r="BY2" s="267"/>
      <c r="BZ2" s="267"/>
      <c r="CA2" s="267"/>
      <c r="CB2" s="267"/>
      <c r="CC2" s="267"/>
      <c r="CD2" s="267"/>
      <c r="CE2" s="267"/>
      <c r="CF2" s="267"/>
      <c r="CG2" s="267"/>
      <c r="CH2" s="267"/>
      <c r="CI2" s="267"/>
      <c r="CJ2" s="267"/>
      <c r="CK2" s="267"/>
      <c r="CL2" s="267"/>
      <c r="CM2" s="267"/>
      <c r="CN2" s="101">
        <f>SUM(BU2:BY2)</f>
        <v>0</v>
      </c>
      <c r="CO2" s="101">
        <f>SUM(BU2:CD2)</f>
        <v>0</v>
      </c>
    </row>
    <row r="3" spans="1:93" ht="13.9" customHeight="1" x14ac:dyDescent="0.2">
      <c r="A3" s="149">
        <v>4474</v>
      </c>
      <c r="B3" s="150" t="s">
        <v>323</v>
      </c>
      <c r="C3" s="150" t="s">
        <v>324</v>
      </c>
      <c r="D3" s="150" t="s">
        <v>325</v>
      </c>
      <c r="E3" s="150" t="s">
        <v>326</v>
      </c>
      <c r="F3" s="149">
        <v>527533</v>
      </c>
      <c r="G3" s="149">
        <v>171477</v>
      </c>
      <c r="H3" s="150" t="s">
        <v>173</v>
      </c>
      <c r="I3" s="151">
        <v>43683</v>
      </c>
      <c r="J3" s="151">
        <v>45260</v>
      </c>
      <c r="K3" s="149">
        <v>0</v>
      </c>
      <c r="L3" s="149">
        <v>13</v>
      </c>
      <c r="M3" s="149">
        <v>13</v>
      </c>
      <c r="N3" s="149">
        <v>19</v>
      </c>
      <c r="O3" s="149">
        <v>19</v>
      </c>
      <c r="P3" s="152" t="s">
        <v>327</v>
      </c>
      <c r="Q3" s="150" t="s">
        <v>328</v>
      </c>
      <c r="R3" s="150" t="s">
        <v>329</v>
      </c>
      <c r="S3" s="151">
        <v>41891</v>
      </c>
      <c r="T3" s="151">
        <v>42594</v>
      </c>
      <c r="U3" s="152"/>
      <c r="V3" s="150" t="s">
        <v>330</v>
      </c>
      <c r="W3" s="151"/>
      <c r="X3" s="150" t="s">
        <v>331</v>
      </c>
      <c r="Y3" s="150" t="s">
        <v>332</v>
      </c>
      <c r="Z3" s="150" t="s">
        <v>333</v>
      </c>
      <c r="AA3" s="150" t="s">
        <v>334</v>
      </c>
      <c r="AB3" s="153">
        <v>0.1</v>
      </c>
      <c r="AC3" s="151">
        <v>43683</v>
      </c>
      <c r="AD3" s="150"/>
      <c r="AE3" s="151">
        <v>45260</v>
      </c>
      <c r="AF3" s="150" t="s">
        <v>70</v>
      </c>
      <c r="AG3" s="152" t="s">
        <v>337</v>
      </c>
      <c r="AH3" s="150" t="s">
        <v>336</v>
      </c>
      <c r="AI3" s="99"/>
      <c r="AJ3" s="149">
        <v>9</v>
      </c>
      <c r="AK3" s="99"/>
      <c r="AL3" s="149">
        <v>2</v>
      </c>
      <c r="AM3" s="99"/>
      <c r="AN3" s="149">
        <v>1</v>
      </c>
      <c r="AO3" s="149">
        <v>1</v>
      </c>
      <c r="AP3" s="149">
        <v>11</v>
      </c>
      <c r="AQ3" s="149">
        <v>0</v>
      </c>
      <c r="AR3" s="149">
        <v>0</v>
      </c>
      <c r="AS3" s="149">
        <v>0</v>
      </c>
      <c r="AT3" s="149">
        <v>0</v>
      </c>
      <c r="AU3" s="149">
        <v>1</v>
      </c>
      <c r="AV3" s="149">
        <v>1</v>
      </c>
      <c r="AW3" s="149">
        <v>11</v>
      </c>
      <c r="AX3" s="149">
        <v>0</v>
      </c>
      <c r="AY3" s="149">
        <v>0</v>
      </c>
      <c r="AZ3" s="149">
        <v>0</v>
      </c>
      <c r="BA3" s="149">
        <v>0</v>
      </c>
      <c r="BB3" s="149">
        <v>0</v>
      </c>
      <c r="BC3" s="149">
        <v>0</v>
      </c>
      <c r="BD3" s="149">
        <v>0</v>
      </c>
      <c r="BE3" s="149">
        <v>0</v>
      </c>
      <c r="BF3" s="149">
        <v>0</v>
      </c>
      <c r="BG3" s="149">
        <v>0</v>
      </c>
      <c r="BH3" s="149">
        <v>0</v>
      </c>
      <c r="BI3" s="149">
        <v>0</v>
      </c>
      <c r="BJ3" s="149">
        <v>0</v>
      </c>
      <c r="BK3" s="149">
        <v>0</v>
      </c>
      <c r="BL3" s="149">
        <v>0</v>
      </c>
      <c r="BM3" s="149">
        <v>0</v>
      </c>
      <c r="BN3" s="149">
        <v>0</v>
      </c>
      <c r="BO3" s="149">
        <v>0</v>
      </c>
      <c r="BP3" s="152" t="s">
        <v>142</v>
      </c>
      <c r="BQ3" s="152"/>
      <c r="BR3" s="154" t="s">
        <v>142</v>
      </c>
      <c r="BS3" s="136">
        <v>11</v>
      </c>
      <c r="BT3" s="267">
        <f t="shared" si="0"/>
        <v>13</v>
      </c>
      <c r="BU3" s="267"/>
      <c r="BV3" s="267"/>
      <c r="BW3" s="267"/>
      <c r="BX3" s="267"/>
      <c r="BY3" s="267"/>
      <c r="BZ3" s="267"/>
      <c r="CA3" s="267"/>
      <c r="CB3" s="267"/>
      <c r="CC3" s="267"/>
      <c r="CD3" s="267"/>
      <c r="CE3" s="267"/>
      <c r="CF3" s="267"/>
      <c r="CG3" s="267"/>
      <c r="CH3" s="267"/>
      <c r="CI3" s="267"/>
      <c r="CJ3" s="267"/>
      <c r="CK3" s="267"/>
      <c r="CL3" s="267"/>
      <c r="CM3" s="267"/>
      <c r="CN3" s="101">
        <f t="shared" ref="CN3:CN66" si="1">SUM(BU3:BY3)</f>
        <v>0</v>
      </c>
      <c r="CO3" s="101">
        <f t="shared" ref="CO3:CO66" si="2">SUM(BU3:CD3)</f>
        <v>0</v>
      </c>
    </row>
    <row r="4" spans="1:93" ht="13.9" customHeight="1" x14ac:dyDescent="0.2">
      <c r="A4" s="149">
        <v>365</v>
      </c>
      <c r="B4" s="150" t="s">
        <v>323</v>
      </c>
      <c r="C4" s="150" t="s">
        <v>338</v>
      </c>
      <c r="D4" s="150" t="s">
        <v>339</v>
      </c>
      <c r="E4" s="150" t="s">
        <v>340</v>
      </c>
      <c r="F4" s="149">
        <v>530104</v>
      </c>
      <c r="G4" s="149">
        <v>177808</v>
      </c>
      <c r="H4" s="150" t="s">
        <v>149</v>
      </c>
      <c r="I4" s="151">
        <v>42228</v>
      </c>
      <c r="J4" s="151">
        <v>45382</v>
      </c>
      <c r="K4" s="149">
        <v>0</v>
      </c>
      <c r="L4" s="149">
        <v>57</v>
      </c>
      <c r="M4" s="149">
        <v>57</v>
      </c>
      <c r="N4" s="149">
        <v>57</v>
      </c>
      <c r="O4" s="149">
        <v>57</v>
      </c>
      <c r="P4" s="152" t="s">
        <v>327</v>
      </c>
      <c r="Q4" s="150" t="s">
        <v>341</v>
      </c>
      <c r="R4" s="150" t="s">
        <v>342</v>
      </c>
      <c r="S4" s="151">
        <v>41920</v>
      </c>
      <c r="T4" s="151">
        <v>42016</v>
      </c>
      <c r="U4" s="152"/>
      <c r="V4" s="150" t="s">
        <v>330</v>
      </c>
      <c r="W4" s="151"/>
      <c r="X4" s="150" t="s">
        <v>331</v>
      </c>
      <c r="Y4" s="150" t="s">
        <v>343</v>
      </c>
      <c r="Z4" s="150" t="s">
        <v>343</v>
      </c>
      <c r="AA4" s="150" t="s">
        <v>334</v>
      </c>
      <c r="AB4" s="153">
        <v>1.4E-2</v>
      </c>
      <c r="AC4" s="151">
        <v>42228</v>
      </c>
      <c r="AD4" s="150"/>
      <c r="AE4" s="151">
        <v>45382</v>
      </c>
      <c r="AF4" s="150" t="s">
        <v>48</v>
      </c>
      <c r="AG4" s="152" t="s">
        <v>344</v>
      </c>
      <c r="AH4" s="150" t="s">
        <v>345</v>
      </c>
      <c r="AI4" s="99"/>
      <c r="AJ4" s="149">
        <v>57</v>
      </c>
      <c r="AK4" s="149"/>
      <c r="AL4" s="149">
        <v>6</v>
      </c>
      <c r="AM4" s="149"/>
      <c r="AN4" s="149">
        <v>0</v>
      </c>
      <c r="AO4" s="149">
        <v>35</v>
      </c>
      <c r="AP4" s="149">
        <v>22</v>
      </c>
      <c r="AQ4" s="149">
        <v>0</v>
      </c>
      <c r="AR4" s="149">
        <v>0</v>
      </c>
      <c r="AS4" s="149">
        <v>0</v>
      </c>
      <c r="AT4" s="149">
        <v>0</v>
      </c>
      <c r="AU4" s="149">
        <v>0</v>
      </c>
      <c r="AV4" s="149">
        <v>35</v>
      </c>
      <c r="AW4" s="149">
        <v>22</v>
      </c>
      <c r="AX4" s="149">
        <v>0</v>
      </c>
      <c r="AY4" s="149">
        <v>0</v>
      </c>
      <c r="AZ4" s="149">
        <v>0</v>
      </c>
      <c r="BA4" s="149">
        <v>0</v>
      </c>
      <c r="BB4" s="149">
        <v>0</v>
      </c>
      <c r="BC4" s="149">
        <v>0</v>
      </c>
      <c r="BD4" s="149">
        <v>0</v>
      </c>
      <c r="BE4" s="149">
        <v>0</v>
      </c>
      <c r="BF4" s="149">
        <v>0</v>
      </c>
      <c r="BG4" s="149">
        <v>0</v>
      </c>
      <c r="BH4" s="149">
        <v>0</v>
      </c>
      <c r="BI4" s="149">
        <v>0</v>
      </c>
      <c r="BJ4" s="149">
        <v>0</v>
      </c>
      <c r="BK4" s="149">
        <v>0</v>
      </c>
      <c r="BL4" s="149">
        <v>0</v>
      </c>
      <c r="BM4" s="149">
        <v>0</v>
      </c>
      <c r="BN4" s="149">
        <v>0</v>
      </c>
      <c r="BO4" s="149">
        <v>0</v>
      </c>
      <c r="BP4" s="152"/>
      <c r="BQ4" s="152" t="s">
        <v>327</v>
      </c>
      <c r="BR4" s="154" t="s">
        <v>149</v>
      </c>
      <c r="BS4" s="136">
        <v>1</v>
      </c>
      <c r="BT4" s="267">
        <f t="shared" si="0"/>
        <v>57</v>
      </c>
      <c r="BU4" s="267"/>
      <c r="BV4" s="267"/>
      <c r="BW4" s="267"/>
      <c r="BX4" s="267"/>
      <c r="BY4" s="267"/>
      <c r="BZ4" s="267"/>
      <c r="CA4" s="267"/>
      <c r="CB4" s="267"/>
      <c r="CC4" s="267"/>
      <c r="CD4" s="267"/>
      <c r="CE4" s="267"/>
      <c r="CF4" s="267"/>
      <c r="CG4" s="267"/>
      <c r="CH4" s="267"/>
      <c r="CI4" s="267"/>
      <c r="CJ4" s="267"/>
      <c r="CK4" s="267"/>
      <c r="CL4" s="267"/>
      <c r="CM4" s="267"/>
      <c r="CN4" s="101">
        <f t="shared" si="1"/>
        <v>0</v>
      </c>
      <c r="CO4" s="101">
        <f t="shared" si="2"/>
        <v>0</v>
      </c>
    </row>
    <row r="5" spans="1:93" ht="13.9" customHeight="1" x14ac:dyDescent="0.2">
      <c r="A5" s="149">
        <v>5875</v>
      </c>
      <c r="B5" s="150" t="s">
        <v>323</v>
      </c>
      <c r="C5" s="150" t="s">
        <v>346</v>
      </c>
      <c r="D5" s="150" t="s">
        <v>347</v>
      </c>
      <c r="E5" s="150" t="s">
        <v>326</v>
      </c>
      <c r="F5" s="149">
        <v>528631</v>
      </c>
      <c r="G5" s="149">
        <v>177662</v>
      </c>
      <c r="H5" s="150" t="s">
        <v>160</v>
      </c>
      <c r="I5" s="151">
        <v>43545</v>
      </c>
      <c r="J5" s="151">
        <v>45017</v>
      </c>
      <c r="K5" s="149">
        <v>2</v>
      </c>
      <c r="L5" s="149">
        <v>1</v>
      </c>
      <c r="M5" s="149">
        <v>-1</v>
      </c>
      <c r="N5" s="149">
        <v>1</v>
      </c>
      <c r="O5" s="149">
        <v>-1</v>
      </c>
      <c r="P5" s="152"/>
      <c r="Q5" s="150" t="s">
        <v>348</v>
      </c>
      <c r="R5" s="150" t="s">
        <v>349</v>
      </c>
      <c r="S5" s="151">
        <v>42053</v>
      </c>
      <c r="T5" s="151">
        <v>42088</v>
      </c>
      <c r="U5" s="152"/>
      <c r="V5" s="150" t="s">
        <v>330</v>
      </c>
      <c r="W5" s="151"/>
      <c r="X5" s="150" t="s">
        <v>331</v>
      </c>
      <c r="Y5" s="150" t="s">
        <v>350</v>
      </c>
      <c r="Z5" s="150" t="s">
        <v>334</v>
      </c>
      <c r="AA5" s="150" t="s">
        <v>351</v>
      </c>
      <c r="AB5" s="153">
        <v>1.6E-2</v>
      </c>
      <c r="AC5" s="151">
        <v>43545</v>
      </c>
      <c r="AD5" s="150"/>
      <c r="AE5" s="151">
        <v>45017</v>
      </c>
      <c r="AF5" s="150" t="s">
        <v>70</v>
      </c>
      <c r="AG5" s="152" t="s">
        <v>352</v>
      </c>
      <c r="AH5" s="150" t="s">
        <v>326</v>
      </c>
      <c r="AI5" s="99"/>
      <c r="AJ5" s="149"/>
      <c r="AK5" s="99"/>
      <c r="AL5" s="149"/>
      <c r="AM5" s="99"/>
      <c r="AN5" s="149">
        <v>0</v>
      </c>
      <c r="AO5" s="149">
        <v>0</v>
      </c>
      <c r="AP5" s="149">
        <v>-2</v>
      </c>
      <c r="AQ5" s="149">
        <v>1</v>
      </c>
      <c r="AR5" s="149">
        <v>0</v>
      </c>
      <c r="AS5" s="149">
        <v>0</v>
      </c>
      <c r="AT5" s="149">
        <v>0</v>
      </c>
      <c r="AU5" s="149">
        <v>0</v>
      </c>
      <c r="AV5" s="149">
        <v>0</v>
      </c>
      <c r="AW5" s="149">
        <v>-2</v>
      </c>
      <c r="AX5" s="149">
        <v>1</v>
      </c>
      <c r="AY5" s="149">
        <v>0</v>
      </c>
      <c r="AZ5" s="149">
        <v>0</v>
      </c>
      <c r="BA5" s="149">
        <v>0</v>
      </c>
      <c r="BB5" s="149">
        <v>0</v>
      </c>
      <c r="BC5" s="149">
        <v>0</v>
      </c>
      <c r="BD5" s="149">
        <v>0</v>
      </c>
      <c r="BE5" s="149">
        <v>0</v>
      </c>
      <c r="BF5" s="149">
        <v>0</v>
      </c>
      <c r="BG5" s="149">
        <v>0</v>
      </c>
      <c r="BH5" s="149">
        <v>0</v>
      </c>
      <c r="BI5" s="149">
        <v>0</v>
      </c>
      <c r="BJ5" s="149">
        <v>0</v>
      </c>
      <c r="BK5" s="149">
        <v>0</v>
      </c>
      <c r="BL5" s="149">
        <v>0</v>
      </c>
      <c r="BM5" s="149">
        <v>0</v>
      </c>
      <c r="BN5" s="149">
        <v>0</v>
      </c>
      <c r="BO5" s="149">
        <v>0</v>
      </c>
      <c r="BP5" s="152"/>
      <c r="BQ5" s="152" t="s">
        <v>327</v>
      </c>
      <c r="BR5" s="154" t="s">
        <v>149</v>
      </c>
      <c r="BS5" s="136">
        <v>11</v>
      </c>
      <c r="BT5" s="267">
        <f t="shared" si="0"/>
        <v>-1</v>
      </c>
      <c r="BU5" s="267"/>
      <c r="BV5" s="267"/>
      <c r="BW5" s="267"/>
      <c r="BX5" s="267"/>
      <c r="BY5" s="267"/>
      <c r="BZ5" s="267"/>
      <c r="CA5" s="267"/>
      <c r="CB5" s="267"/>
      <c r="CC5" s="267"/>
      <c r="CD5" s="267"/>
      <c r="CE5" s="267"/>
      <c r="CF5" s="267"/>
      <c r="CG5" s="267"/>
      <c r="CH5" s="267"/>
      <c r="CI5" s="267"/>
      <c r="CJ5" s="267"/>
      <c r="CK5" s="267"/>
      <c r="CL5" s="267"/>
      <c r="CM5" s="267"/>
      <c r="CN5" s="101">
        <f t="shared" si="1"/>
        <v>0</v>
      </c>
      <c r="CO5" s="101">
        <f t="shared" si="2"/>
        <v>0</v>
      </c>
    </row>
    <row r="6" spans="1:93" ht="13.9" customHeight="1" x14ac:dyDescent="0.2">
      <c r="A6" s="149">
        <v>365</v>
      </c>
      <c r="B6" s="150" t="s">
        <v>323</v>
      </c>
      <c r="C6" s="150" t="s">
        <v>353</v>
      </c>
      <c r="D6" s="150" t="s">
        <v>339</v>
      </c>
      <c r="E6" s="150" t="s">
        <v>326</v>
      </c>
      <c r="F6" s="149">
        <v>530104</v>
      </c>
      <c r="G6" s="149">
        <v>177808</v>
      </c>
      <c r="H6" s="150" t="s">
        <v>149</v>
      </c>
      <c r="I6" s="151">
        <v>42228</v>
      </c>
      <c r="J6" s="151"/>
      <c r="K6" s="149">
        <v>0</v>
      </c>
      <c r="L6" s="149">
        <v>437</v>
      </c>
      <c r="M6" s="149">
        <v>437</v>
      </c>
      <c r="N6" s="149">
        <v>437</v>
      </c>
      <c r="O6" s="149">
        <v>437</v>
      </c>
      <c r="P6" s="152" t="s">
        <v>327</v>
      </c>
      <c r="Q6" s="150" t="s">
        <v>354</v>
      </c>
      <c r="R6" s="150" t="s">
        <v>342</v>
      </c>
      <c r="S6" s="151">
        <v>42536</v>
      </c>
      <c r="T6" s="151">
        <v>42542</v>
      </c>
      <c r="U6" s="152"/>
      <c r="V6" s="150" t="s">
        <v>330</v>
      </c>
      <c r="W6" s="151"/>
      <c r="X6" s="150" t="s">
        <v>331</v>
      </c>
      <c r="Y6" s="150" t="s">
        <v>343</v>
      </c>
      <c r="Z6" s="150" t="s">
        <v>343</v>
      </c>
      <c r="AA6" s="150" t="s">
        <v>334</v>
      </c>
      <c r="AB6" s="153">
        <v>0.252</v>
      </c>
      <c r="AC6" s="151">
        <v>42228</v>
      </c>
      <c r="AD6" s="150"/>
      <c r="AE6" s="151">
        <v>45382</v>
      </c>
      <c r="AF6" s="150" t="s">
        <v>70</v>
      </c>
      <c r="AG6" s="152" t="s">
        <v>352</v>
      </c>
      <c r="AH6" s="150" t="s">
        <v>345</v>
      </c>
      <c r="AI6" s="99"/>
      <c r="AJ6" s="149"/>
      <c r="AK6" s="149">
        <v>44</v>
      </c>
      <c r="AL6" s="149"/>
      <c r="AM6" s="149">
        <v>395</v>
      </c>
      <c r="AN6" s="149">
        <v>0</v>
      </c>
      <c r="AO6" s="149">
        <v>117</v>
      </c>
      <c r="AP6" s="149">
        <v>181</v>
      </c>
      <c r="AQ6" s="149">
        <v>129</v>
      </c>
      <c r="AR6" s="149">
        <v>10</v>
      </c>
      <c r="AS6" s="149">
        <v>0</v>
      </c>
      <c r="AT6" s="149">
        <v>0</v>
      </c>
      <c r="AU6" s="149">
        <v>0</v>
      </c>
      <c r="AV6" s="149">
        <v>117</v>
      </c>
      <c r="AW6" s="149">
        <v>181</v>
      </c>
      <c r="AX6" s="149">
        <v>129</v>
      </c>
      <c r="AY6" s="149">
        <v>10</v>
      </c>
      <c r="AZ6" s="149">
        <v>0</v>
      </c>
      <c r="BA6" s="149">
        <v>0</v>
      </c>
      <c r="BB6" s="149">
        <v>0</v>
      </c>
      <c r="BC6" s="149">
        <v>0</v>
      </c>
      <c r="BD6" s="149">
        <v>0</v>
      </c>
      <c r="BE6" s="149">
        <v>0</v>
      </c>
      <c r="BF6" s="149">
        <v>0</v>
      </c>
      <c r="BG6" s="149">
        <v>0</v>
      </c>
      <c r="BH6" s="149">
        <v>0</v>
      </c>
      <c r="BI6" s="149">
        <v>0</v>
      </c>
      <c r="BJ6" s="149">
        <v>0</v>
      </c>
      <c r="BK6" s="149">
        <v>0</v>
      </c>
      <c r="BL6" s="149">
        <v>0</v>
      </c>
      <c r="BM6" s="149">
        <v>0</v>
      </c>
      <c r="BN6" s="149">
        <v>0</v>
      </c>
      <c r="BO6" s="149">
        <v>0</v>
      </c>
      <c r="BP6" s="152"/>
      <c r="BQ6" s="152" t="s">
        <v>327</v>
      </c>
      <c r="BR6" s="154" t="s">
        <v>149</v>
      </c>
      <c r="BS6" s="136">
        <v>1</v>
      </c>
      <c r="BT6" s="267">
        <f t="shared" si="0"/>
        <v>437</v>
      </c>
      <c r="BU6" s="267"/>
      <c r="BV6" s="267"/>
      <c r="BW6" s="267"/>
      <c r="BX6" s="267"/>
      <c r="BY6" s="267"/>
      <c r="BZ6" s="267"/>
      <c r="CA6" s="267"/>
      <c r="CB6" s="267"/>
      <c r="CC6" s="267"/>
      <c r="CD6" s="267"/>
      <c r="CE6" s="267"/>
      <c r="CF6" s="267"/>
      <c r="CG6" s="267"/>
      <c r="CH6" s="267"/>
      <c r="CI6" s="267"/>
      <c r="CJ6" s="267"/>
      <c r="CK6" s="267"/>
      <c r="CL6" s="267"/>
      <c r="CM6" s="267"/>
      <c r="CN6" s="101">
        <f t="shared" si="1"/>
        <v>0</v>
      </c>
      <c r="CO6" s="101">
        <f t="shared" si="2"/>
        <v>0</v>
      </c>
    </row>
    <row r="7" spans="1:93" ht="13.9" customHeight="1" x14ac:dyDescent="0.2">
      <c r="A7" s="149">
        <v>6375</v>
      </c>
      <c r="B7" s="150" t="s">
        <v>323</v>
      </c>
      <c r="C7" s="150" t="s">
        <v>355</v>
      </c>
      <c r="D7" s="150" t="s">
        <v>356</v>
      </c>
      <c r="E7" s="150" t="s">
        <v>326</v>
      </c>
      <c r="F7" s="149">
        <v>523565</v>
      </c>
      <c r="G7" s="149">
        <v>175816</v>
      </c>
      <c r="H7" s="150" t="s">
        <v>171</v>
      </c>
      <c r="I7" s="151">
        <v>42983</v>
      </c>
      <c r="J7" s="151">
        <v>45198</v>
      </c>
      <c r="K7" s="149">
        <v>1</v>
      </c>
      <c r="L7" s="149">
        <v>2</v>
      </c>
      <c r="M7" s="149">
        <v>1</v>
      </c>
      <c r="N7" s="149">
        <v>2</v>
      </c>
      <c r="O7" s="149">
        <v>1</v>
      </c>
      <c r="P7" s="152"/>
      <c r="Q7" s="150" t="s">
        <v>357</v>
      </c>
      <c r="R7" s="150" t="s">
        <v>358</v>
      </c>
      <c r="S7" s="151">
        <v>42583</v>
      </c>
      <c r="T7" s="151">
        <v>42660</v>
      </c>
      <c r="U7" s="152"/>
      <c r="V7" s="150" t="s">
        <v>330</v>
      </c>
      <c r="W7" s="151"/>
      <c r="X7" s="150" t="s">
        <v>331</v>
      </c>
      <c r="Y7" s="150" t="s">
        <v>332</v>
      </c>
      <c r="Z7" s="150" t="s">
        <v>334</v>
      </c>
      <c r="AA7" s="150" t="s">
        <v>23</v>
      </c>
      <c r="AB7" s="153">
        <v>7.0000000000000001E-3</v>
      </c>
      <c r="AC7" s="151">
        <v>42983</v>
      </c>
      <c r="AD7" s="150"/>
      <c r="AE7" s="151">
        <v>45198</v>
      </c>
      <c r="AF7" s="150" t="s">
        <v>70</v>
      </c>
      <c r="AG7" s="152" t="s">
        <v>352</v>
      </c>
      <c r="AH7" s="150" t="s">
        <v>326</v>
      </c>
      <c r="AI7" s="99"/>
      <c r="AJ7" s="149"/>
      <c r="AK7" s="99"/>
      <c r="AL7" s="149"/>
      <c r="AM7" s="99"/>
      <c r="AN7" s="149">
        <v>0</v>
      </c>
      <c r="AO7" s="149">
        <v>0</v>
      </c>
      <c r="AP7" s="149">
        <v>2</v>
      </c>
      <c r="AQ7" s="149">
        <v>0</v>
      </c>
      <c r="AR7" s="149">
        <v>0</v>
      </c>
      <c r="AS7" s="149">
        <v>-1</v>
      </c>
      <c r="AT7" s="149">
        <v>0</v>
      </c>
      <c r="AU7" s="149">
        <v>0</v>
      </c>
      <c r="AV7" s="149">
        <v>0</v>
      </c>
      <c r="AW7" s="149">
        <v>2</v>
      </c>
      <c r="AX7" s="149">
        <v>0</v>
      </c>
      <c r="AY7" s="149">
        <v>0</v>
      </c>
      <c r="AZ7" s="149">
        <v>-1</v>
      </c>
      <c r="BA7" s="149">
        <v>0</v>
      </c>
      <c r="BB7" s="149">
        <v>0</v>
      </c>
      <c r="BC7" s="149">
        <v>0</v>
      </c>
      <c r="BD7" s="149">
        <v>0</v>
      </c>
      <c r="BE7" s="149">
        <v>0</v>
      </c>
      <c r="BF7" s="149">
        <v>0</v>
      </c>
      <c r="BG7" s="149">
        <v>0</v>
      </c>
      <c r="BH7" s="149">
        <v>0</v>
      </c>
      <c r="BI7" s="149">
        <v>0</v>
      </c>
      <c r="BJ7" s="149">
        <v>0</v>
      </c>
      <c r="BK7" s="149">
        <v>0</v>
      </c>
      <c r="BL7" s="149">
        <v>0</v>
      </c>
      <c r="BM7" s="149">
        <v>0</v>
      </c>
      <c r="BN7" s="149">
        <v>0</v>
      </c>
      <c r="BO7" s="149">
        <v>0</v>
      </c>
      <c r="BP7" s="152"/>
      <c r="BQ7" s="152"/>
      <c r="BR7" s="154" t="s">
        <v>359</v>
      </c>
      <c r="BS7" s="136">
        <v>11</v>
      </c>
      <c r="BT7" s="267">
        <f t="shared" si="0"/>
        <v>1</v>
      </c>
      <c r="BU7" s="267"/>
      <c r="BV7" s="267"/>
      <c r="BW7" s="267"/>
      <c r="BX7" s="267"/>
      <c r="BY7" s="267"/>
      <c r="BZ7" s="267"/>
      <c r="CA7" s="267"/>
      <c r="CB7" s="267"/>
      <c r="CC7" s="267"/>
      <c r="CD7" s="267"/>
      <c r="CE7" s="267"/>
      <c r="CF7" s="267"/>
      <c r="CG7" s="267"/>
      <c r="CH7" s="267"/>
      <c r="CI7" s="267"/>
      <c r="CJ7" s="267"/>
      <c r="CK7" s="267"/>
      <c r="CL7" s="267"/>
      <c r="CM7" s="267"/>
      <c r="CN7" s="101">
        <f t="shared" si="1"/>
        <v>0</v>
      </c>
      <c r="CO7" s="101">
        <f t="shared" si="2"/>
        <v>0</v>
      </c>
    </row>
    <row r="8" spans="1:93" ht="13.9" customHeight="1" x14ac:dyDescent="0.2">
      <c r="A8" s="149">
        <v>5298</v>
      </c>
      <c r="B8" s="150" t="s">
        <v>323</v>
      </c>
      <c r="C8" s="150" t="s">
        <v>360</v>
      </c>
      <c r="D8" s="150" t="s">
        <v>361</v>
      </c>
      <c r="E8" s="150" t="s">
        <v>326</v>
      </c>
      <c r="F8" s="149">
        <v>521254</v>
      </c>
      <c r="G8" s="149">
        <v>174526</v>
      </c>
      <c r="H8" s="150" t="s">
        <v>166</v>
      </c>
      <c r="I8" s="151">
        <v>43780</v>
      </c>
      <c r="J8" s="151">
        <v>45131</v>
      </c>
      <c r="K8" s="149">
        <v>0</v>
      </c>
      <c r="L8" s="149">
        <v>1</v>
      </c>
      <c r="M8" s="149">
        <v>1</v>
      </c>
      <c r="N8" s="149">
        <v>1</v>
      </c>
      <c r="O8" s="149">
        <v>1</v>
      </c>
      <c r="P8" s="152"/>
      <c r="Q8" s="150" t="s">
        <v>362</v>
      </c>
      <c r="R8" s="150" t="s">
        <v>349</v>
      </c>
      <c r="S8" s="151">
        <v>42590</v>
      </c>
      <c r="T8" s="151">
        <v>42691</v>
      </c>
      <c r="U8" s="152"/>
      <c r="V8" s="150" t="s">
        <v>330</v>
      </c>
      <c r="W8" s="151"/>
      <c r="X8" s="150" t="s">
        <v>331</v>
      </c>
      <c r="Y8" s="150" t="s">
        <v>343</v>
      </c>
      <c r="Z8" s="150" t="s">
        <v>334</v>
      </c>
      <c r="AA8" s="150" t="s">
        <v>363</v>
      </c>
      <c r="AB8" s="153">
        <v>0.108</v>
      </c>
      <c r="AC8" s="151">
        <v>43780</v>
      </c>
      <c r="AD8" s="150"/>
      <c r="AE8" s="151">
        <v>45131</v>
      </c>
      <c r="AF8" s="150" t="s">
        <v>70</v>
      </c>
      <c r="AG8" s="152" t="s">
        <v>352</v>
      </c>
      <c r="AH8" s="150" t="s">
        <v>326</v>
      </c>
      <c r="AI8" s="99"/>
      <c r="AJ8" s="149">
        <v>1</v>
      </c>
      <c r="AK8" s="99"/>
      <c r="AL8" s="149">
        <v>1</v>
      </c>
      <c r="AM8" s="99"/>
      <c r="AN8" s="149">
        <v>0</v>
      </c>
      <c r="AO8" s="149">
        <v>0</v>
      </c>
      <c r="AP8" s="149">
        <v>0</v>
      </c>
      <c r="AQ8" s="149">
        <v>0</v>
      </c>
      <c r="AR8" s="149">
        <v>0</v>
      </c>
      <c r="AS8" s="149">
        <v>1</v>
      </c>
      <c r="AT8" s="149">
        <v>0</v>
      </c>
      <c r="AU8" s="149">
        <v>0</v>
      </c>
      <c r="AV8" s="149">
        <v>0</v>
      </c>
      <c r="AW8" s="149">
        <v>0</v>
      </c>
      <c r="AX8" s="149">
        <v>0</v>
      </c>
      <c r="AY8" s="149">
        <v>0</v>
      </c>
      <c r="AZ8" s="149">
        <v>0</v>
      </c>
      <c r="BA8" s="149">
        <v>0</v>
      </c>
      <c r="BB8" s="149">
        <v>0</v>
      </c>
      <c r="BC8" s="149">
        <v>0</v>
      </c>
      <c r="BD8" s="149">
        <v>0</v>
      </c>
      <c r="BE8" s="149">
        <v>0</v>
      </c>
      <c r="BF8" s="149">
        <v>0</v>
      </c>
      <c r="BG8" s="149">
        <v>1</v>
      </c>
      <c r="BH8" s="149">
        <v>0</v>
      </c>
      <c r="BI8" s="149">
        <v>0</v>
      </c>
      <c r="BJ8" s="149">
        <v>0</v>
      </c>
      <c r="BK8" s="149">
        <v>0</v>
      </c>
      <c r="BL8" s="149">
        <v>0</v>
      </c>
      <c r="BM8" s="149">
        <v>0</v>
      </c>
      <c r="BN8" s="149">
        <v>0</v>
      </c>
      <c r="BO8" s="149">
        <v>0</v>
      </c>
      <c r="BP8" s="152"/>
      <c r="BQ8" s="152"/>
      <c r="BR8" s="154" t="s">
        <v>359</v>
      </c>
      <c r="BS8" s="136">
        <v>1</v>
      </c>
      <c r="BT8" s="267">
        <f t="shared" si="0"/>
        <v>1</v>
      </c>
      <c r="BU8" s="267"/>
      <c r="BV8" s="267"/>
      <c r="BW8" s="267"/>
      <c r="BX8" s="267"/>
      <c r="BY8" s="267"/>
      <c r="BZ8" s="267"/>
      <c r="CA8" s="267"/>
      <c r="CB8" s="267"/>
      <c r="CC8" s="267"/>
      <c r="CD8" s="267"/>
      <c r="CE8" s="267"/>
      <c r="CF8" s="267"/>
      <c r="CG8" s="267"/>
      <c r="CH8" s="267"/>
      <c r="CI8" s="267"/>
      <c r="CJ8" s="267"/>
      <c r="CK8" s="267"/>
      <c r="CL8" s="267"/>
      <c r="CM8" s="267"/>
      <c r="CN8" s="101">
        <f t="shared" si="1"/>
        <v>0</v>
      </c>
      <c r="CO8" s="101">
        <f t="shared" si="2"/>
        <v>0</v>
      </c>
    </row>
    <row r="9" spans="1:93" ht="13.9" customHeight="1" x14ac:dyDescent="0.2">
      <c r="A9" s="149">
        <v>4865</v>
      </c>
      <c r="B9" s="150" t="s">
        <v>323</v>
      </c>
      <c r="C9" s="150" t="s">
        <v>364</v>
      </c>
      <c r="D9" s="150" t="s">
        <v>365</v>
      </c>
      <c r="E9" s="150" t="s">
        <v>366</v>
      </c>
      <c r="F9" s="149">
        <v>523686</v>
      </c>
      <c r="G9" s="149">
        <v>173656</v>
      </c>
      <c r="H9" s="150" t="s">
        <v>178</v>
      </c>
      <c r="I9" s="151">
        <v>43921</v>
      </c>
      <c r="J9" s="151"/>
      <c r="K9" s="149">
        <v>1</v>
      </c>
      <c r="L9" s="149">
        <v>0</v>
      </c>
      <c r="M9" s="149">
        <v>-1</v>
      </c>
      <c r="N9" s="149">
        <v>2</v>
      </c>
      <c r="O9" s="149">
        <v>1</v>
      </c>
      <c r="P9" s="152"/>
      <c r="Q9" s="150" t="s">
        <v>367</v>
      </c>
      <c r="R9" s="150" t="s">
        <v>349</v>
      </c>
      <c r="S9" s="151">
        <v>42626</v>
      </c>
      <c r="T9" s="151">
        <v>42682</v>
      </c>
      <c r="U9" s="152"/>
      <c r="V9" s="150" t="s">
        <v>330</v>
      </c>
      <c r="W9" s="151"/>
      <c r="X9" s="150" t="s">
        <v>331</v>
      </c>
      <c r="Y9" s="150" t="s">
        <v>343</v>
      </c>
      <c r="Z9" s="150" t="s">
        <v>334</v>
      </c>
      <c r="AA9" s="150" t="s">
        <v>363</v>
      </c>
      <c r="AB9" s="153">
        <v>0</v>
      </c>
      <c r="AC9" s="151">
        <v>43921</v>
      </c>
      <c r="AD9" s="150"/>
      <c r="AE9" s="151">
        <v>45017</v>
      </c>
      <c r="AF9" s="150" t="s">
        <v>70</v>
      </c>
      <c r="AG9" s="152" t="s">
        <v>352</v>
      </c>
      <c r="AH9" s="150" t="s">
        <v>326</v>
      </c>
      <c r="AI9" s="99"/>
      <c r="AJ9" s="149"/>
      <c r="AK9" s="99"/>
      <c r="AL9" s="149"/>
      <c r="AM9" s="99"/>
      <c r="AN9" s="149">
        <v>0</v>
      </c>
      <c r="AO9" s="149">
        <v>0</v>
      </c>
      <c r="AP9" s="149">
        <v>-1</v>
      </c>
      <c r="AQ9" s="149">
        <v>0</v>
      </c>
      <c r="AR9" s="149">
        <v>0</v>
      </c>
      <c r="AS9" s="149">
        <v>0</v>
      </c>
      <c r="AT9" s="149">
        <v>0</v>
      </c>
      <c r="AU9" s="149">
        <v>0</v>
      </c>
      <c r="AV9" s="149">
        <v>0</v>
      </c>
      <c r="AW9" s="149">
        <v>0</v>
      </c>
      <c r="AX9" s="149">
        <v>0</v>
      </c>
      <c r="AY9" s="149">
        <v>0</v>
      </c>
      <c r="AZ9" s="149">
        <v>0</v>
      </c>
      <c r="BA9" s="149">
        <v>0</v>
      </c>
      <c r="BB9" s="149">
        <v>0</v>
      </c>
      <c r="BC9" s="149">
        <v>0</v>
      </c>
      <c r="BD9" s="149">
        <v>-1</v>
      </c>
      <c r="BE9" s="149">
        <v>0</v>
      </c>
      <c r="BF9" s="149">
        <v>0</v>
      </c>
      <c r="BG9" s="149">
        <v>0</v>
      </c>
      <c r="BH9" s="149">
        <v>0</v>
      </c>
      <c r="BI9" s="149">
        <v>0</v>
      </c>
      <c r="BJ9" s="149">
        <v>0</v>
      </c>
      <c r="BK9" s="149">
        <v>0</v>
      </c>
      <c r="BL9" s="149">
        <v>0</v>
      </c>
      <c r="BM9" s="149">
        <v>0</v>
      </c>
      <c r="BN9" s="149">
        <v>0</v>
      </c>
      <c r="BO9" s="149">
        <v>0</v>
      </c>
      <c r="BP9" s="152"/>
      <c r="BQ9" s="152"/>
      <c r="BR9" s="154" t="s">
        <v>359</v>
      </c>
      <c r="BS9" s="136">
        <v>1</v>
      </c>
      <c r="BT9" s="267">
        <f t="shared" si="0"/>
        <v>-1</v>
      </c>
      <c r="BU9" s="267"/>
      <c r="BV9" s="267"/>
      <c r="BW9" s="267"/>
      <c r="BX9" s="267"/>
      <c r="BY9" s="267"/>
      <c r="BZ9" s="267"/>
      <c r="CA9" s="267"/>
      <c r="CB9" s="267"/>
      <c r="CC9" s="267"/>
      <c r="CD9" s="267"/>
      <c r="CE9" s="267"/>
      <c r="CF9" s="267"/>
      <c r="CG9" s="267"/>
      <c r="CH9" s="267"/>
      <c r="CI9" s="267"/>
      <c r="CJ9" s="267"/>
      <c r="CK9" s="267"/>
      <c r="CL9" s="267"/>
      <c r="CM9" s="267"/>
      <c r="CN9" s="101">
        <f t="shared" si="1"/>
        <v>0</v>
      </c>
      <c r="CO9" s="101">
        <f t="shared" si="2"/>
        <v>0</v>
      </c>
    </row>
    <row r="10" spans="1:93" ht="13.9" customHeight="1" x14ac:dyDescent="0.2">
      <c r="A10" s="149">
        <v>6525</v>
      </c>
      <c r="B10" s="150" t="s">
        <v>323</v>
      </c>
      <c r="C10" s="150" t="s">
        <v>368</v>
      </c>
      <c r="D10" s="150" t="s">
        <v>369</v>
      </c>
      <c r="E10" s="150" t="s">
        <v>326</v>
      </c>
      <c r="F10" s="149">
        <v>527828</v>
      </c>
      <c r="G10" s="149">
        <v>173720</v>
      </c>
      <c r="H10" s="150" t="s">
        <v>139</v>
      </c>
      <c r="I10" s="151">
        <v>43227</v>
      </c>
      <c r="J10" s="151">
        <v>45020</v>
      </c>
      <c r="K10" s="149">
        <v>1</v>
      </c>
      <c r="L10" s="149">
        <v>1</v>
      </c>
      <c r="M10" s="149">
        <v>0</v>
      </c>
      <c r="N10" s="149">
        <v>1</v>
      </c>
      <c r="O10" s="149">
        <v>0</v>
      </c>
      <c r="P10" s="152"/>
      <c r="Q10" s="150" t="s">
        <v>370</v>
      </c>
      <c r="R10" s="150" t="s">
        <v>349</v>
      </c>
      <c r="S10" s="151">
        <v>42793</v>
      </c>
      <c r="T10" s="151">
        <v>42919</v>
      </c>
      <c r="U10" s="152"/>
      <c r="V10" s="150" t="s">
        <v>330</v>
      </c>
      <c r="W10" s="151"/>
      <c r="X10" s="150" t="s">
        <v>331</v>
      </c>
      <c r="Y10" s="150" t="s">
        <v>343</v>
      </c>
      <c r="Z10" s="150" t="s">
        <v>334</v>
      </c>
      <c r="AA10" s="150" t="s">
        <v>363</v>
      </c>
      <c r="AB10" s="153">
        <v>4.02E-2</v>
      </c>
      <c r="AC10" s="151">
        <v>43227</v>
      </c>
      <c r="AD10" s="150"/>
      <c r="AE10" s="151">
        <v>45020</v>
      </c>
      <c r="AF10" s="150" t="s">
        <v>70</v>
      </c>
      <c r="AG10" s="152" t="s">
        <v>352</v>
      </c>
      <c r="AH10" s="150" t="s">
        <v>326</v>
      </c>
      <c r="AI10" s="99"/>
      <c r="AJ10" s="149"/>
      <c r="AK10" s="99"/>
      <c r="AL10" s="149"/>
      <c r="AM10" s="99"/>
      <c r="AN10" s="149">
        <v>0</v>
      </c>
      <c r="AO10" s="149">
        <v>0</v>
      </c>
      <c r="AP10" s="149">
        <v>0</v>
      </c>
      <c r="AQ10" s="149">
        <v>-1</v>
      </c>
      <c r="AR10" s="149">
        <v>0</v>
      </c>
      <c r="AS10" s="149">
        <v>1</v>
      </c>
      <c r="AT10" s="149">
        <v>0</v>
      </c>
      <c r="AU10" s="149">
        <v>0</v>
      </c>
      <c r="AV10" s="149">
        <v>0</v>
      </c>
      <c r="AW10" s="149">
        <v>0</v>
      </c>
      <c r="AX10" s="149">
        <v>0</v>
      </c>
      <c r="AY10" s="149">
        <v>0</v>
      </c>
      <c r="AZ10" s="149">
        <v>0</v>
      </c>
      <c r="BA10" s="149">
        <v>0</v>
      </c>
      <c r="BB10" s="149">
        <v>0</v>
      </c>
      <c r="BC10" s="149">
        <v>0</v>
      </c>
      <c r="BD10" s="149">
        <v>0</v>
      </c>
      <c r="BE10" s="149">
        <v>-1</v>
      </c>
      <c r="BF10" s="149">
        <v>0</v>
      </c>
      <c r="BG10" s="149">
        <v>1</v>
      </c>
      <c r="BH10" s="149">
        <v>0</v>
      </c>
      <c r="BI10" s="149">
        <v>0</v>
      </c>
      <c r="BJ10" s="149">
        <v>0</v>
      </c>
      <c r="BK10" s="149">
        <v>0</v>
      </c>
      <c r="BL10" s="149">
        <v>0</v>
      </c>
      <c r="BM10" s="149">
        <v>0</v>
      </c>
      <c r="BN10" s="149">
        <v>0</v>
      </c>
      <c r="BO10" s="149">
        <v>0</v>
      </c>
      <c r="BP10" s="152"/>
      <c r="BQ10" s="152"/>
      <c r="BR10" s="154" t="s">
        <v>359</v>
      </c>
      <c r="BS10" s="136">
        <v>1</v>
      </c>
      <c r="BT10" s="267">
        <f t="shared" si="0"/>
        <v>0</v>
      </c>
      <c r="BU10" s="267"/>
      <c r="BV10" s="267"/>
      <c r="BW10" s="267"/>
      <c r="BX10" s="267"/>
      <c r="BY10" s="267"/>
      <c r="BZ10" s="267"/>
      <c r="CA10" s="267"/>
      <c r="CB10" s="267"/>
      <c r="CC10" s="267"/>
      <c r="CD10" s="267"/>
      <c r="CE10" s="267"/>
      <c r="CF10" s="267"/>
      <c r="CG10" s="267"/>
      <c r="CH10" s="267"/>
      <c r="CI10" s="267"/>
      <c r="CJ10" s="267"/>
      <c r="CK10" s="267"/>
      <c r="CL10" s="267"/>
      <c r="CM10" s="267"/>
      <c r="CN10" s="101">
        <f t="shared" si="1"/>
        <v>0</v>
      </c>
      <c r="CO10" s="101">
        <f t="shared" si="2"/>
        <v>0</v>
      </c>
    </row>
    <row r="11" spans="1:93" ht="13.9" customHeight="1" x14ac:dyDescent="0.2">
      <c r="A11" s="149">
        <v>6030</v>
      </c>
      <c r="B11" s="150" t="s">
        <v>323</v>
      </c>
      <c r="C11" s="150" t="s">
        <v>371</v>
      </c>
      <c r="D11" s="150" t="s">
        <v>372</v>
      </c>
      <c r="E11" s="150" t="s">
        <v>326</v>
      </c>
      <c r="F11" s="149">
        <v>522262</v>
      </c>
      <c r="G11" s="149">
        <v>173980</v>
      </c>
      <c r="H11" s="150" t="s">
        <v>166</v>
      </c>
      <c r="I11" s="151">
        <v>44354</v>
      </c>
      <c r="J11" s="151">
        <v>45315</v>
      </c>
      <c r="K11" s="149">
        <v>0</v>
      </c>
      <c r="L11" s="149">
        <v>2</v>
      </c>
      <c r="M11" s="149">
        <v>2</v>
      </c>
      <c r="N11" s="149">
        <v>2</v>
      </c>
      <c r="O11" s="149">
        <v>2</v>
      </c>
      <c r="P11" s="152"/>
      <c r="Q11" s="150" t="s">
        <v>373</v>
      </c>
      <c r="R11" s="150" t="s">
        <v>349</v>
      </c>
      <c r="S11" s="151">
        <v>42810</v>
      </c>
      <c r="T11" s="151">
        <v>43278</v>
      </c>
      <c r="U11" s="152"/>
      <c r="V11" s="150" t="s">
        <v>330</v>
      </c>
      <c r="W11" s="151"/>
      <c r="X11" s="150" t="s">
        <v>331</v>
      </c>
      <c r="Y11" s="150" t="s">
        <v>343</v>
      </c>
      <c r="Z11" s="150" t="s">
        <v>334</v>
      </c>
      <c r="AA11" s="150" t="s">
        <v>363</v>
      </c>
      <c r="AB11" s="153">
        <v>6.8000000000000005E-2</v>
      </c>
      <c r="AC11" s="151">
        <v>44354</v>
      </c>
      <c r="AD11" s="150"/>
      <c r="AE11" s="151">
        <v>45315</v>
      </c>
      <c r="AF11" s="150" t="s">
        <v>70</v>
      </c>
      <c r="AG11" s="152" t="s">
        <v>352</v>
      </c>
      <c r="AH11" s="150" t="s">
        <v>326</v>
      </c>
      <c r="AI11" s="99"/>
      <c r="AJ11" s="149"/>
      <c r="AK11" s="99"/>
      <c r="AL11" s="149"/>
      <c r="AM11" s="99"/>
      <c r="AN11" s="149">
        <v>0</v>
      </c>
      <c r="AO11" s="149">
        <v>0</v>
      </c>
      <c r="AP11" s="149">
        <v>0</v>
      </c>
      <c r="AQ11" s="149">
        <v>0</v>
      </c>
      <c r="AR11" s="149">
        <v>0</v>
      </c>
      <c r="AS11" s="149">
        <v>2</v>
      </c>
      <c r="AT11" s="149">
        <v>0</v>
      </c>
      <c r="AU11" s="149">
        <v>0</v>
      </c>
      <c r="AV11" s="149">
        <v>0</v>
      </c>
      <c r="AW11" s="149">
        <v>0</v>
      </c>
      <c r="AX11" s="149">
        <v>0</v>
      </c>
      <c r="AY11" s="149">
        <v>0</v>
      </c>
      <c r="AZ11" s="149">
        <v>0</v>
      </c>
      <c r="BA11" s="149">
        <v>0</v>
      </c>
      <c r="BB11" s="149">
        <v>0</v>
      </c>
      <c r="BC11" s="149">
        <v>0</v>
      </c>
      <c r="BD11" s="149">
        <v>0</v>
      </c>
      <c r="BE11" s="149">
        <v>0</v>
      </c>
      <c r="BF11" s="149">
        <v>0</v>
      </c>
      <c r="BG11" s="149">
        <v>2</v>
      </c>
      <c r="BH11" s="149">
        <v>0</v>
      </c>
      <c r="BI11" s="149">
        <v>0</v>
      </c>
      <c r="BJ11" s="149">
        <v>0</v>
      </c>
      <c r="BK11" s="149">
        <v>0</v>
      </c>
      <c r="BL11" s="149">
        <v>0</v>
      </c>
      <c r="BM11" s="149">
        <v>0</v>
      </c>
      <c r="BN11" s="149">
        <v>0</v>
      </c>
      <c r="BO11" s="149">
        <v>0</v>
      </c>
      <c r="BP11" s="152"/>
      <c r="BQ11" s="152"/>
      <c r="BR11" s="154" t="s">
        <v>359</v>
      </c>
      <c r="BS11" s="136">
        <v>1</v>
      </c>
      <c r="BT11" s="267">
        <f t="shared" si="0"/>
        <v>2</v>
      </c>
      <c r="BU11" s="267"/>
      <c r="BV11" s="267"/>
      <c r="BW11" s="267"/>
      <c r="BX11" s="267"/>
      <c r="BY11" s="267"/>
      <c r="BZ11" s="267"/>
      <c r="CA11" s="267"/>
      <c r="CB11" s="267"/>
      <c r="CC11" s="267"/>
      <c r="CD11" s="267"/>
      <c r="CE11" s="267"/>
      <c r="CF11" s="267"/>
      <c r="CG11" s="267"/>
      <c r="CH11" s="267"/>
      <c r="CI11" s="267"/>
      <c r="CJ11" s="267"/>
      <c r="CK11" s="267"/>
      <c r="CL11" s="267"/>
      <c r="CM11" s="267"/>
      <c r="CN11" s="101">
        <f t="shared" si="1"/>
        <v>0</v>
      </c>
      <c r="CO11" s="101">
        <f t="shared" si="2"/>
        <v>0</v>
      </c>
    </row>
    <row r="12" spans="1:93" ht="13.9" customHeight="1" x14ac:dyDescent="0.2">
      <c r="A12" s="149">
        <v>6667</v>
      </c>
      <c r="B12" s="150" t="s">
        <v>323</v>
      </c>
      <c r="C12" s="150" t="s">
        <v>374</v>
      </c>
      <c r="D12" s="150" t="s">
        <v>375</v>
      </c>
      <c r="E12" s="150" t="s">
        <v>326</v>
      </c>
      <c r="F12" s="149">
        <v>524795</v>
      </c>
      <c r="G12" s="149">
        <v>174423</v>
      </c>
      <c r="H12" s="150" t="s">
        <v>161</v>
      </c>
      <c r="I12" s="151">
        <v>44334</v>
      </c>
      <c r="J12" s="151">
        <v>45247</v>
      </c>
      <c r="K12" s="149">
        <v>1</v>
      </c>
      <c r="L12" s="149">
        <v>1</v>
      </c>
      <c r="M12" s="149">
        <v>0</v>
      </c>
      <c r="N12" s="149">
        <v>1</v>
      </c>
      <c r="O12" s="149">
        <v>0</v>
      </c>
      <c r="P12" s="152"/>
      <c r="Q12" s="150" t="s">
        <v>376</v>
      </c>
      <c r="R12" s="150" t="s">
        <v>349</v>
      </c>
      <c r="S12" s="151">
        <v>42949</v>
      </c>
      <c r="T12" s="151">
        <v>43063</v>
      </c>
      <c r="U12" s="152"/>
      <c r="V12" s="150" t="s">
        <v>330</v>
      </c>
      <c r="W12" s="151"/>
      <c r="X12" s="150" t="s">
        <v>331</v>
      </c>
      <c r="Y12" s="150" t="s">
        <v>343</v>
      </c>
      <c r="Z12" s="150" t="s">
        <v>334</v>
      </c>
      <c r="AA12" s="150" t="s">
        <v>363</v>
      </c>
      <c r="AB12" s="153">
        <v>4.2999999999999997E-2</v>
      </c>
      <c r="AC12" s="151">
        <v>44334</v>
      </c>
      <c r="AD12" s="150"/>
      <c r="AE12" s="151">
        <v>45247</v>
      </c>
      <c r="AF12" s="150" t="s">
        <v>70</v>
      </c>
      <c r="AG12" s="152" t="s">
        <v>352</v>
      </c>
      <c r="AH12" s="150" t="s">
        <v>326</v>
      </c>
      <c r="AI12" s="99"/>
      <c r="AJ12" s="149"/>
      <c r="AK12" s="99"/>
      <c r="AL12" s="149"/>
      <c r="AM12" s="99"/>
      <c r="AN12" s="149">
        <v>0</v>
      </c>
      <c r="AO12" s="149">
        <v>0</v>
      </c>
      <c r="AP12" s="149">
        <v>0</v>
      </c>
      <c r="AQ12" s="149">
        <v>0</v>
      </c>
      <c r="AR12" s="149">
        <v>1</v>
      </c>
      <c r="AS12" s="149">
        <v>-1</v>
      </c>
      <c r="AT12" s="149">
        <v>0</v>
      </c>
      <c r="AU12" s="149">
        <v>0</v>
      </c>
      <c r="AV12" s="149">
        <v>0</v>
      </c>
      <c r="AW12" s="149">
        <v>0</v>
      </c>
      <c r="AX12" s="149">
        <v>0</v>
      </c>
      <c r="AY12" s="149">
        <v>0</v>
      </c>
      <c r="AZ12" s="149">
        <v>0</v>
      </c>
      <c r="BA12" s="149">
        <v>0</v>
      </c>
      <c r="BB12" s="149">
        <v>0</v>
      </c>
      <c r="BC12" s="149">
        <v>0</v>
      </c>
      <c r="BD12" s="149">
        <v>0</v>
      </c>
      <c r="BE12" s="149">
        <v>0</v>
      </c>
      <c r="BF12" s="149">
        <v>1</v>
      </c>
      <c r="BG12" s="149">
        <v>-1</v>
      </c>
      <c r="BH12" s="149">
        <v>0</v>
      </c>
      <c r="BI12" s="149">
        <v>0</v>
      </c>
      <c r="BJ12" s="149">
        <v>0</v>
      </c>
      <c r="BK12" s="149">
        <v>0</v>
      </c>
      <c r="BL12" s="149">
        <v>0</v>
      </c>
      <c r="BM12" s="149">
        <v>0</v>
      </c>
      <c r="BN12" s="149">
        <v>0</v>
      </c>
      <c r="BO12" s="149">
        <v>0</v>
      </c>
      <c r="BP12" s="152"/>
      <c r="BQ12" s="152"/>
      <c r="BR12" s="154" t="s">
        <v>359</v>
      </c>
      <c r="BS12" s="136">
        <v>1</v>
      </c>
      <c r="BT12" s="267">
        <f t="shared" si="0"/>
        <v>0</v>
      </c>
      <c r="BU12" s="267"/>
      <c r="BV12" s="267"/>
      <c r="BW12" s="267"/>
      <c r="BX12" s="267"/>
      <c r="BY12" s="267"/>
      <c r="BZ12" s="267"/>
      <c r="CA12" s="267"/>
      <c r="CB12" s="267"/>
      <c r="CC12" s="267"/>
      <c r="CD12" s="267"/>
      <c r="CE12" s="267"/>
      <c r="CF12" s="267"/>
      <c r="CG12" s="267"/>
      <c r="CH12" s="267"/>
      <c r="CI12" s="267"/>
      <c r="CJ12" s="267"/>
      <c r="CK12" s="267"/>
      <c r="CL12" s="267"/>
      <c r="CM12" s="267"/>
      <c r="CN12" s="101">
        <f t="shared" si="1"/>
        <v>0</v>
      </c>
      <c r="CO12" s="101">
        <f t="shared" si="2"/>
        <v>0</v>
      </c>
    </row>
    <row r="13" spans="1:93" ht="13.9" customHeight="1" x14ac:dyDescent="0.2">
      <c r="A13" s="149">
        <v>3521</v>
      </c>
      <c r="B13" s="150" t="s">
        <v>323</v>
      </c>
      <c r="C13" s="150" t="s">
        <v>377</v>
      </c>
      <c r="D13" s="150" t="s">
        <v>378</v>
      </c>
      <c r="E13" s="150" t="s">
        <v>379</v>
      </c>
      <c r="F13" s="149">
        <v>527156</v>
      </c>
      <c r="G13" s="149">
        <v>175243</v>
      </c>
      <c r="H13" s="150" t="s">
        <v>164</v>
      </c>
      <c r="I13" s="151">
        <v>43862</v>
      </c>
      <c r="J13" s="151"/>
      <c r="K13" s="149">
        <v>28</v>
      </c>
      <c r="L13" s="149">
        <v>0</v>
      </c>
      <c r="M13" s="149">
        <v>-28</v>
      </c>
      <c r="N13" s="149">
        <v>446</v>
      </c>
      <c r="O13" s="149">
        <v>204</v>
      </c>
      <c r="P13" s="152" t="s">
        <v>327</v>
      </c>
      <c r="Q13" s="150" t="s">
        <v>380</v>
      </c>
      <c r="R13" s="150" t="s">
        <v>381</v>
      </c>
      <c r="S13" s="151">
        <v>43028</v>
      </c>
      <c r="T13" s="151">
        <v>43480</v>
      </c>
      <c r="U13" s="152"/>
      <c r="V13" s="150" t="s">
        <v>330</v>
      </c>
      <c r="W13" s="151"/>
      <c r="X13" s="150" t="s">
        <v>331</v>
      </c>
      <c r="Y13" s="150" t="s">
        <v>343</v>
      </c>
      <c r="Z13" s="150" t="s">
        <v>343</v>
      </c>
      <c r="AA13" s="150" t="s">
        <v>334</v>
      </c>
      <c r="AB13" s="153">
        <v>0</v>
      </c>
      <c r="AC13" s="151">
        <v>45230</v>
      </c>
      <c r="AD13" s="152" t="s">
        <v>327</v>
      </c>
      <c r="AE13" s="151">
        <v>45230</v>
      </c>
      <c r="AF13" s="150" t="s">
        <v>70</v>
      </c>
      <c r="AG13" s="152" t="s">
        <v>352</v>
      </c>
      <c r="AH13" s="150" t="s">
        <v>382</v>
      </c>
      <c r="AI13" s="99"/>
      <c r="AJ13" s="149"/>
      <c r="AK13" s="99"/>
      <c r="AL13" s="149"/>
      <c r="AM13" s="99"/>
      <c r="AN13" s="149">
        <v>-1</v>
      </c>
      <c r="AO13" s="149">
        <v>-12</v>
      </c>
      <c r="AP13" s="149">
        <v>-12</v>
      </c>
      <c r="AQ13" s="149">
        <v>-3</v>
      </c>
      <c r="AR13" s="149">
        <v>0</v>
      </c>
      <c r="AS13" s="149">
        <v>0</v>
      </c>
      <c r="AT13" s="149">
        <v>0</v>
      </c>
      <c r="AU13" s="149">
        <v>-1</v>
      </c>
      <c r="AV13" s="149">
        <v>-12</v>
      </c>
      <c r="AW13" s="149">
        <v>-12</v>
      </c>
      <c r="AX13" s="149">
        <v>-3</v>
      </c>
      <c r="AY13" s="149">
        <v>0</v>
      </c>
      <c r="AZ13" s="149">
        <v>0</v>
      </c>
      <c r="BA13" s="149">
        <v>0</v>
      </c>
      <c r="BB13" s="149">
        <v>0</v>
      </c>
      <c r="BC13" s="149">
        <v>0</v>
      </c>
      <c r="BD13" s="149">
        <v>0</v>
      </c>
      <c r="BE13" s="149">
        <v>0</v>
      </c>
      <c r="BF13" s="149">
        <v>0</v>
      </c>
      <c r="BG13" s="149">
        <v>0</v>
      </c>
      <c r="BH13" s="149">
        <v>0</v>
      </c>
      <c r="BI13" s="149">
        <v>0</v>
      </c>
      <c r="BJ13" s="149">
        <v>0</v>
      </c>
      <c r="BK13" s="149">
        <v>0</v>
      </c>
      <c r="BL13" s="149">
        <v>0</v>
      </c>
      <c r="BM13" s="149">
        <v>0</v>
      </c>
      <c r="BN13" s="149">
        <v>0</v>
      </c>
      <c r="BO13" s="149">
        <v>0</v>
      </c>
      <c r="BP13" s="152"/>
      <c r="BQ13" s="152"/>
      <c r="BR13" s="154" t="s">
        <v>148</v>
      </c>
      <c r="BS13" s="136">
        <v>1</v>
      </c>
      <c r="BT13" s="267">
        <f t="shared" si="0"/>
        <v>-28</v>
      </c>
      <c r="BU13" s="267"/>
      <c r="BV13" s="267"/>
      <c r="BW13" s="267"/>
      <c r="BX13" s="267"/>
      <c r="BY13" s="267"/>
      <c r="BZ13" s="267"/>
      <c r="CA13" s="267"/>
      <c r="CB13" s="267"/>
      <c r="CC13" s="267"/>
      <c r="CD13" s="267"/>
      <c r="CE13" s="267"/>
      <c r="CF13" s="267"/>
      <c r="CG13" s="267"/>
      <c r="CH13" s="267"/>
      <c r="CI13" s="267"/>
      <c r="CJ13" s="267"/>
      <c r="CK13" s="267"/>
      <c r="CL13" s="267"/>
      <c r="CM13" s="267"/>
      <c r="CN13" s="101">
        <f t="shared" si="1"/>
        <v>0</v>
      </c>
      <c r="CO13" s="101">
        <f t="shared" si="2"/>
        <v>0</v>
      </c>
    </row>
    <row r="14" spans="1:93" ht="13.9" customHeight="1" x14ac:dyDescent="0.2">
      <c r="A14" s="149">
        <v>3521</v>
      </c>
      <c r="B14" s="150" t="s">
        <v>323</v>
      </c>
      <c r="C14" s="150" t="s">
        <v>377</v>
      </c>
      <c r="D14" s="150" t="s">
        <v>378</v>
      </c>
      <c r="E14" s="150" t="s">
        <v>379</v>
      </c>
      <c r="F14" s="149">
        <v>527156</v>
      </c>
      <c r="G14" s="149">
        <v>175243</v>
      </c>
      <c r="H14" s="150" t="s">
        <v>164</v>
      </c>
      <c r="I14" s="151">
        <v>43862</v>
      </c>
      <c r="J14" s="151"/>
      <c r="K14" s="149">
        <v>56</v>
      </c>
      <c r="L14" s="149">
        <v>0</v>
      </c>
      <c r="M14" s="149">
        <v>-56</v>
      </c>
      <c r="N14" s="149">
        <v>446</v>
      </c>
      <c r="O14" s="149">
        <v>204</v>
      </c>
      <c r="P14" s="152" t="s">
        <v>327</v>
      </c>
      <c r="Q14" s="150" t="s">
        <v>380</v>
      </c>
      <c r="R14" s="150" t="s">
        <v>381</v>
      </c>
      <c r="S14" s="151">
        <v>43028</v>
      </c>
      <c r="T14" s="151">
        <v>43480</v>
      </c>
      <c r="U14" s="152"/>
      <c r="V14" s="150" t="s">
        <v>330</v>
      </c>
      <c r="W14" s="151"/>
      <c r="X14" s="150" t="s">
        <v>331</v>
      </c>
      <c r="Y14" s="150" t="s">
        <v>343</v>
      </c>
      <c r="Z14" s="150" t="s">
        <v>343</v>
      </c>
      <c r="AA14" s="150" t="s">
        <v>334</v>
      </c>
      <c r="AB14" s="153">
        <v>0</v>
      </c>
      <c r="AC14" s="151">
        <v>45230</v>
      </c>
      <c r="AD14" s="152" t="s">
        <v>327</v>
      </c>
      <c r="AE14" s="151">
        <v>45230</v>
      </c>
      <c r="AF14" s="150" t="s">
        <v>49</v>
      </c>
      <c r="AG14" s="152" t="s">
        <v>383</v>
      </c>
      <c r="AH14" s="150" t="s">
        <v>382</v>
      </c>
      <c r="AI14" s="99"/>
      <c r="AJ14" s="149"/>
      <c r="AK14" s="99"/>
      <c r="AL14" s="149"/>
      <c r="AM14" s="99"/>
      <c r="AN14" s="149">
        <v>-1</v>
      </c>
      <c r="AO14" s="149">
        <v>-18</v>
      </c>
      <c r="AP14" s="149">
        <v>-22</v>
      </c>
      <c r="AQ14" s="149">
        <v>-15</v>
      </c>
      <c r="AR14" s="149">
        <v>0</v>
      </c>
      <c r="AS14" s="149">
        <v>0</v>
      </c>
      <c r="AT14" s="149">
        <v>0</v>
      </c>
      <c r="AU14" s="149">
        <v>-1</v>
      </c>
      <c r="AV14" s="149">
        <v>-18</v>
      </c>
      <c r="AW14" s="149">
        <v>-22</v>
      </c>
      <c r="AX14" s="149">
        <v>-15</v>
      </c>
      <c r="AY14" s="149">
        <v>0</v>
      </c>
      <c r="AZ14" s="149">
        <v>0</v>
      </c>
      <c r="BA14" s="149">
        <v>0</v>
      </c>
      <c r="BB14" s="149">
        <v>0</v>
      </c>
      <c r="BC14" s="149">
        <v>0</v>
      </c>
      <c r="BD14" s="149">
        <v>0</v>
      </c>
      <c r="BE14" s="149">
        <v>0</v>
      </c>
      <c r="BF14" s="149">
        <v>0</v>
      </c>
      <c r="BG14" s="149">
        <v>0</v>
      </c>
      <c r="BH14" s="149">
        <v>0</v>
      </c>
      <c r="BI14" s="149">
        <v>0</v>
      </c>
      <c r="BJ14" s="149">
        <v>0</v>
      </c>
      <c r="BK14" s="149">
        <v>0</v>
      </c>
      <c r="BL14" s="149">
        <v>0</v>
      </c>
      <c r="BM14" s="149">
        <v>0</v>
      </c>
      <c r="BN14" s="149">
        <v>0</v>
      </c>
      <c r="BO14" s="149">
        <v>0</v>
      </c>
      <c r="BP14" s="152"/>
      <c r="BQ14" s="152"/>
      <c r="BR14" s="154" t="s">
        <v>148</v>
      </c>
      <c r="BS14" s="136">
        <v>1</v>
      </c>
      <c r="BT14" s="267">
        <f t="shared" si="0"/>
        <v>-56</v>
      </c>
      <c r="BU14" s="267"/>
      <c r="BV14" s="267"/>
      <c r="BW14" s="267"/>
      <c r="BX14" s="267"/>
      <c r="BY14" s="267"/>
      <c r="BZ14" s="267"/>
      <c r="CA14" s="267"/>
      <c r="CB14" s="267"/>
      <c r="CC14" s="267"/>
      <c r="CD14" s="267"/>
      <c r="CE14" s="267"/>
      <c r="CF14" s="267"/>
      <c r="CG14" s="267"/>
      <c r="CH14" s="267"/>
      <c r="CI14" s="267"/>
      <c r="CJ14" s="267"/>
      <c r="CK14" s="267"/>
      <c r="CL14" s="267"/>
      <c r="CM14" s="267"/>
      <c r="CN14" s="101">
        <f t="shared" si="1"/>
        <v>0</v>
      </c>
      <c r="CO14" s="101">
        <f t="shared" si="2"/>
        <v>0</v>
      </c>
    </row>
    <row r="15" spans="1:93" ht="13.9" customHeight="1" x14ac:dyDescent="0.2">
      <c r="A15" s="149">
        <v>3943</v>
      </c>
      <c r="B15" s="150" t="s">
        <v>323</v>
      </c>
      <c r="C15" s="150" t="s">
        <v>384</v>
      </c>
      <c r="D15" s="150" t="s">
        <v>385</v>
      </c>
      <c r="E15" s="150" t="s">
        <v>386</v>
      </c>
      <c r="F15" s="149">
        <v>529575</v>
      </c>
      <c r="G15" s="149">
        <v>177401</v>
      </c>
      <c r="H15" s="150" t="s">
        <v>149</v>
      </c>
      <c r="I15" s="151">
        <v>43711</v>
      </c>
      <c r="J15" s="151"/>
      <c r="K15" s="149">
        <v>0</v>
      </c>
      <c r="L15" s="149">
        <v>131</v>
      </c>
      <c r="M15" s="149">
        <v>131</v>
      </c>
      <c r="N15" s="149">
        <v>894</v>
      </c>
      <c r="O15" s="149">
        <v>894</v>
      </c>
      <c r="P15" s="152" t="s">
        <v>327</v>
      </c>
      <c r="Q15" s="150" t="s">
        <v>387</v>
      </c>
      <c r="R15" s="150" t="s">
        <v>388</v>
      </c>
      <c r="S15" s="151">
        <v>43081</v>
      </c>
      <c r="T15" s="151">
        <v>43553</v>
      </c>
      <c r="U15" s="152"/>
      <c r="V15" s="150" t="s">
        <v>330</v>
      </c>
      <c r="W15" s="151"/>
      <c r="X15" s="150" t="s">
        <v>331</v>
      </c>
      <c r="Y15" s="150" t="s">
        <v>343</v>
      </c>
      <c r="Z15" s="150" t="s">
        <v>343</v>
      </c>
      <c r="AA15" s="150" t="s">
        <v>334</v>
      </c>
      <c r="AB15" s="153">
        <v>0.128</v>
      </c>
      <c r="AC15" s="151">
        <v>43711</v>
      </c>
      <c r="AD15" s="150"/>
      <c r="AE15" s="151">
        <v>45382</v>
      </c>
      <c r="AF15" s="150" t="s">
        <v>48</v>
      </c>
      <c r="AG15" s="152" t="s">
        <v>389</v>
      </c>
      <c r="AH15" s="150" t="s">
        <v>390</v>
      </c>
      <c r="AI15" s="99"/>
      <c r="AJ15" s="149"/>
      <c r="AK15" s="149">
        <v>118</v>
      </c>
      <c r="AL15" s="149"/>
      <c r="AM15" s="149">
        <v>13</v>
      </c>
      <c r="AN15" s="149">
        <v>0</v>
      </c>
      <c r="AO15" s="149">
        <v>36</v>
      </c>
      <c r="AP15" s="149">
        <v>89</v>
      </c>
      <c r="AQ15" s="149">
        <v>6</v>
      </c>
      <c r="AR15" s="149">
        <v>0</v>
      </c>
      <c r="AS15" s="149">
        <v>0</v>
      </c>
      <c r="AT15" s="149">
        <v>0</v>
      </c>
      <c r="AU15" s="149">
        <v>0</v>
      </c>
      <c r="AV15" s="149">
        <v>36</v>
      </c>
      <c r="AW15" s="149">
        <v>89</v>
      </c>
      <c r="AX15" s="149">
        <v>6</v>
      </c>
      <c r="AY15" s="149">
        <v>0</v>
      </c>
      <c r="AZ15" s="149">
        <v>0</v>
      </c>
      <c r="BA15" s="149">
        <v>0</v>
      </c>
      <c r="BB15" s="149">
        <v>0</v>
      </c>
      <c r="BC15" s="149">
        <v>0</v>
      </c>
      <c r="BD15" s="149">
        <v>0</v>
      </c>
      <c r="BE15" s="149">
        <v>0</v>
      </c>
      <c r="BF15" s="149">
        <v>0</v>
      </c>
      <c r="BG15" s="149">
        <v>0</v>
      </c>
      <c r="BH15" s="149">
        <v>0</v>
      </c>
      <c r="BI15" s="149">
        <v>0</v>
      </c>
      <c r="BJ15" s="149">
        <v>0</v>
      </c>
      <c r="BK15" s="149">
        <v>0</v>
      </c>
      <c r="BL15" s="149">
        <v>0</v>
      </c>
      <c r="BM15" s="149">
        <v>0</v>
      </c>
      <c r="BN15" s="149">
        <v>0</v>
      </c>
      <c r="BO15" s="149">
        <v>0</v>
      </c>
      <c r="BP15" s="152"/>
      <c r="BQ15" s="152" t="s">
        <v>327</v>
      </c>
      <c r="BR15" s="154" t="s">
        <v>149</v>
      </c>
      <c r="BS15" s="136">
        <v>1</v>
      </c>
      <c r="BT15" s="267">
        <f t="shared" si="0"/>
        <v>131</v>
      </c>
      <c r="BU15" s="267"/>
      <c r="BV15" s="267"/>
      <c r="BW15" s="267"/>
      <c r="BX15" s="267"/>
      <c r="BY15" s="267"/>
      <c r="BZ15" s="267"/>
      <c r="CA15" s="267"/>
      <c r="CB15" s="267"/>
      <c r="CC15" s="267"/>
      <c r="CD15" s="267"/>
      <c r="CE15" s="267"/>
      <c r="CF15" s="267"/>
      <c r="CG15" s="267"/>
      <c r="CH15" s="267"/>
      <c r="CI15" s="267"/>
      <c r="CJ15" s="267"/>
      <c r="CK15" s="267"/>
      <c r="CL15" s="267"/>
      <c r="CM15" s="267"/>
      <c r="CN15" s="101">
        <f t="shared" si="1"/>
        <v>0</v>
      </c>
      <c r="CO15" s="101">
        <f t="shared" si="2"/>
        <v>0</v>
      </c>
    </row>
    <row r="16" spans="1:93" ht="13.9" customHeight="1" x14ac:dyDescent="0.2">
      <c r="A16" s="149">
        <v>3943</v>
      </c>
      <c r="B16" s="150" t="s">
        <v>323</v>
      </c>
      <c r="C16" s="150" t="s">
        <v>384</v>
      </c>
      <c r="D16" s="150" t="s">
        <v>385</v>
      </c>
      <c r="E16" s="150" t="s">
        <v>386</v>
      </c>
      <c r="F16" s="149">
        <v>529575</v>
      </c>
      <c r="G16" s="149">
        <v>177401</v>
      </c>
      <c r="H16" s="150" t="s">
        <v>149</v>
      </c>
      <c r="I16" s="151">
        <v>43711</v>
      </c>
      <c r="J16" s="151"/>
      <c r="K16" s="149">
        <v>0</v>
      </c>
      <c r="L16" s="149">
        <v>622</v>
      </c>
      <c r="M16" s="149">
        <v>622</v>
      </c>
      <c r="N16" s="149">
        <v>894</v>
      </c>
      <c r="O16" s="149">
        <v>894</v>
      </c>
      <c r="P16" s="152" t="s">
        <v>327</v>
      </c>
      <c r="Q16" s="150" t="s">
        <v>387</v>
      </c>
      <c r="R16" s="150" t="s">
        <v>388</v>
      </c>
      <c r="S16" s="151">
        <v>43081</v>
      </c>
      <c r="T16" s="151">
        <v>43553</v>
      </c>
      <c r="U16" s="152"/>
      <c r="V16" s="150" t="s">
        <v>330</v>
      </c>
      <c r="W16" s="151"/>
      <c r="X16" s="150" t="s">
        <v>331</v>
      </c>
      <c r="Y16" s="150" t="s">
        <v>343</v>
      </c>
      <c r="Z16" s="150" t="s">
        <v>343</v>
      </c>
      <c r="AA16" s="150" t="s">
        <v>334</v>
      </c>
      <c r="AB16" s="153">
        <v>0.60799999999999998</v>
      </c>
      <c r="AC16" s="151">
        <v>43711</v>
      </c>
      <c r="AD16" s="150"/>
      <c r="AE16" s="151">
        <v>45382</v>
      </c>
      <c r="AF16" s="150" t="s">
        <v>70</v>
      </c>
      <c r="AG16" s="152" t="s">
        <v>337</v>
      </c>
      <c r="AH16" s="150" t="s">
        <v>390</v>
      </c>
      <c r="AI16" s="99"/>
      <c r="AJ16" s="149"/>
      <c r="AK16" s="149">
        <v>560</v>
      </c>
      <c r="AL16" s="149"/>
      <c r="AM16" s="149">
        <v>62</v>
      </c>
      <c r="AN16" s="149">
        <v>160</v>
      </c>
      <c r="AO16" s="149">
        <v>133</v>
      </c>
      <c r="AP16" s="149">
        <v>264</v>
      </c>
      <c r="AQ16" s="149">
        <v>65</v>
      </c>
      <c r="AR16" s="149">
        <v>0</v>
      </c>
      <c r="AS16" s="149">
        <v>0</v>
      </c>
      <c r="AT16" s="149">
        <v>0</v>
      </c>
      <c r="AU16" s="149">
        <v>160</v>
      </c>
      <c r="AV16" s="149">
        <v>133</v>
      </c>
      <c r="AW16" s="149">
        <v>264</v>
      </c>
      <c r="AX16" s="149">
        <v>65</v>
      </c>
      <c r="AY16" s="149">
        <v>0</v>
      </c>
      <c r="AZ16" s="149">
        <v>0</v>
      </c>
      <c r="BA16" s="149">
        <v>0</v>
      </c>
      <c r="BB16" s="149">
        <v>0</v>
      </c>
      <c r="BC16" s="149">
        <v>0</v>
      </c>
      <c r="BD16" s="149">
        <v>0</v>
      </c>
      <c r="BE16" s="149">
        <v>0</v>
      </c>
      <c r="BF16" s="149">
        <v>0</v>
      </c>
      <c r="BG16" s="149">
        <v>0</v>
      </c>
      <c r="BH16" s="149">
        <v>0</v>
      </c>
      <c r="BI16" s="149">
        <v>0</v>
      </c>
      <c r="BJ16" s="149">
        <v>0</v>
      </c>
      <c r="BK16" s="149">
        <v>0</v>
      </c>
      <c r="BL16" s="149">
        <v>0</v>
      </c>
      <c r="BM16" s="149">
        <v>0</v>
      </c>
      <c r="BN16" s="149">
        <v>0</v>
      </c>
      <c r="BO16" s="149">
        <v>0</v>
      </c>
      <c r="BP16" s="152"/>
      <c r="BQ16" s="152" t="s">
        <v>327</v>
      </c>
      <c r="BR16" s="154" t="s">
        <v>149</v>
      </c>
      <c r="BS16" s="136">
        <v>1</v>
      </c>
      <c r="BT16" s="267">
        <f t="shared" si="0"/>
        <v>622</v>
      </c>
      <c r="BU16" s="267"/>
      <c r="BV16" s="267"/>
      <c r="BW16" s="267"/>
      <c r="BX16" s="267"/>
      <c r="BY16" s="267"/>
      <c r="BZ16" s="267"/>
      <c r="CA16" s="267"/>
      <c r="CB16" s="267"/>
      <c r="CC16" s="267"/>
      <c r="CD16" s="267"/>
      <c r="CE16" s="267"/>
      <c r="CF16" s="267"/>
      <c r="CG16" s="267"/>
      <c r="CH16" s="267"/>
      <c r="CI16" s="267"/>
      <c r="CJ16" s="267"/>
      <c r="CK16" s="267"/>
      <c r="CL16" s="267"/>
      <c r="CM16" s="267"/>
      <c r="CN16" s="101">
        <f t="shared" si="1"/>
        <v>0</v>
      </c>
      <c r="CO16" s="101">
        <f t="shared" si="2"/>
        <v>0</v>
      </c>
    </row>
    <row r="17" spans="1:93" ht="13.9" customHeight="1" x14ac:dyDescent="0.2">
      <c r="A17" s="149">
        <v>6765</v>
      </c>
      <c r="B17" s="150" t="s">
        <v>323</v>
      </c>
      <c r="C17" s="150" t="s">
        <v>391</v>
      </c>
      <c r="D17" s="150" t="s">
        <v>392</v>
      </c>
      <c r="E17" s="150" t="s">
        <v>326</v>
      </c>
      <c r="F17" s="149">
        <v>529291</v>
      </c>
      <c r="G17" s="149">
        <v>171713</v>
      </c>
      <c r="H17" s="150" t="s">
        <v>163</v>
      </c>
      <c r="I17" s="151">
        <v>44526</v>
      </c>
      <c r="J17" s="151">
        <v>45240</v>
      </c>
      <c r="K17" s="149">
        <v>0</v>
      </c>
      <c r="L17" s="149">
        <v>8</v>
      </c>
      <c r="M17" s="149">
        <v>8</v>
      </c>
      <c r="N17" s="149">
        <v>8</v>
      </c>
      <c r="O17" s="149">
        <v>8</v>
      </c>
      <c r="P17" s="152"/>
      <c r="Q17" s="150" t="s">
        <v>393</v>
      </c>
      <c r="R17" s="150" t="s">
        <v>349</v>
      </c>
      <c r="S17" s="151">
        <v>43090</v>
      </c>
      <c r="T17" s="151">
        <v>43427</v>
      </c>
      <c r="U17" s="152"/>
      <c r="V17" s="150" t="s">
        <v>330</v>
      </c>
      <c r="W17" s="151"/>
      <c r="X17" s="150" t="s">
        <v>331</v>
      </c>
      <c r="Y17" s="150" t="s">
        <v>343</v>
      </c>
      <c r="Z17" s="150" t="s">
        <v>334</v>
      </c>
      <c r="AA17" s="150" t="s">
        <v>363</v>
      </c>
      <c r="AB17" s="153">
        <v>3.6999999999999998E-2</v>
      </c>
      <c r="AC17" s="151">
        <v>44526</v>
      </c>
      <c r="AD17" s="150"/>
      <c r="AE17" s="151">
        <v>45240</v>
      </c>
      <c r="AF17" s="150" t="s">
        <v>49</v>
      </c>
      <c r="AG17" s="152" t="s">
        <v>394</v>
      </c>
      <c r="AH17" s="150" t="s">
        <v>326</v>
      </c>
      <c r="AI17" s="99"/>
      <c r="AJ17" s="149"/>
      <c r="AK17" s="99"/>
      <c r="AL17" s="149"/>
      <c r="AM17" s="99"/>
      <c r="AN17" s="149">
        <v>0</v>
      </c>
      <c r="AO17" s="149">
        <v>8</v>
      </c>
      <c r="AP17" s="149">
        <v>0</v>
      </c>
      <c r="AQ17" s="149">
        <v>0</v>
      </c>
      <c r="AR17" s="149">
        <v>0</v>
      </c>
      <c r="AS17" s="149">
        <v>0</v>
      </c>
      <c r="AT17" s="149">
        <v>0</v>
      </c>
      <c r="AU17" s="149">
        <v>0</v>
      </c>
      <c r="AV17" s="149">
        <v>8</v>
      </c>
      <c r="AW17" s="149">
        <v>0</v>
      </c>
      <c r="AX17" s="149">
        <v>0</v>
      </c>
      <c r="AY17" s="149">
        <v>0</v>
      </c>
      <c r="AZ17" s="149">
        <v>0</v>
      </c>
      <c r="BA17" s="149">
        <v>0</v>
      </c>
      <c r="BB17" s="149">
        <v>0</v>
      </c>
      <c r="BC17" s="149">
        <v>0</v>
      </c>
      <c r="BD17" s="149">
        <v>0</v>
      </c>
      <c r="BE17" s="149">
        <v>0</v>
      </c>
      <c r="BF17" s="149">
        <v>0</v>
      </c>
      <c r="BG17" s="149">
        <v>0</v>
      </c>
      <c r="BH17" s="149">
        <v>0</v>
      </c>
      <c r="BI17" s="149">
        <v>0</v>
      </c>
      <c r="BJ17" s="149">
        <v>0</v>
      </c>
      <c r="BK17" s="149">
        <v>0</v>
      </c>
      <c r="BL17" s="149">
        <v>0</v>
      </c>
      <c r="BM17" s="149">
        <v>0</v>
      </c>
      <c r="BN17" s="149">
        <v>0</v>
      </c>
      <c r="BO17" s="149">
        <v>0</v>
      </c>
      <c r="BP17" s="152"/>
      <c r="BQ17" s="152"/>
      <c r="BR17" s="154" t="s">
        <v>359</v>
      </c>
      <c r="BS17" s="136">
        <v>1</v>
      </c>
      <c r="BT17" s="267">
        <f t="shared" si="0"/>
        <v>8</v>
      </c>
      <c r="BU17" s="267"/>
      <c r="BV17" s="267"/>
      <c r="BW17" s="267"/>
      <c r="BX17" s="267"/>
      <c r="BY17" s="267"/>
      <c r="BZ17" s="267"/>
      <c r="CA17" s="267"/>
      <c r="CB17" s="267"/>
      <c r="CC17" s="267"/>
      <c r="CD17" s="267"/>
      <c r="CE17" s="267"/>
      <c r="CF17" s="267"/>
      <c r="CG17" s="267"/>
      <c r="CH17" s="267"/>
      <c r="CI17" s="267"/>
      <c r="CJ17" s="267"/>
      <c r="CK17" s="267"/>
      <c r="CL17" s="267"/>
      <c r="CM17" s="267"/>
      <c r="CN17" s="101">
        <f t="shared" si="1"/>
        <v>0</v>
      </c>
      <c r="CO17" s="101">
        <f t="shared" si="2"/>
        <v>0</v>
      </c>
    </row>
    <row r="18" spans="1:93" ht="13.9" customHeight="1" x14ac:dyDescent="0.2">
      <c r="A18" s="149">
        <v>4084</v>
      </c>
      <c r="B18" s="150" t="s">
        <v>323</v>
      </c>
      <c r="C18" s="150" t="s">
        <v>395</v>
      </c>
      <c r="D18" s="150" t="s">
        <v>396</v>
      </c>
      <c r="E18" s="150" t="s">
        <v>326</v>
      </c>
      <c r="F18" s="149">
        <v>527971</v>
      </c>
      <c r="G18" s="149">
        <v>172408</v>
      </c>
      <c r="H18" s="150" t="s">
        <v>174</v>
      </c>
      <c r="I18" s="151">
        <v>43210</v>
      </c>
      <c r="J18" s="151">
        <v>45028</v>
      </c>
      <c r="K18" s="149">
        <v>0</v>
      </c>
      <c r="L18" s="149">
        <v>1</v>
      </c>
      <c r="M18" s="149">
        <v>1</v>
      </c>
      <c r="N18" s="149">
        <v>3</v>
      </c>
      <c r="O18" s="149">
        <v>2</v>
      </c>
      <c r="P18" s="152"/>
      <c r="Q18" s="150" t="s">
        <v>397</v>
      </c>
      <c r="R18" s="150" t="s">
        <v>349</v>
      </c>
      <c r="S18" s="151">
        <v>43115</v>
      </c>
      <c r="T18" s="151">
        <v>43210</v>
      </c>
      <c r="U18" s="152"/>
      <c r="V18" s="150" t="s">
        <v>330</v>
      </c>
      <c r="W18" s="151"/>
      <c r="X18" s="150" t="s">
        <v>331</v>
      </c>
      <c r="Y18" s="150" t="s">
        <v>398</v>
      </c>
      <c r="Z18" s="150" t="s">
        <v>334</v>
      </c>
      <c r="AA18" s="150" t="s">
        <v>363</v>
      </c>
      <c r="AB18" s="153">
        <v>3.0000000000000001E-3</v>
      </c>
      <c r="AC18" s="151">
        <v>43210</v>
      </c>
      <c r="AD18" s="150"/>
      <c r="AE18" s="151">
        <v>45028</v>
      </c>
      <c r="AF18" s="150" t="s">
        <v>70</v>
      </c>
      <c r="AG18" s="152" t="s">
        <v>352</v>
      </c>
      <c r="AH18" s="150" t="s">
        <v>326</v>
      </c>
      <c r="AI18" s="99"/>
      <c r="AJ18" s="149"/>
      <c r="AK18" s="99"/>
      <c r="AL18" s="149"/>
      <c r="AM18" s="99"/>
      <c r="AN18" s="149">
        <v>1</v>
      </c>
      <c r="AO18" s="149">
        <v>0</v>
      </c>
      <c r="AP18" s="149">
        <v>0</v>
      </c>
      <c r="AQ18" s="149">
        <v>0</v>
      </c>
      <c r="AR18" s="149">
        <v>0</v>
      </c>
      <c r="AS18" s="149">
        <v>0</v>
      </c>
      <c r="AT18" s="149">
        <v>0</v>
      </c>
      <c r="AU18" s="149">
        <v>1</v>
      </c>
      <c r="AV18" s="149">
        <v>0</v>
      </c>
      <c r="AW18" s="149">
        <v>0</v>
      </c>
      <c r="AX18" s="149">
        <v>0</v>
      </c>
      <c r="AY18" s="149">
        <v>0</v>
      </c>
      <c r="AZ18" s="149">
        <v>0</v>
      </c>
      <c r="BA18" s="149">
        <v>0</v>
      </c>
      <c r="BB18" s="149">
        <v>0</v>
      </c>
      <c r="BC18" s="149">
        <v>0</v>
      </c>
      <c r="BD18" s="149">
        <v>0</v>
      </c>
      <c r="BE18" s="149">
        <v>0</v>
      </c>
      <c r="BF18" s="149">
        <v>0</v>
      </c>
      <c r="BG18" s="149">
        <v>0</v>
      </c>
      <c r="BH18" s="149">
        <v>0</v>
      </c>
      <c r="BI18" s="149">
        <v>0</v>
      </c>
      <c r="BJ18" s="149">
        <v>0</v>
      </c>
      <c r="BK18" s="149">
        <v>0</v>
      </c>
      <c r="BL18" s="149">
        <v>0</v>
      </c>
      <c r="BM18" s="149">
        <v>0</v>
      </c>
      <c r="BN18" s="149">
        <v>0</v>
      </c>
      <c r="BO18" s="149">
        <v>0</v>
      </c>
      <c r="BP18" s="152"/>
      <c r="BQ18" s="152"/>
      <c r="BR18" s="154" t="s">
        <v>359</v>
      </c>
      <c r="BS18" s="136">
        <v>11</v>
      </c>
      <c r="BT18" s="267">
        <f t="shared" si="0"/>
        <v>1</v>
      </c>
      <c r="BU18" s="267"/>
      <c r="BV18" s="267"/>
      <c r="BW18" s="267"/>
      <c r="BX18" s="267"/>
      <c r="BY18" s="267"/>
      <c r="BZ18" s="267"/>
      <c r="CA18" s="267"/>
      <c r="CB18" s="267"/>
      <c r="CC18" s="267"/>
      <c r="CD18" s="267"/>
      <c r="CE18" s="267"/>
      <c r="CF18" s="267"/>
      <c r="CG18" s="267"/>
      <c r="CH18" s="267"/>
      <c r="CI18" s="267"/>
      <c r="CJ18" s="267"/>
      <c r="CK18" s="267"/>
      <c r="CL18" s="267"/>
      <c r="CM18" s="267"/>
      <c r="CN18" s="101">
        <f t="shared" si="1"/>
        <v>0</v>
      </c>
      <c r="CO18" s="101">
        <f t="shared" si="2"/>
        <v>0</v>
      </c>
    </row>
    <row r="19" spans="1:93" ht="13.9" customHeight="1" x14ac:dyDescent="0.2">
      <c r="A19" s="149">
        <v>4084</v>
      </c>
      <c r="B19" s="150" t="s">
        <v>323</v>
      </c>
      <c r="C19" s="150" t="s">
        <v>395</v>
      </c>
      <c r="D19" s="150" t="s">
        <v>396</v>
      </c>
      <c r="E19" s="150" t="s">
        <v>326</v>
      </c>
      <c r="F19" s="149">
        <v>527971</v>
      </c>
      <c r="G19" s="149">
        <v>172408</v>
      </c>
      <c r="H19" s="150" t="s">
        <v>174</v>
      </c>
      <c r="I19" s="151">
        <v>43210</v>
      </c>
      <c r="J19" s="151">
        <v>45028</v>
      </c>
      <c r="K19" s="149">
        <v>0</v>
      </c>
      <c r="L19" s="149">
        <v>1</v>
      </c>
      <c r="M19" s="149">
        <v>1</v>
      </c>
      <c r="N19" s="149">
        <v>3</v>
      </c>
      <c r="O19" s="149">
        <v>2</v>
      </c>
      <c r="P19" s="152"/>
      <c r="Q19" s="150" t="s">
        <v>397</v>
      </c>
      <c r="R19" s="150" t="s">
        <v>349</v>
      </c>
      <c r="S19" s="151">
        <v>43115</v>
      </c>
      <c r="T19" s="151">
        <v>43210</v>
      </c>
      <c r="U19" s="152"/>
      <c r="V19" s="150" t="s">
        <v>330</v>
      </c>
      <c r="W19" s="151"/>
      <c r="X19" s="150" t="s">
        <v>331</v>
      </c>
      <c r="Y19" s="150" t="s">
        <v>398</v>
      </c>
      <c r="Z19" s="150" t="s">
        <v>334</v>
      </c>
      <c r="AA19" s="150" t="s">
        <v>26</v>
      </c>
      <c r="AB19" s="153">
        <v>3.0000000000000001E-3</v>
      </c>
      <c r="AC19" s="151">
        <v>43210</v>
      </c>
      <c r="AD19" s="150"/>
      <c r="AE19" s="151">
        <v>45028</v>
      </c>
      <c r="AF19" s="150" t="s">
        <v>70</v>
      </c>
      <c r="AG19" s="152" t="s">
        <v>352</v>
      </c>
      <c r="AH19" s="150" t="s">
        <v>326</v>
      </c>
      <c r="AI19" s="99"/>
      <c r="AJ19" s="149"/>
      <c r="AK19" s="99"/>
      <c r="AL19" s="149"/>
      <c r="AM19" s="149">
        <v>1</v>
      </c>
      <c r="AN19" s="149">
        <v>0</v>
      </c>
      <c r="AO19" s="149">
        <v>1</v>
      </c>
      <c r="AP19" s="149">
        <v>0</v>
      </c>
      <c r="AQ19" s="149">
        <v>0</v>
      </c>
      <c r="AR19" s="149">
        <v>0</v>
      </c>
      <c r="AS19" s="149">
        <v>0</v>
      </c>
      <c r="AT19" s="149">
        <v>0</v>
      </c>
      <c r="AU19" s="149">
        <v>0</v>
      </c>
      <c r="AV19" s="149">
        <v>1</v>
      </c>
      <c r="AW19" s="149">
        <v>0</v>
      </c>
      <c r="AX19" s="149">
        <v>0</v>
      </c>
      <c r="AY19" s="149">
        <v>0</v>
      </c>
      <c r="AZ19" s="149">
        <v>0</v>
      </c>
      <c r="BA19" s="149">
        <v>0</v>
      </c>
      <c r="BB19" s="149">
        <v>0</v>
      </c>
      <c r="BC19" s="149">
        <v>0</v>
      </c>
      <c r="BD19" s="149">
        <v>0</v>
      </c>
      <c r="BE19" s="149">
        <v>0</v>
      </c>
      <c r="BF19" s="149">
        <v>0</v>
      </c>
      <c r="BG19" s="149">
        <v>0</v>
      </c>
      <c r="BH19" s="149">
        <v>0</v>
      </c>
      <c r="BI19" s="149">
        <v>0</v>
      </c>
      <c r="BJ19" s="149">
        <v>0</v>
      </c>
      <c r="BK19" s="149">
        <v>0</v>
      </c>
      <c r="BL19" s="149">
        <v>0</v>
      </c>
      <c r="BM19" s="149">
        <v>0</v>
      </c>
      <c r="BN19" s="149">
        <v>0</v>
      </c>
      <c r="BO19" s="149">
        <v>0</v>
      </c>
      <c r="BP19" s="152"/>
      <c r="BQ19" s="152"/>
      <c r="BR19" s="154" t="s">
        <v>359</v>
      </c>
      <c r="BS19" s="136">
        <v>11</v>
      </c>
      <c r="BT19" s="267">
        <f t="shared" si="0"/>
        <v>1</v>
      </c>
      <c r="BU19" s="267"/>
      <c r="BV19" s="267"/>
      <c r="BW19" s="267"/>
      <c r="BX19" s="267"/>
      <c r="BY19" s="267"/>
      <c r="BZ19" s="267"/>
      <c r="CA19" s="267"/>
      <c r="CB19" s="267"/>
      <c r="CC19" s="267"/>
      <c r="CD19" s="267"/>
      <c r="CE19" s="267"/>
      <c r="CF19" s="267"/>
      <c r="CG19" s="267"/>
      <c r="CH19" s="267"/>
      <c r="CI19" s="267"/>
      <c r="CJ19" s="267"/>
      <c r="CK19" s="267"/>
      <c r="CL19" s="267"/>
      <c r="CM19" s="267"/>
      <c r="CN19" s="101">
        <f t="shared" si="1"/>
        <v>0</v>
      </c>
      <c r="CO19" s="101">
        <f t="shared" si="2"/>
        <v>0</v>
      </c>
    </row>
    <row r="20" spans="1:93" ht="13.9" customHeight="1" x14ac:dyDescent="0.2">
      <c r="A20" s="149">
        <v>4084</v>
      </c>
      <c r="B20" s="150" t="s">
        <v>323</v>
      </c>
      <c r="C20" s="150" t="s">
        <v>395</v>
      </c>
      <c r="D20" s="150" t="s">
        <v>396</v>
      </c>
      <c r="E20" s="150" t="s">
        <v>326</v>
      </c>
      <c r="F20" s="149">
        <v>527971</v>
      </c>
      <c r="G20" s="149">
        <v>172408</v>
      </c>
      <c r="H20" s="150" t="s">
        <v>174</v>
      </c>
      <c r="I20" s="151">
        <v>43210</v>
      </c>
      <c r="J20" s="151">
        <v>45028</v>
      </c>
      <c r="K20" s="149">
        <v>1</v>
      </c>
      <c r="L20" s="149">
        <v>1</v>
      </c>
      <c r="M20" s="149">
        <v>0</v>
      </c>
      <c r="N20" s="149">
        <v>3</v>
      </c>
      <c r="O20" s="149">
        <v>2</v>
      </c>
      <c r="P20" s="152"/>
      <c r="Q20" s="150" t="s">
        <v>397</v>
      </c>
      <c r="R20" s="150" t="s">
        <v>349</v>
      </c>
      <c r="S20" s="151">
        <v>43115</v>
      </c>
      <c r="T20" s="151">
        <v>43210</v>
      </c>
      <c r="U20" s="152"/>
      <c r="V20" s="150" t="s">
        <v>330</v>
      </c>
      <c r="W20" s="151"/>
      <c r="X20" s="150" t="s">
        <v>331</v>
      </c>
      <c r="Y20" s="150" t="s">
        <v>398</v>
      </c>
      <c r="Z20" s="150" t="s">
        <v>334</v>
      </c>
      <c r="AA20" s="150" t="s">
        <v>399</v>
      </c>
      <c r="AB20" s="153">
        <v>3.0000000000000001E-3</v>
      </c>
      <c r="AC20" s="151">
        <v>43210</v>
      </c>
      <c r="AD20" s="150"/>
      <c r="AE20" s="151">
        <v>45028</v>
      </c>
      <c r="AF20" s="150" t="s">
        <v>70</v>
      </c>
      <c r="AG20" s="152" t="s">
        <v>352</v>
      </c>
      <c r="AH20" s="150" t="s">
        <v>326</v>
      </c>
      <c r="AI20" s="99"/>
      <c r="AJ20" s="149"/>
      <c r="AK20" s="99"/>
      <c r="AL20" s="149"/>
      <c r="AM20" s="99"/>
      <c r="AN20" s="149">
        <v>-1</v>
      </c>
      <c r="AO20" s="149">
        <v>1</v>
      </c>
      <c r="AP20" s="149">
        <v>0</v>
      </c>
      <c r="AQ20" s="149">
        <v>0</v>
      </c>
      <c r="AR20" s="149">
        <v>0</v>
      </c>
      <c r="AS20" s="149">
        <v>0</v>
      </c>
      <c r="AT20" s="149">
        <v>0</v>
      </c>
      <c r="AU20" s="149">
        <v>-1</v>
      </c>
      <c r="AV20" s="149">
        <v>1</v>
      </c>
      <c r="AW20" s="149">
        <v>0</v>
      </c>
      <c r="AX20" s="149">
        <v>0</v>
      </c>
      <c r="AY20" s="149">
        <v>0</v>
      </c>
      <c r="AZ20" s="149">
        <v>0</v>
      </c>
      <c r="BA20" s="149">
        <v>0</v>
      </c>
      <c r="BB20" s="149">
        <v>0</v>
      </c>
      <c r="BC20" s="149">
        <v>0</v>
      </c>
      <c r="BD20" s="149">
        <v>0</v>
      </c>
      <c r="BE20" s="149">
        <v>0</v>
      </c>
      <c r="BF20" s="149">
        <v>0</v>
      </c>
      <c r="BG20" s="149">
        <v>0</v>
      </c>
      <c r="BH20" s="149">
        <v>0</v>
      </c>
      <c r="BI20" s="149">
        <v>0</v>
      </c>
      <c r="BJ20" s="149">
        <v>0</v>
      </c>
      <c r="BK20" s="149">
        <v>0</v>
      </c>
      <c r="BL20" s="149">
        <v>0</v>
      </c>
      <c r="BM20" s="149">
        <v>0</v>
      </c>
      <c r="BN20" s="149">
        <v>0</v>
      </c>
      <c r="BO20" s="149">
        <v>0</v>
      </c>
      <c r="BP20" s="152"/>
      <c r="BQ20" s="152"/>
      <c r="BR20" s="154" t="s">
        <v>359</v>
      </c>
      <c r="BS20" s="136">
        <v>11</v>
      </c>
      <c r="BT20" s="267">
        <f t="shared" si="0"/>
        <v>0</v>
      </c>
      <c r="BU20" s="267"/>
      <c r="BV20" s="267"/>
      <c r="BW20" s="267"/>
      <c r="BX20" s="267"/>
      <c r="BY20" s="267"/>
      <c r="BZ20" s="267"/>
      <c r="CA20" s="267"/>
      <c r="CB20" s="267"/>
      <c r="CC20" s="267"/>
      <c r="CD20" s="267"/>
      <c r="CE20" s="267"/>
      <c r="CF20" s="267"/>
      <c r="CG20" s="267"/>
      <c r="CH20" s="267"/>
      <c r="CI20" s="267"/>
      <c r="CJ20" s="267"/>
      <c r="CK20" s="267"/>
      <c r="CL20" s="267"/>
      <c r="CM20" s="267"/>
      <c r="CN20" s="101">
        <f t="shared" si="1"/>
        <v>0</v>
      </c>
      <c r="CO20" s="101">
        <f t="shared" si="2"/>
        <v>0</v>
      </c>
    </row>
    <row r="21" spans="1:93" ht="13.9" customHeight="1" x14ac:dyDescent="0.2">
      <c r="A21" s="149">
        <v>3745</v>
      </c>
      <c r="B21" s="150" t="s">
        <v>323</v>
      </c>
      <c r="C21" s="150" t="s">
        <v>400</v>
      </c>
      <c r="D21" s="150" t="s">
        <v>401</v>
      </c>
      <c r="E21" s="150" t="s">
        <v>402</v>
      </c>
      <c r="F21" s="149">
        <v>529291</v>
      </c>
      <c r="G21" s="149">
        <v>171210</v>
      </c>
      <c r="H21" s="150" t="s">
        <v>163</v>
      </c>
      <c r="I21" s="151">
        <v>44136</v>
      </c>
      <c r="J21" s="151">
        <v>45223</v>
      </c>
      <c r="K21" s="149">
        <v>0</v>
      </c>
      <c r="L21" s="149">
        <v>6</v>
      </c>
      <c r="M21" s="149">
        <v>6</v>
      </c>
      <c r="N21" s="149">
        <v>28</v>
      </c>
      <c r="O21" s="149">
        <v>28</v>
      </c>
      <c r="P21" s="152" t="s">
        <v>327</v>
      </c>
      <c r="Q21" s="150" t="s">
        <v>403</v>
      </c>
      <c r="R21" s="150" t="s">
        <v>329</v>
      </c>
      <c r="S21" s="151">
        <v>43164</v>
      </c>
      <c r="T21" s="151">
        <v>44054</v>
      </c>
      <c r="U21" s="152"/>
      <c r="V21" s="150" t="s">
        <v>330</v>
      </c>
      <c r="W21" s="151"/>
      <c r="X21" s="150" t="s">
        <v>331</v>
      </c>
      <c r="Y21" s="150" t="s">
        <v>343</v>
      </c>
      <c r="Z21" s="150" t="s">
        <v>343</v>
      </c>
      <c r="AA21" s="150" t="s">
        <v>334</v>
      </c>
      <c r="AB21" s="153">
        <v>4.7E-2</v>
      </c>
      <c r="AC21" s="151">
        <v>44136</v>
      </c>
      <c r="AD21" s="150"/>
      <c r="AE21" s="151">
        <v>45223</v>
      </c>
      <c r="AF21" s="150" t="s">
        <v>48</v>
      </c>
      <c r="AG21" s="152" t="s">
        <v>344</v>
      </c>
      <c r="AH21" s="150" t="s">
        <v>326</v>
      </c>
      <c r="AI21" s="99"/>
      <c r="AJ21" s="149"/>
      <c r="AK21" s="99"/>
      <c r="AL21" s="149"/>
      <c r="AM21" s="149">
        <v>1</v>
      </c>
      <c r="AN21" s="149">
        <v>0</v>
      </c>
      <c r="AO21" s="149">
        <v>2</v>
      </c>
      <c r="AP21" s="149">
        <v>4</v>
      </c>
      <c r="AQ21" s="149">
        <v>0</v>
      </c>
      <c r="AR21" s="149">
        <v>0</v>
      </c>
      <c r="AS21" s="149">
        <v>0</v>
      </c>
      <c r="AT21" s="149">
        <v>0</v>
      </c>
      <c r="AU21" s="149">
        <v>0</v>
      </c>
      <c r="AV21" s="149">
        <v>2</v>
      </c>
      <c r="AW21" s="149">
        <v>4</v>
      </c>
      <c r="AX21" s="149">
        <v>0</v>
      </c>
      <c r="AY21" s="149">
        <v>0</v>
      </c>
      <c r="AZ21" s="149">
        <v>0</v>
      </c>
      <c r="BA21" s="149">
        <v>0</v>
      </c>
      <c r="BB21" s="149">
        <v>0</v>
      </c>
      <c r="BC21" s="149">
        <v>0</v>
      </c>
      <c r="BD21" s="149">
        <v>0</v>
      </c>
      <c r="BE21" s="149">
        <v>0</v>
      </c>
      <c r="BF21" s="149">
        <v>0</v>
      </c>
      <c r="BG21" s="149">
        <v>0</v>
      </c>
      <c r="BH21" s="149">
        <v>0</v>
      </c>
      <c r="BI21" s="149">
        <v>0</v>
      </c>
      <c r="BJ21" s="149">
        <v>0</v>
      </c>
      <c r="BK21" s="149">
        <v>0</v>
      </c>
      <c r="BL21" s="149">
        <v>0</v>
      </c>
      <c r="BM21" s="149">
        <v>0</v>
      </c>
      <c r="BN21" s="149">
        <v>0</v>
      </c>
      <c r="BO21" s="149">
        <v>0</v>
      </c>
      <c r="BP21" s="152"/>
      <c r="BQ21" s="152"/>
      <c r="BR21" s="154" t="s">
        <v>359</v>
      </c>
      <c r="BS21" s="136">
        <v>1</v>
      </c>
      <c r="BT21" s="267">
        <f t="shared" si="0"/>
        <v>6</v>
      </c>
      <c r="BU21" s="267"/>
      <c r="BV21" s="267"/>
      <c r="BW21" s="267"/>
      <c r="BX21" s="267"/>
      <c r="BY21" s="267"/>
      <c r="BZ21" s="267"/>
      <c r="CA21" s="267"/>
      <c r="CB21" s="267"/>
      <c r="CC21" s="267"/>
      <c r="CD21" s="267"/>
      <c r="CE21" s="267"/>
      <c r="CF21" s="267"/>
      <c r="CG21" s="267"/>
      <c r="CH21" s="267"/>
      <c r="CI21" s="267"/>
      <c r="CJ21" s="267"/>
      <c r="CK21" s="267"/>
      <c r="CL21" s="267"/>
      <c r="CM21" s="267"/>
      <c r="CN21" s="101">
        <f t="shared" si="1"/>
        <v>0</v>
      </c>
      <c r="CO21" s="101">
        <f t="shared" si="2"/>
        <v>0</v>
      </c>
    </row>
    <row r="22" spans="1:93" ht="13.9" customHeight="1" x14ac:dyDescent="0.2">
      <c r="A22" s="149">
        <v>6825</v>
      </c>
      <c r="B22" s="150" t="s">
        <v>323</v>
      </c>
      <c r="C22" s="150" t="s">
        <v>404</v>
      </c>
      <c r="D22" s="150" t="s">
        <v>405</v>
      </c>
      <c r="E22" s="150" t="s">
        <v>326</v>
      </c>
      <c r="F22" s="149">
        <v>527310</v>
      </c>
      <c r="G22" s="149">
        <v>177159</v>
      </c>
      <c r="H22" s="150" t="s">
        <v>160</v>
      </c>
      <c r="I22" s="151">
        <v>45016</v>
      </c>
      <c r="J22" s="151">
        <v>45017</v>
      </c>
      <c r="K22" s="149">
        <v>0</v>
      </c>
      <c r="L22" s="149">
        <v>1</v>
      </c>
      <c r="M22" s="149">
        <v>1</v>
      </c>
      <c r="N22" s="149">
        <v>1</v>
      </c>
      <c r="O22" s="149">
        <v>1</v>
      </c>
      <c r="P22" s="152"/>
      <c r="Q22" s="150" t="s">
        <v>406</v>
      </c>
      <c r="R22" s="150" t="s">
        <v>407</v>
      </c>
      <c r="S22" s="151">
        <v>43151</v>
      </c>
      <c r="T22" s="151">
        <v>43195</v>
      </c>
      <c r="U22" s="152"/>
      <c r="V22" s="150" t="s">
        <v>330</v>
      </c>
      <c r="W22" s="151"/>
      <c r="X22" s="150" t="s">
        <v>331</v>
      </c>
      <c r="Y22" s="150" t="s">
        <v>332</v>
      </c>
      <c r="Z22" s="150" t="s">
        <v>334</v>
      </c>
      <c r="AA22" s="150" t="s">
        <v>29</v>
      </c>
      <c r="AB22" s="153">
        <v>1.0999999999999999E-2</v>
      </c>
      <c r="AC22" s="151">
        <v>45016</v>
      </c>
      <c r="AD22" s="150"/>
      <c r="AE22" s="151">
        <v>45017</v>
      </c>
      <c r="AF22" s="150" t="s">
        <v>70</v>
      </c>
      <c r="AG22" s="152" t="s">
        <v>352</v>
      </c>
      <c r="AH22" s="150" t="s">
        <v>326</v>
      </c>
      <c r="AI22" s="99"/>
      <c r="AJ22" s="149"/>
      <c r="AK22" s="99"/>
      <c r="AL22" s="149"/>
      <c r="AM22" s="99"/>
      <c r="AN22" s="149">
        <v>0</v>
      </c>
      <c r="AO22" s="149">
        <v>0</v>
      </c>
      <c r="AP22" s="149">
        <v>1</v>
      </c>
      <c r="AQ22" s="149">
        <v>0</v>
      </c>
      <c r="AR22" s="149">
        <v>0</v>
      </c>
      <c r="AS22" s="149">
        <v>0</v>
      </c>
      <c r="AT22" s="149">
        <v>0</v>
      </c>
      <c r="AU22" s="149">
        <v>0</v>
      </c>
      <c r="AV22" s="149">
        <v>0</v>
      </c>
      <c r="AW22" s="149">
        <v>1</v>
      </c>
      <c r="AX22" s="149">
        <v>0</v>
      </c>
      <c r="AY22" s="149">
        <v>0</v>
      </c>
      <c r="AZ22" s="149">
        <v>0</v>
      </c>
      <c r="BA22" s="149">
        <v>0</v>
      </c>
      <c r="BB22" s="149">
        <v>0</v>
      </c>
      <c r="BC22" s="149">
        <v>0</v>
      </c>
      <c r="BD22" s="149">
        <v>0</v>
      </c>
      <c r="BE22" s="149">
        <v>0</v>
      </c>
      <c r="BF22" s="149">
        <v>0</v>
      </c>
      <c r="BG22" s="149">
        <v>0</v>
      </c>
      <c r="BH22" s="149">
        <v>0</v>
      </c>
      <c r="BI22" s="149">
        <v>0</v>
      </c>
      <c r="BJ22" s="149">
        <v>0</v>
      </c>
      <c r="BK22" s="149">
        <v>0</v>
      </c>
      <c r="BL22" s="149">
        <v>0</v>
      </c>
      <c r="BM22" s="149">
        <v>0</v>
      </c>
      <c r="BN22" s="149">
        <v>0</v>
      </c>
      <c r="BO22" s="149">
        <v>0</v>
      </c>
      <c r="BP22" s="152"/>
      <c r="BQ22" s="152"/>
      <c r="BR22" s="154" t="s">
        <v>408</v>
      </c>
      <c r="BS22" s="136">
        <v>11</v>
      </c>
      <c r="BT22" s="267">
        <f t="shared" si="0"/>
        <v>1</v>
      </c>
      <c r="BU22" s="267"/>
      <c r="BV22" s="267"/>
      <c r="BW22" s="267"/>
      <c r="BX22" s="267"/>
      <c r="BY22" s="267"/>
      <c r="BZ22" s="267"/>
      <c r="CA22" s="267"/>
      <c r="CB22" s="267"/>
      <c r="CC22" s="267"/>
      <c r="CD22" s="267"/>
      <c r="CE22" s="267"/>
      <c r="CF22" s="267"/>
      <c r="CG22" s="267"/>
      <c r="CH22" s="267"/>
      <c r="CI22" s="267"/>
      <c r="CJ22" s="267"/>
      <c r="CK22" s="267"/>
      <c r="CL22" s="267"/>
      <c r="CM22" s="267"/>
      <c r="CN22" s="101">
        <f t="shared" si="1"/>
        <v>0</v>
      </c>
      <c r="CO22" s="101">
        <f t="shared" si="2"/>
        <v>0</v>
      </c>
    </row>
    <row r="23" spans="1:93" ht="13.9" customHeight="1" x14ac:dyDescent="0.2">
      <c r="A23" s="149">
        <v>967</v>
      </c>
      <c r="B23" s="150" t="s">
        <v>323</v>
      </c>
      <c r="C23" s="150" t="s">
        <v>409</v>
      </c>
      <c r="D23" s="150" t="s">
        <v>410</v>
      </c>
      <c r="E23" s="150" t="s">
        <v>411</v>
      </c>
      <c r="F23" s="149">
        <v>525095</v>
      </c>
      <c r="G23" s="149">
        <v>174084</v>
      </c>
      <c r="H23" s="150" t="s">
        <v>161</v>
      </c>
      <c r="I23" s="151">
        <v>44468</v>
      </c>
      <c r="J23" s="151">
        <v>45219</v>
      </c>
      <c r="K23" s="149">
        <v>0</v>
      </c>
      <c r="L23" s="149">
        <v>2</v>
      </c>
      <c r="M23" s="149">
        <v>2</v>
      </c>
      <c r="N23" s="149">
        <v>8</v>
      </c>
      <c r="O23" s="149">
        <v>4</v>
      </c>
      <c r="P23" s="152"/>
      <c r="Q23" s="150" t="s">
        <v>412</v>
      </c>
      <c r="R23" s="150" t="s">
        <v>349</v>
      </c>
      <c r="S23" s="151">
        <v>43291</v>
      </c>
      <c r="T23" s="151">
        <v>43426</v>
      </c>
      <c r="U23" s="152"/>
      <c r="V23" s="150" t="s">
        <v>330</v>
      </c>
      <c r="W23" s="151"/>
      <c r="X23" s="150" t="s">
        <v>331</v>
      </c>
      <c r="Y23" s="150" t="s">
        <v>350</v>
      </c>
      <c r="Z23" s="150" t="s">
        <v>334</v>
      </c>
      <c r="AA23" s="150" t="s">
        <v>413</v>
      </c>
      <c r="AB23" s="153">
        <v>1.7999999999999999E-2</v>
      </c>
      <c r="AC23" s="151">
        <v>44468</v>
      </c>
      <c r="AD23" s="150"/>
      <c r="AE23" s="151">
        <v>45219</v>
      </c>
      <c r="AF23" s="150" t="s">
        <v>70</v>
      </c>
      <c r="AG23" s="152" t="s">
        <v>352</v>
      </c>
      <c r="AH23" s="150" t="s">
        <v>326</v>
      </c>
      <c r="AI23" s="99"/>
      <c r="AJ23" s="149"/>
      <c r="AK23" s="99"/>
      <c r="AL23" s="149"/>
      <c r="AM23" s="99"/>
      <c r="AN23" s="149">
        <v>0</v>
      </c>
      <c r="AO23" s="149">
        <v>0</v>
      </c>
      <c r="AP23" s="149">
        <v>2</v>
      </c>
      <c r="AQ23" s="149">
        <v>0</v>
      </c>
      <c r="AR23" s="149">
        <v>0</v>
      </c>
      <c r="AS23" s="149">
        <v>0</v>
      </c>
      <c r="AT23" s="149">
        <v>0</v>
      </c>
      <c r="AU23" s="149">
        <v>0</v>
      </c>
      <c r="AV23" s="149">
        <v>0</v>
      </c>
      <c r="AW23" s="149">
        <v>2</v>
      </c>
      <c r="AX23" s="149">
        <v>0</v>
      </c>
      <c r="AY23" s="149">
        <v>0</v>
      </c>
      <c r="AZ23" s="149">
        <v>0</v>
      </c>
      <c r="BA23" s="149">
        <v>0</v>
      </c>
      <c r="BB23" s="149">
        <v>0</v>
      </c>
      <c r="BC23" s="149">
        <v>0</v>
      </c>
      <c r="BD23" s="149">
        <v>0</v>
      </c>
      <c r="BE23" s="149">
        <v>0</v>
      </c>
      <c r="BF23" s="149">
        <v>0</v>
      </c>
      <c r="BG23" s="149">
        <v>0</v>
      </c>
      <c r="BH23" s="149">
        <v>0</v>
      </c>
      <c r="BI23" s="149">
        <v>0</v>
      </c>
      <c r="BJ23" s="149">
        <v>0</v>
      </c>
      <c r="BK23" s="149">
        <v>0</v>
      </c>
      <c r="BL23" s="149">
        <v>0</v>
      </c>
      <c r="BM23" s="149">
        <v>0</v>
      </c>
      <c r="BN23" s="149">
        <v>0</v>
      </c>
      <c r="BO23" s="149">
        <v>0</v>
      </c>
      <c r="BP23" s="152"/>
      <c r="BQ23" s="152"/>
      <c r="BR23" s="154" t="s">
        <v>359</v>
      </c>
      <c r="BS23" s="136">
        <v>11</v>
      </c>
      <c r="BT23" s="267">
        <f t="shared" si="0"/>
        <v>2</v>
      </c>
      <c r="BU23" s="267"/>
      <c r="BV23" s="267"/>
      <c r="BW23" s="267"/>
      <c r="BX23" s="267"/>
      <c r="BY23" s="267"/>
      <c r="BZ23" s="267"/>
      <c r="CA23" s="267"/>
      <c r="CB23" s="267"/>
      <c r="CC23" s="267"/>
      <c r="CD23" s="267"/>
      <c r="CE23" s="267"/>
      <c r="CF23" s="267"/>
      <c r="CG23" s="267"/>
      <c r="CH23" s="267"/>
      <c r="CI23" s="267"/>
      <c r="CJ23" s="267"/>
      <c r="CK23" s="267"/>
      <c r="CL23" s="267"/>
      <c r="CM23" s="267"/>
      <c r="CN23" s="101">
        <f t="shared" si="1"/>
        <v>0</v>
      </c>
      <c r="CO23" s="101">
        <f t="shared" si="2"/>
        <v>0</v>
      </c>
    </row>
    <row r="24" spans="1:93" ht="13.9" customHeight="1" x14ac:dyDescent="0.2">
      <c r="A24" s="149">
        <v>967</v>
      </c>
      <c r="B24" s="150" t="s">
        <v>323</v>
      </c>
      <c r="C24" s="150" t="s">
        <v>409</v>
      </c>
      <c r="D24" s="150" t="s">
        <v>410</v>
      </c>
      <c r="E24" s="150" t="s">
        <v>414</v>
      </c>
      <c r="F24" s="149">
        <v>525095</v>
      </c>
      <c r="G24" s="149">
        <v>174084</v>
      </c>
      <c r="H24" s="150" t="s">
        <v>161</v>
      </c>
      <c r="I24" s="151">
        <v>44468</v>
      </c>
      <c r="J24" s="151">
        <v>45219</v>
      </c>
      <c r="K24" s="149">
        <v>4</v>
      </c>
      <c r="L24" s="149">
        <v>2</v>
      </c>
      <c r="M24" s="149">
        <v>-2</v>
      </c>
      <c r="N24" s="149">
        <v>8</v>
      </c>
      <c r="O24" s="149">
        <v>4</v>
      </c>
      <c r="P24" s="152"/>
      <c r="Q24" s="150" t="s">
        <v>412</v>
      </c>
      <c r="R24" s="150" t="s">
        <v>349</v>
      </c>
      <c r="S24" s="151">
        <v>43291</v>
      </c>
      <c r="T24" s="151">
        <v>43426</v>
      </c>
      <c r="U24" s="152"/>
      <c r="V24" s="150" t="s">
        <v>330</v>
      </c>
      <c r="W24" s="151"/>
      <c r="X24" s="150" t="s">
        <v>331</v>
      </c>
      <c r="Y24" s="150" t="s">
        <v>350</v>
      </c>
      <c r="Z24" s="150" t="s">
        <v>334</v>
      </c>
      <c r="AA24" s="150" t="s">
        <v>413</v>
      </c>
      <c r="AB24" s="153">
        <v>2.5999999999999999E-2</v>
      </c>
      <c r="AC24" s="151">
        <v>44468</v>
      </c>
      <c r="AD24" s="150"/>
      <c r="AE24" s="151">
        <v>45219</v>
      </c>
      <c r="AF24" s="150" t="s">
        <v>70</v>
      </c>
      <c r="AG24" s="152" t="s">
        <v>352</v>
      </c>
      <c r="AH24" s="150" t="s">
        <v>326</v>
      </c>
      <c r="AI24" s="99"/>
      <c r="AJ24" s="149"/>
      <c r="AK24" s="99"/>
      <c r="AL24" s="149"/>
      <c r="AM24" s="99"/>
      <c r="AN24" s="149">
        <v>0</v>
      </c>
      <c r="AO24" s="149">
        <v>-1</v>
      </c>
      <c r="AP24" s="149">
        <v>-1</v>
      </c>
      <c r="AQ24" s="149">
        <v>0</v>
      </c>
      <c r="AR24" s="149">
        <v>0</v>
      </c>
      <c r="AS24" s="149">
        <v>0</v>
      </c>
      <c r="AT24" s="149">
        <v>0</v>
      </c>
      <c r="AU24" s="149">
        <v>0</v>
      </c>
      <c r="AV24" s="149">
        <v>-1</v>
      </c>
      <c r="AW24" s="149">
        <v>-1</v>
      </c>
      <c r="AX24" s="149">
        <v>0</v>
      </c>
      <c r="AY24" s="149">
        <v>0</v>
      </c>
      <c r="AZ24" s="149">
        <v>0</v>
      </c>
      <c r="BA24" s="149">
        <v>0</v>
      </c>
      <c r="BB24" s="149">
        <v>0</v>
      </c>
      <c r="BC24" s="149">
        <v>0</v>
      </c>
      <c r="BD24" s="149">
        <v>0</v>
      </c>
      <c r="BE24" s="149">
        <v>0</v>
      </c>
      <c r="BF24" s="149">
        <v>0</v>
      </c>
      <c r="BG24" s="149">
        <v>0</v>
      </c>
      <c r="BH24" s="149">
        <v>0</v>
      </c>
      <c r="BI24" s="149">
        <v>0</v>
      </c>
      <c r="BJ24" s="149">
        <v>0</v>
      </c>
      <c r="BK24" s="149">
        <v>0</v>
      </c>
      <c r="BL24" s="149">
        <v>0</v>
      </c>
      <c r="BM24" s="149">
        <v>0</v>
      </c>
      <c r="BN24" s="149">
        <v>0</v>
      </c>
      <c r="BO24" s="149">
        <v>0</v>
      </c>
      <c r="BP24" s="152"/>
      <c r="BQ24" s="152"/>
      <c r="BR24" s="154" t="s">
        <v>359</v>
      </c>
      <c r="BS24" s="136">
        <v>11</v>
      </c>
      <c r="BT24" s="267">
        <f t="shared" si="0"/>
        <v>-2</v>
      </c>
      <c r="BU24" s="267"/>
      <c r="BV24" s="267"/>
      <c r="BW24" s="267"/>
      <c r="BX24" s="267"/>
      <c r="BY24" s="267"/>
      <c r="BZ24" s="267"/>
      <c r="CA24" s="267"/>
      <c r="CB24" s="267"/>
      <c r="CC24" s="267"/>
      <c r="CD24" s="267"/>
      <c r="CE24" s="267"/>
      <c r="CF24" s="267"/>
      <c r="CG24" s="267"/>
      <c r="CH24" s="267"/>
      <c r="CI24" s="267"/>
      <c r="CJ24" s="267"/>
      <c r="CK24" s="267"/>
      <c r="CL24" s="267"/>
      <c r="CM24" s="267"/>
      <c r="CN24" s="101">
        <f t="shared" si="1"/>
        <v>0</v>
      </c>
      <c r="CO24" s="101">
        <f t="shared" si="2"/>
        <v>0</v>
      </c>
    </row>
    <row r="25" spans="1:93" ht="13.9" customHeight="1" x14ac:dyDescent="0.2">
      <c r="A25" s="149">
        <v>967</v>
      </c>
      <c r="B25" s="150" t="s">
        <v>323</v>
      </c>
      <c r="C25" s="150" t="s">
        <v>409</v>
      </c>
      <c r="D25" s="150" t="s">
        <v>410</v>
      </c>
      <c r="E25" s="150" t="s">
        <v>415</v>
      </c>
      <c r="F25" s="149">
        <v>525095</v>
      </c>
      <c r="G25" s="149">
        <v>174084</v>
      </c>
      <c r="H25" s="150" t="s">
        <v>161</v>
      </c>
      <c r="I25" s="151">
        <v>44468</v>
      </c>
      <c r="J25" s="151">
        <v>45219</v>
      </c>
      <c r="K25" s="149">
        <v>0</v>
      </c>
      <c r="L25" s="149">
        <v>2</v>
      </c>
      <c r="M25" s="149">
        <v>2</v>
      </c>
      <c r="N25" s="149">
        <v>8</v>
      </c>
      <c r="O25" s="149">
        <v>4</v>
      </c>
      <c r="P25" s="152"/>
      <c r="Q25" s="150" t="s">
        <v>412</v>
      </c>
      <c r="R25" s="150" t="s">
        <v>349</v>
      </c>
      <c r="S25" s="151">
        <v>43291</v>
      </c>
      <c r="T25" s="151">
        <v>43426</v>
      </c>
      <c r="U25" s="152"/>
      <c r="V25" s="150" t="s">
        <v>330</v>
      </c>
      <c r="W25" s="151"/>
      <c r="X25" s="150" t="s">
        <v>331</v>
      </c>
      <c r="Y25" s="150" t="s">
        <v>350</v>
      </c>
      <c r="Z25" s="150" t="s">
        <v>334</v>
      </c>
      <c r="AA25" s="150" t="s">
        <v>399</v>
      </c>
      <c r="AB25" s="153">
        <v>1.2999999999999999E-2</v>
      </c>
      <c r="AC25" s="151">
        <v>44468</v>
      </c>
      <c r="AD25" s="150"/>
      <c r="AE25" s="151">
        <v>45219</v>
      </c>
      <c r="AF25" s="150" t="s">
        <v>70</v>
      </c>
      <c r="AG25" s="152" t="s">
        <v>352</v>
      </c>
      <c r="AH25" s="150" t="s">
        <v>326</v>
      </c>
      <c r="AI25" s="99"/>
      <c r="AJ25" s="149"/>
      <c r="AK25" s="102"/>
      <c r="AL25" s="149"/>
      <c r="AM25" s="102"/>
      <c r="AN25" s="149">
        <v>0</v>
      </c>
      <c r="AO25" s="149">
        <v>1</v>
      </c>
      <c r="AP25" s="149">
        <v>1</v>
      </c>
      <c r="AQ25" s="149">
        <v>0</v>
      </c>
      <c r="AR25" s="149">
        <v>0</v>
      </c>
      <c r="AS25" s="149">
        <v>0</v>
      </c>
      <c r="AT25" s="149">
        <v>0</v>
      </c>
      <c r="AU25" s="149">
        <v>0</v>
      </c>
      <c r="AV25" s="149">
        <v>1</v>
      </c>
      <c r="AW25" s="149">
        <v>1</v>
      </c>
      <c r="AX25" s="149">
        <v>0</v>
      </c>
      <c r="AY25" s="149">
        <v>0</v>
      </c>
      <c r="AZ25" s="149">
        <v>0</v>
      </c>
      <c r="BA25" s="149">
        <v>0</v>
      </c>
      <c r="BB25" s="149">
        <v>0</v>
      </c>
      <c r="BC25" s="149">
        <v>0</v>
      </c>
      <c r="BD25" s="149">
        <v>0</v>
      </c>
      <c r="BE25" s="149">
        <v>0</v>
      </c>
      <c r="BF25" s="149">
        <v>0</v>
      </c>
      <c r="BG25" s="149">
        <v>0</v>
      </c>
      <c r="BH25" s="149">
        <v>0</v>
      </c>
      <c r="BI25" s="149">
        <v>0</v>
      </c>
      <c r="BJ25" s="149">
        <v>0</v>
      </c>
      <c r="BK25" s="149">
        <v>0</v>
      </c>
      <c r="BL25" s="149">
        <v>0</v>
      </c>
      <c r="BM25" s="149">
        <v>0</v>
      </c>
      <c r="BN25" s="149">
        <v>0</v>
      </c>
      <c r="BO25" s="149">
        <v>0</v>
      </c>
      <c r="BP25" s="152"/>
      <c r="BQ25" s="152"/>
      <c r="BR25" s="154" t="s">
        <v>359</v>
      </c>
      <c r="BS25" s="136">
        <v>11</v>
      </c>
      <c r="BT25" s="267">
        <f t="shared" si="0"/>
        <v>2</v>
      </c>
      <c r="BU25" s="267"/>
      <c r="BV25" s="267"/>
      <c r="BW25" s="267"/>
      <c r="BX25" s="267"/>
      <c r="BY25" s="267"/>
      <c r="BZ25" s="267"/>
      <c r="CA25" s="267"/>
      <c r="CB25" s="267"/>
      <c r="CC25" s="267"/>
      <c r="CD25" s="267"/>
      <c r="CE25" s="267"/>
      <c r="CF25" s="267"/>
      <c r="CG25" s="267"/>
      <c r="CH25" s="267"/>
      <c r="CI25" s="267"/>
      <c r="CJ25" s="267"/>
      <c r="CK25" s="267"/>
      <c r="CL25" s="267"/>
      <c r="CM25" s="267"/>
      <c r="CN25" s="101">
        <f t="shared" si="1"/>
        <v>0</v>
      </c>
      <c r="CO25" s="101">
        <f t="shared" si="2"/>
        <v>0</v>
      </c>
    </row>
    <row r="26" spans="1:93" ht="13.9" customHeight="1" x14ac:dyDescent="0.2">
      <c r="A26" s="149">
        <v>967</v>
      </c>
      <c r="B26" s="150" t="s">
        <v>323</v>
      </c>
      <c r="C26" s="150" t="s">
        <v>409</v>
      </c>
      <c r="D26" s="150" t="s">
        <v>410</v>
      </c>
      <c r="E26" s="150" t="s">
        <v>416</v>
      </c>
      <c r="F26" s="149">
        <v>525095</v>
      </c>
      <c r="G26" s="149">
        <v>174084</v>
      </c>
      <c r="H26" s="150" t="s">
        <v>161</v>
      </c>
      <c r="I26" s="151">
        <v>44468</v>
      </c>
      <c r="J26" s="151">
        <v>45219</v>
      </c>
      <c r="K26" s="149">
        <v>0</v>
      </c>
      <c r="L26" s="149">
        <v>2</v>
      </c>
      <c r="M26" s="149">
        <v>2</v>
      </c>
      <c r="N26" s="149">
        <v>8</v>
      </c>
      <c r="O26" s="149">
        <v>4</v>
      </c>
      <c r="P26" s="152"/>
      <c r="Q26" s="150" t="s">
        <v>412</v>
      </c>
      <c r="R26" s="150" t="s">
        <v>349</v>
      </c>
      <c r="S26" s="151">
        <v>43291</v>
      </c>
      <c r="T26" s="151">
        <v>43426</v>
      </c>
      <c r="U26" s="152"/>
      <c r="V26" s="150" t="s">
        <v>330</v>
      </c>
      <c r="W26" s="151"/>
      <c r="X26" s="150" t="s">
        <v>331</v>
      </c>
      <c r="Y26" s="150" t="s">
        <v>350</v>
      </c>
      <c r="Z26" s="150" t="s">
        <v>334</v>
      </c>
      <c r="AA26" s="150" t="s">
        <v>399</v>
      </c>
      <c r="AB26" s="153">
        <v>1.2999999999999999E-2</v>
      </c>
      <c r="AC26" s="151">
        <v>44468</v>
      </c>
      <c r="AD26" s="150"/>
      <c r="AE26" s="151">
        <v>45219</v>
      </c>
      <c r="AF26" s="150" t="s">
        <v>70</v>
      </c>
      <c r="AG26" s="152" t="s">
        <v>352</v>
      </c>
      <c r="AH26" s="150" t="s">
        <v>326</v>
      </c>
      <c r="AI26" s="99"/>
      <c r="AJ26" s="149"/>
      <c r="AK26" s="99"/>
      <c r="AL26" s="149"/>
      <c r="AM26" s="99"/>
      <c r="AN26" s="149">
        <v>0</v>
      </c>
      <c r="AO26" s="149">
        <v>1</v>
      </c>
      <c r="AP26" s="149">
        <v>1</v>
      </c>
      <c r="AQ26" s="149">
        <v>0</v>
      </c>
      <c r="AR26" s="149">
        <v>0</v>
      </c>
      <c r="AS26" s="149">
        <v>0</v>
      </c>
      <c r="AT26" s="149">
        <v>0</v>
      </c>
      <c r="AU26" s="149">
        <v>0</v>
      </c>
      <c r="AV26" s="149">
        <v>1</v>
      </c>
      <c r="AW26" s="149">
        <v>1</v>
      </c>
      <c r="AX26" s="149">
        <v>0</v>
      </c>
      <c r="AY26" s="149">
        <v>0</v>
      </c>
      <c r="AZ26" s="149">
        <v>0</v>
      </c>
      <c r="BA26" s="149">
        <v>0</v>
      </c>
      <c r="BB26" s="149">
        <v>0</v>
      </c>
      <c r="BC26" s="149">
        <v>0</v>
      </c>
      <c r="BD26" s="149">
        <v>0</v>
      </c>
      <c r="BE26" s="149">
        <v>0</v>
      </c>
      <c r="BF26" s="149">
        <v>0</v>
      </c>
      <c r="BG26" s="149">
        <v>0</v>
      </c>
      <c r="BH26" s="149">
        <v>0</v>
      </c>
      <c r="BI26" s="149">
        <v>0</v>
      </c>
      <c r="BJ26" s="149">
        <v>0</v>
      </c>
      <c r="BK26" s="149">
        <v>0</v>
      </c>
      <c r="BL26" s="149">
        <v>0</v>
      </c>
      <c r="BM26" s="149">
        <v>0</v>
      </c>
      <c r="BN26" s="149">
        <v>0</v>
      </c>
      <c r="BO26" s="149">
        <v>0</v>
      </c>
      <c r="BP26" s="152"/>
      <c r="BQ26" s="152"/>
      <c r="BR26" s="154" t="s">
        <v>359</v>
      </c>
      <c r="BS26" s="136">
        <v>11</v>
      </c>
      <c r="BT26" s="267">
        <f t="shared" si="0"/>
        <v>2</v>
      </c>
      <c r="BU26" s="267"/>
      <c r="BV26" s="267"/>
      <c r="BW26" s="267"/>
      <c r="BX26" s="267"/>
      <c r="BY26" s="267"/>
      <c r="BZ26" s="267"/>
      <c r="CA26" s="267"/>
      <c r="CB26" s="267"/>
      <c r="CC26" s="267"/>
      <c r="CD26" s="267"/>
      <c r="CE26" s="267"/>
      <c r="CF26" s="267"/>
      <c r="CG26" s="267"/>
      <c r="CH26" s="267"/>
      <c r="CI26" s="267"/>
      <c r="CJ26" s="267"/>
      <c r="CK26" s="267"/>
      <c r="CL26" s="267"/>
      <c r="CM26" s="267"/>
      <c r="CN26" s="101">
        <f t="shared" si="1"/>
        <v>0</v>
      </c>
      <c r="CO26" s="101">
        <f t="shared" si="2"/>
        <v>0</v>
      </c>
    </row>
    <row r="27" spans="1:93" ht="13.9" customHeight="1" x14ac:dyDescent="0.2">
      <c r="A27" s="149">
        <v>7006</v>
      </c>
      <c r="B27" s="150" t="s">
        <v>323</v>
      </c>
      <c r="C27" s="150" t="s">
        <v>417</v>
      </c>
      <c r="D27" s="150" t="s">
        <v>418</v>
      </c>
      <c r="E27" s="150" t="s">
        <v>326</v>
      </c>
      <c r="F27" s="149">
        <v>527643</v>
      </c>
      <c r="G27" s="149">
        <v>171169</v>
      </c>
      <c r="H27" s="150" t="s">
        <v>173</v>
      </c>
      <c r="I27" s="151">
        <v>44440</v>
      </c>
      <c r="J27" s="151">
        <v>45218</v>
      </c>
      <c r="K27" s="149">
        <v>1</v>
      </c>
      <c r="L27" s="149">
        <v>2</v>
      </c>
      <c r="M27" s="149">
        <v>1</v>
      </c>
      <c r="N27" s="149">
        <v>2</v>
      </c>
      <c r="O27" s="149">
        <v>1</v>
      </c>
      <c r="P27" s="152"/>
      <c r="Q27" s="150" t="s">
        <v>419</v>
      </c>
      <c r="R27" s="150" t="s">
        <v>349</v>
      </c>
      <c r="S27" s="151">
        <v>43332</v>
      </c>
      <c r="T27" s="151">
        <v>43388</v>
      </c>
      <c r="U27" s="152"/>
      <c r="V27" s="150" t="s">
        <v>330</v>
      </c>
      <c r="W27" s="151"/>
      <c r="X27" s="150" t="s">
        <v>331</v>
      </c>
      <c r="Y27" s="150" t="s">
        <v>350</v>
      </c>
      <c r="Z27" s="150" t="s">
        <v>334</v>
      </c>
      <c r="AA27" s="150" t="s">
        <v>399</v>
      </c>
      <c r="AB27" s="153">
        <v>8.0000000000000002E-3</v>
      </c>
      <c r="AC27" s="151">
        <v>44440</v>
      </c>
      <c r="AD27" s="150"/>
      <c r="AE27" s="151">
        <v>45218</v>
      </c>
      <c r="AF27" s="150" t="s">
        <v>70</v>
      </c>
      <c r="AG27" s="152" t="s">
        <v>352</v>
      </c>
      <c r="AH27" s="150" t="s">
        <v>326</v>
      </c>
      <c r="AI27" s="99"/>
      <c r="AJ27" s="149"/>
      <c r="AK27" s="102"/>
      <c r="AL27" s="138"/>
      <c r="AM27" s="99"/>
      <c r="AN27" s="149">
        <v>0</v>
      </c>
      <c r="AO27" s="149">
        <v>0</v>
      </c>
      <c r="AP27" s="149">
        <v>1</v>
      </c>
      <c r="AQ27" s="149">
        <v>0</v>
      </c>
      <c r="AR27" s="149">
        <v>0</v>
      </c>
      <c r="AS27" s="149">
        <v>0</v>
      </c>
      <c r="AT27" s="149">
        <v>0</v>
      </c>
      <c r="AU27" s="149">
        <v>0</v>
      </c>
      <c r="AV27" s="149">
        <v>0</v>
      </c>
      <c r="AW27" s="149">
        <v>1</v>
      </c>
      <c r="AX27" s="149">
        <v>0</v>
      </c>
      <c r="AY27" s="149">
        <v>0</v>
      </c>
      <c r="AZ27" s="149">
        <v>0</v>
      </c>
      <c r="BA27" s="149">
        <v>0</v>
      </c>
      <c r="BB27" s="149">
        <v>0</v>
      </c>
      <c r="BC27" s="149">
        <v>0</v>
      </c>
      <c r="BD27" s="149">
        <v>0</v>
      </c>
      <c r="BE27" s="149">
        <v>0</v>
      </c>
      <c r="BF27" s="149">
        <v>0</v>
      </c>
      <c r="BG27" s="149">
        <v>0</v>
      </c>
      <c r="BH27" s="149">
        <v>0</v>
      </c>
      <c r="BI27" s="149">
        <v>0</v>
      </c>
      <c r="BJ27" s="149">
        <v>0</v>
      </c>
      <c r="BK27" s="149">
        <v>0</v>
      </c>
      <c r="BL27" s="149">
        <v>0</v>
      </c>
      <c r="BM27" s="149">
        <v>0</v>
      </c>
      <c r="BN27" s="149">
        <v>0</v>
      </c>
      <c r="BO27" s="149">
        <v>0</v>
      </c>
      <c r="BP27" s="152"/>
      <c r="BQ27" s="152"/>
      <c r="BR27" s="154" t="s">
        <v>142</v>
      </c>
      <c r="BS27" s="136">
        <v>11</v>
      </c>
      <c r="BT27" s="267">
        <f t="shared" si="0"/>
        <v>1</v>
      </c>
      <c r="BU27" s="267"/>
      <c r="BV27" s="267"/>
      <c r="BW27" s="267"/>
      <c r="BX27" s="267"/>
      <c r="BY27" s="267"/>
      <c r="BZ27" s="267"/>
      <c r="CA27" s="267"/>
      <c r="CB27" s="267"/>
      <c r="CC27" s="267"/>
      <c r="CD27" s="267"/>
      <c r="CE27" s="267"/>
      <c r="CF27" s="267"/>
      <c r="CG27" s="267"/>
      <c r="CH27" s="267"/>
      <c r="CI27" s="267"/>
      <c r="CJ27" s="267"/>
      <c r="CK27" s="267"/>
      <c r="CL27" s="267"/>
      <c r="CM27" s="267"/>
      <c r="CN27" s="101">
        <f t="shared" si="1"/>
        <v>0</v>
      </c>
      <c r="CO27" s="101">
        <f t="shared" si="2"/>
        <v>0</v>
      </c>
    </row>
    <row r="28" spans="1:93" ht="13.9" customHeight="1" x14ac:dyDescent="0.2">
      <c r="A28" s="149">
        <v>7090</v>
      </c>
      <c r="B28" s="150" t="s">
        <v>323</v>
      </c>
      <c r="C28" s="150" t="s">
        <v>420</v>
      </c>
      <c r="D28" s="150" t="s">
        <v>421</v>
      </c>
      <c r="E28" s="150" t="s">
        <v>422</v>
      </c>
      <c r="F28" s="149">
        <v>527587</v>
      </c>
      <c r="G28" s="149">
        <v>174507</v>
      </c>
      <c r="H28" s="150" t="s">
        <v>165</v>
      </c>
      <c r="I28" s="151">
        <v>44287</v>
      </c>
      <c r="J28" s="151"/>
      <c r="K28" s="149">
        <v>0</v>
      </c>
      <c r="L28" s="149">
        <v>7</v>
      </c>
      <c r="M28" s="149">
        <v>7</v>
      </c>
      <c r="N28" s="149">
        <v>16</v>
      </c>
      <c r="O28" s="149">
        <v>16</v>
      </c>
      <c r="P28" s="152" t="s">
        <v>327</v>
      </c>
      <c r="Q28" s="150" t="s">
        <v>423</v>
      </c>
      <c r="R28" s="150" t="s">
        <v>329</v>
      </c>
      <c r="S28" s="151">
        <v>43480</v>
      </c>
      <c r="T28" s="151">
        <v>43915</v>
      </c>
      <c r="U28" s="152"/>
      <c r="V28" s="150" t="s">
        <v>330</v>
      </c>
      <c r="W28" s="151"/>
      <c r="X28" s="150" t="s">
        <v>331</v>
      </c>
      <c r="Y28" s="150" t="s">
        <v>343</v>
      </c>
      <c r="Z28" s="150" t="s">
        <v>343</v>
      </c>
      <c r="AA28" s="150" t="s">
        <v>334</v>
      </c>
      <c r="AB28" s="153">
        <v>6.3E-2</v>
      </c>
      <c r="AC28" s="151">
        <v>44287</v>
      </c>
      <c r="AD28" s="150"/>
      <c r="AE28" s="151">
        <v>45211</v>
      </c>
      <c r="AF28" s="150" t="s">
        <v>70</v>
      </c>
      <c r="AG28" s="152" t="s">
        <v>352</v>
      </c>
      <c r="AH28" s="150" t="s">
        <v>326</v>
      </c>
      <c r="AI28" s="99"/>
      <c r="AJ28" s="149"/>
      <c r="AK28" s="138">
        <v>1</v>
      </c>
      <c r="AL28" s="149"/>
      <c r="AM28" s="138"/>
      <c r="AN28" s="149">
        <v>0</v>
      </c>
      <c r="AO28" s="149">
        <v>3</v>
      </c>
      <c r="AP28" s="149">
        <v>4</v>
      </c>
      <c r="AQ28" s="149">
        <v>0</v>
      </c>
      <c r="AR28" s="149">
        <v>0</v>
      </c>
      <c r="AS28" s="149">
        <v>0</v>
      </c>
      <c r="AT28" s="149">
        <v>0</v>
      </c>
      <c r="AU28" s="149">
        <v>0</v>
      </c>
      <c r="AV28" s="149">
        <v>3</v>
      </c>
      <c r="AW28" s="149">
        <v>4</v>
      </c>
      <c r="AX28" s="149">
        <v>0</v>
      </c>
      <c r="AY28" s="149">
        <v>0</v>
      </c>
      <c r="AZ28" s="149">
        <v>0</v>
      </c>
      <c r="BA28" s="149">
        <v>0</v>
      </c>
      <c r="BB28" s="149">
        <v>0</v>
      </c>
      <c r="BC28" s="149">
        <v>0</v>
      </c>
      <c r="BD28" s="149">
        <v>0</v>
      </c>
      <c r="BE28" s="149">
        <v>0</v>
      </c>
      <c r="BF28" s="149">
        <v>0</v>
      </c>
      <c r="BG28" s="149">
        <v>0</v>
      </c>
      <c r="BH28" s="149">
        <v>0</v>
      </c>
      <c r="BI28" s="149">
        <v>0</v>
      </c>
      <c r="BJ28" s="149">
        <v>0</v>
      </c>
      <c r="BK28" s="149">
        <v>0</v>
      </c>
      <c r="BL28" s="149">
        <v>0</v>
      </c>
      <c r="BM28" s="149">
        <v>0</v>
      </c>
      <c r="BN28" s="149">
        <v>0</v>
      </c>
      <c r="BO28" s="149">
        <v>0</v>
      </c>
      <c r="BP28" s="152"/>
      <c r="BQ28" s="152"/>
      <c r="BR28" s="154" t="s">
        <v>359</v>
      </c>
      <c r="BS28" s="136">
        <v>1</v>
      </c>
      <c r="BT28" s="267">
        <f t="shared" si="0"/>
        <v>7</v>
      </c>
      <c r="BU28" s="267"/>
      <c r="BV28" s="267"/>
      <c r="BW28" s="267"/>
      <c r="BX28" s="267"/>
      <c r="BY28" s="267"/>
      <c r="BZ28" s="267"/>
      <c r="CA28" s="267"/>
      <c r="CB28" s="267"/>
      <c r="CC28" s="267"/>
      <c r="CD28" s="267"/>
      <c r="CE28" s="267"/>
      <c r="CF28" s="267"/>
      <c r="CG28" s="267"/>
      <c r="CH28" s="267"/>
      <c r="CI28" s="267"/>
      <c r="CJ28" s="267"/>
      <c r="CK28" s="267"/>
      <c r="CL28" s="267"/>
      <c r="CM28" s="267"/>
      <c r="CN28" s="101">
        <f t="shared" si="1"/>
        <v>0</v>
      </c>
      <c r="CO28" s="101">
        <f t="shared" si="2"/>
        <v>0</v>
      </c>
    </row>
    <row r="29" spans="1:93" ht="13.9" customHeight="1" x14ac:dyDescent="0.2">
      <c r="A29" s="149">
        <v>5308</v>
      </c>
      <c r="B29" s="150" t="s">
        <v>323</v>
      </c>
      <c r="C29" s="150" t="s">
        <v>424</v>
      </c>
      <c r="D29" s="150" t="s">
        <v>425</v>
      </c>
      <c r="E29" s="150" t="s">
        <v>326</v>
      </c>
      <c r="F29" s="149">
        <v>527156</v>
      </c>
      <c r="G29" s="149">
        <v>171614</v>
      </c>
      <c r="H29" s="150" t="s">
        <v>173</v>
      </c>
      <c r="I29" s="151">
        <v>45017</v>
      </c>
      <c r="J29" s="151">
        <v>45180</v>
      </c>
      <c r="K29" s="149">
        <v>0</v>
      </c>
      <c r="L29" s="149">
        <v>1</v>
      </c>
      <c r="M29" s="149">
        <v>1</v>
      </c>
      <c r="N29" s="149">
        <v>1</v>
      </c>
      <c r="O29" s="149">
        <v>1</v>
      </c>
      <c r="P29" s="152"/>
      <c r="Q29" s="150" t="s">
        <v>426</v>
      </c>
      <c r="R29" s="150" t="s">
        <v>427</v>
      </c>
      <c r="S29" s="151">
        <v>43451</v>
      </c>
      <c r="T29" s="151">
        <v>43495</v>
      </c>
      <c r="U29" s="152"/>
      <c r="V29" s="150" t="s">
        <v>330</v>
      </c>
      <c r="W29" s="151"/>
      <c r="X29" s="150" t="s">
        <v>331</v>
      </c>
      <c r="Y29" s="150" t="s">
        <v>332</v>
      </c>
      <c r="Z29" s="150" t="s">
        <v>334</v>
      </c>
      <c r="AA29" s="150" t="s">
        <v>29</v>
      </c>
      <c r="AB29" s="153">
        <v>3.0000000000000001E-3</v>
      </c>
      <c r="AC29" s="151">
        <v>45017</v>
      </c>
      <c r="AD29" s="152" t="s">
        <v>327</v>
      </c>
      <c r="AE29" s="151">
        <v>45180</v>
      </c>
      <c r="AF29" s="150" t="s">
        <v>70</v>
      </c>
      <c r="AG29" s="152" t="s">
        <v>352</v>
      </c>
      <c r="AH29" s="150" t="s">
        <v>326</v>
      </c>
      <c r="AI29" s="99"/>
      <c r="AJ29" s="149"/>
      <c r="AK29" s="99"/>
      <c r="AL29" s="149"/>
      <c r="AM29" s="99"/>
      <c r="AN29" s="149">
        <v>0</v>
      </c>
      <c r="AO29" s="149">
        <v>1</v>
      </c>
      <c r="AP29" s="149">
        <v>0</v>
      </c>
      <c r="AQ29" s="149">
        <v>0</v>
      </c>
      <c r="AR29" s="149">
        <v>0</v>
      </c>
      <c r="AS29" s="149">
        <v>0</v>
      </c>
      <c r="AT29" s="149">
        <v>0</v>
      </c>
      <c r="AU29" s="149">
        <v>0</v>
      </c>
      <c r="AV29" s="149">
        <v>1</v>
      </c>
      <c r="AW29" s="149">
        <v>0</v>
      </c>
      <c r="AX29" s="149">
        <v>0</v>
      </c>
      <c r="AY29" s="149">
        <v>0</v>
      </c>
      <c r="AZ29" s="149">
        <v>0</v>
      </c>
      <c r="BA29" s="149">
        <v>0</v>
      </c>
      <c r="BB29" s="149">
        <v>0</v>
      </c>
      <c r="BC29" s="149">
        <v>0</v>
      </c>
      <c r="BD29" s="149">
        <v>0</v>
      </c>
      <c r="BE29" s="149">
        <v>0</v>
      </c>
      <c r="BF29" s="149">
        <v>0</v>
      </c>
      <c r="BG29" s="149">
        <v>0</v>
      </c>
      <c r="BH29" s="149">
        <v>0</v>
      </c>
      <c r="BI29" s="149">
        <v>0</v>
      </c>
      <c r="BJ29" s="149">
        <v>0</v>
      </c>
      <c r="BK29" s="149">
        <v>0</v>
      </c>
      <c r="BL29" s="149">
        <v>0</v>
      </c>
      <c r="BM29" s="149">
        <v>0</v>
      </c>
      <c r="BN29" s="149">
        <v>0</v>
      </c>
      <c r="BO29" s="149">
        <v>0</v>
      </c>
      <c r="BP29" s="152"/>
      <c r="BQ29" s="152"/>
      <c r="BR29" s="154" t="s">
        <v>142</v>
      </c>
      <c r="BS29" s="136">
        <v>11</v>
      </c>
      <c r="BT29" s="267">
        <f t="shared" si="0"/>
        <v>1</v>
      </c>
      <c r="BU29" s="267"/>
      <c r="BV29" s="267"/>
      <c r="BW29" s="267"/>
      <c r="BX29" s="267"/>
      <c r="BY29" s="267"/>
      <c r="BZ29" s="267"/>
      <c r="CA29" s="267"/>
      <c r="CB29" s="267"/>
      <c r="CC29" s="267"/>
      <c r="CD29" s="267"/>
      <c r="CE29" s="267"/>
      <c r="CF29" s="267"/>
      <c r="CG29" s="267"/>
      <c r="CH29" s="267"/>
      <c r="CI29" s="267"/>
      <c r="CJ29" s="267"/>
      <c r="CK29" s="267"/>
      <c r="CL29" s="267"/>
      <c r="CM29" s="267"/>
      <c r="CN29" s="101">
        <f t="shared" si="1"/>
        <v>0</v>
      </c>
      <c r="CO29" s="101">
        <f t="shared" si="2"/>
        <v>0</v>
      </c>
    </row>
    <row r="30" spans="1:93" ht="13.9" customHeight="1" x14ac:dyDescent="0.2">
      <c r="A30" s="149">
        <v>6812</v>
      </c>
      <c r="B30" s="150" t="s">
        <v>323</v>
      </c>
      <c r="C30" s="150" t="s">
        <v>428</v>
      </c>
      <c r="D30" s="150" t="s">
        <v>429</v>
      </c>
      <c r="E30" s="150" t="s">
        <v>326</v>
      </c>
      <c r="F30" s="149">
        <v>525084</v>
      </c>
      <c r="G30" s="149">
        <v>173575</v>
      </c>
      <c r="H30" s="150" t="s">
        <v>169</v>
      </c>
      <c r="I30" s="151">
        <v>44655</v>
      </c>
      <c r="J30" s="151">
        <v>45364</v>
      </c>
      <c r="K30" s="149">
        <v>1</v>
      </c>
      <c r="L30" s="149">
        <v>3</v>
      </c>
      <c r="M30" s="149">
        <v>2</v>
      </c>
      <c r="N30" s="149">
        <v>3</v>
      </c>
      <c r="O30" s="149">
        <v>2</v>
      </c>
      <c r="P30" s="152"/>
      <c r="Q30" s="150" t="s">
        <v>430</v>
      </c>
      <c r="R30" s="150" t="s">
        <v>349</v>
      </c>
      <c r="S30" s="151">
        <v>43545</v>
      </c>
      <c r="T30" s="151">
        <v>43767</v>
      </c>
      <c r="U30" s="152"/>
      <c r="V30" s="150" t="s">
        <v>330</v>
      </c>
      <c r="W30" s="151"/>
      <c r="X30" s="150" t="s">
        <v>331</v>
      </c>
      <c r="Y30" s="150" t="s">
        <v>343</v>
      </c>
      <c r="Z30" s="150" t="s">
        <v>334</v>
      </c>
      <c r="AA30" s="150" t="s">
        <v>363</v>
      </c>
      <c r="AB30" s="153">
        <v>1.0999999999999999E-2</v>
      </c>
      <c r="AC30" s="151">
        <v>44655</v>
      </c>
      <c r="AD30" s="150"/>
      <c r="AE30" s="151">
        <v>45364</v>
      </c>
      <c r="AF30" s="150" t="s">
        <v>70</v>
      </c>
      <c r="AG30" s="152" t="s">
        <v>352</v>
      </c>
      <c r="AH30" s="150" t="s">
        <v>326</v>
      </c>
      <c r="AI30" s="99"/>
      <c r="AJ30" s="149"/>
      <c r="AK30" s="99"/>
      <c r="AL30" s="149"/>
      <c r="AM30" s="99"/>
      <c r="AN30" s="149">
        <v>0</v>
      </c>
      <c r="AO30" s="149">
        <v>2</v>
      </c>
      <c r="AP30" s="149">
        <v>0</v>
      </c>
      <c r="AQ30" s="149">
        <v>0</v>
      </c>
      <c r="AR30" s="149">
        <v>0</v>
      </c>
      <c r="AS30" s="149">
        <v>0</v>
      </c>
      <c r="AT30" s="149">
        <v>0</v>
      </c>
      <c r="AU30" s="149">
        <v>0</v>
      </c>
      <c r="AV30" s="149">
        <v>2</v>
      </c>
      <c r="AW30" s="149">
        <v>0</v>
      </c>
      <c r="AX30" s="149">
        <v>1</v>
      </c>
      <c r="AY30" s="149">
        <v>0</v>
      </c>
      <c r="AZ30" s="149">
        <v>0</v>
      </c>
      <c r="BA30" s="149">
        <v>0</v>
      </c>
      <c r="BB30" s="149">
        <v>0</v>
      </c>
      <c r="BC30" s="149">
        <v>0</v>
      </c>
      <c r="BD30" s="149">
        <v>0</v>
      </c>
      <c r="BE30" s="149">
        <v>-1</v>
      </c>
      <c r="BF30" s="149">
        <v>0</v>
      </c>
      <c r="BG30" s="149">
        <v>0</v>
      </c>
      <c r="BH30" s="149">
        <v>0</v>
      </c>
      <c r="BI30" s="149">
        <v>0</v>
      </c>
      <c r="BJ30" s="149">
        <v>0</v>
      </c>
      <c r="BK30" s="149">
        <v>0</v>
      </c>
      <c r="BL30" s="149">
        <v>0</v>
      </c>
      <c r="BM30" s="149">
        <v>0</v>
      </c>
      <c r="BN30" s="149">
        <v>0</v>
      </c>
      <c r="BO30" s="149">
        <v>0</v>
      </c>
      <c r="BP30" s="152"/>
      <c r="BQ30" s="152"/>
      <c r="BR30" s="154" t="s">
        <v>359</v>
      </c>
      <c r="BS30" s="136">
        <v>1</v>
      </c>
      <c r="BT30" s="267">
        <f t="shared" si="0"/>
        <v>2</v>
      </c>
      <c r="BU30" s="267"/>
      <c r="BV30" s="267"/>
      <c r="BW30" s="267"/>
      <c r="BX30" s="267"/>
      <c r="BY30" s="267"/>
      <c r="BZ30" s="267"/>
      <c r="CA30" s="267"/>
      <c r="CB30" s="267"/>
      <c r="CC30" s="267"/>
      <c r="CD30" s="267"/>
      <c r="CE30" s="267"/>
      <c r="CF30" s="267"/>
      <c r="CG30" s="267"/>
      <c r="CH30" s="267"/>
      <c r="CI30" s="267"/>
      <c r="CJ30" s="267"/>
      <c r="CK30" s="267"/>
      <c r="CL30" s="267"/>
      <c r="CM30" s="267"/>
      <c r="CN30" s="101">
        <f t="shared" si="1"/>
        <v>0</v>
      </c>
      <c r="CO30" s="101">
        <f t="shared" si="2"/>
        <v>0</v>
      </c>
    </row>
    <row r="31" spans="1:93" ht="13.9" customHeight="1" x14ac:dyDescent="0.2">
      <c r="A31" s="149">
        <v>6302</v>
      </c>
      <c r="B31" s="150" t="s">
        <v>323</v>
      </c>
      <c r="C31" s="150" t="s">
        <v>431</v>
      </c>
      <c r="D31" s="150" t="s">
        <v>432</v>
      </c>
      <c r="E31" s="150" t="s">
        <v>433</v>
      </c>
      <c r="F31" s="149">
        <v>525938</v>
      </c>
      <c r="G31" s="149">
        <v>173047</v>
      </c>
      <c r="H31" s="150" t="s">
        <v>175</v>
      </c>
      <c r="I31" s="151">
        <v>44389</v>
      </c>
      <c r="J31" s="151"/>
      <c r="K31" s="149">
        <v>0</v>
      </c>
      <c r="L31" s="149">
        <v>4</v>
      </c>
      <c r="M31" s="149">
        <v>4</v>
      </c>
      <c r="N31" s="149">
        <v>17</v>
      </c>
      <c r="O31" s="149">
        <v>17</v>
      </c>
      <c r="P31" s="152" t="s">
        <v>327</v>
      </c>
      <c r="Q31" s="150" t="s">
        <v>434</v>
      </c>
      <c r="R31" s="150" t="s">
        <v>435</v>
      </c>
      <c r="S31" s="151">
        <v>43553</v>
      </c>
      <c r="T31" s="151">
        <v>43672</v>
      </c>
      <c r="U31" s="152"/>
      <c r="V31" s="150" t="s">
        <v>436</v>
      </c>
      <c r="W31" s="151">
        <v>44134</v>
      </c>
      <c r="X31" s="150" t="s">
        <v>331</v>
      </c>
      <c r="Y31" s="150" t="s">
        <v>343</v>
      </c>
      <c r="Z31" s="150" t="s">
        <v>343</v>
      </c>
      <c r="AA31" s="150" t="s">
        <v>334</v>
      </c>
      <c r="AB31" s="153">
        <v>1.2999999999999999E-2</v>
      </c>
      <c r="AC31" s="151">
        <v>44389</v>
      </c>
      <c r="AD31" s="150"/>
      <c r="AE31" s="151">
        <v>45180</v>
      </c>
      <c r="AF31" s="150" t="s">
        <v>48</v>
      </c>
      <c r="AG31" s="152" t="s">
        <v>344</v>
      </c>
      <c r="AH31" s="150" t="s">
        <v>326</v>
      </c>
      <c r="AI31" s="99"/>
      <c r="AJ31" s="149"/>
      <c r="AK31" s="138">
        <v>1</v>
      </c>
      <c r="AL31" s="102"/>
      <c r="AM31" s="99"/>
      <c r="AN31" s="149">
        <v>0</v>
      </c>
      <c r="AO31" s="149">
        <v>3</v>
      </c>
      <c r="AP31" s="149">
        <v>1</v>
      </c>
      <c r="AQ31" s="149">
        <v>0</v>
      </c>
      <c r="AR31" s="149">
        <v>0</v>
      </c>
      <c r="AS31" s="149">
        <v>0</v>
      </c>
      <c r="AT31" s="149">
        <v>0</v>
      </c>
      <c r="AU31" s="149">
        <v>0</v>
      </c>
      <c r="AV31" s="149">
        <v>3</v>
      </c>
      <c r="AW31" s="149">
        <v>1</v>
      </c>
      <c r="AX31" s="149">
        <v>0</v>
      </c>
      <c r="AY31" s="149">
        <v>0</v>
      </c>
      <c r="AZ31" s="149">
        <v>0</v>
      </c>
      <c r="BA31" s="149">
        <v>0</v>
      </c>
      <c r="BB31" s="149">
        <v>0</v>
      </c>
      <c r="BC31" s="149">
        <v>0</v>
      </c>
      <c r="BD31" s="149">
        <v>0</v>
      </c>
      <c r="BE31" s="149">
        <v>0</v>
      </c>
      <c r="BF31" s="149">
        <v>0</v>
      </c>
      <c r="BG31" s="149">
        <v>0</v>
      </c>
      <c r="BH31" s="149">
        <v>0</v>
      </c>
      <c r="BI31" s="149">
        <v>0</v>
      </c>
      <c r="BJ31" s="149">
        <v>0</v>
      </c>
      <c r="BK31" s="149">
        <v>0</v>
      </c>
      <c r="BL31" s="149">
        <v>0</v>
      </c>
      <c r="BM31" s="149">
        <v>0</v>
      </c>
      <c r="BN31" s="149">
        <v>0</v>
      </c>
      <c r="BO31" s="149">
        <v>0</v>
      </c>
      <c r="BP31" s="152"/>
      <c r="BQ31" s="152"/>
      <c r="BR31" s="154" t="s">
        <v>151</v>
      </c>
      <c r="BS31" s="136">
        <v>1</v>
      </c>
      <c r="BT31" s="267">
        <f t="shared" si="0"/>
        <v>4</v>
      </c>
      <c r="BU31" s="267"/>
      <c r="BV31" s="267"/>
      <c r="BW31" s="267"/>
      <c r="BX31" s="267"/>
      <c r="BY31" s="267"/>
      <c r="BZ31" s="267"/>
      <c r="CA31" s="267"/>
      <c r="CB31" s="267"/>
      <c r="CC31" s="267"/>
      <c r="CD31" s="267"/>
      <c r="CE31" s="267"/>
      <c r="CF31" s="267"/>
      <c r="CG31" s="267"/>
      <c r="CH31" s="267"/>
      <c r="CI31" s="267"/>
      <c r="CJ31" s="267"/>
      <c r="CK31" s="267"/>
      <c r="CL31" s="267"/>
      <c r="CM31" s="267"/>
      <c r="CN31" s="101">
        <f t="shared" si="1"/>
        <v>0</v>
      </c>
      <c r="CO31" s="101">
        <f t="shared" si="2"/>
        <v>0</v>
      </c>
    </row>
    <row r="32" spans="1:93" ht="13.9" customHeight="1" x14ac:dyDescent="0.2">
      <c r="A32" s="149">
        <v>2933</v>
      </c>
      <c r="B32" s="150" t="s">
        <v>323</v>
      </c>
      <c r="C32" s="150" t="s">
        <v>437</v>
      </c>
      <c r="D32" s="150" t="s">
        <v>438</v>
      </c>
      <c r="E32" s="150" t="s">
        <v>326</v>
      </c>
      <c r="F32" s="149">
        <v>524876</v>
      </c>
      <c r="G32" s="149">
        <v>174632</v>
      </c>
      <c r="H32" s="150" t="s">
        <v>161</v>
      </c>
      <c r="I32" s="151">
        <v>44585</v>
      </c>
      <c r="J32" s="151">
        <v>45228</v>
      </c>
      <c r="K32" s="149">
        <v>0</v>
      </c>
      <c r="L32" s="149">
        <v>1</v>
      </c>
      <c r="M32" s="149">
        <v>1</v>
      </c>
      <c r="N32" s="149">
        <v>1</v>
      </c>
      <c r="O32" s="149">
        <v>1</v>
      </c>
      <c r="P32" s="152"/>
      <c r="Q32" s="150" t="s">
        <v>439</v>
      </c>
      <c r="R32" s="150" t="s">
        <v>349</v>
      </c>
      <c r="S32" s="151">
        <v>43559</v>
      </c>
      <c r="T32" s="151">
        <v>43615</v>
      </c>
      <c r="U32" s="152"/>
      <c r="V32" s="150" t="s">
        <v>330</v>
      </c>
      <c r="W32" s="151"/>
      <c r="X32" s="150" t="s">
        <v>331</v>
      </c>
      <c r="Y32" s="150" t="s">
        <v>332</v>
      </c>
      <c r="Z32" s="150" t="s">
        <v>334</v>
      </c>
      <c r="AA32" s="150" t="s">
        <v>32</v>
      </c>
      <c r="AB32" s="153">
        <v>4.0000000000000001E-3</v>
      </c>
      <c r="AC32" s="151">
        <v>44585</v>
      </c>
      <c r="AD32" s="150"/>
      <c r="AE32" s="151">
        <v>45228</v>
      </c>
      <c r="AF32" s="150" t="s">
        <v>70</v>
      </c>
      <c r="AG32" s="152" t="s">
        <v>352</v>
      </c>
      <c r="AH32" s="150" t="s">
        <v>326</v>
      </c>
      <c r="AI32" s="99"/>
      <c r="AJ32" s="149"/>
      <c r="AK32" s="99"/>
      <c r="AL32" s="149"/>
      <c r="AM32" s="99"/>
      <c r="AN32" s="149">
        <v>0</v>
      </c>
      <c r="AO32" s="149">
        <v>1</v>
      </c>
      <c r="AP32" s="149">
        <v>0</v>
      </c>
      <c r="AQ32" s="149">
        <v>0</v>
      </c>
      <c r="AR32" s="149">
        <v>0</v>
      </c>
      <c r="AS32" s="149">
        <v>0</v>
      </c>
      <c r="AT32" s="149">
        <v>0</v>
      </c>
      <c r="AU32" s="149">
        <v>0</v>
      </c>
      <c r="AV32" s="149">
        <v>1</v>
      </c>
      <c r="AW32" s="149">
        <v>0</v>
      </c>
      <c r="AX32" s="149">
        <v>0</v>
      </c>
      <c r="AY32" s="149">
        <v>0</v>
      </c>
      <c r="AZ32" s="149">
        <v>0</v>
      </c>
      <c r="BA32" s="149">
        <v>0</v>
      </c>
      <c r="BB32" s="149">
        <v>0</v>
      </c>
      <c r="BC32" s="149">
        <v>0</v>
      </c>
      <c r="BD32" s="149">
        <v>0</v>
      </c>
      <c r="BE32" s="149">
        <v>0</v>
      </c>
      <c r="BF32" s="149">
        <v>0</v>
      </c>
      <c r="BG32" s="149">
        <v>0</v>
      </c>
      <c r="BH32" s="149">
        <v>0</v>
      </c>
      <c r="BI32" s="149">
        <v>0</v>
      </c>
      <c r="BJ32" s="149">
        <v>0</v>
      </c>
      <c r="BK32" s="149">
        <v>0</v>
      </c>
      <c r="BL32" s="149">
        <v>0</v>
      </c>
      <c r="BM32" s="149">
        <v>0</v>
      </c>
      <c r="BN32" s="149">
        <v>0</v>
      </c>
      <c r="BO32" s="149">
        <v>0</v>
      </c>
      <c r="BP32" s="152"/>
      <c r="BQ32" s="152"/>
      <c r="BR32" s="154" t="s">
        <v>359</v>
      </c>
      <c r="BS32" s="136">
        <v>11</v>
      </c>
      <c r="BT32" s="267">
        <f t="shared" si="0"/>
        <v>1</v>
      </c>
      <c r="BU32" s="267"/>
      <c r="BV32" s="267"/>
      <c r="BW32" s="267"/>
      <c r="BX32" s="267"/>
      <c r="BY32" s="267"/>
      <c r="BZ32" s="267"/>
      <c r="CA32" s="267"/>
      <c r="CB32" s="267"/>
      <c r="CC32" s="267"/>
      <c r="CD32" s="267"/>
      <c r="CE32" s="267"/>
      <c r="CF32" s="267"/>
      <c r="CG32" s="267"/>
      <c r="CH32" s="267"/>
      <c r="CI32" s="267"/>
      <c r="CJ32" s="267"/>
      <c r="CK32" s="267"/>
      <c r="CL32" s="267"/>
      <c r="CM32" s="267"/>
      <c r="CN32" s="101">
        <f t="shared" si="1"/>
        <v>0</v>
      </c>
      <c r="CO32" s="101">
        <f t="shared" si="2"/>
        <v>0</v>
      </c>
    </row>
    <row r="33" spans="1:93" ht="13.9" customHeight="1" x14ac:dyDescent="0.2">
      <c r="A33" s="149">
        <v>7194</v>
      </c>
      <c r="B33" s="150" t="s">
        <v>323</v>
      </c>
      <c r="C33" s="150" t="s">
        <v>440</v>
      </c>
      <c r="D33" s="150" t="s">
        <v>441</v>
      </c>
      <c r="E33" s="150" t="s">
        <v>442</v>
      </c>
      <c r="F33" s="149">
        <v>524291</v>
      </c>
      <c r="G33" s="149">
        <v>174776</v>
      </c>
      <c r="H33" s="150" t="s">
        <v>161</v>
      </c>
      <c r="I33" s="151">
        <v>44487</v>
      </c>
      <c r="J33" s="151">
        <v>45111</v>
      </c>
      <c r="K33" s="149">
        <v>15</v>
      </c>
      <c r="L33" s="149">
        <v>0</v>
      </c>
      <c r="M33" s="149">
        <v>-15</v>
      </c>
      <c r="N33" s="149">
        <v>8</v>
      </c>
      <c r="O33" s="149">
        <v>-7</v>
      </c>
      <c r="P33" s="152"/>
      <c r="Q33" s="150" t="s">
        <v>443</v>
      </c>
      <c r="R33" s="150" t="s">
        <v>349</v>
      </c>
      <c r="S33" s="151">
        <v>43635</v>
      </c>
      <c r="T33" s="151">
        <v>43696</v>
      </c>
      <c r="U33" s="152"/>
      <c r="V33" s="150" t="s">
        <v>330</v>
      </c>
      <c r="W33" s="151"/>
      <c r="X33" s="150" t="s">
        <v>331</v>
      </c>
      <c r="Y33" s="150" t="s">
        <v>332</v>
      </c>
      <c r="Z33" s="150" t="s">
        <v>334</v>
      </c>
      <c r="AA33" s="150" t="s">
        <v>351</v>
      </c>
      <c r="AB33" s="153">
        <v>0</v>
      </c>
      <c r="AC33" s="151">
        <v>44487</v>
      </c>
      <c r="AD33" s="150"/>
      <c r="AE33" s="151">
        <v>45111</v>
      </c>
      <c r="AF33" s="150" t="s">
        <v>49</v>
      </c>
      <c r="AG33" s="152" t="s">
        <v>444</v>
      </c>
      <c r="AH33" s="150" t="s">
        <v>326</v>
      </c>
      <c r="AI33" s="99"/>
      <c r="AJ33" s="149"/>
      <c r="AK33" s="99"/>
      <c r="AL33" s="149"/>
      <c r="AM33" s="99"/>
      <c r="AN33" s="149">
        <v>-15</v>
      </c>
      <c r="AO33" s="149">
        <v>0</v>
      </c>
      <c r="AP33" s="149">
        <v>0</v>
      </c>
      <c r="AQ33" s="149">
        <v>0</v>
      </c>
      <c r="AR33" s="149">
        <v>0</v>
      </c>
      <c r="AS33" s="149">
        <v>0</v>
      </c>
      <c r="AT33" s="149">
        <v>0</v>
      </c>
      <c r="AU33" s="149">
        <v>-15</v>
      </c>
      <c r="AV33" s="149">
        <v>0</v>
      </c>
      <c r="AW33" s="149">
        <v>0</v>
      </c>
      <c r="AX33" s="149">
        <v>0</v>
      </c>
      <c r="AY33" s="149">
        <v>0</v>
      </c>
      <c r="AZ33" s="149">
        <v>0</v>
      </c>
      <c r="BA33" s="149">
        <v>0</v>
      </c>
      <c r="BB33" s="149">
        <v>0</v>
      </c>
      <c r="BC33" s="149">
        <v>0</v>
      </c>
      <c r="BD33" s="149">
        <v>0</v>
      </c>
      <c r="BE33" s="149">
        <v>0</v>
      </c>
      <c r="BF33" s="149">
        <v>0</v>
      </c>
      <c r="BG33" s="149">
        <v>0</v>
      </c>
      <c r="BH33" s="149">
        <v>0</v>
      </c>
      <c r="BI33" s="149">
        <v>0</v>
      </c>
      <c r="BJ33" s="149">
        <v>0</v>
      </c>
      <c r="BK33" s="149">
        <v>0</v>
      </c>
      <c r="BL33" s="149">
        <v>0</v>
      </c>
      <c r="BM33" s="149">
        <v>0</v>
      </c>
      <c r="BN33" s="149">
        <v>0</v>
      </c>
      <c r="BO33" s="149">
        <v>0</v>
      </c>
      <c r="BP33" s="152"/>
      <c r="BQ33" s="152"/>
      <c r="BR33" s="154" t="s">
        <v>359</v>
      </c>
      <c r="BS33" s="136">
        <v>11</v>
      </c>
      <c r="BT33" s="267">
        <f t="shared" si="0"/>
        <v>-15</v>
      </c>
      <c r="BU33" s="267"/>
      <c r="BV33" s="267"/>
      <c r="BW33" s="267"/>
      <c r="BX33" s="267"/>
      <c r="BY33" s="267"/>
      <c r="BZ33" s="267"/>
      <c r="CA33" s="267"/>
      <c r="CB33" s="267"/>
      <c r="CC33" s="267"/>
      <c r="CD33" s="267"/>
      <c r="CE33" s="267"/>
      <c r="CF33" s="267"/>
      <c r="CG33" s="267"/>
      <c r="CH33" s="267"/>
      <c r="CI33" s="267"/>
      <c r="CJ33" s="267"/>
      <c r="CK33" s="267"/>
      <c r="CL33" s="267"/>
      <c r="CM33" s="267"/>
      <c r="CN33" s="101">
        <f t="shared" si="1"/>
        <v>0</v>
      </c>
      <c r="CO33" s="101">
        <f t="shared" si="2"/>
        <v>0</v>
      </c>
    </row>
    <row r="34" spans="1:93" ht="13.9" customHeight="1" x14ac:dyDescent="0.2">
      <c r="A34" s="149">
        <v>7194</v>
      </c>
      <c r="B34" s="150" t="s">
        <v>323</v>
      </c>
      <c r="C34" s="150" t="s">
        <v>440</v>
      </c>
      <c r="D34" s="150" t="s">
        <v>441</v>
      </c>
      <c r="E34" s="150" t="s">
        <v>445</v>
      </c>
      <c r="F34" s="149">
        <v>524291</v>
      </c>
      <c r="G34" s="149">
        <v>174776</v>
      </c>
      <c r="H34" s="150" t="s">
        <v>161</v>
      </c>
      <c r="I34" s="151">
        <v>44487</v>
      </c>
      <c r="J34" s="151">
        <v>45111</v>
      </c>
      <c r="K34" s="149">
        <v>0</v>
      </c>
      <c r="L34" s="149">
        <v>8</v>
      </c>
      <c r="M34" s="149">
        <v>8</v>
      </c>
      <c r="N34" s="149">
        <v>8</v>
      </c>
      <c r="O34" s="149">
        <v>-7</v>
      </c>
      <c r="P34" s="152"/>
      <c r="Q34" s="150" t="s">
        <v>443</v>
      </c>
      <c r="R34" s="150" t="s">
        <v>349</v>
      </c>
      <c r="S34" s="151">
        <v>43635</v>
      </c>
      <c r="T34" s="151">
        <v>43696</v>
      </c>
      <c r="U34" s="152"/>
      <c r="V34" s="150" t="s">
        <v>330</v>
      </c>
      <c r="W34" s="151"/>
      <c r="X34" s="150" t="s">
        <v>331</v>
      </c>
      <c r="Y34" s="150" t="s">
        <v>332</v>
      </c>
      <c r="Z34" s="150" t="s">
        <v>334</v>
      </c>
      <c r="AA34" s="150" t="s">
        <v>351</v>
      </c>
      <c r="AB34" s="153">
        <v>0.107</v>
      </c>
      <c r="AC34" s="151">
        <v>44487</v>
      </c>
      <c r="AD34" s="150"/>
      <c r="AE34" s="151">
        <v>45111</v>
      </c>
      <c r="AF34" s="150" t="s">
        <v>49</v>
      </c>
      <c r="AG34" s="152" t="s">
        <v>444</v>
      </c>
      <c r="AH34" s="150" t="s">
        <v>326</v>
      </c>
      <c r="AI34" s="99"/>
      <c r="AJ34" s="149"/>
      <c r="AK34" s="99"/>
      <c r="AL34" s="149"/>
      <c r="AM34" s="99"/>
      <c r="AN34" s="149">
        <v>0</v>
      </c>
      <c r="AO34" s="149">
        <v>1</v>
      </c>
      <c r="AP34" s="149">
        <v>6</v>
      </c>
      <c r="AQ34" s="149">
        <v>1</v>
      </c>
      <c r="AR34" s="149">
        <v>0</v>
      </c>
      <c r="AS34" s="149">
        <v>0</v>
      </c>
      <c r="AT34" s="149">
        <v>0</v>
      </c>
      <c r="AU34" s="149">
        <v>0</v>
      </c>
      <c r="AV34" s="149">
        <v>1</v>
      </c>
      <c r="AW34" s="149">
        <v>6</v>
      </c>
      <c r="AX34" s="149">
        <v>1</v>
      </c>
      <c r="AY34" s="149">
        <v>0</v>
      </c>
      <c r="AZ34" s="149">
        <v>0</v>
      </c>
      <c r="BA34" s="149">
        <v>0</v>
      </c>
      <c r="BB34" s="149">
        <v>0</v>
      </c>
      <c r="BC34" s="149">
        <v>0</v>
      </c>
      <c r="BD34" s="149">
        <v>0</v>
      </c>
      <c r="BE34" s="149">
        <v>0</v>
      </c>
      <c r="BF34" s="149">
        <v>0</v>
      </c>
      <c r="BG34" s="149">
        <v>0</v>
      </c>
      <c r="BH34" s="149">
        <v>0</v>
      </c>
      <c r="BI34" s="149">
        <v>0</v>
      </c>
      <c r="BJ34" s="149">
        <v>0</v>
      </c>
      <c r="BK34" s="149">
        <v>0</v>
      </c>
      <c r="BL34" s="149">
        <v>0</v>
      </c>
      <c r="BM34" s="149">
        <v>0</v>
      </c>
      <c r="BN34" s="149">
        <v>0</v>
      </c>
      <c r="BO34" s="149">
        <v>0</v>
      </c>
      <c r="BP34" s="152"/>
      <c r="BQ34" s="152"/>
      <c r="BR34" s="154" t="s">
        <v>359</v>
      </c>
      <c r="BS34" s="136">
        <v>11</v>
      </c>
      <c r="BT34" s="267">
        <f t="shared" ref="BT34:BT65" si="3">M34</f>
        <v>8</v>
      </c>
      <c r="BU34" s="267"/>
      <c r="BV34" s="267"/>
      <c r="BW34" s="267"/>
      <c r="BX34" s="267"/>
      <c r="BY34" s="267"/>
      <c r="BZ34" s="267"/>
      <c r="CA34" s="267"/>
      <c r="CB34" s="267"/>
      <c r="CC34" s="267"/>
      <c r="CD34" s="267"/>
      <c r="CE34" s="267"/>
      <c r="CF34" s="267"/>
      <c r="CG34" s="267"/>
      <c r="CH34" s="267"/>
      <c r="CI34" s="267"/>
      <c r="CJ34" s="267"/>
      <c r="CK34" s="267"/>
      <c r="CL34" s="267"/>
      <c r="CM34" s="267"/>
      <c r="CN34" s="101">
        <f t="shared" si="1"/>
        <v>0</v>
      </c>
      <c r="CO34" s="101">
        <f t="shared" si="2"/>
        <v>0</v>
      </c>
    </row>
    <row r="35" spans="1:93" ht="13.9" customHeight="1" x14ac:dyDescent="0.2">
      <c r="A35" s="149">
        <v>6490</v>
      </c>
      <c r="B35" s="150" t="s">
        <v>323</v>
      </c>
      <c r="C35" s="150" t="s">
        <v>446</v>
      </c>
      <c r="D35" s="150" t="s">
        <v>447</v>
      </c>
      <c r="E35" s="150" t="s">
        <v>326</v>
      </c>
      <c r="F35" s="149">
        <v>523997</v>
      </c>
      <c r="G35" s="149">
        <v>175115</v>
      </c>
      <c r="H35" s="150" t="s">
        <v>171</v>
      </c>
      <c r="I35" s="151">
        <v>44263</v>
      </c>
      <c r="J35" s="151">
        <v>45351</v>
      </c>
      <c r="K35" s="149">
        <v>0</v>
      </c>
      <c r="L35" s="149">
        <v>7</v>
      </c>
      <c r="M35" s="149">
        <v>7</v>
      </c>
      <c r="N35" s="149">
        <v>9</v>
      </c>
      <c r="O35" s="149">
        <v>9</v>
      </c>
      <c r="P35" s="152"/>
      <c r="Q35" s="150" t="s">
        <v>448</v>
      </c>
      <c r="R35" s="150" t="s">
        <v>349</v>
      </c>
      <c r="S35" s="151">
        <v>43692</v>
      </c>
      <c r="T35" s="151">
        <v>43768</v>
      </c>
      <c r="U35" s="152"/>
      <c r="V35" s="150" t="s">
        <v>330</v>
      </c>
      <c r="W35" s="151"/>
      <c r="X35" s="150" t="s">
        <v>331</v>
      </c>
      <c r="Y35" s="150" t="s">
        <v>398</v>
      </c>
      <c r="Z35" s="150" t="s">
        <v>334</v>
      </c>
      <c r="AA35" s="150" t="s">
        <v>363</v>
      </c>
      <c r="AB35" s="153">
        <v>1.2E-2</v>
      </c>
      <c r="AC35" s="151">
        <v>44263</v>
      </c>
      <c r="AD35" s="150"/>
      <c r="AE35" s="151">
        <v>45351</v>
      </c>
      <c r="AF35" s="150" t="s">
        <v>70</v>
      </c>
      <c r="AG35" s="152" t="s">
        <v>352</v>
      </c>
      <c r="AH35" s="150" t="s">
        <v>326</v>
      </c>
      <c r="AI35" s="99"/>
      <c r="AJ35" s="149"/>
      <c r="AK35" s="99"/>
      <c r="AL35" s="149"/>
      <c r="AM35" s="102"/>
      <c r="AN35" s="149">
        <v>0</v>
      </c>
      <c r="AO35" s="149">
        <v>0</v>
      </c>
      <c r="AP35" s="149">
        <v>6</v>
      </c>
      <c r="AQ35" s="149">
        <v>1</v>
      </c>
      <c r="AR35" s="149">
        <v>0</v>
      </c>
      <c r="AS35" s="149">
        <v>0</v>
      </c>
      <c r="AT35" s="149">
        <v>0</v>
      </c>
      <c r="AU35" s="149">
        <v>0</v>
      </c>
      <c r="AV35" s="149">
        <v>0</v>
      </c>
      <c r="AW35" s="149">
        <v>6</v>
      </c>
      <c r="AX35" s="149">
        <v>1</v>
      </c>
      <c r="AY35" s="149">
        <v>0</v>
      </c>
      <c r="AZ35" s="149">
        <v>0</v>
      </c>
      <c r="BA35" s="149">
        <v>0</v>
      </c>
      <c r="BB35" s="149">
        <v>0</v>
      </c>
      <c r="BC35" s="149">
        <v>0</v>
      </c>
      <c r="BD35" s="149">
        <v>0</v>
      </c>
      <c r="BE35" s="149">
        <v>0</v>
      </c>
      <c r="BF35" s="149">
        <v>0</v>
      </c>
      <c r="BG35" s="149">
        <v>0</v>
      </c>
      <c r="BH35" s="149">
        <v>0</v>
      </c>
      <c r="BI35" s="149">
        <v>0</v>
      </c>
      <c r="BJ35" s="149">
        <v>0</v>
      </c>
      <c r="BK35" s="149">
        <v>0</v>
      </c>
      <c r="BL35" s="149">
        <v>0</v>
      </c>
      <c r="BM35" s="149">
        <v>0</v>
      </c>
      <c r="BN35" s="149">
        <v>0</v>
      </c>
      <c r="BO35" s="149">
        <v>0</v>
      </c>
      <c r="BP35" s="152" t="s">
        <v>141</v>
      </c>
      <c r="BQ35" s="152"/>
      <c r="BR35" s="154" t="s">
        <v>141</v>
      </c>
      <c r="BS35" s="136">
        <v>11</v>
      </c>
      <c r="BT35" s="267">
        <f t="shared" si="3"/>
        <v>7</v>
      </c>
      <c r="BU35" s="267"/>
      <c r="BV35" s="267"/>
      <c r="BW35" s="267"/>
      <c r="BX35" s="267"/>
      <c r="BY35" s="267"/>
      <c r="BZ35" s="267"/>
      <c r="CA35" s="267"/>
      <c r="CB35" s="267"/>
      <c r="CC35" s="267"/>
      <c r="CD35" s="267"/>
      <c r="CE35" s="267"/>
      <c r="CF35" s="267"/>
      <c r="CG35" s="267"/>
      <c r="CH35" s="267"/>
      <c r="CI35" s="267"/>
      <c r="CJ35" s="267"/>
      <c r="CK35" s="267"/>
      <c r="CL35" s="267"/>
      <c r="CM35" s="267"/>
      <c r="CN35" s="101">
        <f t="shared" si="1"/>
        <v>0</v>
      </c>
      <c r="CO35" s="101">
        <f t="shared" si="2"/>
        <v>0</v>
      </c>
    </row>
    <row r="36" spans="1:93" ht="13.9" customHeight="1" x14ac:dyDescent="0.2">
      <c r="A36" s="149">
        <v>6490</v>
      </c>
      <c r="B36" s="150" t="s">
        <v>323</v>
      </c>
      <c r="C36" s="150" t="s">
        <v>446</v>
      </c>
      <c r="D36" s="150" t="s">
        <v>447</v>
      </c>
      <c r="E36" s="150" t="s">
        <v>326</v>
      </c>
      <c r="F36" s="149">
        <v>523997</v>
      </c>
      <c r="G36" s="149">
        <v>175115</v>
      </c>
      <c r="H36" s="150" t="s">
        <v>171</v>
      </c>
      <c r="I36" s="151">
        <v>44263</v>
      </c>
      <c r="J36" s="151">
        <v>45351</v>
      </c>
      <c r="K36" s="149">
        <v>0</v>
      </c>
      <c r="L36" s="149">
        <v>2</v>
      </c>
      <c r="M36" s="149">
        <v>2</v>
      </c>
      <c r="N36" s="149">
        <v>9</v>
      </c>
      <c r="O36" s="149">
        <v>9</v>
      </c>
      <c r="P36" s="152"/>
      <c r="Q36" s="150" t="s">
        <v>448</v>
      </c>
      <c r="R36" s="150" t="s">
        <v>349</v>
      </c>
      <c r="S36" s="151">
        <v>43692</v>
      </c>
      <c r="T36" s="151">
        <v>43768</v>
      </c>
      <c r="U36" s="152"/>
      <c r="V36" s="150" t="s">
        <v>330</v>
      </c>
      <c r="W36" s="151"/>
      <c r="X36" s="150" t="s">
        <v>331</v>
      </c>
      <c r="Y36" s="150" t="s">
        <v>398</v>
      </c>
      <c r="Z36" s="150" t="s">
        <v>334</v>
      </c>
      <c r="AA36" s="150" t="s">
        <v>29</v>
      </c>
      <c r="AB36" s="153">
        <v>3.0000000000000001E-3</v>
      </c>
      <c r="AC36" s="151">
        <v>44263</v>
      </c>
      <c r="AD36" s="150"/>
      <c r="AE36" s="151">
        <v>45351</v>
      </c>
      <c r="AF36" s="150" t="s">
        <v>70</v>
      </c>
      <c r="AG36" s="152" t="s">
        <v>352</v>
      </c>
      <c r="AH36" s="150" t="s">
        <v>326</v>
      </c>
      <c r="AI36" s="99"/>
      <c r="AJ36" s="149"/>
      <c r="AK36" s="99"/>
      <c r="AL36" s="149"/>
      <c r="AM36" s="99"/>
      <c r="AN36" s="149">
        <v>0</v>
      </c>
      <c r="AO36" s="149">
        <v>2</v>
      </c>
      <c r="AP36" s="149">
        <v>0</v>
      </c>
      <c r="AQ36" s="149">
        <v>0</v>
      </c>
      <c r="AR36" s="149">
        <v>0</v>
      </c>
      <c r="AS36" s="149">
        <v>0</v>
      </c>
      <c r="AT36" s="149">
        <v>0</v>
      </c>
      <c r="AU36" s="149">
        <v>0</v>
      </c>
      <c r="AV36" s="149">
        <v>2</v>
      </c>
      <c r="AW36" s="149">
        <v>0</v>
      </c>
      <c r="AX36" s="149">
        <v>0</v>
      </c>
      <c r="AY36" s="149">
        <v>0</v>
      </c>
      <c r="AZ36" s="149">
        <v>0</v>
      </c>
      <c r="BA36" s="149">
        <v>0</v>
      </c>
      <c r="BB36" s="149">
        <v>0</v>
      </c>
      <c r="BC36" s="149">
        <v>0</v>
      </c>
      <c r="BD36" s="149">
        <v>0</v>
      </c>
      <c r="BE36" s="149">
        <v>0</v>
      </c>
      <c r="BF36" s="149">
        <v>0</v>
      </c>
      <c r="BG36" s="149">
        <v>0</v>
      </c>
      <c r="BH36" s="149">
        <v>0</v>
      </c>
      <c r="BI36" s="149">
        <v>0</v>
      </c>
      <c r="BJ36" s="149">
        <v>0</v>
      </c>
      <c r="BK36" s="149">
        <v>0</v>
      </c>
      <c r="BL36" s="149">
        <v>0</v>
      </c>
      <c r="BM36" s="149">
        <v>0</v>
      </c>
      <c r="BN36" s="149">
        <v>0</v>
      </c>
      <c r="BO36" s="149">
        <v>0</v>
      </c>
      <c r="BP36" s="152" t="s">
        <v>141</v>
      </c>
      <c r="BQ36" s="152"/>
      <c r="BR36" s="154" t="s">
        <v>141</v>
      </c>
      <c r="BS36" s="136">
        <v>11</v>
      </c>
      <c r="BT36" s="267">
        <f t="shared" si="3"/>
        <v>2</v>
      </c>
      <c r="BU36" s="267"/>
      <c r="BV36" s="267"/>
      <c r="BW36" s="267"/>
      <c r="BX36" s="267"/>
      <c r="BY36" s="267"/>
      <c r="BZ36" s="267"/>
      <c r="CA36" s="267"/>
      <c r="CB36" s="267"/>
      <c r="CC36" s="267"/>
      <c r="CD36" s="267"/>
      <c r="CE36" s="267"/>
      <c r="CF36" s="267"/>
      <c r="CG36" s="267"/>
      <c r="CH36" s="267"/>
      <c r="CI36" s="267"/>
      <c r="CJ36" s="267"/>
      <c r="CK36" s="267"/>
      <c r="CL36" s="267"/>
      <c r="CM36" s="267"/>
      <c r="CN36" s="101">
        <f t="shared" si="1"/>
        <v>0</v>
      </c>
      <c r="CO36" s="101">
        <f t="shared" si="2"/>
        <v>0</v>
      </c>
    </row>
    <row r="37" spans="1:93" ht="13.9" customHeight="1" x14ac:dyDescent="0.2">
      <c r="A37" s="149">
        <v>7235</v>
      </c>
      <c r="B37" s="150" t="s">
        <v>323</v>
      </c>
      <c r="C37" s="150" t="s">
        <v>449</v>
      </c>
      <c r="D37" s="150" t="s">
        <v>450</v>
      </c>
      <c r="E37" s="150" t="s">
        <v>326</v>
      </c>
      <c r="F37" s="149">
        <v>524049</v>
      </c>
      <c r="G37" s="149">
        <v>175301</v>
      </c>
      <c r="H37" s="150" t="s">
        <v>171</v>
      </c>
      <c r="I37" s="151">
        <v>44578</v>
      </c>
      <c r="J37" s="151">
        <v>45382</v>
      </c>
      <c r="K37" s="149">
        <v>2</v>
      </c>
      <c r="L37" s="149">
        <v>0</v>
      </c>
      <c r="M37" s="149">
        <v>-2</v>
      </c>
      <c r="N37" s="149">
        <v>0</v>
      </c>
      <c r="O37" s="149">
        <v>-2</v>
      </c>
      <c r="P37" s="152"/>
      <c r="Q37" s="150" t="s">
        <v>451</v>
      </c>
      <c r="R37" s="150" t="s">
        <v>349</v>
      </c>
      <c r="S37" s="151">
        <v>43698</v>
      </c>
      <c r="T37" s="151">
        <v>43754</v>
      </c>
      <c r="U37" s="152"/>
      <c r="V37" s="150" t="s">
        <v>330</v>
      </c>
      <c r="W37" s="151"/>
      <c r="X37" s="150" t="s">
        <v>331</v>
      </c>
      <c r="Y37" s="150" t="s">
        <v>398</v>
      </c>
      <c r="Z37" s="150" t="s">
        <v>334</v>
      </c>
      <c r="AA37" s="150" t="s">
        <v>35</v>
      </c>
      <c r="AB37" s="153">
        <v>1.9E-2</v>
      </c>
      <c r="AC37" s="151">
        <v>44578</v>
      </c>
      <c r="AD37" s="150"/>
      <c r="AE37" s="151">
        <v>45382</v>
      </c>
      <c r="AF37" s="150" t="s">
        <v>70</v>
      </c>
      <c r="AG37" s="152" t="s">
        <v>352</v>
      </c>
      <c r="AH37" s="150" t="s">
        <v>326</v>
      </c>
      <c r="AI37" s="99"/>
      <c r="AJ37" s="149"/>
      <c r="AK37" s="99"/>
      <c r="AL37" s="149"/>
      <c r="AM37" s="99"/>
      <c r="AN37" s="149">
        <v>0</v>
      </c>
      <c r="AO37" s="149">
        <v>0</v>
      </c>
      <c r="AP37" s="149">
        <v>0</v>
      </c>
      <c r="AQ37" s="149">
        <v>0</v>
      </c>
      <c r="AR37" s="149">
        <v>-2</v>
      </c>
      <c r="AS37" s="149">
        <v>0</v>
      </c>
      <c r="AT37" s="149">
        <v>0</v>
      </c>
      <c r="AU37" s="149">
        <v>0</v>
      </c>
      <c r="AV37" s="149">
        <v>0</v>
      </c>
      <c r="AW37" s="149">
        <v>0</v>
      </c>
      <c r="AX37" s="149">
        <v>0</v>
      </c>
      <c r="AY37" s="149">
        <v>-2</v>
      </c>
      <c r="AZ37" s="149">
        <v>0</v>
      </c>
      <c r="BA37" s="149">
        <v>0</v>
      </c>
      <c r="BB37" s="149">
        <v>0</v>
      </c>
      <c r="BC37" s="149">
        <v>0</v>
      </c>
      <c r="BD37" s="149">
        <v>0</v>
      </c>
      <c r="BE37" s="149">
        <v>0</v>
      </c>
      <c r="BF37" s="149">
        <v>0</v>
      </c>
      <c r="BG37" s="149">
        <v>0</v>
      </c>
      <c r="BH37" s="149">
        <v>0</v>
      </c>
      <c r="BI37" s="149">
        <v>0</v>
      </c>
      <c r="BJ37" s="149">
        <v>0</v>
      </c>
      <c r="BK37" s="149">
        <v>0</v>
      </c>
      <c r="BL37" s="149">
        <v>0</v>
      </c>
      <c r="BM37" s="149">
        <v>0</v>
      </c>
      <c r="BN37" s="149">
        <v>0</v>
      </c>
      <c r="BO37" s="149">
        <v>0</v>
      </c>
      <c r="BP37" s="152" t="s">
        <v>141</v>
      </c>
      <c r="BQ37" s="152"/>
      <c r="BR37" s="154" t="s">
        <v>141</v>
      </c>
      <c r="BS37" s="136">
        <v>11</v>
      </c>
      <c r="BT37" s="267">
        <f t="shared" si="3"/>
        <v>-2</v>
      </c>
      <c r="BU37" s="267"/>
      <c r="BV37" s="267"/>
      <c r="BW37" s="267"/>
      <c r="BX37" s="267"/>
      <c r="BY37" s="267"/>
      <c r="BZ37" s="267"/>
      <c r="CA37" s="267"/>
      <c r="CB37" s="267"/>
      <c r="CC37" s="267"/>
      <c r="CD37" s="267"/>
      <c r="CE37" s="267"/>
      <c r="CF37" s="267"/>
      <c r="CG37" s="267"/>
      <c r="CH37" s="267"/>
      <c r="CI37" s="267"/>
      <c r="CJ37" s="267"/>
      <c r="CK37" s="267"/>
      <c r="CL37" s="267"/>
      <c r="CM37" s="267"/>
      <c r="CN37" s="101">
        <f t="shared" si="1"/>
        <v>0</v>
      </c>
      <c r="CO37" s="101">
        <f t="shared" si="2"/>
        <v>0</v>
      </c>
    </row>
    <row r="38" spans="1:93" ht="13.9" customHeight="1" x14ac:dyDescent="0.2">
      <c r="A38" s="149">
        <v>7098</v>
      </c>
      <c r="B38" s="150" t="s">
        <v>323</v>
      </c>
      <c r="C38" s="150" t="s">
        <v>452</v>
      </c>
      <c r="D38" s="150" t="s">
        <v>453</v>
      </c>
      <c r="E38" s="150" t="s">
        <v>326</v>
      </c>
      <c r="F38" s="149">
        <v>526209</v>
      </c>
      <c r="G38" s="149">
        <v>174797</v>
      </c>
      <c r="H38" s="150" t="s">
        <v>177</v>
      </c>
      <c r="I38" s="151">
        <v>45078</v>
      </c>
      <c r="J38" s="151">
        <v>45231</v>
      </c>
      <c r="K38" s="149">
        <v>0</v>
      </c>
      <c r="L38" s="149">
        <v>1</v>
      </c>
      <c r="M38" s="149">
        <v>1</v>
      </c>
      <c r="N38" s="149">
        <v>1</v>
      </c>
      <c r="O38" s="149">
        <v>1</v>
      </c>
      <c r="P38" s="152"/>
      <c r="Q38" s="150" t="s">
        <v>454</v>
      </c>
      <c r="R38" s="150" t="s">
        <v>349</v>
      </c>
      <c r="S38" s="151">
        <v>43734</v>
      </c>
      <c r="T38" s="151">
        <v>43879</v>
      </c>
      <c r="U38" s="152"/>
      <c r="V38" s="150" t="s">
        <v>330</v>
      </c>
      <c r="W38" s="151"/>
      <c r="X38" s="150" t="s">
        <v>331</v>
      </c>
      <c r="Y38" s="150" t="s">
        <v>332</v>
      </c>
      <c r="Z38" s="150" t="s">
        <v>334</v>
      </c>
      <c r="AA38" s="150" t="s">
        <v>29</v>
      </c>
      <c r="AB38" s="153">
        <v>1.4E-2</v>
      </c>
      <c r="AC38" s="151">
        <v>45078</v>
      </c>
      <c r="AD38" s="152" t="s">
        <v>327</v>
      </c>
      <c r="AE38" s="151">
        <v>45231</v>
      </c>
      <c r="AF38" s="150" t="s">
        <v>70</v>
      </c>
      <c r="AG38" s="152" t="s">
        <v>352</v>
      </c>
      <c r="AH38" s="150" t="s">
        <v>326</v>
      </c>
      <c r="AI38" s="99"/>
      <c r="AJ38" s="149"/>
      <c r="AK38" s="99"/>
      <c r="AL38" s="149"/>
      <c r="AM38" s="99"/>
      <c r="AN38" s="149">
        <v>0</v>
      </c>
      <c r="AO38" s="149">
        <v>0</v>
      </c>
      <c r="AP38" s="149">
        <v>0</v>
      </c>
      <c r="AQ38" s="149">
        <v>1</v>
      </c>
      <c r="AR38" s="149">
        <v>0</v>
      </c>
      <c r="AS38" s="149">
        <v>0</v>
      </c>
      <c r="AT38" s="149">
        <v>0</v>
      </c>
      <c r="AU38" s="149">
        <v>0</v>
      </c>
      <c r="AV38" s="149">
        <v>0</v>
      </c>
      <c r="AW38" s="149">
        <v>0</v>
      </c>
      <c r="AX38" s="149">
        <v>1</v>
      </c>
      <c r="AY38" s="149">
        <v>0</v>
      </c>
      <c r="AZ38" s="149">
        <v>0</v>
      </c>
      <c r="BA38" s="149">
        <v>0</v>
      </c>
      <c r="BB38" s="149">
        <v>0</v>
      </c>
      <c r="BC38" s="149">
        <v>0</v>
      </c>
      <c r="BD38" s="149">
        <v>0</v>
      </c>
      <c r="BE38" s="149">
        <v>0</v>
      </c>
      <c r="BF38" s="149">
        <v>0</v>
      </c>
      <c r="BG38" s="149">
        <v>0</v>
      </c>
      <c r="BH38" s="149">
        <v>0</v>
      </c>
      <c r="BI38" s="149">
        <v>0</v>
      </c>
      <c r="BJ38" s="149">
        <v>0</v>
      </c>
      <c r="BK38" s="149">
        <v>0</v>
      </c>
      <c r="BL38" s="149">
        <v>0</v>
      </c>
      <c r="BM38" s="149">
        <v>0</v>
      </c>
      <c r="BN38" s="149">
        <v>0</v>
      </c>
      <c r="BO38" s="149">
        <v>0</v>
      </c>
      <c r="BP38" s="152"/>
      <c r="BQ38" s="152"/>
      <c r="BR38" s="154" t="s">
        <v>359</v>
      </c>
      <c r="BS38" s="136">
        <v>11</v>
      </c>
      <c r="BT38" s="267">
        <f t="shared" si="3"/>
        <v>1</v>
      </c>
      <c r="BU38" s="267"/>
      <c r="BV38" s="267"/>
      <c r="BW38" s="267"/>
      <c r="BX38" s="267"/>
      <c r="BY38" s="267"/>
      <c r="BZ38" s="267"/>
      <c r="CA38" s="267"/>
      <c r="CB38" s="267"/>
      <c r="CC38" s="267"/>
      <c r="CD38" s="267"/>
      <c r="CE38" s="267"/>
      <c r="CF38" s="267"/>
      <c r="CG38" s="267"/>
      <c r="CH38" s="267"/>
      <c r="CI38" s="267"/>
      <c r="CJ38" s="267"/>
      <c r="CK38" s="267"/>
      <c r="CL38" s="267"/>
      <c r="CM38" s="267"/>
      <c r="CN38" s="101">
        <f t="shared" si="1"/>
        <v>0</v>
      </c>
      <c r="CO38" s="101">
        <f t="shared" si="2"/>
        <v>0</v>
      </c>
    </row>
    <row r="39" spans="1:93" ht="13.9" customHeight="1" x14ac:dyDescent="0.2">
      <c r="A39" s="149">
        <v>7273</v>
      </c>
      <c r="B39" s="150" t="s">
        <v>323</v>
      </c>
      <c r="C39" s="150" t="s">
        <v>455</v>
      </c>
      <c r="D39" s="150" t="s">
        <v>456</v>
      </c>
      <c r="E39" s="150" t="s">
        <v>326</v>
      </c>
      <c r="F39" s="149">
        <v>525942</v>
      </c>
      <c r="G39" s="149">
        <v>173479</v>
      </c>
      <c r="H39" s="150" t="s">
        <v>175</v>
      </c>
      <c r="I39" s="151">
        <v>44242</v>
      </c>
      <c r="J39" s="151">
        <v>45022</v>
      </c>
      <c r="K39" s="149">
        <v>1</v>
      </c>
      <c r="L39" s="149">
        <v>2</v>
      </c>
      <c r="M39" s="149">
        <v>1</v>
      </c>
      <c r="N39" s="149">
        <v>2</v>
      </c>
      <c r="O39" s="149">
        <v>1</v>
      </c>
      <c r="P39" s="152"/>
      <c r="Q39" s="150" t="s">
        <v>457</v>
      </c>
      <c r="R39" s="150" t="s">
        <v>349</v>
      </c>
      <c r="S39" s="151">
        <v>43762</v>
      </c>
      <c r="T39" s="151">
        <v>43809</v>
      </c>
      <c r="U39" s="152"/>
      <c r="V39" s="150" t="s">
        <v>330</v>
      </c>
      <c r="W39" s="151"/>
      <c r="X39" s="150" t="s">
        <v>331</v>
      </c>
      <c r="Y39" s="150" t="s">
        <v>350</v>
      </c>
      <c r="Z39" s="150" t="s">
        <v>334</v>
      </c>
      <c r="AA39" s="150" t="s">
        <v>399</v>
      </c>
      <c r="AB39" s="153">
        <v>7.0000000000000001E-3</v>
      </c>
      <c r="AC39" s="151">
        <v>44242</v>
      </c>
      <c r="AD39" s="150"/>
      <c r="AE39" s="151">
        <v>45022</v>
      </c>
      <c r="AF39" s="150" t="s">
        <v>70</v>
      </c>
      <c r="AG39" s="152" t="s">
        <v>352</v>
      </c>
      <c r="AH39" s="150" t="s">
        <v>326</v>
      </c>
      <c r="AI39" s="99"/>
      <c r="AJ39" s="149"/>
      <c r="AK39" s="99"/>
      <c r="AL39" s="149"/>
      <c r="AM39" s="102"/>
      <c r="AN39" s="149">
        <v>0</v>
      </c>
      <c r="AO39" s="149">
        <v>2</v>
      </c>
      <c r="AP39" s="149">
        <v>-1</v>
      </c>
      <c r="AQ39" s="149">
        <v>0</v>
      </c>
      <c r="AR39" s="149">
        <v>0</v>
      </c>
      <c r="AS39" s="149">
        <v>0</v>
      </c>
      <c r="AT39" s="149">
        <v>0</v>
      </c>
      <c r="AU39" s="149">
        <v>0</v>
      </c>
      <c r="AV39" s="149">
        <v>2</v>
      </c>
      <c r="AW39" s="149">
        <v>-1</v>
      </c>
      <c r="AX39" s="149">
        <v>0</v>
      </c>
      <c r="AY39" s="149">
        <v>0</v>
      </c>
      <c r="AZ39" s="149">
        <v>0</v>
      </c>
      <c r="BA39" s="149">
        <v>0</v>
      </c>
      <c r="BB39" s="149">
        <v>0</v>
      </c>
      <c r="BC39" s="149">
        <v>0</v>
      </c>
      <c r="BD39" s="149">
        <v>0</v>
      </c>
      <c r="BE39" s="149">
        <v>0</v>
      </c>
      <c r="BF39" s="149">
        <v>0</v>
      </c>
      <c r="BG39" s="149">
        <v>0</v>
      </c>
      <c r="BH39" s="149">
        <v>0</v>
      </c>
      <c r="BI39" s="149">
        <v>0</v>
      </c>
      <c r="BJ39" s="149">
        <v>0</v>
      </c>
      <c r="BK39" s="149">
        <v>0</v>
      </c>
      <c r="BL39" s="149">
        <v>0</v>
      </c>
      <c r="BM39" s="149">
        <v>0</v>
      </c>
      <c r="BN39" s="149">
        <v>0</v>
      </c>
      <c r="BO39" s="149">
        <v>0</v>
      </c>
      <c r="BP39" s="152"/>
      <c r="BQ39" s="152"/>
      <c r="BR39" s="154" t="s">
        <v>151</v>
      </c>
      <c r="BS39" s="136">
        <v>11</v>
      </c>
      <c r="BT39" s="267">
        <f t="shared" si="3"/>
        <v>1</v>
      </c>
      <c r="BU39" s="267"/>
      <c r="BV39" s="267"/>
      <c r="BW39" s="267"/>
      <c r="BX39" s="267"/>
      <c r="BY39" s="267"/>
      <c r="BZ39" s="267"/>
      <c r="CA39" s="267"/>
      <c r="CB39" s="267"/>
      <c r="CC39" s="267"/>
      <c r="CD39" s="267"/>
      <c r="CE39" s="267"/>
      <c r="CF39" s="267"/>
      <c r="CG39" s="267"/>
      <c r="CH39" s="267"/>
      <c r="CI39" s="267"/>
      <c r="CJ39" s="267"/>
      <c r="CK39" s="267"/>
      <c r="CL39" s="267"/>
      <c r="CM39" s="267"/>
      <c r="CN39" s="101">
        <f t="shared" si="1"/>
        <v>0</v>
      </c>
      <c r="CO39" s="101">
        <f t="shared" si="2"/>
        <v>0</v>
      </c>
    </row>
    <row r="40" spans="1:93" ht="13.9" customHeight="1" x14ac:dyDescent="0.2">
      <c r="A40" s="149">
        <v>3519</v>
      </c>
      <c r="B40" s="150" t="s">
        <v>323</v>
      </c>
      <c r="C40" s="150" t="s">
        <v>458</v>
      </c>
      <c r="D40" s="150" t="s">
        <v>459</v>
      </c>
      <c r="E40" s="150" t="s">
        <v>460</v>
      </c>
      <c r="F40" s="149">
        <v>525782</v>
      </c>
      <c r="G40" s="149">
        <v>175172</v>
      </c>
      <c r="H40" s="150" t="s">
        <v>170</v>
      </c>
      <c r="I40" s="151">
        <v>43848</v>
      </c>
      <c r="J40" s="151"/>
      <c r="K40" s="149">
        <v>0</v>
      </c>
      <c r="L40" s="149">
        <v>56</v>
      </c>
      <c r="M40" s="149">
        <v>56</v>
      </c>
      <c r="N40" s="149">
        <v>554</v>
      </c>
      <c r="O40" s="149">
        <v>554</v>
      </c>
      <c r="P40" s="152" t="s">
        <v>327</v>
      </c>
      <c r="Q40" s="150" t="s">
        <v>461</v>
      </c>
      <c r="R40" s="150" t="s">
        <v>381</v>
      </c>
      <c r="S40" s="151">
        <v>43773</v>
      </c>
      <c r="T40" s="151">
        <v>44315</v>
      </c>
      <c r="U40" s="152"/>
      <c r="V40" s="150" t="s">
        <v>330</v>
      </c>
      <c r="W40" s="151"/>
      <c r="X40" s="150" t="s">
        <v>331</v>
      </c>
      <c r="Y40" s="150" t="s">
        <v>343</v>
      </c>
      <c r="Z40" s="150" t="s">
        <v>343</v>
      </c>
      <c r="AA40" s="150" t="s">
        <v>334</v>
      </c>
      <c r="AB40" s="153">
        <v>0.09</v>
      </c>
      <c r="AC40" s="151">
        <v>44409</v>
      </c>
      <c r="AD40" s="150"/>
      <c r="AE40" s="151">
        <v>45382</v>
      </c>
      <c r="AF40" s="150" t="s">
        <v>70</v>
      </c>
      <c r="AG40" s="152" t="s">
        <v>352</v>
      </c>
      <c r="AH40" s="150" t="s">
        <v>462</v>
      </c>
      <c r="AI40" s="99"/>
      <c r="AJ40" s="149"/>
      <c r="AK40" s="99"/>
      <c r="AL40" s="149"/>
      <c r="AM40" s="149">
        <v>20</v>
      </c>
      <c r="AN40" s="149">
        <v>0</v>
      </c>
      <c r="AO40" s="149">
        <v>0</v>
      </c>
      <c r="AP40" s="149">
        <v>54</v>
      </c>
      <c r="AQ40" s="149">
        <v>2</v>
      </c>
      <c r="AR40" s="149">
        <v>0</v>
      </c>
      <c r="AS40" s="149">
        <v>0</v>
      </c>
      <c r="AT40" s="149">
        <v>0</v>
      </c>
      <c r="AU40" s="149">
        <v>0</v>
      </c>
      <c r="AV40" s="149">
        <v>0</v>
      </c>
      <c r="AW40" s="149">
        <v>54</v>
      </c>
      <c r="AX40" s="149">
        <v>2</v>
      </c>
      <c r="AY40" s="149">
        <v>0</v>
      </c>
      <c r="AZ40" s="149">
        <v>0</v>
      </c>
      <c r="BA40" s="149">
        <v>0</v>
      </c>
      <c r="BB40" s="149">
        <v>0</v>
      </c>
      <c r="BC40" s="149">
        <v>0</v>
      </c>
      <c r="BD40" s="149">
        <v>0</v>
      </c>
      <c r="BE40" s="149">
        <v>0</v>
      </c>
      <c r="BF40" s="149">
        <v>0</v>
      </c>
      <c r="BG40" s="149">
        <v>0</v>
      </c>
      <c r="BH40" s="149">
        <v>0</v>
      </c>
      <c r="BI40" s="149">
        <v>0</v>
      </c>
      <c r="BJ40" s="149">
        <v>0</v>
      </c>
      <c r="BK40" s="149">
        <v>0</v>
      </c>
      <c r="BL40" s="149">
        <v>0</v>
      </c>
      <c r="BM40" s="149">
        <v>0</v>
      </c>
      <c r="BN40" s="149">
        <v>0</v>
      </c>
      <c r="BO40" s="149">
        <v>0</v>
      </c>
      <c r="BP40" s="152"/>
      <c r="BQ40" s="152"/>
      <c r="BR40" s="154" t="s">
        <v>463</v>
      </c>
      <c r="BS40" s="136">
        <v>1</v>
      </c>
      <c r="BT40" s="267">
        <f t="shared" si="3"/>
        <v>56</v>
      </c>
      <c r="BU40" s="267"/>
      <c r="BV40" s="267"/>
      <c r="BW40" s="267"/>
      <c r="BX40" s="267"/>
      <c r="BY40" s="267"/>
      <c r="BZ40" s="267"/>
      <c r="CA40" s="267"/>
      <c r="CB40" s="267"/>
      <c r="CC40" s="267"/>
      <c r="CD40" s="267"/>
      <c r="CE40" s="267"/>
      <c r="CF40" s="267"/>
      <c r="CG40" s="267"/>
      <c r="CH40" s="267"/>
      <c r="CI40" s="267"/>
      <c r="CJ40" s="267"/>
      <c r="CK40" s="267"/>
      <c r="CL40" s="267"/>
      <c r="CM40" s="267"/>
      <c r="CN40" s="101">
        <f t="shared" si="1"/>
        <v>0</v>
      </c>
      <c r="CO40" s="101">
        <f t="shared" si="2"/>
        <v>0</v>
      </c>
    </row>
    <row r="41" spans="1:93" ht="13.9" customHeight="1" x14ac:dyDescent="0.2">
      <c r="A41" s="149">
        <v>3519</v>
      </c>
      <c r="B41" s="150" t="s">
        <v>323</v>
      </c>
      <c r="C41" s="150" t="s">
        <v>458</v>
      </c>
      <c r="D41" s="150" t="s">
        <v>459</v>
      </c>
      <c r="E41" s="150" t="s">
        <v>464</v>
      </c>
      <c r="F41" s="149">
        <v>525782</v>
      </c>
      <c r="G41" s="149">
        <v>175172</v>
      </c>
      <c r="H41" s="150" t="s">
        <v>170</v>
      </c>
      <c r="I41" s="151">
        <v>43848</v>
      </c>
      <c r="J41" s="151"/>
      <c r="K41" s="149">
        <v>0</v>
      </c>
      <c r="L41" s="149">
        <v>38</v>
      </c>
      <c r="M41" s="149">
        <v>38</v>
      </c>
      <c r="N41" s="149">
        <v>554</v>
      </c>
      <c r="O41" s="149">
        <v>554</v>
      </c>
      <c r="P41" s="152" t="s">
        <v>327</v>
      </c>
      <c r="Q41" s="150" t="s">
        <v>461</v>
      </c>
      <c r="R41" s="150" t="s">
        <v>381</v>
      </c>
      <c r="S41" s="151">
        <v>43773</v>
      </c>
      <c r="T41" s="151">
        <v>44315</v>
      </c>
      <c r="U41" s="152"/>
      <c r="V41" s="150" t="s">
        <v>330</v>
      </c>
      <c r="W41" s="151"/>
      <c r="X41" s="150" t="s">
        <v>331</v>
      </c>
      <c r="Y41" s="150" t="s">
        <v>343</v>
      </c>
      <c r="Z41" s="150" t="s">
        <v>343</v>
      </c>
      <c r="AA41" s="150" t="s">
        <v>334</v>
      </c>
      <c r="AB41" s="153">
        <v>6.0999999999999999E-2</v>
      </c>
      <c r="AC41" s="151">
        <v>44409</v>
      </c>
      <c r="AD41" s="150"/>
      <c r="AE41" s="151">
        <v>45382</v>
      </c>
      <c r="AF41" s="150" t="s">
        <v>70</v>
      </c>
      <c r="AG41" s="152" t="s">
        <v>352</v>
      </c>
      <c r="AH41" s="150" t="s">
        <v>462</v>
      </c>
      <c r="AI41" s="99"/>
      <c r="AJ41" s="149"/>
      <c r="AK41" s="99"/>
      <c r="AL41" s="149"/>
      <c r="AM41" s="99"/>
      <c r="AN41" s="149">
        <v>0</v>
      </c>
      <c r="AO41" s="149">
        <v>18</v>
      </c>
      <c r="AP41" s="149">
        <v>18</v>
      </c>
      <c r="AQ41" s="149">
        <v>2</v>
      </c>
      <c r="AR41" s="149">
        <v>0</v>
      </c>
      <c r="AS41" s="149">
        <v>0</v>
      </c>
      <c r="AT41" s="149">
        <v>0</v>
      </c>
      <c r="AU41" s="149">
        <v>0</v>
      </c>
      <c r="AV41" s="149">
        <v>18</v>
      </c>
      <c r="AW41" s="149">
        <v>18</v>
      </c>
      <c r="AX41" s="149">
        <v>2</v>
      </c>
      <c r="AY41" s="149">
        <v>0</v>
      </c>
      <c r="AZ41" s="149">
        <v>0</v>
      </c>
      <c r="BA41" s="149">
        <v>0</v>
      </c>
      <c r="BB41" s="149">
        <v>0</v>
      </c>
      <c r="BC41" s="149">
        <v>0</v>
      </c>
      <c r="BD41" s="149">
        <v>0</v>
      </c>
      <c r="BE41" s="149">
        <v>0</v>
      </c>
      <c r="BF41" s="149">
        <v>0</v>
      </c>
      <c r="BG41" s="149">
        <v>0</v>
      </c>
      <c r="BH41" s="149">
        <v>0</v>
      </c>
      <c r="BI41" s="149">
        <v>0</v>
      </c>
      <c r="BJ41" s="149">
        <v>0</v>
      </c>
      <c r="BK41" s="149">
        <v>0</v>
      </c>
      <c r="BL41" s="149">
        <v>0</v>
      </c>
      <c r="BM41" s="149">
        <v>0</v>
      </c>
      <c r="BN41" s="149">
        <v>0</v>
      </c>
      <c r="BO41" s="149">
        <v>0</v>
      </c>
      <c r="BP41" s="152"/>
      <c r="BQ41" s="152"/>
      <c r="BR41" s="154" t="s">
        <v>463</v>
      </c>
      <c r="BS41" s="136">
        <v>1</v>
      </c>
      <c r="BT41" s="267">
        <f t="shared" si="3"/>
        <v>38</v>
      </c>
      <c r="BU41" s="267"/>
      <c r="BV41" s="267"/>
      <c r="BW41" s="267"/>
      <c r="BX41" s="267"/>
      <c r="BY41" s="267"/>
      <c r="BZ41" s="267"/>
      <c r="CA41" s="267"/>
      <c r="CB41" s="267"/>
      <c r="CC41" s="267"/>
      <c r="CD41" s="267"/>
      <c r="CE41" s="267"/>
      <c r="CF41" s="267"/>
      <c r="CG41" s="267"/>
      <c r="CH41" s="267"/>
      <c r="CI41" s="267"/>
      <c r="CJ41" s="267"/>
      <c r="CK41" s="267"/>
      <c r="CL41" s="267"/>
      <c r="CM41" s="267"/>
      <c r="CN41" s="101">
        <f t="shared" si="1"/>
        <v>0</v>
      </c>
      <c r="CO41" s="101">
        <f t="shared" si="2"/>
        <v>0</v>
      </c>
    </row>
    <row r="42" spans="1:93" ht="13.9" customHeight="1" x14ac:dyDescent="0.2">
      <c r="A42" s="149">
        <v>3519</v>
      </c>
      <c r="B42" s="150" t="s">
        <v>323</v>
      </c>
      <c r="C42" s="150" t="s">
        <v>458</v>
      </c>
      <c r="D42" s="150" t="s">
        <v>459</v>
      </c>
      <c r="E42" s="150" t="s">
        <v>465</v>
      </c>
      <c r="F42" s="149">
        <v>525782</v>
      </c>
      <c r="G42" s="149">
        <v>175172</v>
      </c>
      <c r="H42" s="150" t="s">
        <v>170</v>
      </c>
      <c r="I42" s="151">
        <v>43848</v>
      </c>
      <c r="J42" s="151"/>
      <c r="K42" s="149">
        <v>0</v>
      </c>
      <c r="L42" s="149">
        <v>49</v>
      </c>
      <c r="M42" s="149">
        <v>49</v>
      </c>
      <c r="N42" s="149">
        <v>554</v>
      </c>
      <c r="O42" s="149">
        <v>554</v>
      </c>
      <c r="P42" s="152" t="s">
        <v>327</v>
      </c>
      <c r="Q42" s="150" t="s">
        <v>461</v>
      </c>
      <c r="R42" s="150" t="s">
        <v>381</v>
      </c>
      <c r="S42" s="151">
        <v>43773</v>
      </c>
      <c r="T42" s="151">
        <v>44315</v>
      </c>
      <c r="U42" s="152"/>
      <c r="V42" s="150" t="s">
        <v>330</v>
      </c>
      <c r="W42" s="151"/>
      <c r="X42" s="150" t="s">
        <v>331</v>
      </c>
      <c r="Y42" s="150" t="s">
        <v>343</v>
      </c>
      <c r="Z42" s="150" t="s">
        <v>343</v>
      </c>
      <c r="AA42" s="150" t="s">
        <v>334</v>
      </c>
      <c r="AB42" s="153">
        <v>7.8E-2</v>
      </c>
      <c r="AC42" s="151">
        <v>44409</v>
      </c>
      <c r="AD42" s="150"/>
      <c r="AE42" s="151">
        <v>45382</v>
      </c>
      <c r="AF42" s="150" t="s">
        <v>70</v>
      </c>
      <c r="AG42" s="152" t="s">
        <v>352</v>
      </c>
      <c r="AH42" s="150" t="s">
        <v>462</v>
      </c>
      <c r="AI42" s="99"/>
      <c r="AJ42" s="149"/>
      <c r="AK42" s="99"/>
      <c r="AL42" s="149"/>
      <c r="AM42" s="99"/>
      <c r="AN42" s="149">
        <v>0</v>
      </c>
      <c r="AO42" s="149">
        <v>23</v>
      </c>
      <c r="AP42" s="149">
        <v>24</v>
      </c>
      <c r="AQ42" s="149">
        <v>2</v>
      </c>
      <c r="AR42" s="149">
        <v>0</v>
      </c>
      <c r="AS42" s="149">
        <v>0</v>
      </c>
      <c r="AT42" s="149">
        <v>0</v>
      </c>
      <c r="AU42" s="149">
        <v>0</v>
      </c>
      <c r="AV42" s="149">
        <v>23</v>
      </c>
      <c r="AW42" s="149">
        <v>24</v>
      </c>
      <c r="AX42" s="149">
        <v>2</v>
      </c>
      <c r="AY42" s="149">
        <v>0</v>
      </c>
      <c r="AZ42" s="149">
        <v>0</v>
      </c>
      <c r="BA42" s="149">
        <v>0</v>
      </c>
      <c r="BB42" s="149">
        <v>0</v>
      </c>
      <c r="BC42" s="149">
        <v>0</v>
      </c>
      <c r="BD42" s="149">
        <v>0</v>
      </c>
      <c r="BE42" s="149">
        <v>0</v>
      </c>
      <c r="BF42" s="149">
        <v>0</v>
      </c>
      <c r="BG42" s="149">
        <v>0</v>
      </c>
      <c r="BH42" s="149">
        <v>0</v>
      </c>
      <c r="BI42" s="149">
        <v>0</v>
      </c>
      <c r="BJ42" s="149">
        <v>0</v>
      </c>
      <c r="BK42" s="149">
        <v>0</v>
      </c>
      <c r="BL42" s="149">
        <v>0</v>
      </c>
      <c r="BM42" s="149">
        <v>0</v>
      </c>
      <c r="BN42" s="149">
        <v>0</v>
      </c>
      <c r="BO42" s="149">
        <v>0</v>
      </c>
      <c r="BP42" s="152"/>
      <c r="BQ42" s="152"/>
      <c r="BR42" s="154" t="s">
        <v>463</v>
      </c>
      <c r="BS42" s="136">
        <v>1</v>
      </c>
      <c r="BT42" s="267">
        <f t="shared" si="3"/>
        <v>49</v>
      </c>
      <c r="BU42" s="267"/>
      <c r="BV42" s="267"/>
      <c r="BW42" s="267"/>
      <c r="BX42" s="267"/>
      <c r="BY42" s="267"/>
      <c r="BZ42" s="267"/>
      <c r="CA42" s="267"/>
      <c r="CB42" s="267"/>
      <c r="CC42" s="267"/>
      <c r="CD42" s="267"/>
      <c r="CE42" s="267"/>
      <c r="CF42" s="267"/>
      <c r="CG42" s="267"/>
      <c r="CH42" s="267"/>
      <c r="CI42" s="267"/>
      <c r="CJ42" s="267"/>
      <c r="CK42" s="267"/>
      <c r="CL42" s="267"/>
      <c r="CM42" s="267"/>
      <c r="CN42" s="101">
        <f t="shared" si="1"/>
        <v>0</v>
      </c>
      <c r="CO42" s="101">
        <f t="shared" si="2"/>
        <v>0</v>
      </c>
    </row>
    <row r="43" spans="1:93" ht="13.9" customHeight="1" x14ac:dyDescent="0.2">
      <c r="A43" s="149">
        <v>3519</v>
      </c>
      <c r="B43" s="150" t="s">
        <v>323</v>
      </c>
      <c r="C43" s="150" t="s">
        <v>458</v>
      </c>
      <c r="D43" s="150" t="s">
        <v>459</v>
      </c>
      <c r="E43" s="150" t="s">
        <v>466</v>
      </c>
      <c r="F43" s="149">
        <v>525782</v>
      </c>
      <c r="G43" s="149">
        <v>175172</v>
      </c>
      <c r="H43" s="150" t="s">
        <v>170</v>
      </c>
      <c r="I43" s="151">
        <v>43848</v>
      </c>
      <c r="J43" s="151"/>
      <c r="K43" s="149">
        <v>0</v>
      </c>
      <c r="L43" s="149">
        <v>42</v>
      </c>
      <c r="M43" s="149">
        <v>42</v>
      </c>
      <c r="N43" s="149">
        <v>554</v>
      </c>
      <c r="O43" s="149">
        <v>554</v>
      </c>
      <c r="P43" s="152" t="s">
        <v>327</v>
      </c>
      <c r="Q43" s="150" t="s">
        <v>461</v>
      </c>
      <c r="R43" s="150" t="s">
        <v>381</v>
      </c>
      <c r="S43" s="151">
        <v>43773</v>
      </c>
      <c r="T43" s="151">
        <v>44315</v>
      </c>
      <c r="U43" s="152"/>
      <c r="V43" s="150" t="s">
        <v>330</v>
      </c>
      <c r="W43" s="151"/>
      <c r="X43" s="150" t="s">
        <v>331</v>
      </c>
      <c r="Y43" s="150" t="s">
        <v>343</v>
      </c>
      <c r="Z43" s="150" t="s">
        <v>343</v>
      </c>
      <c r="AA43" s="150" t="s">
        <v>334</v>
      </c>
      <c r="AB43" s="153">
        <v>6.7000000000000004E-2</v>
      </c>
      <c r="AC43" s="151">
        <v>44409</v>
      </c>
      <c r="AD43" s="150"/>
      <c r="AE43" s="151">
        <v>45382</v>
      </c>
      <c r="AF43" s="150" t="s">
        <v>70</v>
      </c>
      <c r="AG43" s="152" t="s">
        <v>352</v>
      </c>
      <c r="AH43" s="150" t="s">
        <v>462</v>
      </c>
      <c r="AI43" s="99"/>
      <c r="AJ43" s="149"/>
      <c r="AK43" s="99"/>
      <c r="AL43" s="149"/>
      <c r="AM43" s="99"/>
      <c r="AN43" s="149">
        <v>0</v>
      </c>
      <c r="AO43" s="149">
        <v>0</v>
      </c>
      <c r="AP43" s="149">
        <v>40</v>
      </c>
      <c r="AQ43" s="149">
        <v>2</v>
      </c>
      <c r="AR43" s="149">
        <v>0</v>
      </c>
      <c r="AS43" s="149">
        <v>0</v>
      </c>
      <c r="AT43" s="149">
        <v>0</v>
      </c>
      <c r="AU43" s="149">
        <v>0</v>
      </c>
      <c r="AV43" s="149">
        <v>0</v>
      </c>
      <c r="AW43" s="149">
        <v>40</v>
      </c>
      <c r="AX43" s="149">
        <v>2</v>
      </c>
      <c r="AY43" s="149">
        <v>0</v>
      </c>
      <c r="AZ43" s="149">
        <v>0</v>
      </c>
      <c r="BA43" s="149">
        <v>0</v>
      </c>
      <c r="BB43" s="149">
        <v>0</v>
      </c>
      <c r="BC43" s="149">
        <v>0</v>
      </c>
      <c r="BD43" s="149">
        <v>0</v>
      </c>
      <c r="BE43" s="149">
        <v>0</v>
      </c>
      <c r="BF43" s="149">
        <v>0</v>
      </c>
      <c r="BG43" s="149">
        <v>0</v>
      </c>
      <c r="BH43" s="149">
        <v>0</v>
      </c>
      <c r="BI43" s="149">
        <v>0</v>
      </c>
      <c r="BJ43" s="149">
        <v>0</v>
      </c>
      <c r="BK43" s="149">
        <v>0</v>
      </c>
      <c r="BL43" s="149">
        <v>0</v>
      </c>
      <c r="BM43" s="149">
        <v>0</v>
      </c>
      <c r="BN43" s="149">
        <v>0</v>
      </c>
      <c r="BO43" s="149">
        <v>0</v>
      </c>
      <c r="BP43" s="152"/>
      <c r="BQ43" s="152"/>
      <c r="BR43" s="154" t="s">
        <v>463</v>
      </c>
      <c r="BS43" s="136">
        <v>1</v>
      </c>
      <c r="BT43" s="267">
        <f t="shared" si="3"/>
        <v>42</v>
      </c>
      <c r="BU43" s="267"/>
      <c r="BV43" s="267"/>
      <c r="BW43" s="267"/>
      <c r="BX43" s="267"/>
      <c r="BY43" s="267"/>
      <c r="BZ43" s="267"/>
      <c r="CA43" s="267"/>
      <c r="CB43" s="267"/>
      <c r="CC43" s="267"/>
      <c r="CD43" s="267"/>
      <c r="CE43" s="267"/>
      <c r="CF43" s="267"/>
      <c r="CG43" s="267"/>
      <c r="CH43" s="267"/>
      <c r="CI43" s="267"/>
      <c r="CJ43" s="267"/>
      <c r="CK43" s="267"/>
      <c r="CL43" s="267"/>
      <c r="CM43" s="267"/>
      <c r="CN43" s="101">
        <f t="shared" si="1"/>
        <v>0</v>
      </c>
      <c r="CO43" s="101">
        <f t="shared" si="2"/>
        <v>0</v>
      </c>
    </row>
    <row r="44" spans="1:93" ht="13.9" customHeight="1" x14ac:dyDescent="0.2">
      <c r="A44" s="149">
        <v>3519</v>
      </c>
      <c r="B44" s="150" t="s">
        <v>323</v>
      </c>
      <c r="C44" s="150" t="s">
        <v>458</v>
      </c>
      <c r="D44" s="150" t="s">
        <v>459</v>
      </c>
      <c r="E44" s="150" t="s">
        <v>467</v>
      </c>
      <c r="F44" s="149">
        <v>525782</v>
      </c>
      <c r="G44" s="149">
        <v>175172</v>
      </c>
      <c r="H44" s="150" t="s">
        <v>170</v>
      </c>
      <c r="I44" s="151">
        <v>43848</v>
      </c>
      <c r="J44" s="151"/>
      <c r="K44" s="149">
        <v>0</v>
      </c>
      <c r="L44" s="149">
        <v>43</v>
      </c>
      <c r="M44" s="149">
        <v>43</v>
      </c>
      <c r="N44" s="149">
        <v>554</v>
      </c>
      <c r="O44" s="149">
        <v>554</v>
      </c>
      <c r="P44" s="152" t="s">
        <v>327</v>
      </c>
      <c r="Q44" s="150" t="s">
        <v>461</v>
      </c>
      <c r="R44" s="150" t="s">
        <v>381</v>
      </c>
      <c r="S44" s="151">
        <v>43773</v>
      </c>
      <c r="T44" s="151">
        <v>44315</v>
      </c>
      <c r="U44" s="152"/>
      <c r="V44" s="150" t="s">
        <v>330</v>
      </c>
      <c r="W44" s="151"/>
      <c r="X44" s="150" t="s">
        <v>331</v>
      </c>
      <c r="Y44" s="150" t="s">
        <v>343</v>
      </c>
      <c r="Z44" s="150" t="s">
        <v>343</v>
      </c>
      <c r="AA44" s="150" t="s">
        <v>334</v>
      </c>
      <c r="AB44" s="153">
        <v>6.9000000000000006E-2</v>
      </c>
      <c r="AC44" s="151">
        <v>44409</v>
      </c>
      <c r="AD44" s="150"/>
      <c r="AE44" s="151">
        <v>45382</v>
      </c>
      <c r="AF44" s="150" t="s">
        <v>48</v>
      </c>
      <c r="AG44" s="152" t="s">
        <v>335</v>
      </c>
      <c r="AH44" s="150" t="s">
        <v>462</v>
      </c>
      <c r="AI44" s="99"/>
      <c r="AJ44" s="149"/>
      <c r="AK44" s="99"/>
      <c r="AL44" s="149"/>
      <c r="AM44" s="138">
        <v>22</v>
      </c>
      <c r="AN44" s="149">
        <v>0</v>
      </c>
      <c r="AO44" s="149">
        <v>21</v>
      </c>
      <c r="AP44" s="149">
        <v>22</v>
      </c>
      <c r="AQ44" s="149">
        <v>0</v>
      </c>
      <c r="AR44" s="149">
        <v>0</v>
      </c>
      <c r="AS44" s="149">
        <v>0</v>
      </c>
      <c r="AT44" s="149">
        <v>0</v>
      </c>
      <c r="AU44" s="149">
        <v>0</v>
      </c>
      <c r="AV44" s="149">
        <v>21</v>
      </c>
      <c r="AW44" s="149">
        <v>22</v>
      </c>
      <c r="AX44" s="149">
        <v>0</v>
      </c>
      <c r="AY44" s="149">
        <v>0</v>
      </c>
      <c r="AZ44" s="149">
        <v>0</v>
      </c>
      <c r="BA44" s="149">
        <v>0</v>
      </c>
      <c r="BB44" s="149">
        <v>0</v>
      </c>
      <c r="BC44" s="149">
        <v>0</v>
      </c>
      <c r="BD44" s="149">
        <v>0</v>
      </c>
      <c r="BE44" s="149">
        <v>0</v>
      </c>
      <c r="BF44" s="149">
        <v>0</v>
      </c>
      <c r="BG44" s="149">
        <v>0</v>
      </c>
      <c r="BH44" s="149">
        <v>0</v>
      </c>
      <c r="BI44" s="149">
        <v>0</v>
      </c>
      <c r="BJ44" s="149">
        <v>0</v>
      </c>
      <c r="BK44" s="149">
        <v>0</v>
      </c>
      <c r="BL44" s="149">
        <v>0</v>
      </c>
      <c r="BM44" s="149">
        <v>0</v>
      </c>
      <c r="BN44" s="149">
        <v>0</v>
      </c>
      <c r="BO44" s="149">
        <v>0</v>
      </c>
      <c r="BP44" s="152"/>
      <c r="BQ44" s="152"/>
      <c r="BR44" s="154" t="s">
        <v>463</v>
      </c>
      <c r="BS44" s="136">
        <v>1</v>
      </c>
      <c r="BT44" s="267">
        <f t="shared" si="3"/>
        <v>43</v>
      </c>
      <c r="BU44" s="267"/>
      <c r="BV44" s="267"/>
      <c r="BW44" s="267"/>
      <c r="BX44" s="267"/>
      <c r="BY44" s="267"/>
      <c r="BZ44" s="267"/>
      <c r="CA44" s="267"/>
      <c r="CB44" s="267"/>
      <c r="CC44" s="267"/>
      <c r="CD44" s="267"/>
      <c r="CE44" s="267"/>
      <c r="CF44" s="267"/>
      <c r="CG44" s="267"/>
      <c r="CH44" s="267"/>
      <c r="CI44" s="267"/>
      <c r="CJ44" s="267"/>
      <c r="CK44" s="267"/>
      <c r="CL44" s="267"/>
      <c r="CM44" s="267"/>
      <c r="CN44" s="101">
        <f t="shared" si="1"/>
        <v>0</v>
      </c>
      <c r="CO44" s="101">
        <f t="shared" si="2"/>
        <v>0</v>
      </c>
    </row>
    <row r="45" spans="1:93" ht="13.9" customHeight="1" x14ac:dyDescent="0.2">
      <c r="A45" s="149">
        <v>3519</v>
      </c>
      <c r="B45" s="150" t="s">
        <v>323</v>
      </c>
      <c r="C45" s="150" t="s">
        <v>458</v>
      </c>
      <c r="D45" s="150" t="s">
        <v>459</v>
      </c>
      <c r="E45" s="150" t="s">
        <v>468</v>
      </c>
      <c r="F45" s="149">
        <v>525782</v>
      </c>
      <c r="G45" s="149">
        <v>175172</v>
      </c>
      <c r="H45" s="150" t="s">
        <v>170</v>
      </c>
      <c r="I45" s="151">
        <v>43848</v>
      </c>
      <c r="J45" s="151"/>
      <c r="K45" s="149">
        <v>0</v>
      </c>
      <c r="L45" s="149">
        <v>35</v>
      </c>
      <c r="M45" s="149">
        <v>35</v>
      </c>
      <c r="N45" s="149">
        <v>554</v>
      </c>
      <c r="O45" s="149">
        <v>554</v>
      </c>
      <c r="P45" s="152" t="s">
        <v>327</v>
      </c>
      <c r="Q45" s="150" t="s">
        <v>461</v>
      </c>
      <c r="R45" s="150" t="s">
        <v>381</v>
      </c>
      <c r="S45" s="151">
        <v>43773</v>
      </c>
      <c r="T45" s="151">
        <v>44315</v>
      </c>
      <c r="U45" s="152"/>
      <c r="V45" s="150" t="s">
        <v>330</v>
      </c>
      <c r="W45" s="151"/>
      <c r="X45" s="150" t="s">
        <v>331</v>
      </c>
      <c r="Y45" s="150" t="s">
        <v>343</v>
      </c>
      <c r="Z45" s="150" t="s">
        <v>343</v>
      </c>
      <c r="AA45" s="150" t="s">
        <v>334</v>
      </c>
      <c r="AB45" s="153">
        <v>5.6000000000000001E-2</v>
      </c>
      <c r="AC45" s="151">
        <v>44409</v>
      </c>
      <c r="AD45" s="150"/>
      <c r="AE45" s="151">
        <v>45382</v>
      </c>
      <c r="AF45" s="150" t="s">
        <v>48</v>
      </c>
      <c r="AG45" s="152" t="s">
        <v>335</v>
      </c>
      <c r="AH45" s="150" t="s">
        <v>462</v>
      </c>
      <c r="AI45" s="99"/>
      <c r="AJ45" s="149"/>
      <c r="AK45" s="99"/>
      <c r="AL45" s="149"/>
      <c r="AM45" s="138"/>
      <c r="AN45" s="149">
        <v>0</v>
      </c>
      <c r="AO45" s="149">
        <v>0</v>
      </c>
      <c r="AP45" s="149">
        <v>35</v>
      </c>
      <c r="AQ45" s="149">
        <v>0</v>
      </c>
      <c r="AR45" s="149">
        <v>0</v>
      </c>
      <c r="AS45" s="149">
        <v>0</v>
      </c>
      <c r="AT45" s="149">
        <v>0</v>
      </c>
      <c r="AU45" s="149">
        <v>0</v>
      </c>
      <c r="AV45" s="149">
        <v>0</v>
      </c>
      <c r="AW45" s="149">
        <v>35</v>
      </c>
      <c r="AX45" s="149">
        <v>0</v>
      </c>
      <c r="AY45" s="149">
        <v>0</v>
      </c>
      <c r="AZ45" s="149">
        <v>0</v>
      </c>
      <c r="BA45" s="149">
        <v>0</v>
      </c>
      <c r="BB45" s="149">
        <v>0</v>
      </c>
      <c r="BC45" s="149">
        <v>0</v>
      </c>
      <c r="BD45" s="149">
        <v>0</v>
      </c>
      <c r="BE45" s="149">
        <v>0</v>
      </c>
      <c r="BF45" s="149">
        <v>0</v>
      </c>
      <c r="BG45" s="149">
        <v>0</v>
      </c>
      <c r="BH45" s="149">
        <v>0</v>
      </c>
      <c r="BI45" s="149">
        <v>0</v>
      </c>
      <c r="BJ45" s="149">
        <v>0</v>
      </c>
      <c r="BK45" s="149">
        <v>0</v>
      </c>
      <c r="BL45" s="149">
        <v>0</v>
      </c>
      <c r="BM45" s="149">
        <v>0</v>
      </c>
      <c r="BN45" s="149">
        <v>0</v>
      </c>
      <c r="BO45" s="149">
        <v>0</v>
      </c>
      <c r="BP45" s="152"/>
      <c r="BQ45" s="152"/>
      <c r="BR45" s="154" t="s">
        <v>463</v>
      </c>
      <c r="BS45" s="136">
        <v>1</v>
      </c>
      <c r="BT45" s="267">
        <f t="shared" si="3"/>
        <v>35</v>
      </c>
      <c r="BU45" s="267"/>
      <c r="BV45" s="267"/>
      <c r="BW45" s="267"/>
      <c r="BX45" s="267"/>
      <c r="BY45" s="267"/>
      <c r="BZ45" s="267"/>
      <c r="CA45" s="267"/>
      <c r="CB45" s="267"/>
      <c r="CC45" s="267"/>
      <c r="CD45" s="267"/>
      <c r="CE45" s="267"/>
      <c r="CF45" s="267"/>
      <c r="CG45" s="267"/>
      <c r="CH45" s="267"/>
      <c r="CI45" s="267"/>
      <c r="CJ45" s="267"/>
      <c r="CK45" s="267"/>
      <c r="CL45" s="267"/>
      <c r="CM45" s="267"/>
      <c r="CN45" s="101">
        <f t="shared" si="1"/>
        <v>0</v>
      </c>
      <c r="CO45" s="101">
        <f t="shared" si="2"/>
        <v>0</v>
      </c>
    </row>
    <row r="46" spans="1:93" ht="13.9" customHeight="1" x14ac:dyDescent="0.2">
      <c r="A46" s="149">
        <v>3519</v>
      </c>
      <c r="B46" s="150" t="s">
        <v>323</v>
      </c>
      <c r="C46" s="150" t="s">
        <v>458</v>
      </c>
      <c r="D46" s="150" t="s">
        <v>459</v>
      </c>
      <c r="E46" s="150" t="s">
        <v>469</v>
      </c>
      <c r="F46" s="149">
        <v>525782</v>
      </c>
      <c r="G46" s="149">
        <v>175172</v>
      </c>
      <c r="H46" s="150" t="s">
        <v>170</v>
      </c>
      <c r="I46" s="151">
        <v>43848</v>
      </c>
      <c r="J46" s="151"/>
      <c r="K46" s="149">
        <v>0</v>
      </c>
      <c r="L46" s="149">
        <v>32</v>
      </c>
      <c r="M46" s="149">
        <v>32</v>
      </c>
      <c r="N46" s="149">
        <v>554</v>
      </c>
      <c r="O46" s="149">
        <v>554</v>
      </c>
      <c r="P46" s="152" t="s">
        <v>327</v>
      </c>
      <c r="Q46" s="150" t="s">
        <v>461</v>
      </c>
      <c r="R46" s="150" t="s">
        <v>381</v>
      </c>
      <c r="S46" s="151">
        <v>43773</v>
      </c>
      <c r="T46" s="151">
        <v>44315</v>
      </c>
      <c r="U46" s="152"/>
      <c r="V46" s="150" t="s">
        <v>330</v>
      </c>
      <c r="W46" s="151"/>
      <c r="X46" s="150" t="s">
        <v>331</v>
      </c>
      <c r="Y46" s="150" t="s">
        <v>343</v>
      </c>
      <c r="Z46" s="150" t="s">
        <v>343</v>
      </c>
      <c r="AA46" s="150" t="s">
        <v>334</v>
      </c>
      <c r="AB46" s="153">
        <v>5.0999999999999997E-2</v>
      </c>
      <c r="AC46" s="151">
        <v>44409</v>
      </c>
      <c r="AD46" s="150"/>
      <c r="AE46" s="151">
        <v>45382</v>
      </c>
      <c r="AF46" s="150" t="s">
        <v>49</v>
      </c>
      <c r="AG46" s="152" t="s">
        <v>470</v>
      </c>
      <c r="AH46" s="150" t="s">
        <v>462</v>
      </c>
      <c r="AI46" s="99"/>
      <c r="AJ46" s="149"/>
      <c r="AK46" s="99"/>
      <c r="AL46" s="149"/>
      <c r="AM46" s="149">
        <v>8</v>
      </c>
      <c r="AN46" s="149">
        <v>0</v>
      </c>
      <c r="AO46" s="149">
        <v>16</v>
      </c>
      <c r="AP46" s="149">
        <v>16</v>
      </c>
      <c r="AQ46" s="149">
        <v>0</v>
      </c>
      <c r="AR46" s="149">
        <v>0</v>
      </c>
      <c r="AS46" s="149">
        <v>0</v>
      </c>
      <c r="AT46" s="149">
        <v>0</v>
      </c>
      <c r="AU46" s="149">
        <v>0</v>
      </c>
      <c r="AV46" s="149">
        <v>16</v>
      </c>
      <c r="AW46" s="149">
        <v>16</v>
      </c>
      <c r="AX46" s="149">
        <v>0</v>
      </c>
      <c r="AY46" s="149">
        <v>0</v>
      </c>
      <c r="AZ46" s="149">
        <v>0</v>
      </c>
      <c r="BA46" s="149">
        <v>0</v>
      </c>
      <c r="BB46" s="149">
        <v>0</v>
      </c>
      <c r="BC46" s="149">
        <v>0</v>
      </c>
      <c r="BD46" s="149">
        <v>0</v>
      </c>
      <c r="BE46" s="149">
        <v>0</v>
      </c>
      <c r="BF46" s="149">
        <v>0</v>
      </c>
      <c r="BG46" s="149">
        <v>0</v>
      </c>
      <c r="BH46" s="149">
        <v>0</v>
      </c>
      <c r="BI46" s="149">
        <v>0</v>
      </c>
      <c r="BJ46" s="149">
        <v>0</v>
      </c>
      <c r="BK46" s="149">
        <v>0</v>
      </c>
      <c r="BL46" s="149">
        <v>0</v>
      </c>
      <c r="BM46" s="149">
        <v>0</v>
      </c>
      <c r="BN46" s="149">
        <v>0</v>
      </c>
      <c r="BO46" s="149">
        <v>0</v>
      </c>
      <c r="BP46" s="152"/>
      <c r="BQ46" s="152"/>
      <c r="BR46" s="154" t="s">
        <v>463</v>
      </c>
      <c r="BS46" s="136">
        <v>1</v>
      </c>
      <c r="BT46" s="267">
        <f t="shared" si="3"/>
        <v>32</v>
      </c>
      <c r="BU46" s="267"/>
      <c r="BV46" s="267"/>
      <c r="BW46" s="267"/>
      <c r="BX46" s="267"/>
      <c r="BY46" s="267"/>
      <c r="BZ46" s="267"/>
      <c r="CA46" s="267"/>
      <c r="CB46" s="267"/>
      <c r="CC46" s="267"/>
      <c r="CD46" s="267"/>
      <c r="CE46" s="267"/>
      <c r="CF46" s="267"/>
      <c r="CG46" s="267"/>
      <c r="CH46" s="267"/>
      <c r="CI46" s="267"/>
      <c r="CJ46" s="267"/>
      <c r="CK46" s="267"/>
      <c r="CL46" s="267"/>
      <c r="CM46" s="267"/>
      <c r="CN46" s="101">
        <f t="shared" si="1"/>
        <v>0</v>
      </c>
      <c r="CO46" s="101">
        <f t="shared" si="2"/>
        <v>0</v>
      </c>
    </row>
    <row r="47" spans="1:93" ht="13.9" customHeight="1" x14ac:dyDescent="0.2">
      <c r="A47" s="149">
        <v>3519</v>
      </c>
      <c r="B47" s="150" t="s">
        <v>323</v>
      </c>
      <c r="C47" s="150" t="s">
        <v>458</v>
      </c>
      <c r="D47" s="150" t="s">
        <v>459</v>
      </c>
      <c r="E47" s="150" t="s">
        <v>471</v>
      </c>
      <c r="F47" s="149">
        <v>525782</v>
      </c>
      <c r="G47" s="149">
        <v>175172</v>
      </c>
      <c r="H47" s="150" t="s">
        <v>170</v>
      </c>
      <c r="I47" s="151">
        <v>43848</v>
      </c>
      <c r="J47" s="151"/>
      <c r="K47" s="149">
        <v>0</v>
      </c>
      <c r="L47" s="149">
        <v>2</v>
      </c>
      <c r="M47" s="149">
        <v>2</v>
      </c>
      <c r="N47" s="149">
        <v>554</v>
      </c>
      <c r="O47" s="149">
        <v>554</v>
      </c>
      <c r="P47" s="152" t="s">
        <v>327</v>
      </c>
      <c r="Q47" s="150" t="s">
        <v>461</v>
      </c>
      <c r="R47" s="150" t="s">
        <v>381</v>
      </c>
      <c r="S47" s="151">
        <v>43773</v>
      </c>
      <c r="T47" s="151">
        <v>44315</v>
      </c>
      <c r="U47" s="152"/>
      <c r="V47" s="150" t="s">
        <v>330</v>
      </c>
      <c r="W47" s="151"/>
      <c r="X47" s="150" t="s">
        <v>331</v>
      </c>
      <c r="Y47" s="150" t="s">
        <v>343</v>
      </c>
      <c r="Z47" s="150" t="s">
        <v>343</v>
      </c>
      <c r="AA47" s="150" t="s">
        <v>334</v>
      </c>
      <c r="AB47" s="153">
        <v>3.0000000000000001E-3</v>
      </c>
      <c r="AC47" s="151">
        <v>44409</v>
      </c>
      <c r="AD47" s="150"/>
      <c r="AE47" s="151">
        <v>45382</v>
      </c>
      <c r="AF47" s="150" t="s">
        <v>49</v>
      </c>
      <c r="AG47" s="152" t="s">
        <v>470</v>
      </c>
      <c r="AH47" s="150" t="s">
        <v>462</v>
      </c>
      <c r="AI47" s="99"/>
      <c r="AJ47" s="149"/>
      <c r="AK47" s="99"/>
      <c r="AL47" s="149"/>
      <c r="AM47" s="138">
        <v>9</v>
      </c>
      <c r="AN47" s="149">
        <v>0</v>
      </c>
      <c r="AO47" s="149">
        <v>0</v>
      </c>
      <c r="AP47" s="149">
        <v>2</v>
      </c>
      <c r="AQ47" s="149">
        <v>0</v>
      </c>
      <c r="AR47" s="149">
        <v>0</v>
      </c>
      <c r="AS47" s="149">
        <v>0</v>
      </c>
      <c r="AT47" s="149">
        <v>0</v>
      </c>
      <c r="AU47" s="149">
        <v>0</v>
      </c>
      <c r="AV47" s="149">
        <v>0</v>
      </c>
      <c r="AW47" s="149">
        <v>2</v>
      </c>
      <c r="AX47" s="149">
        <v>0</v>
      </c>
      <c r="AY47" s="149">
        <v>0</v>
      </c>
      <c r="AZ47" s="149">
        <v>0</v>
      </c>
      <c r="BA47" s="149">
        <v>0</v>
      </c>
      <c r="BB47" s="149">
        <v>0</v>
      </c>
      <c r="BC47" s="149">
        <v>0</v>
      </c>
      <c r="BD47" s="149">
        <v>0</v>
      </c>
      <c r="BE47" s="149">
        <v>0</v>
      </c>
      <c r="BF47" s="149">
        <v>0</v>
      </c>
      <c r="BG47" s="149">
        <v>0</v>
      </c>
      <c r="BH47" s="149">
        <v>0</v>
      </c>
      <c r="BI47" s="149">
        <v>0</v>
      </c>
      <c r="BJ47" s="149">
        <v>0</v>
      </c>
      <c r="BK47" s="149">
        <v>0</v>
      </c>
      <c r="BL47" s="149">
        <v>0</v>
      </c>
      <c r="BM47" s="149">
        <v>0</v>
      </c>
      <c r="BN47" s="149">
        <v>0</v>
      </c>
      <c r="BO47" s="149">
        <v>0</v>
      </c>
      <c r="BP47" s="152"/>
      <c r="BQ47" s="152"/>
      <c r="BR47" s="154" t="s">
        <v>463</v>
      </c>
      <c r="BS47" s="136">
        <v>1</v>
      </c>
      <c r="BT47" s="267">
        <f t="shared" si="3"/>
        <v>2</v>
      </c>
      <c r="BU47" s="267"/>
      <c r="BV47" s="267"/>
      <c r="BW47" s="267"/>
      <c r="BX47" s="267"/>
      <c r="BY47" s="267"/>
      <c r="BZ47" s="267"/>
      <c r="CA47" s="267"/>
      <c r="CB47" s="267"/>
      <c r="CC47" s="267"/>
      <c r="CD47" s="267"/>
      <c r="CE47" s="267"/>
      <c r="CF47" s="267"/>
      <c r="CG47" s="267"/>
      <c r="CH47" s="267"/>
      <c r="CI47" s="267"/>
      <c r="CJ47" s="267"/>
      <c r="CK47" s="267"/>
      <c r="CL47" s="267"/>
      <c r="CM47" s="267"/>
      <c r="CN47" s="101">
        <f t="shared" si="1"/>
        <v>0</v>
      </c>
      <c r="CO47" s="101">
        <f t="shared" si="2"/>
        <v>0</v>
      </c>
    </row>
    <row r="48" spans="1:93" ht="13.9" customHeight="1" x14ac:dyDescent="0.2">
      <c r="A48" s="149">
        <v>3519</v>
      </c>
      <c r="B48" s="150" t="s">
        <v>323</v>
      </c>
      <c r="C48" s="150" t="s">
        <v>458</v>
      </c>
      <c r="D48" s="150" t="s">
        <v>459</v>
      </c>
      <c r="E48" s="150" t="s">
        <v>471</v>
      </c>
      <c r="F48" s="149">
        <v>525782</v>
      </c>
      <c r="G48" s="149">
        <v>175172</v>
      </c>
      <c r="H48" s="150" t="s">
        <v>170</v>
      </c>
      <c r="I48" s="151">
        <v>43848</v>
      </c>
      <c r="J48" s="151"/>
      <c r="K48" s="149">
        <v>0</v>
      </c>
      <c r="L48" s="149">
        <v>25</v>
      </c>
      <c r="M48" s="149">
        <v>25</v>
      </c>
      <c r="N48" s="149">
        <v>554</v>
      </c>
      <c r="O48" s="149">
        <v>554</v>
      </c>
      <c r="P48" s="152" t="s">
        <v>327</v>
      </c>
      <c r="Q48" s="150" t="s">
        <v>461</v>
      </c>
      <c r="R48" s="150" t="s">
        <v>381</v>
      </c>
      <c r="S48" s="151">
        <v>43773</v>
      </c>
      <c r="T48" s="151">
        <v>44315</v>
      </c>
      <c r="U48" s="152"/>
      <c r="V48" s="150" t="s">
        <v>330</v>
      </c>
      <c r="W48" s="151"/>
      <c r="X48" s="150" t="s">
        <v>331</v>
      </c>
      <c r="Y48" s="150" t="s">
        <v>343</v>
      </c>
      <c r="Z48" s="150" t="s">
        <v>343</v>
      </c>
      <c r="AA48" s="150" t="s">
        <v>334</v>
      </c>
      <c r="AB48" s="153">
        <v>0.04</v>
      </c>
      <c r="AC48" s="151">
        <v>44409</v>
      </c>
      <c r="AD48" s="150"/>
      <c r="AE48" s="151">
        <v>45382</v>
      </c>
      <c r="AF48" s="150" t="s">
        <v>49</v>
      </c>
      <c r="AG48" s="152" t="s">
        <v>470</v>
      </c>
      <c r="AH48" s="150" t="s">
        <v>462</v>
      </c>
      <c r="AI48" s="99"/>
      <c r="AJ48" s="149"/>
      <c r="AK48" s="99"/>
      <c r="AL48" s="149"/>
      <c r="AM48" s="102"/>
      <c r="AN48" s="149">
        <v>0</v>
      </c>
      <c r="AO48" s="149">
        <v>0</v>
      </c>
      <c r="AP48" s="149">
        <v>16</v>
      </c>
      <c r="AQ48" s="149">
        <v>9</v>
      </c>
      <c r="AR48" s="149">
        <v>0</v>
      </c>
      <c r="AS48" s="149">
        <v>0</v>
      </c>
      <c r="AT48" s="149">
        <v>0</v>
      </c>
      <c r="AU48" s="149">
        <v>0</v>
      </c>
      <c r="AV48" s="149">
        <v>0</v>
      </c>
      <c r="AW48" s="149">
        <v>16</v>
      </c>
      <c r="AX48" s="149">
        <v>9</v>
      </c>
      <c r="AY48" s="149">
        <v>0</v>
      </c>
      <c r="AZ48" s="149">
        <v>0</v>
      </c>
      <c r="BA48" s="149">
        <v>0</v>
      </c>
      <c r="BB48" s="149">
        <v>0</v>
      </c>
      <c r="BC48" s="149">
        <v>0</v>
      </c>
      <c r="BD48" s="149">
        <v>0</v>
      </c>
      <c r="BE48" s="149">
        <v>0</v>
      </c>
      <c r="BF48" s="149">
        <v>0</v>
      </c>
      <c r="BG48" s="149">
        <v>0</v>
      </c>
      <c r="BH48" s="149">
        <v>0</v>
      </c>
      <c r="BI48" s="149">
        <v>0</v>
      </c>
      <c r="BJ48" s="149">
        <v>0</v>
      </c>
      <c r="BK48" s="149">
        <v>0</v>
      </c>
      <c r="BL48" s="149">
        <v>0</v>
      </c>
      <c r="BM48" s="149">
        <v>0</v>
      </c>
      <c r="BN48" s="149">
        <v>0</v>
      </c>
      <c r="BO48" s="149">
        <v>0</v>
      </c>
      <c r="BP48" s="152"/>
      <c r="BQ48" s="152"/>
      <c r="BR48" s="154" t="s">
        <v>463</v>
      </c>
      <c r="BS48" s="136">
        <v>1</v>
      </c>
      <c r="BT48" s="267">
        <f t="shared" si="3"/>
        <v>25</v>
      </c>
      <c r="BU48" s="267"/>
      <c r="BV48" s="267"/>
      <c r="BW48" s="267"/>
      <c r="BX48" s="267"/>
      <c r="BY48" s="267"/>
      <c r="BZ48" s="267"/>
      <c r="CA48" s="267"/>
      <c r="CB48" s="267"/>
      <c r="CC48" s="267"/>
      <c r="CD48" s="267"/>
      <c r="CE48" s="267"/>
      <c r="CF48" s="267"/>
      <c r="CG48" s="267"/>
      <c r="CH48" s="267"/>
      <c r="CI48" s="267"/>
      <c r="CJ48" s="267"/>
      <c r="CK48" s="267"/>
      <c r="CL48" s="267"/>
      <c r="CM48" s="267"/>
      <c r="CN48" s="101">
        <f t="shared" si="1"/>
        <v>0</v>
      </c>
      <c r="CO48" s="101">
        <f t="shared" si="2"/>
        <v>0</v>
      </c>
    </row>
    <row r="49" spans="1:93" ht="13.9" customHeight="1" x14ac:dyDescent="0.2">
      <c r="A49" s="149">
        <v>3519</v>
      </c>
      <c r="B49" s="150" t="s">
        <v>323</v>
      </c>
      <c r="C49" s="150" t="s">
        <v>458</v>
      </c>
      <c r="D49" s="150" t="s">
        <v>459</v>
      </c>
      <c r="E49" s="150" t="s">
        <v>472</v>
      </c>
      <c r="F49" s="149">
        <v>525782</v>
      </c>
      <c r="G49" s="149">
        <v>175172</v>
      </c>
      <c r="H49" s="150" t="s">
        <v>170</v>
      </c>
      <c r="I49" s="151">
        <v>43848</v>
      </c>
      <c r="J49" s="151"/>
      <c r="K49" s="149">
        <v>0</v>
      </c>
      <c r="L49" s="149">
        <v>22</v>
      </c>
      <c r="M49" s="149">
        <v>22</v>
      </c>
      <c r="N49" s="149">
        <v>554</v>
      </c>
      <c r="O49" s="149">
        <v>554</v>
      </c>
      <c r="P49" s="152" t="s">
        <v>327</v>
      </c>
      <c r="Q49" s="150" t="s">
        <v>461</v>
      </c>
      <c r="R49" s="150" t="s">
        <v>381</v>
      </c>
      <c r="S49" s="151">
        <v>43773</v>
      </c>
      <c r="T49" s="151">
        <v>44315</v>
      </c>
      <c r="U49" s="152"/>
      <c r="V49" s="150" t="s">
        <v>330</v>
      </c>
      <c r="W49" s="151"/>
      <c r="X49" s="150" t="s">
        <v>331</v>
      </c>
      <c r="Y49" s="150" t="s">
        <v>343</v>
      </c>
      <c r="Z49" s="150" t="s">
        <v>343</v>
      </c>
      <c r="AA49" s="150" t="s">
        <v>334</v>
      </c>
      <c r="AB49" s="153">
        <v>3.5000000000000003E-2</v>
      </c>
      <c r="AC49" s="151">
        <v>44409</v>
      </c>
      <c r="AD49" s="150"/>
      <c r="AE49" s="151">
        <v>45382</v>
      </c>
      <c r="AF49" s="150" t="s">
        <v>70</v>
      </c>
      <c r="AG49" s="152" t="s">
        <v>352</v>
      </c>
      <c r="AH49" s="150" t="s">
        <v>462</v>
      </c>
      <c r="AI49" s="99"/>
      <c r="AJ49" s="149"/>
      <c r="AK49" s="99"/>
      <c r="AL49" s="149"/>
      <c r="AM49" s="99"/>
      <c r="AN49" s="149">
        <v>0</v>
      </c>
      <c r="AO49" s="149">
        <v>0</v>
      </c>
      <c r="AP49" s="149">
        <v>21</v>
      </c>
      <c r="AQ49" s="149">
        <v>1</v>
      </c>
      <c r="AR49" s="149">
        <v>0</v>
      </c>
      <c r="AS49" s="149">
        <v>0</v>
      </c>
      <c r="AT49" s="149">
        <v>0</v>
      </c>
      <c r="AU49" s="149">
        <v>0</v>
      </c>
      <c r="AV49" s="149">
        <v>0</v>
      </c>
      <c r="AW49" s="149">
        <v>21</v>
      </c>
      <c r="AX49" s="149">
        <v>1</v>
      </c>
      <c r="AY49" s="149">
        <v>0</v>
      </c>
      <c r="AZ49" s="149">
        <v>0</v>
      </c>
      <c r="BA49" s="149">
        <v>0</v>
      </c>
      <c r="BB49" s="149">
        <v>0</v>
      </c>
      <c r="BC49" s="149">
        <v>0</v>
      </c>
      <c r="BD49" s="149">
        <v>0</v>
      </c>
      <c r="BE49" s="149">
        <v>0</v>
      </c>
      <c r="BF49" s="149">
        <v>0</v>
      </c>
      <c r="BG49" s="149">
        <v>0</v>
      </c>
      <c r="BH49" s="149">
        <v>0</v>
      </c>
      <c r="BI49" s="149">
        <v>0</v>
      </c>
      <c r="BJ49" s="149">
        <v>0</v>
      </c>
      <c r="BK49" s="149">
        <v>0</v>
      </c>
      <c r="BL49" s="149">
        <v>0</v>
      </c>
      <c r="BM49" s="149">
        <v>0</v>
      </c>
      <c r="BN49" s="149">
        <v>0</v>
      </c>
      <c r="BO49" s="149">
        <v>0</v>
      </c>
      <c r="BP49" s="152"/>
      <c r="BQ49" s="152"/>
      <c r="BR49" s="154" t="s">
        <v>463</v>
      </c>
      <c r="BS49" s="136">
        <v>1</v>
      </c>
      <c r="BT49" s="267">
        <f t="shared" si="3"/>
        <v>22</v>
      </c>
      <c r="BU49" s="267"/>
      <c r="BV49" s="267"/>
      <c r="BW49" s="267"/>
      <c r="BX49" s="267"/>
      <c r="BY49" s="267"/>
      <c r="BZ49" s="267"/>
      <c r="CA49" s="267"/>
      <c r="CB49" s="267"/>
      <c r="CC49" s="267"/>
      <c r="CD49" s="267"/>
      <c r="CE49" s="267"/>
      <c r="CF49" s="267"/>
      <c r="CG49" s="267"/>
      <c r="CH49" s="267"/>
      <c r="CI49" s="267"/>
      <c r="CJ49" s="267"/>
      <c r="CK49" s="267"/>
      <c r="CL49" s="267"/>
      <c r="CM49" s="267"/>
      <c r="CN49" s="101">
        <f t="shared" si="1"/>
        <v>0</v>
      </c>
      <c r="CO49" s="101">
        <f t="shared" si="2"/>
        <v>0</v>
      </c>
    </row>
    <row r="50" spans="1:93" ht="13.9" customHeight="1" x14ac:dyDescent="0.2">
      <c r="A50" s="149">
        <v>3519</v>
      </c>
      <c r="B50" s="150" t="s">
        <v>323</v>
      </c>
      <c r="C50" s="150" t="s">
        <v>458</v>
      </c>
      <c r="D50" s="150" t="s">
        <v>459</v>
      </c>
      <c r="E50" s="150" t="s">
        <v>472</v>
      </c>
      <c r="F50" s="149">
        <v>525782</v>
      </c>
      <c r="G50" s="149">
        <v>175172</v>
      </c>
      <c r="H50" s="150" t="s">
        <v>170</v>
      </c>
      <c r="I50" s="151">
        <v>43848</v>
      </c>
      <c r="J50" s="151"/>
      <c r="K50" s="149">
        <v>0</v>
      </c>
      <c r="L50" s="149">
        <v>21</v>
      </c>
      <c r="M50" s="149">
        <v>21</v>
      </c>
      <c r="N50" s="149">
        <v>554</v>
      </c>
      <c r="O50" s="149">
        <v>554</v>
      </c>
      <c r="P50" s="152" t="s">
        <v>327</v>
      </c>
      <c r="Q50" s="150" t="s">
        <v>461</v>
      </c>
      <c r="R50" s="150" t="s">
        <v>381</v>
      </c>
      <c r="S50" s="151">
        <v>43773</v>
      </c>
      <c r="T50" s="151">
        <v>44315</v>
      </c>
      <c r="U50" s="152"/>
      <c r="V50" s="150" t="s">
        <v>330</v>
      </c>
      <c r="W50" s="151"/>
      <c r="X50" s="150" t="s">
        <v>331</v>
      </c>
      <c r="Y50" s="150" t="s">
        <v>343</v>
      </c>
      <c r="Z50" s="150" t="s">
        <v>343</v>
      </c>
      <c r="AA50" s="150" t="s">
        <v>334</v>
      </c>
      <c r="AB50" s="153">
        <v>3.4000000000000002E-2</v>
      </c>
      <c r="AC50" s="151">
        <v>44409</v>
      </c>
      <c r="AD50" s="150"/>
      <c r="AE50" s="151">
        <v>45382</v>
      </c>
      <c r="AF50" s="150" t="s">
        <v>48</v>
      </c>
      <c r="AG50" s="152" t="s">
        <v>335</v>
      </c>
      <c r="AH50" s="150" t="s">
        <v>462</v>
      </c>
      <c r="AI50" s="99"/>
      <c r="AJ50" s="149"/>
      <c r="AK50" s="99"/>
      <c r="AL50" s="149"/>
      <c r="AM50" s="99"/>
      <c r="AN50" s="149">
        <v>0</v>
      </c>
      <c r="AO50" s="149">
        <v>0</v>
      </c>
      <c r="AP50" s="149">
        <v>21</v>
      </c>
      <c r="AQ50" s="149">
        <v>0</v>
      </c>
      <c r="AR50" s="149">
        <v>0</v>
      </c>
      <c r="AS50" s="149">
        <v>0</v>
      </c>
      <c r="AT50" s="149">
        <v>0</v>
      </c>
      <c r="AU50" s="149">
        <v>0</v>
      </c>
      <c r="AV50" s="149">
        <v>0</v>
      </c>
      <c r="AW50" s="149">
        <v>21</v>
      </c>
      <c r="AX50" s="149">
        <v>0</v>
      </c>
      <c r="AY50" s="149">
        <v>0</v>
      </c>
      <c r="AZ50" s="149">
        <v>0</v>
      </c>
      <c r="BA50" s="149">
        <v>0</v>
      </c>
      <c r="BB50" s="149">
        <v>0</v>
      </c>
      <c r="BC50" s="149">
        <v>0</v>
      </c>
      <c r="BD50" s="149">
        <v>0</v>
      </c>
      <c r="BE50" s="149">
        <v>0</v>
      </c>
      <c r="BF50" s="149">
        <v>0</v>
      </c>
      <c r="BG50" s="149">
        <v>0</v>
      </c>
      <c r="BH50" s="149">
        <v>0</v>
      </c>
      <c r="BI50" s="149">
        <v>0</v>
      </c>
      <c r="BJ50" s="149">
        <v>0</v>
      </c>
      <c r="BK50" s="149">
        <v>0</v>
      </c>
      <c r="BL50" s="149">
        <v>0</v>
      </c>
      <c r="BM50" s="149">
        <v>0</v>
      </c>
      <c r="BN50" s="149">
        <v>0</v>
      </c>
      <c r="BO50" s="149">
        <v>0</v>
      </c>
      <c r="BP50" s="152"/>
      <c r="BQ50" s="152"/>
      <c r="BR50" s="154" t="s">
        <v>463</v>
      </c>
      <c r="BS50" s="136">
        <v>1</v>
      </c>
      <c r="BT50" s="267">
        <f t="shared" si="3"/>
        <v>21</v>
      </c>
      <c r="BU50" s="267"/>
      <c r="BV50" s="267"/>
      <c r="BW50" s="267"/>
      <c r="BX50" s="267"/>
      <c r="BY50" s="267"/>
      <c r="BZ50" s="267"/>
      <c r="CA50" s="267"/>
      <c r="CB50" s="267"/>
      <c r="CC50" s="267"/>
      <c r="CD50" s="267"/>
      <c r="CE50" s="267"/>
      <c r="CF50" s="267"/>
      <c r="CG50" s="267"/>
      <c r="CH50" s="267"/>
      <c r="CI50" s="267"/>
      <c r="CJ50" s="267"/>
      <c r="CK50" s="267"/>
      <c r="CL50" s="267"/>
      <c r="CM50" s="267"/>
      <c r="CN50" s="101">
        <f t="shared" si="1"/>
        <v>0</v>
      </c>
      <c r="CO50" s="101">
        <f t="shared" si="2"/>
        <v>0</v>
      </c>
    </row>
    <row r="51" spans="1:93" ht="13.9" customHeight="1" x14ac:dyDescent="0.2">
      <c r="A51" s="149">
        <v>3519</v>
      </c>
      <c r="B51" s="150" t="s">
        <v>323</v>
      </c>
      <c r="C51" s="150" t="s">
        <v>458</v>
      </c>
      <c r="D51" s="150" t="s">
        <v>459</v>
      </c>
      <c r="E51" s="150" t="s">
        <v>473</v>
      </c>
      <c r="F51" s="149">
        <v>525782</v>
      </c>
      <c r="G51" s="149">
        <v>175172</v>
      </c>
      <c r="H51" s="150" t="s">
        <v>170</v>
      </c>
      <c r="I51" s="151">
        <v>43848</v>
      </c>
      <c r="J51" s="151"/>
      <c r="K51" s="149">
        <v>0</v>
      </c>
      <c r="L51" s="149">
        <v>39</v>
      </c>
      <c r="M51" s="149">
        <v>39</v>
      </c>
      <c r="N51" s="149">
        <v>554</v>
      </c>
      <c r="O51" s="149">
        <v>554</v>
      </c>
      <c r="P51" s="152" t="s">
        <v>327</v>
      </c>
      <c r="Q51" s="150" t="s">
        <v>461</v>
      </c>
      <c r="R51" s="150" t="s">
        <v>381</v>
      </c>
      <c r="S51" s="151">
        <v>43773</v>
      </c>
      <c r="T51" s="151">
        <v>44315</v>
      </c>
      <c r="U51" s="152"/>
      <c r="V51" s="150" t="s">
        <v>330</v>
      </c>
      <c r="W51" s="151"/>
      <c r="X51" s="150" t="s">
        <v>331</v>
      </c>
      <c r="Y51" s="150" t="s">
        <v>343</v>
      </c>
      <c r="Z51" s="150" t="s">
        <v>343</v>
      </c>
      <c r="AA51" s="150" t="s">
        <v>334</v>
      </c>
      <c r="AB51" s="153">
        <v>6.3E-2</v>
      </c>
      <c r="AC51" s="151">
        <v>44409</v>
      </c>
      <c r="AD51" s="150"/>
      <c r="AE51" s="151">
        <v>45382</v>
      </c>
      <c r="AF51" s="150" t="s">
        <v>48</v>
      </c>
      <c r="AG51" s="152" t="s">
        <v>335</v>
      </c>
      <c r="AH51" s="150" t="s">
        <v>462</v>
      </c>
      <c r="AI51" s="99"/>
      <c r="AJ51" s="149"/>
      <c r="AK51" s="99"/>
      <c r="AL51" s="149"/>
      <c r="AM51" s="99"/>
      <c r="AN51" s="149">
        <v>0</v>
      </c>
      <c r="AO51" s="149">
        <v>19</v>
      </c>
      <c r="AP51" s="149">
        <v>20</v>
      </c>
      <c r="AQ51" s="149">
        <v>0</v>
      </c>
      <c r="AR51" s="149">
        <v>0</v>
      </c>
      <c r="AS51" s="149">
        <v>0</v>
      </c>
      <c r="AT51" s="149">
        <v>0</v>
      </c>
      <c r="AU51" s="149">
        <v>0</v>
      </c>
      <c r="AV51" s="149">
        <v>19</v>
      </c>
      <c r="AW51" s="149">
        <v>20</v>
      </c>
      <c r="AX51" s="149">
        <v>0</v>
      </c>
      <c r="AY51" s="149">
        <v>0</v>
      </c>
      <c r="AZ51" s="149">
        <v>0</v>
      </c>
      <c r="BA51" s="149">
        <v>0</v>
      </c>
      <c r="BB51" s="149">
        <v>0</v>
      </c>
      <c r="BC51" s="149">
        <v>0</v>
      </c>
      <c r="BD51" s="149">
        <v>0</v>
      </c>
      <c r="BE51" s="149">
        <v>0</v>
      </c>
      <c r="BF51" s="149">
        <v>0</v>
      </c>
      <c r="BG51" s="149">
        <v>0</v>
      </c>
      <c r="BH51" s="149">
        <v>0</v>
      </c>
      <c r="BI51" s="149">
        <v>0</v>
      </c>
      <c r="BJ51" s="149">
        <v>0</v>
      </c>
      <c r="BK51" s="149">
        <v>0</v>
      </c>
      <c r="BL51" s="149">
        <v>0</v>
      </c>
      <c r="BM51" s="149">
        <v>0</v>
      </c>
      <c r="BN51" s="149">
        <v>0</v>
      </c>
      <c r="BO51" s="149">
        <v>0</v>
      </c>
      <c r="BP51" s="152"/>
      <c r="BQ51" s="152"/>
      <c r="BR51" s="154" t="s">
        <v>463</v>
      </c>
      <c r="BS51" s="136">
        <v>1</v>
      </c>
      <c r="BT51" s="267">
        <f t="shared" si="3"/>
        <v>39</v>
      </c>
      <c r="BU51" s="267"/>
      <c r="BV51" s="267"/>
      <c r="BW51" s="267"/>
      <c r="BX51" s="267"/>
      <c r="BY51" s="267"/>
      <c r="BZ51" s="267"/>
      <c r="CA51" s="267"/>
      <c r="CB51" s="267"/>
      <c r="CC51" s="267"/>
      <c r="CD51" s="267"/>
      <c r="CE51" s="267"/>
      <c r="CF51" s="267"/>
      <c r="CG51" s="267"/>
      <c r="CH51" s="267"/>
      <c r="CI51" s="267"/>
      <c r="CJ51" s="267"/>
      <c r="CK51" s="267"/>
      <c r="CL51" s="267"/>
      <c r="CM51" s="267"/>
      <c r="CN51" s="101">
        <f t="shared" si="1"/>
        <v>0</v>
      </c>
      <c r="CO51" s="101">
        <f t="shared" si="2"/>
        <v>0</v>
      </c>
    </row>
    <row r="52" spans="1:93" ht="13.9" customHeight="1" x14ac:dyDescent="0.2">
      <c r="A52" s="149">
        <v>7299</v>
      </c>
      <c r="B52" s="150" t="s">
        <v>323</v>
      </c>
      <c r="C52" s="150" t="s">
        <v>474</v>
      </c>
      <c r="D52" s="150" t="s">
        <v>475</v>
      </c>
      <c r="E52" s="150" t="s">
        <v>326</v>
      </c>
      <c r="F52" s="149">
        <v>524756</v>
      </c>
      <c r="G52" s="149">
        <v>173258</v>
      </c>
      <c r="H52" s="150" t="s">
        <v>169</v>
      </c>
      <c r="I52" s="151">
        <v>44146</v>
      </c>
      <c r="J52" s="151">
        <v>45376</v>
      </c>
      <c r="K52" s="149">
        <v>0</v>
      </c>
      <c r="L52" s="149">
        <v>5</v>
      </c>
      <c r="M52" s="149">
        <v>5</v>
      </c>
      <c r="N52" s="149">
        <v>5</v>
      </c>
      <c r="O52" s="149">
        <v>5</v>
      </c>
      <c r="P52" s="152"/>
      <c r="Q52" s="150" t="s">
        <v>476</v>
      </c>
      <c r="R52" s="150" t="s">
        <v>349</v>
      </c>
      <c r="S52" s="151">
        <v>43790</v>
      </c>
      <c r="T52" s="151">
        <v>43949</v>
      </c>
      <c r="U52" s="152"/>
      <c r="V52" s="150" t="s">
        <v>330</v>
      </c>
      <c r="W52" s="151"/>
      <c r="X52" s="150" t="s">
        <v>331</v>
      </c>
      <c r="Y52" s="150" t="s">
        <v>332</v>
      </c>
      <c r="Z52" s="150" t="s">
        <v>334</v>
      </c>
      <c r="AA52" s="150" t="s">
        <v>29</v>
      </c>
      <c r="AB52" s="153">
        <v>1.4E-2</v>
      </c>
      <c r="AC52" s="151">
        <v>44146</v>
      </c>
      <c r="AD52" s="150"/>
      <c r="AE52" s="151">
        <v>45376</v>
      </c>
      <c r="AF52" s="150" t="s">
        <v>70</v>
      </c>
      <c r="AG52" s="152" t="s">
        <v>352</v>
      </c>
      <c r="AH52" s="150" t="s">
        <v>326</v>
      </c>
      <c r="AI52" s="99"/>
      <c r="AJ52" s="149"/>
      <c r="AK52" s="99"/>
      <c r="AL52" s="149"/>
      <c r="AM52" s="99"/>
      <c r="AN52" s="149">
        <v>1</v>
      </c>
      <c r="AO52" s="149">
        <v>1</v>
      </c>
      <c r="AP52" s="149">
        <v>2</v>
      </c>
      <c r="AQ52" s="149">
        <v>1</v>
      </c>
      <c r="AR52" s="149">
        <v>0</v>
      </c>
      <c r="AS52" s="149">
        <v>0</v>
      </c>
      <c r="AT52" s="149">
        <v>0</v>
      </c>
      <c r="AU52" s="149">
        <v>1</v>
      </c>
      <c r="AV52" s="149">
        <v>1</v>
      </c>
      <c r="AW52" s="149">
        <v>2</v>
      </c>
      <c r="AX52" s="149">
        <v>1</v>
      </c>
      <c r="AY52" s="149">
        <v>0</v>
      </c>
      <c r="AZ52" s="149">
        <v>0</v>
      </c>
      <c r="BA52" s="149">
        <v>0</v>
      </c>
      <c r="BB52" s="149">
        <v>0</v>
      </c>
      <c r="BC52" s="149">
        <v>0</v>
      </c>
      <c r="BD52" s="149">
        <v>0</v>
      </c>
      <c r="BE52" s="149">
        <v>0</v>
      </c>
      <c r="BF52" s="149">
        <v>0</v>
      </c>
      <c r="BG52" s="149">
        <v>0</v>
      </c>
      <c r="BH52" s="149">
        <v>0</v>
      </c>
      <c r="BI52" s="149">
        <v>0</v>
      </c>
      <c r="BJ52" s="149">
        <v>0</v>
      </c>
      <c r="BK52" s="149">
        <v>0</v>
      </c>
      <c r="BL52" s="149">
        <v>0</v>
      </c>
      <c r="BM52" s="149">
        <v>0</v>
      </c>
      <c r="BN52" s="149">
        <v>0</v>
      </c>
      <c r="BO52" s="149">
        <v>0</v>
      </c>
      <c r="BP52" s="152"/>
      <c r="BQ52" s="152"/>
      <c r="BR52" s="154" t="s">
        <v>359</v>
      </c>
      <c r="BS52" s="136">
        <v>11</v>
      </c>
      <c r="BT52" s="267">
        <f t="shared" si="3"/>
        <v>5</v>
      </c>
      <c r="BU52" s="267"/>
      <c r="BV52" s="267"/>
      <c r="BW52" s="267"/>
      <c r="BX52" s="267"/>
      <c r="BY52" s="267"/>
      <c r="BZ52" s="267"/>
      <c r="CA52" s="267"/>
      <c r="CB52" s="267"/>
      <c r="CC52" s="267"/>
      <c r="CD52" s="267"/>
      <c r="CE52" s="267"/>
      <c r="CF52" s="267"/>
      <c r="CG52" s="267"/>
      <c r="CH52" s="267"/>
      <c r="CI52" s="267"/>
      <c r="CJ52" s="267"/>
      <c r="CK52" s="267"/>
      <c r="CL52" s="267"/>
      <c r="CM52" s="267"/>
      <c r="CN52" s="101">
        <f t="shared" si="1"/>
        <v>0</v>
      </c>
      <c r="CO52" s="101">
        <f t="shared" si="2"/>
        <v>0</v>
      </c>
    </row>
    <row r="53" spans="1:93" ht="13.9" customHeight="1" x14ac:dyDescent="0.2">
      <c r="A53" s="149">
        <v>3522</v>
      </c>
      <c r="B53" s="150" t="s">
        <v>323</v>
      </c>
      <c r="C53" s="150" t="s">
        <v>477</v>
      </c>
      <c r="D53" s="150" t="s">
        <v>478</v>
      </c>
      <c r="E53" s="150" t="s">
        <v>479</v>
      </c>
      <c r="F53" s="149">
        <v>525912</v>
      </c>
      <c r="G53" s="149">
        <v>175143</v>
      </c>
      <c r="H53" s="150" t="s">
        <v>170</v>
      </c>
      <c r="I53" s="151">
        <v>43922</v>
      </c>
      <c r="J53" s="151"/>
      <c r="K53" s="149">
        <v>0</v>
      </c>
      <c r="L53" s="149">
        <v>27</v>
      </c>
      <c r="M53" s="149">
        <v>27</v>
      </c>
      <c r="N53" s="149">
        <v>480</v>
      </c>
      <c r="O53" s="149">
        <v>480</v>
      </c>
      <c r="P53" s="152" t="s">
        <v>327</v>
      </c>
      <c r="Q53" s="150" t="s">
        <v>480</v>
      </c>
      <c r="R53" s="150" t="s">
        <v>381</v>
      </c>
      <c r="S53" s="151">
        <v>43836</v>
      </c>
      <c r="T53" s="151">
        <v>44474</v>
      </c>
      <c r="U53" s="152"/>
      <c r="V53" s="150" t="s">
        <v>330</v>
      </c>
      <c r="W53" s="151"/>
      <c r="X53" s="150" t="s">
        <v>331</v>
      </c>
      <c r="Y53" s="150" t="s">
        <v>343</v>
      </c>
      <c r="Z53" s="150" t="s">
        <v>343</v>
      </c>
      <c r="AA53" s="150" t="s">
        <v>334</v>
      </c>
      <c r="AB53" s="153">
        <v>2.7E-2</v>
      </c>
      <c r="AC53" s="151">
        <v>44652</v>
      </c>
      <c r="AD53" s="150"/>
      <c r="AE53" s="151">
        <v>45382</v>
      </c>
      <c r="AF53" s="150" t="s">
        <v>49</v>
      </c>
      <c r="AG53" s="152" t="s">
        <v>481</v>
      </c>
      <c r="AH53" s="150" t="s">
        <v>482</v>
      </c>
      <c r="AI53" s="99"/>
      <c r="AJ53" s="149"/>
      <c r="AK53" s="99"/>
      <c r="AL53" s="149"/>
      <c r="AM53" s="138">
        <v>10</v>
      </c>
      <c r="AN53" s="149">
        <v>0</v>
      </c>
      <c r="AO53" s="149">
        <v>13</v>
      </c>
      <c r="AP53" s="149">
        <v>11</v>
      </c>
      <c r="AQ53" s="149">
        <v>3</v>
      </c>
      <c r="AR53" s="149">
        <v>0</v>
      </c>
      <c r="AS53" s="149">
        <v>0</v>
      </c>
      <c r="AT53" s="149">
        <v>0</v>
      </c>
      <c r="AU53" s="149">
        <v>0</v>
      </c>
      <c r="AV53" s="149">
        <v>13</v>
      </c>
      <c r="AW53" s="149">
        <v>11</v>
      </c>
      <c r="AX53" s="149">
        <v>3</v>
      </c>
      <c r="AY53" s="149">
        <v>0</v>
      </c>
      <c r="AZ53" s="149">
        <v>0</v>
      </c>
      <c r="BA53" s="149">
        <v>0</v>
      </c>
      <c r="BB53" s="149">
        <v>0</v>
      </c>
      <c r="BC53" s="149">
        <v>0</v>
      </c>
      <c r="BD53" s="149">
        <v>0</v>
      </c>
      <c r="BE53" s="149">
        <v>0</v>
      </c>
      <c r="BF53" s="149">
        <v>0</v>
      </c>
      <c r="BG53" s="149">
        <v>0</v>
      </c>
      <c r="BH53" s="149">
        <v>0</v>
      </c>
      <c r="BI53" s="149">
        <v>0</v>
      </c>
      <c r="BJ53" s="149">
        <v>0</v>
      </c>
      <c r="BK53" s="149">
        <v>0</v>
      </c>
      <c r="BL53" s="149">
        <v>0</v>
      </c>
      <c r="BM53" s="149">
        <v>0</v>
      </c>
      <c r="BN53" s="149">
        <v>0</v>
      </c>
      <c r="BO53" s="149">
        <v>0</v>
      </c>
      <c r="BP53" s="152"/>
      <c r="BQ53" s="152"/>
      <c r="BR53" s="154" t="s">
        <v>463</v>
      </c>
      <c r="BS53" s="136">
        <v>1</v>
      </c>
      <c r="BT53" s="267">
        <f t="shared" si="3"/>
        <v>27</v>
      </c>
      <c r="BU53" s="267"/>
      <c r="BV53" s="267"/>
      <c r="BW53" s="267"/>
      <c r="BX53" s="267"/>
      <c r="BY53" s="267"/>
      <c r="BZ53" s="267"/>
      <c r="CA53" s="267"/>
      <c r="CB53" s="267"/>
      <c r="CC53" s="267"/>
      <c r="CD53" s="267"/>
      <c r="CE53" s="267"/>
      <c r="CF53" s="267"/>
      <c r="CG53" s="267"/>
      <c r="CH53" s="267"/>
      <c r="CI53" s="267"/>
      <c r="CJ53" s="267"/>
      <c r="CK53" s="267"/>
      <c r="CL53" s="267"/>
      <c r="CM53" s="267"/>
      <c r="CN53" s="101">
        <f t="shared" si="1"/>
        <v>0</v>
      </c>
      <c r="CO53" s="101">
        <f t="shared" si="2"/>
        <v>0</v>
      </c>
    </row>
    <row r="54" spans="1:93" ht="13.9" customHeight="1" x14ac:dyDescent="0.2">
      <c r="A54" s="149">
        <v>3522</v>
      </c>
      <c r="B54" s="150" t="s">
        <v>323</v>
      </c>
      <c r="C54" s="150" t="s">
        <v>477</v>
      </c>
      <c r="D54" s="150" t="s">
        <v>478</v>
      </c>
      <c r="E54" s="150" t="s">
        <v>483</v>
      </c>
      <c r="F54" s="149">
        <v>525912</v>
      </c>
      <c r="G54" s="149">
        <v>175143</v>
      </c>
      <c r="H54" s="150" t="s">
        <v>170</v>
      </c>
      <c r="I54" s="151">
        <v>43922</v>
      </c>
      <c r="J54" s="151"/>
      <c r="K54" s="149">
        <v>0</v>
      </c>
      <c r="L54" s="149">
        <v>43</v>
      </c>
      <c r="M54" s="149">
        <v>43</v>
      </c>
      <c r="N54" s="149">
        <v>480</v>
      </c>
      <c r="O54" s="149">
        <v>480</v>
      </c>
      <c r="P54" s="152" t="s">
        <v>327</v>
      </c>
      <c r="Q54" s="150" t="s">
        <v>480</v>
      </c>
      <c r="R54" s="150" t="s">
        <v>381</v>
      </c>
      <c r="S54" s="151">
        <v>43836</v>
      </c>
      <c r="T54" s="151">
        <v>44474</v>
      </c>
      <c r="U54" s="152"/>
      <c r="V54" s="150" t="s">
        <v>330</v>
      </c>
      <c r="W54" s="151"/>
      <c r="X54" s="150" t="s">
        <v>331</v>
      </c>
      <c r="Y54" s="150" t="s">
        <v>343</v>
      </c>
      <c r="Z54" s="150" t="s">
        <v>343</v>
      </c>
      <c r="AA54" s="150" t="s">
        <v>334</v>
      </c>
      <c r="AB54" s="153">
        <v>4.2700000000000002E-2</v>
      </c>
      <c r="AC54" s="151">
        <v>44652</v>
      </c>
      <c r="AD54" s="150"/>
      <c r="AE54" s="151">
        <v>45382</v>
      </c>
      <c r="AF54" s="150" t="s">
        <v>48</v>
      </c>
      <c r="AG54" s="152" t="s">
        <v>344</v>
      </c>
      <c r="AH54" s="150" t="s">
        <v>482</v>
      </c>
      <c r="AI54" s="99"/>
      <c r="AJ54" s="149"/>
      <c r="AK54" s="99"/>
      <c r="AL54" s="149"/>
      <c r="AM54" s="99"/>
      <c r="AN54" s="149">
        <v>0</v>
      </c>
      <c r="AO54" s="149">
        <v>20</v>
      </c>
      <c r="AP54" s="149">
        <v>20</v>
      </c>
      <c r="AQ54" s="149">
        <v>3</v>
      </c>
      <c r="AR54" s="149">
        <v>0</v>
      </c>
      <c r="AS54" s="149">
        <v>0</v>
      </c>
      <c r="AT54" s="149">
        <v>0</v>
      </c>
      <c r="AU54" s="149">
        <v>0</v>
      </c>
      <c r="AV54" s="149">
        <v>20</v>
      </c>
      <c r="AW54" s="149">
        <v>20</v>
      </c>
      <c r="AX54" s="149">
        <v>3</v>
      </c>
      <c r="AY54" s="149">
        <v>0</v>
      </c>
      <c r="AZ54" s="149">
        <v>0</v>
      </c>
      <c r="BA54" s="149">
        <v>0</v>
      </c>
      <c r="BB54" s="149">
        <v>0</v>
      </c>
      <c r="BC54" s="149">
        <v>0</v>
      </c>
      <c r="BD54" s="149">
        <v>0</v>
      </c>
      <c r="BE54" s="149">
        <v>0</v>
      </c>
      <c r="BF54" s="149">
        <v>0</v>
      </c>
      <c r="BG54" s="149">
        <v>0</v>
      </c>
      <c r="BH54" s="149">
        <v>0</v>
      </c>
      <c r="BI54" s="149">
        <v>0</v>
      </c>
      <c r="BJ54" s="149">
        <v>0</v>
      </c>
      <c r="BK54" s="149">
        <v>0</v>
      </c>
      <c r="BL54" s="149">
        <v>0</v>
      </c>
      <c r="BM54" s="149">
        <v>0</v>
      </c>
      <c r="BN54" s="149">
        <v>0</v>
      </c>
      <c r="BO54" s="149">
        <v>0</v>
      </c>
      <c r="BP54" s="152"/>
      <c r="BQ54" s="152"/>
      <c r="BR54" s="154" t="s">
        <v>463</v>
      </c>
      <c r="BS54" s="136">
        <v>1</v>
      </c>
      <c r="BT54" s="267">
        <f t="shared" si="3"/>
        <v>43</v>
      </c>
      <c r="BU54" s="267"/>
      <c r="BV54" s="267"/>
      <c r="BW54" s="267"/>
      <c r="BX54" s="267"/>
      <c r="BY54" s="267"/>
      <c r="BZ54" s="267"/>
      <c r="CA54" s="267"/>
      <c r="CB54" s="267"/>
      <c r="CC54" s="267"/>
      <c r="CD54" s="267"/>
      <c r="CE54" s="267"/>
      <c r="CF54" s="267"/>
      <c r="CG54" s="267"/>
      <c r="CH54" s="267"/>
      <c r="CI54" s="267"/>
      <c r="CJ54" s="267"/>
      <c r="CK54" s="267"/>
      <c r="CL54" s="267"/>
      <c r="CM54" s="267"/>
      <c r="CN54" s="101">
        <f t="shared" si="1"/>
        <v>0</v>
      </c>
      <c r="CO54" s="101">
        <f t="shared" si="2"/>
        <v>0</v>
      </c>
    </row>
    <row r="55" spans="1:93" ht="13.9" customHeight="1" x14ac:dyDescent="0.2">
      <c r="A55" s="149">
        <v>3522</v>
      </c>
      <c r="B55" s="150" t="s">
        <v>323</v>
      </c>
      <c r="C55" s="150" t="s">
        <v>477</v>
      </c>
      <c r="D55" s="150" t="s">
        <v>478</v>
      </c>
      <c r="E55" s="150" t="s">
        <v>484</v>
      </c>
      <c r="F55" s="149">
        <v>525912</v>
      </c>
      <c r="G55" s="149">
        <v>175143</v>
      </c>
      <c r="H55" s="150" t="s">
        <v>170</v>
      </c>
      <c r="I55" s="151">
        <v>43922</v>
      </c>
      <c r="J55" s="151"/>
      <c r="K55" s="149">
        <v>0</v>
      </c>
      <c r="L55" s="149">
        <v>70</v>
      </c>
      <c r="M55" s="149">
        <v>70</v>
      </c>
      <c r="N55" s="149">
        <v>480</v>
      </c>
      <c r="O55" s="149">
        <v>480</v>
      </c>
      <c r="P55" s="152" t="s">
        <v>327</v>
      </c>
      <c r="Q55" s="150" t="s">
        <v>480</v>
      </c>
      <c r="R55" s="150" t="s">
        <v>381</v>
      </c>
      <c r="S55" s="151">
        <v>43836</v>
      </c>
      <c r="T55" s="151">
        <v>44474</v>
      </c>
      <c r="U55" s="152"/>
      <c r="V55" s="150" t="s">
        <v>330</v>
      </c>
      <c r="W55" s="151"/>
      <c r="X55" s="150" t="s">
        <v>331</v>
      </c>
      <c r="Y55" s="150" t="s">
        <v>343</v>
      </c>
      <c r="Z55" s="150" t="s">
        <v>343</v>
      </c>
      <c r="AA55" s="150" t="s">
        <v>334</v>
      </c>
      <c r="AB55" s="153">
        <v>6.9000000000000006E-2</v>
      </c>
      <c r="AC55" s="151">
        <v>44287</v>
      </c>
      <c r="AD55" s="150"/>
      <c r="AE55" s="151">
        <v>45382</v>
      </c>
      <c r="AF55" s="150" t="s">
        <v>49</v>
      </c>
      <c r="AG55" s="152" t="s">
        <v>481</v>
      </c>
      <c r="AH55" s="150" t="s">
        <v>482</v>
      </c>
      <c r="AI55" s="99"/>
      <c r="AJ55" s="149"/>
      <c r="AK55" s="99"/>
      <c r="AL55" s="149"/>
      <c r="AM55" s="138">
        <v>18</v>
      </c>
      <c r="AN55" s="149">
        <v>0</v>
      </c>
      <c r="AO55" s="149">
        <v>36</v>
      </c>
      <c r="AP55" s="149">
        <v>17</v>
      </c>
      <c r="AQ55" s="149">
        <v>17</v>
      </c>
      <c r="AR55" s="149">
        <v>0</v>
      </c>
      <c r="AS55" s="149">
        <v>0</v>
      </c>
      <c r="AT55" s="149">
        <v>0</v>
      </c>
      <c r="AU55" s="149">
        <v>0</v>
      </c>
      <c r="AV55" s="149">
        <v>36</v>
      </c>
      <c r="AW55" s="149">
        <v>17</v>
      </c>
      <c r="AX55" s="149">
        <v>17</v>
      </c>
      <c r="AY55" s="149">
        <v>0</v>
      </c>
      <c r="AZ55" s="149">
        <v>0</v>
      </c>
      <c r="BA55" s="149">
        <v>0</v>
      </c>
      <c r="BB55" s="149">
        <v>0</v>
      </c>
      <c r="BC55" s="149">
        <v>0</v>
      </c>
      <c r="BD55" s="149">
        <v>0</v>
      </c>
      <c r="BE55" s="149">
        <v>0</v>
      </c>
      <c r="BF55" s="149">
        <v>0</v>
      </c>
      <c r="BG55" s="149">
        <v>0</v>
      </c>
      <c r="BH55" s="149">
        <v>0</v>
      </c>
      <c r="BI55" s="149">
        <v>0</v>
      </c>
      <c r="BJ55" s="149">
        <v>0</v>
      </c>
      <c r="BK55" s="149">
        <v>0</v>
      </c>
      <c r="BL55" s="149">
        <v>0</v>
      </c>
      <c r="BM55" s="149">
        <v>0</v>
      </c>
      <c r="BN55" s="149">
        <v>0</v>
      </c>
      <c r="BO55" s="149">
        <v>0</v>
      </c>
      <c r="BP55" s="152"/>
      <c r="BQ55" s="152"/>
      <c r="BR55" s="154" t="s">
        <v>463</v>
      </c>
      <c r="BS55" s="136">
        <v>1</v>
      </c>
      <c r="BT55" s="267">
        <f t="shared" si="3"/>
        <v>70</v>
      </c>
      <c r="BU55" s="267"/>
      <c r="BV55" s="267"/>
      <c r="BW55" s="267"/>
      <c r="BX55" s="267"/>
      <c r="BY55" s="267"/>
      <c r="BZ55" s="267"/>
      <c r="CA55" s="267"/>
      <c r="CB55" s="267"/>
      <c r="CC55" s="267"/>
      <c r="CD55" s="267"/>
      <c r="CE55" s="267"/>
      <c r="CF55" s="267"/>
      <c r="CG55" s="267"/>
      <c r="CH55" s="267"/>
      <c r="CI55" s="267"/>
      <c r="CJ55" s="267"/>
      <c r="CK55" s="267"/>
      <c r="CL55" s="267"/>
      <c r="CM55" s="267"/>
      <c r="CN55" s="101">
        <f t="shared" si="1"/>
        <v>0</v>
      </c>
      <c r="CO55" s="101">
        <f t="shared" si="2"/>
        <v>0</v>
      </c>
    </row>
    <row r="56" spans="1:93" ht="13.9" customHeight="1" x14ac:dyDescent="0.2">
      <c r="A56" s="149">
        <v>7360</v>
      </c>
      <c r="B56" s="150" t="s">
        <v>323</v>
      </c>
      <c r="C56" s="150" t="s">
        <v>485</v>
      </c>
      <c r="D56" s="150" t="s">
        <v>486</v>
      </c>
      <c r="E56" s="150" t="s">
        <v>326</v>
      </c>
      <c r="F56" s="149">
        <v>527443</v>
      </c>
      <c r="G56" s="149">
        <v>176347</v>
      </c>
      <c r="H56" s="150" t="s">
        <v>170</v>
      </c>
      <c r="I56" s="151">
        <v>44368</v>
      </c>
      <c r="J56" s="151">
        <v>45333</v>
      </c>
      <c r="K56" s="149">
        <v>0</v>
      </c>
      <c r="L56" s="149">
        <v>2</v>
      </c>
      <c r="M56" s="149">
        <v>2</v>
      </c>
      <c r="N56" s="149">
        <v>2</v>
      </c>
      <c r="O56" s="149">
        <v>2</v>
      </c>
      <c r="P56" s="152"/>
      <c r="Q56" s="150" t="s">
        <v>487</v>
      </c>
      <c r="R56" s="150" t="s">
        <v>349</v>
      </c>
      <c r="S56" s="151">
        <v>43889</v>
      </c>
      <c r="T56" s="151">
        <v>44091</v>
      </c>
      <c r="U56" s="152"/>
      <c r="V56" s="150" t="s">
        <v>330</v>
      </c>
      <c r="W56" s="151"/>
      <c r="X56" s="150" t="s">
        <v>331</v>
      </c>
      <c r="Y56" s="150" t="s">
        <v>398</v>
      </c>
      <c r="Z56" s="150" t="s">
        <v>334</v>
      </c>
      <c r="AA56" s="150" t="s">
        <v>413</v>
      </c>
      <c r="AB56" s="153">
        <v>1.2E-2</v>
      </c>
      <c r="AC56" s="151">
        <v>44368</v>
      </c>
      <c r="AD56" s="150"/>
      <c r="AE56" s="151">
        <v>45333</v>
      </c>
      <c r="AF56" s="150" t="s">
        <v>70</v>
      </c>
      <c r="AG56" s="152" t="s">
        <v>352</v>
      </c>
      <c r="AH56" s="150" t="s">
        <v>326</v>
      </c>
      <c r="AI56" s="99"/>
      <c r="AJ56" s="149"/>
      <c r="AK56" s="99"/>
      <c r="AL56" s="149"/>
      <c r="AM56" s="99"/>
      <c r="AN56" s="149">
        <v>0</v>
      </c>
      <c r="AO56" s="149">
        <v>2</v>
      </c>
      <c r="AP56" s="149">
        <v>0</v>
      </c>
      <c r="AQ56" s="149">
        <v>0</v>
      </c>
      <c r="AR56" s="149">
        <v>0</v>
      </c>
      <c r="AS56" s="149">
        <v>0</v>
      </c>
      <c r="AT56" s="149">
        <v>0</v>
      </c>
      <c r="AU56" s="149">
        <v>0</v>
      </c>
      <c r="AV56" s="149">
        <v>2</v>
      </c>
      <c r="AW56" s="149">
        <v>0</v>
      </c>
      <c r="AX56" s="149">
        <v>0</v>
      </c>
      <c r="AY56" s="149">
        <v>0</v>
      </c>
      <c r="AZ56" s="149">
        <v>0</v>
      </c>
      <c r="BA56" s="149">
        <v>0</v>
      </c>
      <c r="BB56" s="149">
        <v>0</v>
      </c>
      <c r="BC56" s="149">
        <v>0</v>
      </c>
      <c r="BD56" s="149">
        <v>0</v>
      </c>
      <c r="BE56" s="149">
        <v>0</v>
      </c>
      <c r="BF56" s="149">
        <v>0</v>
      </c>
      <c r="BG56" s="149">
        <v>0</v>
      </c>
      <c r="BH56" s="149">
        <v>0</v>
      </c>
      <c r="BI56" s="149">
        <v>0</v>
      </c>
      <c r="BJ56" s="149">
        <v>0</v>
      </c>
      <c r="BK56" s="149">
        <v>0</v>
      </c>
      <c r="BL56" s="149">
        <v>0</v>
      </c>
      <c r="BM56" s="149">
        <v>0</v>
      </c>
      <c r="BN56" s="149">
        <v>0</v>
      </c>
      <c r="BO56" s="149">
        <v>0</v>
      </c>
      <c r="BP56" s="152"/>
      <c r="BQ56" s="152"/>
      <c r="BR56" s="154" t="s">
        <v>359</v>
      </c>
      <c r="BS56" s="136">
        <v>11</v>
      </c>
      <c r="BT56" s="267">
        <f t="shared" si="3"/>
        <v>2</v>
      </c>
      <c r="BU56" s="267"/>
      <c r="BV56" s="267"/>
      <c r="BW56" s="267"/>
      <c r="BX56" s="267"/>
      <c r="BY56" s="267"/>
      <c r="BZ56" s="267"/>
      <c r="CA56" s="267"/>
      <c r="CB56" s="267"/>
      <c r="CC56" s="267"/>
      <c r="CD56" s="267"/>
      <c r="CE56" s="267"/>
      <c r="CF56" s="267"/>
      <c r="CG56" s="267"/>
      <c r="CH56" s="267"/>
      <c r="CI56" s="267"/>
      <c r="CJ56" s="267"/>
      <c r="CK56" s="267"/>
      <c r="CL56" s="267"/>
      <c r="CM56" s="267"/>
      <c r="CN56" s="101">
        <f t="shared" si="1"/>
        <v>0</v>
      </c>
      <c r="CO56" s="101">
        <f t="shared" si="2"/>
        <v>0</v>
      </c>
    </row>
    <row r="57" spans="1:93" ht="13.9" customHeight="1" x14ac:dyDescent="0.2">
      <c r="A57" s="149">
        <v>2784</v>
      </c>
      <c r="B57" s="150" t="s">
        <v>323</v>
      </c>
      <c r="C57" s="150" t="s">
        <v>488</v>
      </c>
      <c r="D57" s="150" t="s">
        <v>489</v>
      </c>
      <c r="E57" s="150" t="s">
        <v>326</v>
      </c>
      <c r="F57" s="149">
        <v>523820</v>
      </c>
      <c r="G57" s="149">
        <v>175047</v>
      </c>
      <c r="H57" s="150" t="s">
        <v>179</v>
      </c>
      <c r="I57" s="151">
        <v>44652</v>
      </c>
      <c r="J57" s="151">
        <v>45382</v>
      </c>
      <c r="K57" s="149">
        <v>0</v>
      </c>
      <c r="L57" s="149">
        <v>1</v>
      </c>
      <c r="M57" s="149">
        <v>1</v>
      </c>
      <c r="N57" s="149">
        <v>1</v>
      </c>
      <c r="O57" s="149">
        <v>1</v>
      </c>
      <c r="P57" s="152"/>
      <c r="Q57" s="150" t="s">
        <v>490</v>
      </c>
      <c r="R57" s="150" t="s">
        <v>349</v>
      </c>
      <c r="S57" s="151">
        <v>43859</v>
      </c>
      <c r="T57" s="151">
        <v>43978</v>
      </c>
      <c r="U57" s="152"/>
      <c r="V57" s="150" t="s">
        <v>330</v>
      </c>
      <c r="W57" s="151"/>
      <c r="X57" s="150" t="s">
        <v>331</v>
      </c>
      <c r="Y57" s="150" t="s">
        <v>491</v>
      </c>
      <c r="Z57" s="150" t="s">
        <v>334</v>
      </c>
      <c r="AA57" s="150" t="s">
        <v>413</v>
      </c>
      <c r="AB57" s="153">
        <v>6.0000000000000001E-3</v>
      </c>
      <c r="AC57" s="151">
        <v>44652</v>
      </c>
      <c r="AD57" s="150"/>
      <c r="AE57" s="151">
        <v>45382</v>
      </c>
      <c r="AF57" s="150" t="s">
        <v>70</v>
      </c>
      <c r="AG57" s="152" t="s">
        <v>352</v>
      </c>
      <c r="AH57" s="150" t="s">
        <v>326</v>
      </c>
      <c r="AI57" s="99"/>
      <c r="AJ57" s="149"/>
      <c r="AK57" s="99"/>
      <c r="AL57" s="149"/>
      <c r="AM57" s="99"/>
      <c r="AN57" s="149">
        <v>0</v>
      </c>
      <c r="AO57" s="149">
        <v>0</v>
      </c>
      <c r="AP57" s="149">
        <v>0</v>
      </c>
      <c r="AQ57" s="149">
        <v>1</v>
      </c>
      <c r="AR57" s="149">
        <v>0</v>
      </c>
      <c r="AS57" s="149">
        <v>0</v>
      </c>
      <c r="AT57" s="149">
        <v>0</v>
      </c>
      <c r="AU57" s="149">
        <v>0</v>
      </c>
      <c r="AV57" s="149">
        <v>0</v>
      </c>
      <c r="AW57" s="149">
        <v>0</v>
      </c>
      <c r="AX57" s="149">
        <v>1</v>
      </c>
      <c r="AY57" s="149">
        <v>0</v>
      </c>
      <c r="AZ57" s="149">
        <v>0</v>
      </c>
      <c r="BA57" s="149">
        <v>0</v>
      </c>
      <c r="BB57" s="149">
        <v>0</v>
      </c>
      <c r="BC57" s="149">
        <v>0</v>
      </c>
      <c r="BD57" s="149">
        <v>0</v>
      </c>
      <c r="BE57" s="149">
        <v>0</v>
      </c>
      <c r="BF57" s="149">
        <v>0</v>
      </c>
      <c r="BG57" s="149">
        <v>0</v>
      </c>
      <c r="BH57" s="149">
        <v>0</v>
      </c>
      <c r="BI57" s="149">
        <v>0</v>
      </c>
      <c r="BJ57" s="149">
        <v>0</v>
      </c>
      <c r="BK57" s="149">
        <v>0</v>
      </c>
      <c r="BL57" s="149">
        <v>0</v>
      </c>
      <c r="BM57" s="149">
        <v>0</v>
      </c>
      <c r="BN57" s="149">
        <v>0</v>
      </c>
      <c r="BO57" s="149">
        <v>0</v>
      </c>
      <c r="BP57" s="152"/>
      <c r="BQ57" s="152"/>
      <c r="BR57" s="154" t="s">
        <v>141</v>
      </c>
      <c r="BS57" s="136">
        <v>11</v>
      </c>
      <c r="BT57" s="267">
        <f t="shared" si="3"/>
        <v>1</v>
      </c>
      <c r="BU57" s="267"/>
      <c r="BV57" s="267"/>
      <c r="BW57" s="267"/>
      <c r="BX57" s="267"/>
      <c r="BY57" s="267"/>
      <c r="BZ57" s="267"/>
      <c r="CA57" s="267"/>
      <c r="CB57" s="267"/>
      <c r="CC57" s="267"/>
      <c r="CD57" s="267"/>
      <c r="CE57" s="267"/>
      <c r="CF57" s="267"/>
      <c r="CG57" s="267"/>
      <c r="CH57" s="267"/>
      <c r="CI57" s="267"/>
      <c r="CJ57" s="267"/>
      <c r="CK57" s="267"/>
      <c r="CL57" s="267"/>
      <c r="CM57" s="267"/>
      <c r="CN57" s="101">
        <f t="shared" si="1"/>
        <v>0</v>
      </c>
      <c r="CO57" s="101">
        <f t="shared" si="2"/>
        <v>0</v>
      </c>
    </row>
    <row r="58" spans="1:93" ht="13.9" customHeight="1" x14ac:dyDescent="0.2">
      <c r="A58" s="149">
        <v>7338</v>
      </c>
      <c r="B58" s="150" t="s">
        <v>323</v>
      </c>
      <c r="C58" s="150" t="s">
        <v>492</v>
      </c>
      <c r="D58" s="150" t="s">
        <v>493</v>
      </c>
      <c r="E58" s="150" t="s">
        <v>326</v>
      </c>
      <c r="F58" s="149">
        <v>527505</v>
      </c>
      <c r="G58" s="149">
        <v>174973</v>
      </c>
      <c r="H58" s="150" t="s">
        <v>164</v>
      </c>
      <c r="I58" s="151">
        <v>44431</v>
      </c>
      <c r="J58" s="151">
        <v>45382</v>
      </c>
      <c r="K58" s="149">
        <v>0</v>
      </c>
      <c r="L58" s="149">
        <v>1</v>
      </c>
      <c r="M58" s="149">
        <v>1</v>
      </c>
      <c r="N58" s="149">
        <v>1</v>
      </c>
      <c r="O58" s="149">
        <v>1</v>
      </c>
      <c r="P58" s="152"/>
      <c r="Q58" s="150" t="s">
        <v>494</v>
      </c>
      <c r="R58" s="150" t="s">
        <v>435</v>
      </c>
      <c r="S58" s="151">
        <v>43872</v>
      </c>
      <c r="T58" s="151">
        <v>43917</v>
      </c>
      <c r="U58" s="152"/>
      <c r="V58" s="150" t="s">
        <v>436</v>
      </c>
      <c r="W58" s="151">
        <v>44113</v>
      </c>
      <c r="X58" s="150" t="s">
        <v>331</v>
      </c>
      <c r="Y58" s="150" t="s">
        <v>491</v>
      </c>
      <c r="Z58" s="150" t="s">
        <v>334</v>
      </c>
      <c r="AA58" s="150" t="s">
        <v>413</v>
      </c>
      <c r="AB58" s="153">
        <v>5.0000000000000001E-3</v>
      </c>
      <c r="AC58" s="151">
        <v>44431</v>
      </c>
      <c r="AD58" s="150"/>
      <c r="AE58" s="151">
        <v>45382</v>
      </c>
      <c r="AF58" s="150" t="s">
        <v>70</v>
      </c>
      <c r="AG58" s="152" t="s">
        <v>352</v>
      </c>
      <c r="AH58" s="150" t="s">
        <v>326</v>
      </c>
      <c r="AI58" s="99"/>
      <c r="AJ58" s="149"/>
      <c r="AK58" s="99"/>
      <c r="AL58" s="149"/>
      <c r="AM58" s="99"/>
      <c r="AN58" s="149">
        <v>0</v>
      </c>
      <c r="AO58" s="149">
        <v>0</v>
      </c>
      <c r="AP58" s="149">
        <v>1</v>
      </c>
      <c r="AQ58" s="149">
        <v>0</v>
      </c>
      <c r="AR58" s="149">
        <v>0</v>
      </c>
      <c r="AS58" s="149">
        <v>0</v>
      </c>
      <c r="AT58" s="149">
        <v>0</v>
      </c>
      <c r="AU58" s="149">
        <v>0</v>
      </c>
      <c r="AV58" s="149">
        <v>0</v>
      </c>
      <c r="AW58" s="149">
        <v>1</v>
      </c>
      <c r="AX58" s="149">
        <v>0</v>
      </c>
      <c r="AY58" s="149">
        <v>0</v>
      </c>
      <c r="AZ58" s="149">
        <v>0</v>
      </c>
      <c r="BA58" s="149">
        <v>0</v>
      </c>
      <c r="BB58" s="149">
        <v>0</v>
      </c>
      <c r="BC58" s="149">
        <v>0</v>
      </c>
      <c r="BD58" s="149">
        <v>0</v>
      </c>
      <c r="BE58" s="149">
        <v>0</v>
      </c>
      <c r="BF58" s="149">
        <v>0</v>
      </c>
      <c r="BG58" s="149">
        <v>0</v>
      </c>
      <c r="BH58" s="149">
        <v>0</v>
      </c>
      <c r="BI58" s="149">
        <v>0</v>
      </c>
      <c r="BJ58" s="149">
        <v>0</v>
      </c>
      <c r="BK58" s="149">
        <v>0</v>
      </c>
      <c r="BL58" s="149">
        <v>0</v>
      </c>
      <c r="BM58" s="149">
        <v>0</v>
      </c>
      <c r="BN58" s="149">
        <v>0</v>
      </c>
      <c r="BO58" s="149">
        <v>0</v>
      </c>
      <c r="BP58" s="152" t="s">
        <v>140</v>
      </c>
      <c r="BQ58" s="152"/>
      <c r="BR58" s="154" t="s">
        <v>148</v>
      </c>
      <c r="BS58" s="136">
        <v>11</v>
      </c>
      <c r="BT58" s="267">
        <f t="shared" si="3"/>
        <v>1</v>
      </c>
      <c r="BU58" s="267"/>
      <c r="BV58" s="267"/>
      <c r="BW58" s="267"/>
      <c r="BX58" s="267"/>
      <c r="BY58" s="267"/>
      <c r="BZ58" s="267"/>
      <c r="CA58" s="267"/>
      <c r="CB58" s="267"/>
      <c r="CC58" s="267"/>
      <c r="CD58" s="267"/>
      <c r="CE58" s="267"/>
      <c r="CF58" s="267"/>
      <c r="CG58" s="267"/>
      <c r="CH58" s="267"/>
      <c r="CI58" s="267"/>
      <c r="CJ58" s="267"/>
      <c r="CK58" s="267"/>
      <c r="CL58" s="267"/>
      <c r="CM58" s="267"/>
      <c r="CN58" s="101">
        <f t="shared" si="1"/>
        <v>0</v>
      </c>
      <c r="CO58" s="101">
        <f t="shared" si="2"/>
        <v>0</v>
      </c>
    </row>
    <row r="59" spans="1:93" ht="13.9" customHeight="1" x14ac:dyDescent="0.2">
      <c r="A59" s="149">
        <v>7336</v>
      </c>
      <c r="B59" s="150" t="s">
        <v>323</v>
      </c>
      <c r="C59" s="150" t="s">
        <v>495</v>
      </c>
      <c r="D59" s="150" t="s">
        <v>496</v>
      </c>
      <c r="E59" s="150" t="s">
        <v>326</v>
      </c>
      <c r="F59" s="149">
        <v>526970</v>
      </c>
      <c r="G59" s="149">
        <v>175172</v>
      </c>
      <c r="H59" s="150" t="s">
        <v>177</v>
      </c>
      <c r="I59" s="151">
        <v>45078</v>
      </c>
      <c r="J59" s="151">
        <v>45230</v>
      </c>
      <c r="K59" s="149">
        <v>0</v>
      </c>
      <c r="L59" s="149">
        <v>1</v>
      </c>
      <c r="M59" s="149">
        <v>1</v>
      </c>
      <c r="N59" s="149">
        <v>4</v>
      </c>
      <c r="O59" s="149">
        <v>3</v>
      </c>
      <c r="P59" s="152"/>
      <c r="Q59" s="150" t="s">
        <v>497</v>
      </c>
      <c r="R59" s="150" t="s">
        <v>349</v>
      </c>
      <c r="S59" s="151">
        <v>43875</v>
      </c>
      <c r="T59" s="151">
        <v>43930</v>
      </c>
      <c r="U59" s="152"/>
      <c r="V59" s="150" t="s">
        <v>330</v>
      </c>
      <c r="W59" s="151"/>
      <c r="X59" s="150" t="s">
        <v>331</v>
      </c>
      <c r="Y59" s="150" t="s">
        <v>398</v>
      </c>
      <c r="Z59" s="150" t="s">
        <v>334</v>
      </c>
      <c r="AA59" s="150" t="s">
        <v>26</v>
      </c>
      <c r="AB59" s="153">
        <v>6.0000000000000001E-3</v>
      </c>
      <c r="AC59" s="151">
        <v>45078</v>
      </c>
      <c r="AD59" s="152" t="s">
        <v>327</v>
      </c>
      <c r="AE59" s="151">
        <v>45230</v>
      </c>
      <c r="AF59" s="150" t="s">
        <v>70</v>
      </c>
      <c r="AG59" s="152" t="s">
        <v>352</v>
      </c>
      <c r="AH59" s="150" t="s">
        <v>326</v>
      </c>
      <c r="AI59" s="99"/>
      <c r="AJ59" s="149"/>
      <c r="AK59" s="99"/>
      <c r="AL59" s="149"/>
      <c r="AM59" s="99"/>
      <c r="AN59" s="149">
        <v>0</v>
      </c>
      <c r="AO59" s="149">
        <v>0</v>
      </c>
      <c r="AP59" s="149">
        <v>1</v>
      </c>
      <c r="AQ59" s="149">
        <v>0</v>
      </c>
      <c r="AR59" s="149">
        <v>0</v>
      </c>
      <c r="AS59" s="149">
        <v>0</v>
      </c>
      <c r="AT59" s="149">
        <v>0</v>
      </c>
      <c r="AU59" s="149">
        <v>0</v>
      </c>
      <c r="AV59" s="149">
        <v>0</v>
      </c>
      <c r="AW59" s="149">
        <v>1</v>
      </c>
      <c r="AX59" s="149">
        <v>0</v>
      </c>
      <c r="AY59" s="149">
        <v>0</v>
      </c>
      <c r="AZ59" s="149">
        <v>0</v>
      </c>
      <c r="BA59" s="149">
        <v>0</v>
      </c>
      <c r="BB59" s="149">
        <v>0</v>
      </c>
      <c r="BC59" s="149">
        <v>0</v>
      </c>
      <c r="BD59" s="149">
        <v>0</v>
      </c>
      <c r="BE59" s="149">
        <v>0</v>
      </c>
      <c r="BF59" s="149">
        <v>0</v>
      </c>
      <c r="BG59" s="149">
        <v>0</v>
      </c>
      <c r="BH59" s="149">
        <v>0</v>
      </c>
      <c r="BI59" s="149">
        <v>0</v>
      </c>
      <c r="BJ59" s="149">
        <v>0</v>
      </c>
      <c r="BK59" s="149">
        <v>0</v>
      </c>
      <c r="BL59" s="149">
        <v>0</v>
      </c>
      <c r="BM59" s="149">
        <v>0</v>
      </c>
      <c r="BN59" s="149">
        <v>0</v>
      </c>
      <c r="BO59" s="149">
        <v>0</v>
      </c>
      <c r="BP59" s="152"/>
      <c r="BQ59" s="152"/>
      <c r="BR59" s="154" t="s">
        <v>148</v>
      </c>
      <c r="BS59" s="136">
        <v>11</v>
      </c>
      <c r="BT59" s="267">
        <f t="shared" si="3"/>
        <v>1</v>
      </c>
      <c r="BU59" s="267"/>
      <c r="BV59" s="267"/>
      <c r="BW59" s="267"/>
      <c r="BX59" s="267"/>
      <c r="BY59" s="267"/>
      <c r="BZ59" s="267"/>
      <c r="CA59" s="267"/>
      <c r="CB59" s="267"/>
      <c r="CC59" s="267"/>
      <c r="CD59" s="267"/>
      <c r="CE59" s="267"/>
      <c r="CF59" s="267"/>
      <c r="CG59" s="267"/>
      <c r="CH59" s="267"/>
      <c r="CI59" s="267"/>
      <c r="CJ59" s="267"/>
      <c r="CK59" s="267"/>
      <c r="CL59" s="267"/>
      <c r="CM59" s="267"/>
      <c r="CN59" s="101">
        <f t="shared" si="1"/>
        <v>0</v>
      </c>
      <c r="CO59" s="101">
        <f t="shared" si="2"/>
        <v>0</v>
      </c>
    </row>
    <row r="60" spans="1:93" ht="13.9" customHeight="1" x14ac:dyDescent="0.2">
      <c r="A60" s="149">
        <v>7336</v>
      </c>
      <c r="B60" s="150" t="s">
        <v>323</v>
      </c>
      <c r="C60" s="150" t="s">
        <v>495</v>
      </c>
      <c r="D60" s="150" t="s">
        <v>496</v>
      </c>
      <c r="E60" s="150" t="s">
        <v>326</v>
      </c>
      <c r="F60" s="149">
        <v>526970</v>
      </c>
      <c r="G60" s="149">
        <v>175172</v>
      </c>
      <c r="H60" s="150" t="s">
        <v>177</v>
      </c>
      <c r="I60" s="151">
        <v>45078</v>
      </c>
      <c r="J60" s="151">
        <v>45230</v>
      </c>
      <c r="K60" s="149">
        <v>0</v>
      </c>
      <c r="L60" s="149">
        <v>1</v>
      </c>
      <c r="M60" s="149">
        <v>1</v>
      </c>
      <c r="N60" s="149">
        <v>4</v>
      </c>
      <c r="O60" s="149">
        <v>3</v>
      </c>
      <c r="P60" s="152"/>
      <c r="Q60" s="150" t="s">
        <v>497</v>
      </c>
      <c r="R60" s="150" t="s">
        <v>349</v>
      </c>
      <c r="S60" s="151">
        <v>43875</v>
      </c>
      <c r="T60" s="151">
        <v>43930</v>
      </c>
      <c r="U60" s="152"/>
      <c r="V60" s="150" t="s">
        <v>330</v>
      </c>
      <c r="W60" s="151"/>
      <c r="X60" s="150" t="s">
        <v>331</v>
      </c>
      <c r="Y60" s="150" t="s">
        <v>398</v>
      </c>
      <c r="Z60" s="150" t="s">
        <v>334</v>
      </c>
      <c r="AA60" s="150" t="s">
        <v>413</v>
      </c>
      <c r="AB60" s="153">
        <v>3.0000000000000001E-3</v>
      </c>
      <c r="AC60" s="151">
        <v>45078</v>
      </c>
      <c r="AD60" s="152" t="s">
        <v>327</v>
      </c>
      <c r="AE60" s="151">
        <v>45230</v>
      </c>
      <c r="AF60" s="150" t="s">
        <v>70</v>
      </c>
      <c r="AG60" s="152" t="s">
        <v>352</v>
      </c>
      <c r="AH60" s="150" t="s">
        <v>326</v>
      </c>
      <c r="AI60" s="99"/>
      <c r="AJ60" s="149"/>
      <c r="AK60" s="99"/>
      <c r="AL60" s="149"/>
      <c r="AM60" s="99"/>
      <c r="AN60" s="149">
        <v>0</v>
      </c>
      <c r="AO60" s="149">
        <v>1</v>
      </c>
      <c r="AP60" s="149">
        <v>0</v>
      </c>
      <c r="AQ60" s="149">
        <v>0</v>
      </c>
      <c r="AR60" s="149">
        <v>0</v>
      </c>
      <c r="AS60" s="149">
        <v>0</v>
      </c>
      <c r="AT60" s="149">
        <v>0</v>
      </c>
      <c r="AU60" s="149">
        <v>0</v>
      </c>
      <c r="AV60" s="149">
        <v>1</v>
      </c>
      <c r="AW60" s="149">
        <v>0</v>
      </c>
      <c r="AX60" s="149">
        <v>0</v>
      </c>
      <c r="AY60" s="149">
        <v>0</v>
      </c>
      <c r="AZ60" s="149">
        <v>0</v>
      </c>
      <c r="BA60" s="149">
        <v>0</v>
      </c>
      <c r="BB60" s="149">
        <v>0</v>
      </c>
      <c r="BC60" s="149">
        <v>0</v>
      </c>
      <c r="BD60" s="149">
        <v>0</v>
      </c>
      <c r="BE60" s="149">
        <v>0</v>
      </c>
      <c r="BF60" s="149">
        <v>0</v>
      </c>
      <c r="BG60" s="149">
        <v>0</v>
      </c>
      <c r="BH60" s="149">
        <v>0</v>
      </c>
      <c r="BI60" s="149">
        <v>0</v>
      </c>
      <c r="BJ60" s="149">
        <v>0</v>
      </c>
      <c r="BK60" s="149">
        <v>0</v>
      </c>
      <c r="BL60" s="149">
        <v>0</v>
      </c>
      <c r="BM60" s="149">
        <v>0</v>
      </c>
      <c r="BN60" s="149">
        <v>0</v>
      </c>
      <c r="BO60" s="149">
        <v>0</v>
      </c>
      <c r="BP60" s="152"/>
      <c r="BQ60" s="152"/>
      <c r="BR60" s="154" t="s">
        <v>148</v>
      </c>
      <c r="BS60" s="136">
        <v>11</v>
      </c>
      <c r="BT60" s="267">
        <f t="shared" si="3"/>
        <v>1</v>
      </c>
      <c r="BU60" s="267"/>
      <c r="BV60" s="267"/>
      <c r="BW60" s="267"/>
      <c r="BX60" s="267"/>
      <c r="BY60" s="267"/>
      <c r="BZ60" s="267"/>
      <c r="CA60" s="267"/>
      <c r="CB60" s="267"/>
      <c r="CC60" s="267"/>
      <c r="CD60" s="267"/>
      <c r="CE60" s="267"/>
      <c r="CF60" s="267"/>
      <c r="CG60" s="267"/>
      <c r="CH60" s="267"/>
      <c r="CI60" s="267"/>
      <c r="CJ60" s="267"/>
      <c r="CK60" s="267"/>
      <c r="CL60" s="267"/>
      <c r="CM60" s="267"/>
      <c r="CN60" s="101">
        <f t="shared" si="1"/>
        <v>0</v>
      </c>
      <c r="CO60" s="101">
        <f t="shared" si="2"/>
        <v>0</v>
      </c>
    </row>
    <row r="61" spans="1:93" ht="13.9" customHeight="1" x14ac:dyDescent="0.2">
      <c r="A61" s="149">
        <v>7336</v>
      </c>
      <c r="B61" s="150" t="s">
        <v>323</v>
      </c>
      <c r="C61" s="150" t="s">
        <v>495</v>
      </c>
      <c r="D61" s="150" t="s">
        <v>496</v>
      </c>
      <c r="E61" s="150" t="s">
        <v>326</v>
      </c>
      <c r="F61" s="149">
        <v>526970</v>
      </c>
      <c r="G61" s="149">
        <v>175172</v>
      </c>
      <c r="H61" s="150" t="s">
        <v>177</v>
      </c>
      <c r="I61" s="151">
        <v>45078</v>
      </c>
      <c r="J61" s="151">
        <v>45230</v>
      </c>
      <c r="K61" s="149">
        <v>1</v>
      </c>
      <c r="L61" s="149">
        <v>2</v>
      </c>
      <c r="M61" s="149">
        <v>1</v>
      </c>
      <c r="N61" s="149">
        <v>4</v>
      </c>
      <c r="O61" s="149">
        <v>3</v>
      </c>
      <c r="P61" s="152"/>
      <c r="Q61" s="150" t="s">
        <v>497</v>
      </c>
      <c r="R61" s="150" t="s">
        <v>349</v>
      </c>
      <c r="S61" s="151">
        <v>43875</v>
      </c>
      <c r="T61" s="151">
        <v>43930</v>
      </c>
      <c r="U61" s="152"/>
      <c r="V61" s="150" t="s">
        <v>330</v>
      </c>
      <c r="W61" s="151"/>
      <c r="X61" s="150" t="s">
        <v>331</v>
      </c>
      <c r="Y61" s="150" t="s">
        <v>398</v>
      </c>
      <c r="Z61" s="150" t="s">
        <v>334</v>
      </c>
      <c r="AA61" s="150" t="s">
        <v>399</v>
      </c>
      <c r="AB61" s="153">
        <v>6.0000000000000001E-3</v>
      </c>
      <c r="AC61" s="151">
        <v>45078</v>
      </c>
      <c r="AD61" s="152" t="s">
        <v>327</v>
      </c>
      <c r="AE61" s="151">
        <v>45230</v>
      </c>
      <c r="AF61" s="150" t="s">
        <v>70</v>
      </c>
      <c r="AG61" s="152" t="s">
        <v>352</v>
      </c>
      <c r="AH61" s="150" t="s">
        <v>326</v>
      </c>
      <c r="AI61" s="99"/>
      <c r="AJ61" s="149"/>
      <c r="AK61" s="99"/>
      <c r="AL61" s="149"/>
      <c r="AM61" s="99"/>
      <c r="AN61" s="149">
        <v>1</v>
      </c>
      <c r="AO61" s="149">
        <v>-1</v>
      </c>
      <c r="AP61" s="149">
        <v>1</v>
      </c>
      <c r="AQ61" s="149">
        <v>0</v>
      </c>
      <c r="AR61" s="149">
        <v>0</v>
      </c>
      <c r="AS61" s="149">
        <v>0</v>
      </c>
      <c r="AT61" s="149">
        <v>0</v>
      </c>
      <c r="AU61" s="149">
        <v>1</v>
      </c>
      <c r="AV61" s="149">
        <v>-1</v>
      </c>
      <c r="AW61" s="149">
        <v>1</v>
      </c>
      <c r="AX61" s="149">
        <v>0</v>
      </c>
      <c r="AY61" s="149">
        <v>0</v>
      </c>
      <c r="AZ61" s="149">
        <v>0</v>
      </c>
      <c r="BA61" s="149">
        <v>0</v>
      </c>
      <c r="BB61" s="149">
        <v>0</v>
      </c>
      <c r="BC61" s="149">
        <v>0</v>
      </c>
      <c r="BD61" s="149">
        <v>0</v>
      </c>
      <c r="BE61" s="149">
        <v>0</v>
      </c>
      <c r="BF61" s="149">
        <v>0</v>
      </c>
      <c r="BG61" s="149">
        <v>0</v>
      </c>
      <c r="BH61" s="149">
        <v>0</v>
      </c>
      <c r="BI61" s="149">
        <v>0</v>
      </c>
      <c r="BJ61" s="149">
        <v>0</v>
      </c>
      <c r="BK61" s="149">
        <v>0</v>
      </c>
      <c r="BL61" s="149">
        <v>0</v>
      </c>
      <c r="BM61" s="149">
        <v>0</v>
      </c>
      <c r="BN61" s="149">
        <v>0</v>
      </c>
      <c r="BO61" s="149">
        <v>0</v>
      </c>
      <c r="BP61" s="152"/>
      <c r="BQ61" s="152"/>
      <c r="BR61" s="154" t="s">
        <v>148</v>
      </c>
      <c r="BS61" s="136">
        <v>11</v>
      </c>
      <c r="BT61" s="267">
        <f t="shared" si="3"/>
        <v>1</v>
      </c>
      <c r="BU61" s="267"/>
      <c r="BV61" s="267"/>
      <c r="BW61" s="267"/>
      <c r="BX61" s="267"/>
      <c r="BY61" s="267"/>
      <c r="BZ61" s="267"/>
      <c r="CA61" s="267"/>
      <c r="CB61" s="267"/>
      <c r="CC61" s="267"/>
      <c r="CD61" s="267"/>
      <c r="CE61" s="267"/>
      <c r="CF61" s="267"/>
      <c r="CG61" s="267"/>
      <c r="CH61" s="267"/>
      <c r="CI61" s="267"/>
      <c r="CJ61" s="267"/>
      <c r="CK61" s="267"/>
      <c r="CL61" s="267"/>
      <c r="CM61" s="267"/>
      <c r="CN61" s="101">
        <f t="shared" si="1"/>
        <v>0</v>
      </c>
      <c r="CO61" s="101">
        <f t="shared" si="2"/>
        <v>0</v>
      </c>
    </row>
    <row r="62" spans="1:93" ht="13.9" customHeight="1" x14ac:dyDescent="0.2">
      <c r="A62" s="149">
        <v>6032</v>
      </c>
      <c r="B62" s="150" t="s">
        <v>323</v>
      </c>
      <c r="C62" s="150" t="s">
        <v>498</v>
      </c>
      <c r="D62" s="150" t="s">
        <v>499</v>
      </c>
      <c r="E62" s="150" t="s">
        <v>326</v>
      </c>
      <c r="F62" s="149">
        <v>524386</v>
      </c>
      <c r="G62" s="149">
        <v>175298</v>
      </c>
      <c r="H62" s="150" t="s">
        <v>171</v>
      </c>
      <c r="I62" s="151">
        <v>44208</v>
      </c>
      <c r="J62" s="151">
        <v>45156</v>
      </c>
      <c r="K62" s="149">
        <v>1</v>
      </c>
      <c r="L62" s="149">
        <v>2</v>
      </c>
      <c r="M62" s="149">
        <v>1</v>
      </c>
      <c r="N62" s="149">
        <v>4</v>
      </c>
      <c r="O62" s="149">
        <v>3</v>
      </c>
      <c r="P62" s="152"/>
      <c r="Q62" s="150" t="s">
        <v>500</v>
      </c>
      <c r="R62" s="150" t="s">
        <v>349</v>
      </c>
      <c r="S62" s="151">
        <v>43886</v>
      </c>
      <c r="T62" s="151">
        <v>44027</v>
      </c>
      <c r="U62" s="152"/>
      <c r="V62" s="150" t="s">
        <v>330</v>
      </c>
      <c r="W62" s="151"/>
      <c r="X62" s="150" t="s">
        <v>331</v>
      </c>
      <c r="Y62" s="150" t="s">
        <v>332</v>
      </c>
      <c r="Z62" s="150" t="s">
        <v>334</v>
      </c>
      <c r="AA62" s="150" t="s">
        <v>399</v>
      </c>
      <c r="AB62" s="153">
        <v>6.0000000000000001E-3</v>
      </c>
      <c r="AC62" s="151">
        <v>44208</v>
      </c>
      <c r="AD62" s="150"/>
      <c r="AE62" s="151">
        <v>45156</v>
      </c>
      <c r="AF62" s="150" t="s">
        <v>70</v>
      </c>
      <c r="AG62" s="152" t="s">
        <v>352</v>
      </c>
      <c r="AH62" s="150" t="s">
        <v>326</v>
      </c>
      <c r="AI62" s="99"/>
      <c r="AJ62" s="149"/>
      <c r="AK62" s="99"/>
      <c r="AL62" s="149"/>
      <c r="AM62" s="99"/>
      <c r="AN62" s="149">
        <v>0</v>
      </c>
      <c r="AO62" s="149">
        <v>1</v>
      </c>
      <c r="AP62" s="149">
        <v>1</v>
      </c>
      <c r="AQ62" s="149">
        <v>0</v>
      </c>
      <c r="AR62" s="149">
        <v>0</v>
      </c>
      <c r="AS62" s="149">
        <v>-1</v>
      </c>
      <c r="AT62" s="149">
        <v>0</v>
      </c>
      <c r="AU62" s="149">
        <v>0</v>
      </c>
      <c r="AV62" s="149">
        <v>1</v>
      </c>
      <c r="AW62" s="149">
        <v>1</v>
      </c>
      <c r="AX62" s="149">
        <v>0</v>
      </c>
      <c r="AY62" s="149">
        <v>0</v>
      </c>
      <c r="AZ62" s="149">
        <v>-1</v>
      </c>
      <c r="BA62" s="149">
        <v>0</v>
      </c>
      <c r="BB62" s="149">
        <v>0</v>
      </c>
      <c r="BC62" s="149">
        <v>0</v>
      </c>
      <c r="BD62" s="149">
        <v>0</v>
      </c>
      <c r="BE62" s="149">
        <v>0</v>
      </c>
      <c r="BF62" s="149">
        <v>0</v>
      </c>
      <c r="BG62" s="149">
        <v>0</v>
      </c>
      <c r="BH62" s="149">
        <v>0</v>
      </c>
      <c r="BI62" s="149">
        <v>0</v>
      </c>
      <c r="BJ62" s="149">
        <v>0</v>
      </c>
      <c r="BK62" s="149">
        <v>0</v>
      </c>
      <c r="BL62" s="149">
        <v>0</v>
      </c>
      <c r="BM62" s="149">
        <v>0</v>
      </c>
      <c r="BN62" s="149">
        <v>0</v>
      </c>
      <c r="BO62" s="149">
        <v>0</v>
      </c>
      <c r="BP62" s="152"/>
      <c r="BQ62" s="152"/>
      <c r="BR62" s="154" t="s">
        <v>359</v>
      </c>
      <c r="BS62" s="136">
        <v>11</v>
      </c>
      <c r="BT62" s="267">
        <f t="shared" si="3"/>
        <v>1</v>
      </c>
      <c r="BU62" s="267"/>
      <c r="BV62" s="267"/>
      <c r="BW62" s="267"/>
      <c r="BX62" s="267"/>
      <c r="BY62" s="267"/>
      <c r="BZ62" s="267"/>
      <c r="CA62" s="267"/>
      <c r="CB62" s="267"/>
      <c r="CC62" s="267"/>
      <c r="CD62" s="267"/>
      <c r="CE62" s="267"/>
      <c r="CF62" s="267"/>
      <c r="CG62" s="267"/>
      <c r="CH62" s="267"/>
      <c r="CI62" s="267"/>
      <c r="CJ62" s="267"/>
      <c r="CK62" s="267"/>
      <c r="CL62" s="267"/>
      <c r="CM62" s="267"/>
      <c r="CN62" s="101">
        <f t="shared" si="1"/>
        <v>0</v>
      </c>
      <c r="CO62" s="101">
        <f t="shared" si="2"/>
        <v>0</v>
      </c>
    </row>
    <row r="63" spans="1:93" ht="13.9" customHeight="1" x14ac:dyDescent="0.2">
      <c r="A63" s="149">
        <v>6032</v>
      </c>
      <c r="B63" s="150" t="s">
        <v>323</v>
      </c>
      <c r="C63" s="150" t="s">
        <v>498</v>
      </c>
      <c r="D63" s="150" t="s">
        <v>499</v>
      </c>
      <c r="E63" s="150" t="s">
        <v>326</v>
      </c>
      <c r="F63" s="149">
        <v>524386</v>
      </c>
      <c r="G63" s="149">
        <v>175298</v>
      </c>
      <c r="H63" s="150" t="s">
        <v>171</v>
      </c>
      <c r="I63" s="151">
        <v>44208</v>
      </c>
      <c r="J63" s="151">
        <v>45156</v>
      </c>
      <c r="K63" s="149">
        <v>0</v>
      </c>
      <c r="L63" s="149">
        <v>2</v>
      </c>
      <c r="M63" s="149">
        <v>2</v>
      </c>
      <c r="N63" s="149">
        <v>4</v>
      </c>
      <c r="O63" s="149">
        <v>3</v>
      </c>
      <c r="P63" s="152"/>
      <c r="Q63" s="150" t="s">
        <v>500</v>
      </c>
      <c r="R63" s="150" t="s">
        <v>349</v>
      </c>
      <c r="S63" s="151">
        <v>43886</v>
      </c>
      <c r="T63" s="151">
        <v>44027</v>
      </c>
      <c r="U63" s="152"/>
      <c r="V63" s="150" t="s">
        <v>330</v>
      </c>
      <c r="W63" s="151"/>
      <c r="X63" s="150" t="s">
        <v>331</v>
      </c>
      <c r="Y63" s="150" t="s">
        <v>332</v>
      </c>
      <c r="Z63" s="150" t="s">
        <v>334</v>
      </c>
      <c r="AA63" s="150" t="s">
        <v>26</v>
      </c>
      <c r="AB63" s="153">
        <v>5.0000000000000001E-3</v>
      </c>
      <c r="AC63" s="151">
        <v>44208</v>
      </c>
      <c r="AD63" s="150"/>
      <c r="AE63" s="151">
        <v>45156</v>
      </c>
      <c r="AF63" s="150" t="s">
        <v>70</v>
      </c>
      <c r="AG63" s="152" t="s">
        <v>352</v>
      </c>
      <c r="AH63" s="150" t="s">
        <v>326</v>
      </c>
      <c r="AI63" s="99"/>
      <c r="AJ63" s="149"/>
      <c r="AK63" s="99"/>
      <c r="AL63" s="149"/>
      <c r="AM63" s="99"/>
      <c r="AN63" s="149">
        <v>1</v>
      </c>
      <c r="AO63" s="149">
        <v>1</v>
      </c>
      <c r="AP63" s="149">
        <v>0</v>
      </c>
      <c r="AQ63" s="149">
        <v>0</v>
      </c>
      <c r="AR63" s="149">
        <v>0</v>
      </c>
      <c r="AS63" s="149">
        <v>0</v>
      </c>
      <c r="AT63" s="149">
        <v>0</v>
      </c>
      <c r="AU63" s="149">
        <v>1</v>
      </c>
      <c r="AV63" s="149">
        <v>1</v>
      </c>
      <c r="AW63" s="149">
        <v>0</v>
      </c>
      <c r="AX63" s="149">
        <v>0</v>
      </c>
      <c r="AY63" s="149">
        <v>0</v>
      </c>
      <c r="AZ63" s="149">
        <v>0</v>
      </c>
      <c r="BA63" s="149">
        <v>0</v>
      </c>
      <c r="BB63" s="149">
        <v>0</v>
      </c>
      <c r="BC63" s="149">
        <v>0</v>
      </c>
      <c r="BD63" s="149">
        <v>0</v>
      </c>
      <c r="BE63" s="149">
        <v>0</v>
      </c>
      <c r="BF63" s="149">
        <v>0</v>
      </c>
      <c r="BG63" s="149">
        <v>0</v>
      </c>
      <c r="BH63" s="149">
        <v>0</v>
      </c>
      <c r="BI63" s="149">
        <v>0</v>
      </c>
      <c r="BJ63" s="149">
        <v>0</v>
      </c>
      <c r="BK63" s="149">
        <v>0</v>
      </c>
      <c r="BL63" s="149">
        <v>0</v>
      </c>
      <c r="BM63" s="149">
        <v>0</v>
      </c>
      <c r="BN63" s="149">
        <v>0</v>
      </c>
      <c r="BO63" s="149">
        <v>0</v>
      </c>
      <c r="BP63" s="152"/>
      <c r="BQ63" s="152"/>
      <c r="BR63" s="154" t="s">
        <v>359</v>
      </c>
      <c r="BS63" s="136">
        <v>11</v>
      </c>
      <c r="BT63" s="267">
        <f t="shared" si="3"/>
        <v>2</v>
      </c>
      <c r="BU63" s="267"/>
      <c r="BV63" s="267"/>
      <c r="BW63" s="267"/>
      <c r="BX63" s="267"/>
      <c r="BY63" s="267"/>
      <c r="BZ63" s="267"/>
      <c r="CA63" s="267"/>
      <c r="CB63" s="267"/>
      <c r="CC63" s="267"/>
      <c r="CD63" s="267"/>
      <c r="CE63" s="267"/>
      <c r="CF63" s="267"/>
      <c r="CG63" s="267"/>
      <c r="CH63" s="267"/>
      <c r="CI63" s="267"/>
      <c r="CJ63" s="267"/>
      <c r="CK63" s="267"/>
      <c r="CL63" s="267"/>
      <c r="CM63" s="267"/>
      <c r="CN63" s="101">
        <f t="shared" si="1"/>
        <v>0</v>
      </c>
      <c r="CO63" s="101">
        <f t="shared" si="2"/>
        <v>0</v>
      </c>
    </row>
    <row r="64" spans="1:93" ht="13.9" customHeight="1" x14ac:dyDescent="0.2">
      <c r="A64" s="149">
        <v>7338</v>
      </c>
      <c r="B64" s="150" t="s">
        <v>323</v>
      </c>
      <c r="C64" s="150" t="s">
        <v>501</v>
      </c>
      <c r="D64" s="150" t="s">
        <v>493</v>
      </c>
      <c r="E64" s="150" t="s">
        <v>326</v>
      </c>
      <c r="F64" s="149">
        <v>527505</v>
      </c>
      <c r="G64" s="149">
        <v>174973</v>
      </c>
      <c r="H64" s="150" t="s">
        <v>164</v>
      </c>
      <c r="I64" s="151">
        <v>44431</v>
      </c>
      <c r="J64" s="151">
        <v>45382</v>
      </c>
      <c r="K64" s="149">
        <v>0</v>
      </c>
      <c r="L64" s="149">
        <v>1</v>
      </c>
      <c r="M64" s="149">
        <v>1</v>
      </c>
      <c r="N64" s="149">
        <v>1</v>
      </c>
      <c r="O64" s="149">
        <v>1</v>
      </c>
      <c r="P64" s="152"/>
      <c r="Q64" s="150" t="s">
        <v>502</v>
      </c>
      <c r="R64" s="150" t="s">
        <v>349</v>
      </c>
      <c r="S64" s="151">
        <v>43951</v>
      </c>
      <c r="T64" s="151">
        <v>44041</v>
      </c>
      <c r="U64" s="152"/>
      <c r="V64" s="150" t="s">
        <v>330</v>
      </c>
      <c r="W64" s="151"/>
      <c r="X64" s="150" t="s">
        <v>331</v>
      </c>
      <c r="Y64" s="150" t="s">
        <v>491</v>
      </c>
      <c r="Z64" s="150" t="s">
        <v>334</v>
      </c>
      <c r="AA64" s="150" t="s">
        <v>413</v>
      </c>
      <c r="AB64" s="153">
        <v>4.0000000000000001E-3</v>
      </c>
      <c r="AC64" s="151">
        <v>44431</v>
      </c>
      <c r="AD64" s="150"/>
      <c r="AE64" s="151">
        <v>45382</v>
      </c>
      <c r="AF64" s="150" t="s">
        <v>70</v>
      </c>
      <c r="AG64" s="152" t="s">
        <v>352</v>
      </c>
      <c r="AH64" s="150" t="s">
        <v>326</v>
      </c>
      <c r="AI64" s="99"/>
      <c r="AJ64" s="149"/>
      <c r="AK64" s="99"/>
      <c r="AL64" s="149"/>
      <c r="AM64" s="99"/>
      <c r="AN64" s="149">
        <v>0</v>
      </c>
      <c r="AO64" s="149">
        <v>1</v>
      </c>
      <c r="AP64" s="149">
        <v>0</v>
      </c>
      <c r="AQ64" s="149">
        <v>0</v>
      </c>
      <c r="AR64" s="149">
        <v>0</v>
      </c>
      <c r="AS64" s="149">
        <v>0</v>
      </c>
      <c r="AT64" s="149">
        <v>0</v>
      </c>
      <c r="AU64" s="149">
        <v>0</v>
      </c>
      <c r="AV64" s="149">
        <v>1</v>
      </c>
      <c r="AW64" s="149">
        <v>0</v>
      </c>
      <c r="AX64" s="149">
        <v>0</v>
      </c>
      <c r="AY64" s="149">
        <v>0</v>
      </c>
      <c r="AZ64" s="149">
        <v>0</v>
      </c>
      <c r="BA64" s="149">
        <v>0</v>
      </c>
      <c r="BB64" s="149">
        <v>0</v>
      </c>
      <c r="BC64" s="149">
        <v>0</v>
      </c>
      <c r="BD64" s="149">
        <v>0</v>
      </c>
      <c r="BE64" s="149">
        <v>0</v>
      </c>
      <c r="BF64" s="149">
        <v>0</v>
      </c>
      <c r="BG64" s="149">
        <v>0</v>
      </c>
      <c r="BH64" s="149">
        <v>0</v>
      </c>
      <c r="BI64" s="149">
        <v>0</v>
      </c>
      <c r="BJ64" s="149">
        <v>0</v>
      </c>
      <c r="BK64" s="149">
        <v>0</v>
      </c>
      <c r="BL64" s="149">
        <v>0</v>
      </c>
      <c r="BM64" s="149">
        <v>0</v>
      </c>
      <c r="BN64" s="149">
        <v>0</v>
      </c>
      <c r="BO64" s="149">
        <v>0</v>
      </c>
      <c r="BP64" s="152" t="s">
        <v>140</v>
      </c>
      <c r="BQ64" s="152"/>
      <c r="BR64" s="154" t="s">
        <v>148</v>
      </c>
      <c r="BS64" s="136">
        <v>11</v>
      </c>
      <c r="BT64" s="267">
        <f t="shared" si="3"/>
        <v>1</v>
      </c>
      <c r="BU64" s="267"/>
      <c r="BV64" s="267"/>
      <c r="BW64" s="267"/>
      <c r="BX64" s="267"/>
      <c r="BY64" s="267"/>
      <c r="BZ64" s="267"/>
      <c r="CA64" s="267"/>
      <c r="CB64" s="267"/>
      <c r="CC64" s="267"/>
      <c r="CD64" s="267"/>
      <c r="CE64" s="267"/>
      <c r="CF64" s="267"/>
      <c r="CG64" s="267"/>
      <c r="CH64" s="267"/>
      <c r="CI64" s="267"/>
      <c r="CJ64" s="267"/>
      <c r="CK64" s="267"/>
      <c r="CL64" s="267"/>
      <c r="CM64" s="267"/>
      <c r="CN64" s="101">
        <f t="shared" si="1"/>
        <v>0</v>
      </c>
      <c r="CO64" s="101">
        <f t="shared" si="2"/>
        <v>0</v>
      </c>
    </row>
    <row r="65" spans="1:93" ht="13.9" customHeight="1" x14ac:dyDescent="0.2">
      <c r="A65" s="149">
        <v>7338</v>
      </c>
      <c r="B65" s="150" t="s">
        <v>323</v>
      </c>
      <c r="C65" s="150" t="s">
        <v>503</v>
      </c>
      <c r="D65" s="150" t="s">
        <v>493</v>
      </c>
      <c r="E65" s="150" t="s">
        <v>326</v>
      </c>
      <c r="F65" s="149">
        <v>527505</v>
      </c>
      <c r="G65" s="149">
        <v>174973</v>
      </c>
      <c r="H65" s="150" t="s">
        <v>164</v>
      </c>
      <c r="I65" s="151">
        <v>44429</v>
      </c>
      <c r="J65" s="151">
        <v>45382</v>
      </c>
      <c r="K65" s="149">
        <v>2</v>
      </c>
      <c r="L65" s="149">
        <v>2</v>
      </c>
      <c r="M65" s="149">
        <v>0</v>
      </c>
      <c r="N65" s="149">
        <v>3</v>
      </c>
      <c r="O65" s="149">
        <v>1</v>
      </c>
      <c r="P65" s="152"/>
      <c r="Q65" s="150" t="s">
        <v>504</v>
      </c>
      <c r="R65" s="150" t="s">
        <v>349</v>
      </c>
      <c r="S65" s="151">
        <v>43951</v>
      </c>
      <c r="T65" s="151">
        <v>44007</v>
      </c>
      <c r="U65" s="152"/>
      <c r="V65" s="150" t="s">
        <v>330</v>
      </c>
      <c r="W65" s="151"/>
      <c r="X65" s="150" t="s">
        <v>331</v>
      </c>
      <c r="Y65" s="150" t="s">
        <v>398</v>
      </c>
      <c r="Z65" s="150" t="s">
        <v>334</v>
      </c>
      <c r="AA65" s="150" t="s">
        <v>399</v>
      </c>
      <c r="AB65" s="153">
        <v>1.2E-2</v>
      </c>
      <c r="AC65" s="151">
        <v>44429</v>
      </c>
      <c r="AD65" s="150"/>
      <c r="AE65" s="151">
        <v>45382</v>
      </c>
      <c r="AF65" s="150" t="s">
        <v>70</v>
      </c>
      <c r="AG65" s="152" t="s">
        <v>352</v>
      </c>
      <c r="AH65" s="150" t="s">
        <v>326</v>
      </c>
      <c r="AI65" s="99"/>
      <c r="AJ65" s="149"/>
      <c r="AK65" s="99"/>
      <c r="AL65" s="149"/>
      <c r="AM65" s="99"/>
      <c r="AN65" s="149">
        <v>0</v>
      </c>
      <c r="AO65" s="149">
        <v>0</v>
      </c>
      <c r="AP65" s="149">
        <v>1</v>
      </c>
      <c r="AQ65" s="149">
        <v>-1</v>
      </c>
      <c r="AR65" s="149">
        <v>0</v>
      </c>
      <c r="AS65" s="149">
        <v>0</v>
      </c>
      <c r="AT65" s="149">
        <v>0</v>
      </c>
      <c r="AU65" s="149">
        <v>0</v>
      </c>
      <c r="AV65" s="149">
        <v>0</v>
      </c>
      <c r="AW65" s="149">
        <v>1</v>
      </c>
      <c r="AX65" s="149">
        <v>-1</v>
      </c>
      <c r="AY65" s="149">
        <v>0</v>
      </c>
      <c r="AZ65" s="149">
        <v>0</v>
      </c>
      <c r="BA65" s="149">
        <v>0</v>
      </c>
      <c r="BB65" s="149">
        <v>0</v>
      </c>
      <c r="BC65" s="149">
        <v>0</v>
      </c>
      <c r="BD65" s="149">
        <v>0</v>
      </c>
      <c r="BE65" s="149">
        <v>0</v>
      </c>
      <c r="BF65" s="149">
        <v>0</v>
      </c>
      <c r="BG65" s="149">
        <v>0</v>
      </c>
      <c r="BH65" s="149">
        <v>0</v>
      </c>
      <c r="BI65" s="149">
        <v>0</v>
      </c>
      <c r="BJ65" s="149">
        <v>0</v>
      </c>
      <c r="BK65" s="149">
        <v>0</v>
      </c>
      <c r="BL65" s="149">
        <v>0</v>
      </c>
      <c r="BM65" s="149">
        <v>0</v>
      </c>
      <c r="BN65" s="149">
        <v>0</v>
      </c>
      <c r="BO65" s="149">
        <v>0</v>
      </c>
      <c r="BP65" s="152" t="s">
        <v>140</v>
      </c>
      <c r="BQ65" s="152"/>
      <c r="BR65" s="154" t="s">
        <v>148</v>
      </c>
      <c r="BS65" s="136">
        <v>11</v>
      </c>
      <c r="BT65" s="267">
        <f t="shared" si="3"/>
        <v>0</v>
      </c>
      <c r="BU65" s="267"/>
      <c r="BV65" s="267"/>
      <c r="BW65" s="267"/>
      <c r="BX65" s="267"/>
      <c r="BY65" s="267"/>
      <c r="BZ65" s="267"/>
      <c r="CA65" s="267"/>
      <c r="CB65" s="267"/>
      <c r="CC65" s="267"/>
      <c r="CD65" s="267"/>
      <c r="CE65" s="267"/>
      <c r="CF65" s="267"/>
      <c r="CG65" s="267"/>
      <c r="CH65" s="267"/>
      <c r="CI65" s="267"/>
      <c r="CJ65" s="267"/>
      <c r="CK65" s="267"/>
      <c r="CL65" s="267"/>
      <c r="CM65" s="267"/>
      <c r="CN65" s="101">
        <f t="shared" si="1"/>
        <v>0</v>
      </c>
      <c r="CO65" s="101">
        <f t="shared" si="2"/>
        <v>0</v>
      </c>
    </row>
    <row r="66" spans="1:93" ht="13.9" customHeight="1" x14ac:dyDescent="0.2">
      <c r="A66" s="149">
        <v>7338</v>
      </c>
      <c r="B66" s="150" t="s">
        <v>323</v>
      </c>
      <c r="C66" s="150" t="s">
        <v>503</v>
      </c>
      <c r="D66" s="150" t="s">
        <v>493</v>
      </c>
      <c r="E66" s="150" t="s">
        <v>326</v>
      </c>
      <c r="F66" s="149">
        <v>527505</v>
      </c>
      <c r="G66" s="149">
        <v>174973</v>
      </c>
      <c r="H66" s="150" t="s">
        <v>164</v>
      </c>
      <c r="I66" s="151">
        <v>44429</v>
      </c>
      <c r="J66" s="151">
        <v>45382</v>
      </c>
      <c r="K66" s="149">
        <v>0</v>
      </c>
      <c r="L66" s="149">
        <v>1</v>
      </c>
      <c r="M66" s="149">
        <v>1</v>
      </c>
      <c r="N66" s="149">
        <v>3</v>
      </c>
      <c r="O66" s="149">
        <v>1</v>
      </c>
      <c r="P66" s="152"/>
      <c r="Q66" s="150" t="s">
        <v>504</v>
      </c>
      <c r="R66" s="150" t="s">
        <v>349</v>
      </c>
      <c r="S66" s="151">
        <v>43951</v>
      </c>
      <c r="T66" s="151">
        <v>44007</v>
      </c>
      <c r="U66" s="152"/>
      <c r="V66" s="150" t="s">
        <v>330</v>
      </c>
      <c r="W66" s="151"/>
      <c r="X66" s="150" t="s">
        <v>331</v>
      </c>
      <c r="Y66" s="150" t="s">
        <v>398</v>
      </c>
      <c r="Z66" s="150" t="s">
        <v>334</v>
      </c>
      <c r="AA66" s="150" t="s">
        <v>413</v>
      </c>
      <c r="AB66" s="153">
        <v>5.0000000000000001E-3</v>
      </c>
      <c r="AC66" s="151">
        <v>45017</v>
      </c>
      <c r="AD66" s="152" t="s">
        <v>327</v>
      </c>
      <c r="AE66" s="151">
        <v>45382</v>
      </c>
      <c r="AF66" s="150" t="s">
        <v>70</v>
      </c>
      <c r="AG66" s="152" t="s">
        <v>352</v>
      </c>
      <c r="AH66" s="150" t="s">
        <v>326</v>
      </c>
      <c r="AI66" s="99"/>
      <c r="AJ66" s="149"/>
      <c r="AK66" s="99"/>
      <c r="AL66" s="149"/>
      <c r="AM66" s="99"/>
      <c r="AN66" s="149">
        <v>0</v>
      </c>
      <c r="AO66" s="149">
        <v>1</v>
      </c>
      <c r="AP66" s="149">
        <v>0</v>
      </c>
      <c r="AQ66" s="149">
        <v>0</v>
      </c>
      <c r="AR66" s="149">
        <v>0</v>
      </c>
      <c r="AS66" s="149">
        <v>0</v>
      </c>
      <c r="AT66" s="149">
        <v>0</v>
      </c>
      <c r="AU66" s="149">
        <v>0</v>
      </c>
      <c r="AV66" s="149">
        <v>1</v>
      </c>
      <c r="AW66" s="149">
        <v>0</v>
      </c>
      <c r="AX66" s="149">
        <v>0</v>
      </c>
      <c r="AY66" s="149">
        <v>0</v>
      </c>
      <c r="AZ66" s="149">
        <v>0</v>
      </c>
      <c r="BA66" s="149">
        <v>0</v>
      </c>
      <c r="BB66" s="149">
        <v>0</v>
      </c>
      <c r="BC66" s="149">
        <v>0</v>
      </c>
      <c r="BD66" s="149">
        <v>0</v>
      </c>
      <c r="BE66" s="149">
        <v>0</v>
      </c>
      <c r="BF66" s="149">
        <v>0</v>
      </c>
      <c r="BG66" s="149">
        <v>0</v>
      </c>
      <c r="BH66" s="149">
        <v>0</v>
      </c>
      <c r="BI66" s="149">
        <v>0</v>
      </c>
      <c r="BJ66" s="149">
        <v>0</v>
      </c>
      <c r="BK66" s="149">
        <v>0</v>
      </c>
      <c r="BL66" s="149">
        <v>0</v>
      </c>
      <c r="BM66" s="149">
        <v>0</v>
      </c>
      <c r="BN66" s="149">
        <v>0</v>
      </c>
      <c r="BO66" s="149">
        <v>0</v>
      </c>
      <c r="BP66" s="152" t="s">
        <v>140</v>
      </c>
      <c r="BQ66" s="152"/>
      <c r="BR66" s="154" t="s">
        <v>148</v>
      </c>
      <c r="BS66" s="136">
        <v>11</v>
      </c>
      <c r="BT66" s="267">
        <f t="shared" ref="BT66:BT97" si="4">M66</f>
        <v>1</v>
      </c>
      <c r="BU66" s="267"/>
      <c r="BV66" s="267"/>
      <c r="BW66" s="267"/>
      <c r="BX66" s="267"/>
      <c r="BY66" s="267"/>
      <c r="BZ66" s="267"/>
      <c r="CA66" s="267"/>
      <c r="CB66" s="267"/>
      <c r="CC66" s="267"/>
      <c r="CD66" s="267"/>
      <c r="CE66" s="267"/>
      <c r="CF66" s="267"/>
      <c r="CG66" s="267"/>
      <c r="CH66" s="267"/>
      <c r="CI66" s="267"/>
      <c r="CJ66" s="267"/>
      <c r="CK66" s="267"/>
      <c r="CL66" s="267"/>
      <c r="CM66" s="267"/>
      <c r="CN66" s="101">
        <f t="shared" si="1"/>
        <v>0</v>
      </c>
      <c r="CO66" s="101">
        <f t="shared" si="2"/>
        <v>0</v>
      </c>
    </row>
    <row r="67" spans="1:93" ht="13.9" customHeight="1" x14ac:dyDescent="0.2">
      <c r="A67" s="149">
        <v>7338</v>
      </c>
      <c r="B67" s="150" t="s">
        <v>323</v>
      </c>
      <c r="C67" s="150" t="s">
        <v>505</v>
      </c>
      <c r="D67" s="150" t="s">
        <v>493</v>
      </c>
      <c r="E67" s="150" t="s">
        <v>326</v>
      </c>
      <c r="F67" s="149">
        <v>527505</v>
      </c>
      <c r="G67" s="149">
        <v>174973</v>
      </c>
      <c r="H67" s="150" t="s">
        <v>164</v>
      </c>
      <c r="I67" s="151">
        <v>44431</v>
      </c>
      <c r="J67" s="151">
        <v>45382</v>
      </c>
      <c r="K67" s="149">
        <v>0</v>
      </c>
      <c r="L67" s="149">
        <v>1</v>
      </c>
      <c r="M67" s="149">
        <v>1</v>
      </c>
      <c r="N67" s="149">
        <v>1</v>
      </c>
      <c r="O67" s="149">
        <v>1</v>
      </c>
      <c r="P67" s="152"/>
      <c r="Q67" s="150" t="s">
        <v>506</v>
      </c>
      <c r="R67" s="150" t="s">
        <v>349</v>
      </c>
      <c r="S67" s="151">
        <v>43948</v>
      </c>
      <c r="T67" s="151">
        <v>44004</v>
      </c>
      <c r="U67" s="152"/>
      <c r="V67" s="150" t="s">
        <v>330</v>
      </c>
      <c r="W67" s="151"/>
      <c r="X67" s="150" t="s">
        <v>331</v>
      </c>
      <c r="Y67" s="150" t="s">
        <v>491</v>
      </c>
      <c r="Z67" s="150" t="s">
        <v>334</v>
      </c>
      <c r="AA67" s="150" t="s">
        <v>413</v>
      </c>
      <c r="AB67" s="153">
        <v>4.0000000000000001E-3</v>
      </c>
      <c r="AC67" s="151">
        <v>44431</v>
      </c>
      <c r="AD67" s="150"/>
      <c r="AE67" s="151">
        <v>45382</v>
      </c>
      <c r="AF67" s="150" t="s">
        <v>70</v>
      </c>
      <c r="AG67" s="152" t="s">
        <v>352</v>
      </c>
      <c r="AH67" s="150" t="s">
        <v>326</v>
      </c>
      <c r="AI67" s="99"/>
      <c r="AJ67" s="149"/>
      <c r="AK67" s="99"/>
      <c r="AL67" s="149"/>
      <c r="AM67" s="99"/>
      <c r="AN67" s="149">
        <v>0</v>
      </c>
      <c r="AO67" s="149">
        <v>1</v>
      </c>
      <c r="AP67" s="149">
        <v>0</v>
      </c>
      <c r="AQ67" s="149">
        <v>0</v>
      </c>
      <c r="AR67" s="149">
        <v>0</v>
      </c>
      <c r="AS67" s="149">
        <v>0</v>
      </c>
      <c r="AT67" s="149">
        <v>0</v>
      </c>
      <c r="AU67" s="149">
        <v>0</v>
      </c>
      <c r="AV67" s="149">
        <v>1</v>
      </c>
      <c r="AW67" s="149">
        <v>0</v>
      </c>
      <c r="AX67" s="149">
        <v>0</v>
      </c>
      <c r="AY67" s="149">
        <v>0</v>
      </c>
      <c r="AZ67" s="149">
        <v>0</v>
      </c>
      <c r="BA67" s="149">
        <v>0</v>
      </c>
      <c r="BB67" s="149">
        <v>0</v>
      </c>
      <c r="BC67" s="149">
        <v>0</v>
      </c>
      <c r="BD67" s="149">
        <v>0</v>
      </c>
      <c r="BE67" s="149">
        <v>0</v>
      </c>
      <c r="BF67" s="149">
        <v>0</v>
      </c>
      <c r="BG67" s="149">
        <v>0</v>
      </c>
      <c r="BH67" s="149">
        <v>0</v>
      </c>
      <c r="BI67" s="149">
        <v>0</v>
      </c>
      <c r="BJ67" s="149">
        <v>0</v>
      </c>
      <c r="BK67" s="149">
        <v>0</v>
      </c>
      <c r="BL67" s="149">
        <v>0</v>
      </c>
      <c r="BM67" s="149">
        <v>0</v>
      </c>
      <c r="BN67" s="149">
        <v>0</v>
      </c>
      <c r="BO67" s="149">
        <v>0</v>
      </c>
      <c r="BP67" s="152" t="s">
        <v>140</v>
      </c>
      <c r="BQ67" s="152"/>
      <c r="BR67" s="154" t="s">
        <v>148</v>
      </c>
      <c r="BS67" s="136">
        <v>11</v>
      </c>
      <c r="BT67" s="267">
        <f t="shared" si="4"/>
        <v>1</v>
      </c>
      <c r="BU67" s="267"/>
      <c r="BV67" s="267"/>
      <c r="BW67" s="267"/>
      <c r="BX67" s="267"/>
      <c r="BY67" s="267"/>
      <c r="BZ67" s="267"/>
      <c r="CA67" s="267"/>
      <c r="CB67" s="267"/>
      <c r="CC67" s="267"/>
      <c r="CD67" s="267"/>
      <c r="CE67" s="267"/>
      <c r="CF67" s="267"/>
      <c r="CG67" s="267"/>
      <c r="CH67" s="267"/>
      <c r="CI67" s="267"/>
      <c r="CJ67" s="267"/>
      <c r="CK67" s="267"/>
      <c r="CL67" s="267"/>
      <c r="CM67" s="267"/>
      <c r="CN67" s="101">
        <f t="shared" ref="CN67:CN130" si="5">SUM(BU67:BY67)</f>
        <v>0</v>
      </c>
      <c r="CO67" s="101">
        <f t="shared" ref="CO67:CO130" si="6">SUM(BU67:CD67)</f>
        <v>0</v>
      </c>
    </row>
    <row r="68" spans="1:93" ht="13.9" customHeight="1" x14ac:dyDescent="0.2">
      <c r="A68" s="149">
        <v>2502</v>
      </c>
      <c r="B68" s="150" t="s">
        <v>323</v>
      </c>
      <c r="C68" s="150" t="s">
        <v>507</v>
      </c>
      <c r="D68" s="150" t="s">
        <v>508</v>
      </c>
      <c r="E68" s="150" t="s">
        <v>509</v>
      </c>
      <c r="F68" s="149">
        <v>527221</v>
      </c>
      <c r="G68" s="149">
        <v>172443</v>
      </c>
      <c r="H68" s="150" t="s">
        <v>176</v>
      </c>
      <c r="I68" s="151">
        <v>44286</v>
      </c>
      <c r="J68" s="151">
        <v>45382</v>
      </c>
      <c r="K68" s="149">
        <v>0</v>
      </c>
      <c r="L68" s="149">
        <v>29</v>
      </c>
      <c r="M68" s="149">
        <v>29</v>
      </c>
      <c r="N68" s="149">
        <v>72</v>
      </c>
      <c r="O68" s="149">
        <v>72</v>
      </c>
      <c r="P68" s="152" t="s">
        <v>327</v>
      </c>
      <c r="Q68" s="150" t="s">
        <v>510</v>
      </c>
      <c r="R68" s="150" t="s">
        <v>388</v>
      </c>
      <c r="S68" s="151">
        <v>43948</v>
      </c>
      <c r="T68" s="151">
        <v>44039</v>
      </c>
      <c r="U68" s="152"/>
      <c r="V68" s="150" t="s">
        <v>330</v>
      </c>
      <c r="W68" s="151"/>
      <c r="X68" s="150" t="s">
        <v>331</v>
      </c>
      <c r="Y68" s="150" t="s">
        <v>332</v>
      </c>
      <c r="Z68" s="150" t="s">
        <v>333</v>
      </c>
      <c r="AA68" s="150" t="s">
        <v>334</v>
      </c>
      <c r="AB68" s="153">
        <v>0.878</v>
      </c>
      <c r="AC68" s="151">
        <v>44286</v>
      </c>
      <c r="AD68" s="150"/>
      <c r="AE68" s="151">
        <v>45382</v>
      </c>
      <c r="AF68" s="150" t="s">
        <v>70</v>
      </c>
      <c r="AG68" s="152" t="s">
        <v>352</v>
      </c>
      <c r="AH68" s="150" t="s">
        <v>511</v>
      </c>
      <c r="AI68" s="99"/>
      <c r="AJ68" s="149"/>
      <c r="AK68" s="99"/>
      <c r="AL68" s="149">
        <v>6</v>
      </c>
      <c r="AM68" s="99"/>
      <c r="AN68" s="149">
        <v>0</v>
      </c>
      <c r="AO68" s="149">
        <v>29</v>
      </c>
      <c r="AP68" s="149">
        <v>0</v>
      </c>
      <c r="AQ68" s="149">
        <v>0</v>
      </c>
      <c r="AR68" s="149">
        <v>0</v>
      </c>
      <c r="AS68" s="149">
        <v>0</v>
      </c>
      <c r="AT68" s="149">
        <v>0</v>
      </c>
      <c r="AU68" s="149">
        <v>0</v>
      </c>
      <c r="AV68" s="149">
        <v>29</v>
      </c>
      <c r="AW68" s="149">
        <v>0</v>
      </c>
      <c r="AX68" s="149">
        <v>0</v>
      </c>
      <c r="AY68" s="149">
        <v>0</v>
      </c>
      <c r="AZ68" s="149">
        <v>0</v>
      </c>
      <c r="BA68" s="149">
        <v>0</v>
      </c>
      <c r="BB68" s="149">
        <v>0</v>
      </c>
      <c r="BC68" s="149">
        <v>0</v>
      </c>
      <c r="BD68" s="149">
        <v>0</v>
      </c>
      <c r="BE68" s="149">
        <v>0</v>
      </c>
      <c r="BF68" s="149">
        <v>0</v>
      </c>
      <c r="BG68" s="149">
        <v>0</v>
      </c>
      <c r="BH68" s="149">
        <v>0</v>
      </c>
      <c r="BI68" s="149">
        <v>0</v>
      </c>
      <c r="BJ68" s="149">
        <v>0</v>
      </c>
      <c r="BK68" s="149">
        <v>0</v>
      </c>
      <c r="BL68" s="149">
        <v>0</v>
      </c>
      <c r="BM68" s="149">
        <v>0</v>
      </c>
      <c r="BN68" s="149">
        <v>0</v>
      </c>
      <c r="BO68" s="149">
        <v>0</v>
      </c>
      <c r="BP68" s="152"/>
      <c r="BQ68" s="152"/>
      <c r="BR68" s="154" t="s">
        <v>359</v>
      </c>
      <c r="BS68" s="136">
        <v>11</v>
      </c>
      <c r="BT68" s="267">
        <f t="shared" si="4"/>
        <v>29</v>
      </c>
      <c r="BU68" s="267"/>
      <c r="BV68" s="267"/>
      <c r="BW68" s="267"/>
      <c r="BX68" s="267"/>
      <c r="BY68" s="267"/>
      <c r="BZ68" s="267"/>
      <c r="CA68" s="267"/>
      <c r="CB68" s="267"/>
      <c r="CC68" s="267"/>
      <c r="CD68" s="267"/>
      <c r="CE68" s="267"/>
      <c r="CF68" s="267"/>
      <c r="CG68" s="267"/>
      <c r="CH68" s="267"/>
      <c r="CI68" s="267"/>
      <c r="CJ68" s="267"/>
      <c r="CK68" s="267"/>
      <c r="CL68" s="267"/>
      <c r="CM68" s="267"/>
      <c r="CN68" s="101">
        <f t="shared" si="5"/>
        <v>0</v>
      </c>
      <c r="CO68" s="101">
        <f t="shared" si="6"/>
        <v>0</v>
      </c>
    </row>
    <row r="69" spans="1:93" ht="13.9" customHeight="1" x14ac:dyDescent="0.2">
      <c r="A69" s="149">
        <v>6481</v>
      </c>
      <c r="B69" s="150" t="s">
        <v>323</v>
      </c>
      <c r="C69" s="150" t="s">
        <v>512</v>
      </c>
      <c r="D69" s="150" t="s">
        <v>513</v>
      </c>
      <c r="E69" s="150" t="s">
        <v>514</v>
      </c>
      <c r="F69" s="149">
        <v>528408</v>
      </c>
      <c r="G69" s="149">
        <v>173055</v>
      </c>
      <c r="H69" s="150" t="s">
        <v>168</v>
      </c>
      <c r="I69" s="151">
        <v>45016</v>
      </c>
      <c r="J69" s="151">
        <v>45334</v>
      </c>
      <c r="K69" s="149">
        <v>0</v>
      </c>
      <c r="L69" s="149">
        <v>2</v>
      </c>
      <c r="M69" s="149">
        <v>2</v>
      </c>
      <c r="N69" s="149">
        <v>3</v>
      </c>
      <c r="O69" s="149">
        <v>3</v>
      </c>
      <c r="P69" s="152"/>
      <c r="Q69" s="150" t="s">
        <v>515</v>
      </c>
      <c r="R69" s="150" t="s">
        <v>349</v>
      </c>
      <c r="S69" s="151">
        <v>43993</v>
      </c>
      <c r="T69" s="151">
        <v>44049</v>
      </c>
      <c r="U69" s="152"/>
      <c r="V69" s="150" t="s">
        <v>330</v>
      </c>
      <c r="W69" s="151"/>
      <c r="X69" s="150" t="s">
        <v>331</v>
      </c>
      <c r="Y69" s="150" t="s">
        <v>398</v>
      </c>
      <c r="Z69" s="150" t="s">
        <v>334</v>
      </c>
      <c r="AA69" s="150" t="s">
        <v>29</v>
      </c>
      <c r="AB69" s="153">
        <v>6.0000000000000001E-3</v>
      </c>
      <c r="AC69" s="151">
        <v>45016</v>
      </c>
      <c r="AD69" s="150"/>
      <c r="AE69" s="151">
        <v>45334</v>
      </c>
      <c r="AF69" s="150" t="s">
        <v>70</v>
      </c>
      <c r="AG69" s="152" t="s">
        <v>352</v>
      </c>
      <c r="AH69" s="150" t="s">
        <v>326</v>
      </c>
      <c r="AI69" s="99"/>
      <c r="AJ69" s="149"/>
      <c r="AK69" s="99"/>
      <c r="AL69" s="149"/>
      <c r="AM69" s="99"/>
      <c r="AN69" s="149">
        <v>0</v>
      </c>
      <c r="AO69" s="149">
        <v>2</v>
      </c>
      <c r="AP69" s="149">
        <v>0</v>
      </c>
      <c r="AQ69" s="149">
        <v>0</v>
      </c>
      <c r="AR69" s="149">
        <v>0</v>
      </c>
      <c r="AS69" s="149">
        <v>0</v>
      </c>
      <c r="AT69" s="149">
        <v>0</v>
      </c>
      <c r="AU69" s="149">
        <v>0</v>
      </c>
      <c r="AV69" s="149">
        <v>2</v>
      </c>
      <c r="AW69" s="149">
        <v>0</v>
      </c>
      <c r="AX69" s="149">
        <v>0</v>
      </c>
      <c r="AY69" s="149">
        <v>0</v>
      </c>
      <c r="AZ69" s="149">
        <v>0</v>
      </c>
      <c r="BA69" s="149">
        <v>0</v>
      </c>
      <c r="BB69" s="149">
        <v>0</v>
      </c>
      <c r="BC69" s="149">
        <v>0</v>
      </c>
      <c r="BD69" s="149">
        <v>0</v>
      </c>
      <c r="BE69" s="149">
        <v>0</v>
      </c>
      <c r="BF69" s="149">
        <v>0</v>
      </c>
      <c r="BG69" s="149">
        <v>0</v>
      </c>
      <c r="BH69" s="149">
        <v>0</v>
      </c>
      <c r="BI69" s="149">
        <v>0</v>
      </c>
      <c r="BJ69" s="149">
        <v>0</v>
      </c>
      <c r="BK69" s="149">
        <v>0</v>
      </c>
      <c r="BL69" s="149">
        <v>0</v>
      </c>
      <c r="BM69" s="149">
        <v>0</v>
      </c>
      <c r="BN69" s="149">
        <v>0</v>
      </c>
      <c r="BO69" s="149">
        <v>0</v>
      </c>
      <c r="BP69" s="152"/>
      <c r="BQ69" s="152"/>
      <c r="BR69" s="154" t="s">
        <v>359</v>
      </c>
      <c r="BS69" s="136">
        <v>11</v>
      </c>
      <c r="BT69" s="267">
        <f t="shared" si="4"/>
        <v>2</v>
      </c>
      <c r="BU69" s="267"/>
      <c r="BV69" s="267"/>
      <c r="BW69" s="267"/>
      <c r="BX69" s="267"/>
      <c r="BY69" s="267"/>
      <c r="BZ69" s="267"/>
      <c r="CA69" s="267"/>
      <c r="CB69" s="267"/>
      <c r="CC69" s="267"/>
      <c r="CD69" s="267"/>
      <c r="CE69" s="267"/>
      <c r="CF69" s="267"/>
      <c r="CG69" s="267"/>
      <c r="CH69" s="267"/>
      <c r="CI69" s="267"/>
      <c r="CJ69" s="267"/>
      <c r="CK69" s="267"/>
      <c r="CL69" s="267"/>
      <c r="CM69" s="267"/>
      <c r="CN69" s="101">
        <f t="shared" si="5"/>
        <v>0</v>
      </c>
      <c r="CO69" s="101">
        <f t="shared" si="6"/>
        <v>0</v>
      </c>
    </row>
    <row r="70" spans="1:93" ht="13.9" customHeight="1" x14ac:dyDescent="0.2">
      <c r="A70" s="149">
        <v>6481</v>
      </c>
      <c r="B70" s="150" t="s">
        <v>323</v>
      </c>
      <c r="C70" s="150" t="s">
        <v>512</v>
      </c>
      <c r="D70" s="150" t="s">
        <v>513</v>
      </c>
      <c r="E70" s="150" t="s">
        <v>516</v>
      </c>
      <c r="F70" s="149">
        <v>528408</v>
      </c>
      <c r="G70" s="149">
        <v>173055</v>
      </c>
      <c r="H70" s="150" t="s">
        <v>168</v>
      </c>
      <c r="I70" s="151">
        <v>45016</v>
      </c>
      <c r="J70" s="151">
        <v>45334</v>
      </c>
      <c r="K70" s="149">
        <v>0</v>
      </c>
      <c r="L70" s="149">
        <v>1</v>
      </c>
      <c r="M70" s="149">
        <v>1</v>
      </c>
      <c r="N70" s="149">
        <v>3</v>
      </c>
      <c r="O70" s="149">
        <v>3</v>
      </c>
      <c r="P70" s="152"/>
      <c r="Q70" s="150" t="s">
        <v>515</v>
      </c>
      <c r="R70" s="150" t="s">
        <v>349</v>
      </c>
      <c r="S70" s="151">
        <v>43993</v>
      </c>
      <c r="T70" s="151">
        <v>44049</v>
      </c>
      <c r="U70" s="152"/>
      <c r="V70" s="150" t="s">
        <v>330</v>
      </c>
      <c r="W70" s="151"/>
      <c r="X70" s="150" t="s">
        <v>331</v>
      </c>
      <c r="Y70" s="150" t="s">
        <v>398</v>
      </c>
      <c r="Z70" s="150" t="s">
        <v>334</v>
      </c>
      <c r="AA70" s="150" t="s">
        <v>413</v>
      </c>
      <c r="AB70" s="153">
        <v>4.0000000000000001E-3</v>
      </c>
      <c r="AC70" s="151">
        <v>45016</v>
      </c>
      <c r="AD70" s="150"/>
      <c r="AE70" s="151">
        <v>45334</v>
      </c>
      <c r="AF70" s="150" t="s">
        <v>70</v>
      </c>
      <c r="AG70" s="152" t="s">
        <v>352</v>
      </c>
      <c r="AH70" s="150" t="s">
        <v>326</v>
      </c>
      <c r="AI70" s="99"/>
      <c r="AJ70" s="149"/>
      <c r="AK70" s="99"/>
      <c r="AL70" s="149"/>
      <c r="AM70" s="99"/>
      <c r="AN70" s="149">
        <v>0</v>
      </c>
      <c r="AO70" s="149">
        <v>0</v>
      </c>
      <c r="AP70" s="149">
        <v>1</v>
      </c>
      <c r="AQ70" s="149">
        <v>0</v>
      </c>
      <c r="AR70" s="149">
        <v>0</v>
      </c>
      <c r="AS70" s="149">
        <v>0</v>
      </c>
      <c r="AT70" s="149">
        <v>0</v>
      </c>
      <c r="AU70" s="149">
        <v>0</v>
      </c>
      <c r="AV70" s="149">
        <v>0</v>
      </c>
      <c r="AW70" s="149">
        <v>1</v>
      </c>
      <c r="AX70" s="149">
        <v>0</v>
      </c>
      <c r="AY70" s="149">
        <v>0</v>
      </c>
      <c r="AZ70" s="149">
        <v>0</v>
      </c>
      <c r="BA70" s="149">
        <v>0</v>
      </c>
      <c r="BB70" s="149">
        <v>0</v>
      </c>
      <c r="BC70" s="149">
        <v>0</v>
      </c>
      <c r="BD70" s="149">
        <v>0</v>
      </c>
      <c r="BE70" s="149">
        <v>0</v>
      </c>
      <c r="BF70" s="149">
        <v>0</v>
      </c>
      <c r="BG70" s="149">
        <v>0</v>
      </c>
      <c r="BH70" s="149">
        <v>0</v>
      </c>
      <c r="BI70" s="149">
        <v>0</v>
      </c>
      <c r="BJ70" s="149">
        <v>0</v>
      </c>
      <c r="BK70" s="149">
        <v>0</v>
      </c>
      <c r="BL70" s="149">
        <v>0</v>
      </c>
      <c r="BM70" s="149">
        <v>0</v>
      </c>
      <c r="BN70" s="149">
        <v>0</v>
      </c>
      <c r="BO70" s="149">
        <v>0</v>
      </c>
      <c r="BP70" s="152"/>
      <c r="BQ70" s="152"/>
      <c r="BR70" s="154" t="s">
        <v>359</v>
      </c>
      <c r="BS70" s="136">
        <v>11</v>
      </c>
      <c r="BT70" s="267">
        <f t="shared" si="4"/>
        <v>1</v>
      </c>
      <c r="BU70" s="267"/>
      <c r="BV70" s="267"/>
      <c r="BW70" s="267"/>
      <c r="BX70" s="267"/>
      <c r="BY70" s="267"/>
      <c r="BZ70" s="267"/>
      <c r="CA70" s="267"/>
      <c r="CB70" s="267"/>
      <c r="CC70" s="267"/>
      <c r="CD70" s="267"/>
      <c r="CE70" s="267"/>
      <c r="CF70" s="267"/>
      <c r="CG70" s="267"/>
      <c r="CH70" s="267"/>
      <c r="CI70" s="267"/>
      <c r="CJ70" s="267"/>
      <c r="CK70" s="267"/>
      <c r="CL70" s="267"/>
      <c r="CM70" s="267"/>
      <c r="CN70" s="101">
        <f t="shared" si="5"/>
        <v>0</v>
      </c>
      <c r="CO70" s="101">
        <f t="shared" si="6"/>
        <v>0</v>
      </c>
    </row>
    <row r="71" spans="1:93" ht="13.9" customHeight="1" x14ac:dyDescent="0.2">
      <c r="A71" s="149">
        <v>2502</v>
      </c>
      <c r="B71" s="150" t="s">
        <v>323</v>
      </c>
      <c r="C71" s="150" t="s">
        <v>517</v>
      </c>
      <c r="D71" s="150" t="s">
        <v>508</v>
      </c>
      <c r="E71" s="150" t="s">
        <v>518</v>
      </c>
      <c r="F71" s="149">
        <v>527221</v>
      </c>
      <c r="G71" s="149">
        <v>172443</v>
      </c>
      <c r="H71" s="150" t="s">
        <v>176</v>
      </c>
      <c r="I71" s="151">
        <v>44286</v>
      </c>
      <c r="J71" s="151"/>
      <c r="K71" s="149">
        <v>0</v>
      </c>
      <c r="L71" s="149">
        <v>4</v>
      </c>
      <c r="M71" s="149">
        <v>4</v>
      </c>
      <c r="N71" s="149">
        <v>227</v>
      </c>
      <c r="O71" s="149">
        <v>227</v>
      </c>
      <c r="P71" s="152" t="s">
        <v>327</v>
      </c>
      <c r="Q71" s="150" t="s">
        <v>519</v>
      </c>
      <c r="R71" s="150" t="s">
        <v>388</v>
      </c>
      <c r="S71" s="151">
        <v>43971</v>
      </c>
      <c r="T71" s="151">
        <v>44127</v>
      </c>
      <c r="U71" s="152"/>
      <c r="V71" s="150" t="s">
        <v>330</v>
      </c>
      <c r="W71" s="151"/>
      <c r="X71" s="150" t="s">
        <v>331</v>
      </c>
      <c r="Y71" s="150" t="s">
        <v>343</v>
      </c>
      <c r="Z71" s="150" t="s">
        <v>343</v>
      </c>
      <c r="AA71" s="150" t="s">
        <v>334</v>
      </c>
      <c r="AB71" s="153">
        <v>3.9600000000000003E-2</v>
      </c>
      <c r="AC71" s="151">
        <v>44286</v>
      </c>
      <c r="AD71" s="150"/>
      <c r="AE71" s="151">
        <v>45382</v>
      </c>
      <c r="AF71" s="150" t="s">
        <v>49</v>
      </c>
      <c r="AG71" s="152" t="s">
        <v>470</v>
      </c>
      <c r="AH71" s="150" t="s">
        <v>511</v>
      </c>
      <c r="AI71" s="99"/>
      <c r="AJ71" s="149"/>
      <c r="AK71" s="99"/>
      <c r="AL71" s="149"/>
      <c r="AM71" s="99"/>
      <c r="AN71" s="149">
        <v>0</v>
      </c>
      <c r="AO71" s="149">
        <v>2</v>
      </c>
      <c r="AP71" s="149">
        <v>1</v>
      </c>
      <c r="AQ71" s="149">
        <v>1</v>
      </c>
      <c r="AR71" s="149">
        <v>0</v>
      </c>
      <c r="AS71" s="149">
        <v>0</v>
      </c>
      <c r="AT71" s="149">
        <v>0</v>
      </c>
      <c r="AU71" s="149">
        <v>0</v>
      </c>
      <c r="AV71" s="149">
        <v>2</v>
      </c>
      <c r="AW71" s="149">
        <v>1</v>
      </c>
      <c r="AX71" s="149">
        <v>1</v>
      </c>
      <c r="AY71" s="149">
        <v>0</v>
      </c>
      <c r="AZ71" s="149">
        <v>0</v>
      </c>
      <c r="BA71" s="149">
        <v>0</v>
      </c>
      <c r="BB71" s="149">
        <v>0</v>
      </c>
      <c r="BC71" s="149">
        <v>0</v>
      </c>
      <c r="BD71" s="149">
        <v>0</v>
      </c>
      <c r="BE71" s="149">
        <v>0</v>
      </c>
      <c r="BF71" s="149">
        <v>0</v>
      </c>
      <c r="BG71" s="149">
        <v>0</v>
      </c>
      <c r="BH71" s="149">
        <v>0</v>
      </c>
      <c r="BI71" s="149">
        <v>0</v>
      </c>
      <c r="BJ71" s="149">
        <v>0</v>
      </c>
      <c r="BK71" s="149">
        <v>0</v>
      </c>
      <c r="BL71" s="149">
        <v>0</v>
      </c>
      <c r="BM71" s="149">
        <v>0</v>
      </c>
      <c r="BN71" s="149">
        <v>0</v>
      </c>
      <c r="BO71" s="149">
        <v>0</v>
      </c>
      <c r="BP71" s="152"/>
      <c r="BQ71" s="152"/>
      <c r="BR71" s="154" t="s">
        <v>359</v>
      </c>
      <c r="BS71" s="136">
        <v>1</v>
      </c>
      <c r="BT71" s="267">
        <f t="shared" si="4"/>
        <v>4</v>
      </c>
      <c r="BU71" s="267"/>
      <c r="BV71" s="267"/>
      <c r="BW71" s="267"/>
      <c r="BX71" s="267"/>
      <c r="BY71" s="267"/>
      <c r="BZ71" s="267"/>
      <c r="CA71" s="267"/>
      <c r="CB71" s="267"/>
      <c r="CC71" s="267"/>
      <c r="CD71" s="267"/>
      <c r="CE71" s="267"/>
      <c r="CF71" s="267"/>
      <c r="CG71" s="267"/>
      <c r="CH71" s="267"/>
      <c r="CI71" s="267"/>
      <c r="CJ71" s="267"/>
      <c r="CK71" s="267"/>
      <c r="CL71" s="267"/>
      <c r="CM71" s="267"/>
      <c r="CN71" s="101">
        <f t="shared" si="5"/>
        <v>0</v>
      </c>
      <c r="CO71" s="101">
        <f t="shared" si="6"/>
        <v>0</v>
      </c>
    </row>
    <row r="72" spans="1:93" ht="13.9" customHeight="1" x14ac:dyDescent="0.2">
      <c r="A72" s="149">
        <v>2502</v>
      </c>
      <c r="B72" s="150" t="s">
        <v>323</v>
      </c>
      <c r="C72" s="150" t="s">
        <v>517</v>
      </c>
      <c r="D72" s="150" t="s">
        <v>508</v>
      </c>
      <c r="E72" s="150" t="s">
        <v>520</v>
      </c>
      <c r="F72" s="149">
        <v>527221</v>
      </c>
      <c r="G72" s="149">
        <v>172443</v>
      </c>
      <c r="H72" s="150" t="s">
        <v>176</v>
      </c>
      <c r="I72" s="151">
        <v>44286</v>
      </c>
      <c r="J72" s="151"/>
      <c r="K72" s="149">
        <v>0</v>
      </c>
      <c r="L72" s="149">
        <v>4</v>
      </c>
      <c r="M72" s="149">
        <v>4</v>
      </c>
      <c r="N72" s="149">
        <v>227</v>
      </c>
      <c r="O72" s="149">
        <v>227</v>
      </c>
      <c r="P72" s="152" t="s">
        <v>327</v>
      </c>
      <c r="Q72" s="150" t="s">
        <v>519</v>
      </c>
      <c r="R72" s="150" t="s">
        <v>388</v>
      </c>
      <c r="S72" s="151">
        <v>43971</v>
      </c>
      <c r="T72" s="151">
        <v>44127</v>
      </c>
      <c r="U72" s="152"/>
      <c r="V72" s="150" t="s">
        <v>330</v>
      </c>
      <c r="W72" s="151"/>
      <c r="X72" s="150" t="s">
        <v>331</v>
      </c>
      <c r="Y72" s="150" t="s">
        <v>343</v>
      </c>
      <c r="Z72" s="150" t="s">
        <v>343</v>
      </c>
      <c r="AA72" s="150" t="s">
        <v>334</v>
      </c>
      <c r="AB72" s="153">
        <v>3.9E-2</v>
      </c>
      <c r="AC72" s="151">
        <v>44286</v>
      </c>
      <c r="AD72" s="150"/>
      <c r="AE72" s="151">
        <v>45382</v>
      </c>
      <c r="AF72" s="150" t="s">
        <v>49</v>
      </c>
      <c r="AG72" s="152" t="s">
        <v>470</v>
      </c>
      <c r="AH72" s="150" t="s">
        <v>511</v>
      </c>
      <c r="AI72" s="99"/>
      <c r="AJ72" s="149"/>
      <c r="AK72" s="99"/>
      <c r="AL72" s="149"/>
      <c r="AM72" s="99"/>
      <c r="AN72" s="149">
        <v>0</v>
      </c>
      <c r="AO72" s="149">
        <v>0</v>
      </c>
      <c r="AP72" s="149">
        <v>0</v>
      </c>
      <c r="AQ72" s="149">
        <v>4</v>
      </c>
      <c r="AR72" s="149">
        <v>0</v>
      </c>
      <c r="AS72" s="149">
        <v>0</v>
      </c>
      <c r="AT72" s="149">
        <v>0</v>
      </c>
      <c r="AU72" s="149">
        <v>0</v>
      </c>
      <c r="AV72" s="149">
        <v>0</v>
      </c>
      <c r="AW72" s="149">
        <v>0</v>
      </c>
      <c r="AX72" s="149">
        <v>4</v>
      </c>
      <c r="AY72" s="149">
        <v>0</v>
      </c>
      <c r="AZ72" s="149">
        <v>0</v>
      </c>
      <c r="BA72" s="149">
        <v>0</v>
      </c>
      <c r="BB72" s="149">
        <v>0</v>
      </c>
      <c r="BC72" s="149">
        <v>0</v>
      </c>
      <c r="BD72" s="149">
        <v>0</v>
      </c>
      <c r="BE72" s="149">
        <v>0</v>
      </c>
      <c r="BF72" s="149">
        <v>0</v>
      </c>
      <c r="BG72" s="149">
        <v>0</v>
      </c>
      <c r="BH72" s="149">
        <v>0</v>
      </c>
      <c r="BI72" s="149">
        <v>0</v>
      </c>
      <c r="BJ72" s="149">
        <v>0</v>
      </c>
      <c r="BK72" s="149">
        <v>0</v>
      </c>
      <c r="BL72" s="149">
        <v>0</v>
      </c>
      <c r="BM72" s="149">
        <v>0</v>
      </c>
      <c r="BN72" s="149">
        <v>0</v>
      </c>
      <c r="BO72" s="149">
        <v>0</v>
      </c>
      <c r="BP72" s="152"/>
      <c r="BQ72" s="152"/>
      <c r="BR72" s="154" t="s">
        <v>359</v>
      </c>
      <c r="BS72" s="136">
        <v>1</v>
      </c>
      <c r="BT72" s="267">
        <f t="shared" si="4"/>
        <v>4</v>
      </c>
      <c r="BU72" s="267"/>
      <c r="BV72" s="267"/>
      <c r="BW72" s="267"/>
      <c r="BX72" s="267"/>
      <c r="BY72" s="267"/>
      <c r="BZ72" s="267"/>
      <c r="CA72" s="267"/>
      <c r="CB72" s="267"/>
      <c r="CC72" s="267"/>
      <c r="CD72" s="267"/>
      <c r="CE72" s="267"/>
      <c r="CF72" s="267"/>
      <c r="CG72" s="267"/>
      <c r="CH72" s="267"/>
      <c r="CI72" s="267"/>
      <c r="CJ72" s="267"/>
      <c r="CK72" s="267"/>
      <c r="CL72" s="267"/>
      <c r="CM72" s="267"/>
      <c r="CN72" s="101">
        <f t="shared" si="5"/>
        <v>0</v>
      </c>
      <c r="CO72" s="101">
        <f t="shared" si="6"/>
        <v>0</v>
      </c>
    </row>
    <row r="73" spans="1:93" ht="13.9" customHeight="1" x14ac:dyDescent="0.2">
      <c r="A73" s="149">
        <v>2502</v>
      </c>
      <c r="B73" s="150" t="s">
        <v>323</v>
      </c>
      <c r="C73" s="150" t="s">
        <v>517</v>
      </c>
      <c r="D73" s="150" t="s">
        <v>508</v>
      </c>
      <c r="E73" s="150" t="s">
        <v>521</v>
      </c>
      <c r="F73" s="149">
        <v>527221</v>
      </c>
      <c r="G73" s="149">
        <v>172443</v>
      </c>
      <c r="H73" s="150" t="s">
        <v>176</v>
      </c>
      <c r="I73" s="151">
        <v>44286</v>
      </c>
      <c r="J73" s="151"/>
      <c r="K73" s="149">
        <v>0</v>
      </c>
      <c r="L73" s="149">
        <v>1</v>
      </c>
      <c r="M73" s="149">
        <v>1</v>
      </c>
      <c r="N73" s="149">
        <v>227</v>
      </c>
      <c r="O73" s="149">
        <v>227</v>
      </c>
      <c r="P73" s="152" t="s">
        <v>327</v>
      </c>
      <c r="Q73" s="150" t="s">
        <v>519</v>
      </c>
      <c r="R73" s="150" t="s">
        <v>388</v>
      </c>
      <c r="S73" s="151">
        <v>43971</v>
      </c>
      <c r="T73" s="151">
        <v>44127</v>
      </c>
      <c r="U73" s="152"/>
      <c r="V73" s="150" t="s">
        <v>330</v>
      </c>
      <c r="W73" s="151"/>
      <c r="X73" s="150" t="s">
        <v>331</v>
      </c>
      <c r="Y73" s="150" t="s">
        <v>343</v>
      </c>
      <c r="Z73" s="150" t="s">
        <v>343</v>
      </c>
      <c r="AA73" s="150" t="s">
        <v>334</v>
      </c>
      <c r="AB73" s="153">
        <v>0.01</v>
      </c>
      <c r="AC73" s="151">
        <v>44286</v>
      </c>
      <c r="AD73" s="150"/>
      <c r="AE73" s="151">
        <v>45382</v>
      </c>
      <c r="AF73" s="150" t="s">
        <v>49</v>
      </c>
      <c r="AG73" s="152" t="s">
        <v>470</v>
      </c>
      <c r="AH73" s="150" t="s">
        <v>511</v>
      </c>
      <c r="AI73" s="99"/>
      <c r="AJ73" s="149"/>
      <c r="AK73" s="99"/>
      <c r="AL73" s="149">
        <v>1</v>
      </c>
      <c r="AM73" s="99"/>
      <c r="AN73" s="149">
        <v>0</v>
      </c>
      <c r="AO73" s="149">
        <v>0</v>
      </c>
      <c r="AP73" s="149">
        <v>0</v>
      </c>
      <c r="AQ73" s="149">
        <v>1</v>
      </c>
      <c r="AR73" s="149">
        <v>0</v>
      </c>
      <c r="AS73" s="149">
        <v>0</v>
      </c>
      <c r="AT73" s="149">
        <v>0</v>
      </c>
      <c r="AU73" s="149">
        <v>0</v>
      </c>
      <c r="AV73" s="149">
        <v>0</v>
      </c>
      <c r="AW73" s="149">
        <v>0</v>
      </c>
      <c r="AX73" s="149">
        <v>0</v>
      </c>
      <c r="AY73" s="149">
        <v>0</v>
      </c>
      <c r="AZ73" s="149">
        <v>0</v>
      </c>
      <c r="BA73" s="149">
        <v>0</v>
      </c>
      <c r="BB73" s="149">
        <v>0</v>
      </c>
      <c r="BC73" s="149">
        <v>0</v>
      </c>
      <c r="BD73" s="149">
        <v>0</v>
      </c>
      <c r="BE73" s="149">
        <v>1</v>
      </c>
      <c r="BF73" s="149">
        <v>0</v>
      </c>
      <c r="BG73" s="149">
        <v>0</v>
      </c>
      <c r="BH73" s="149">
        <v>0</v>
      </c>
      <c r="BI73" s="149">
        <v>0</v>
      </c>
      <c r="BJ73" s="149">
        <v>0</v>
      </c>
      <c r="BK73" s="149">
        <v>0</v>
      </c>
      <c r="BL73" s="149">
        <v>0</v>
      </c>
      <c r="BM73" s="149">
        <v>0</v>
      </c>
      <c r="BN73" s="149">
        <v>0</v>
      </c>
      <c r="BO73" s="149">
        <v>0</v>
      </c>
      <c r="BP73" s="152"/>
      <c r="BQ73" s="152"/>
      <c r="BR73" s="154" t="s">
        <v>359</v>
      </c>
      <c r="BS73" s="136">
        <v>1</v>
      </c>
      <c r="BT73" s="267">
        <f t="shared" si="4"/>
        <v>1</v>
      </c>
      <c r="BU73" s="267"/>
      <c r="BV73" s="267"/>
      <c r="BW73" s="267"/>
      <c r="BX73" s="267"/>
      <c r="BY73" s="267"/>
      <c r="BZ73" s="267"/>
      <c r="CA73" s="267"/>
      <c r="CB73" s="267"/>
      <c r="CC73" s="267"/>
      <c r="CD73" s="267"/>
      <c r="CE73" s="267"/>
      <c r="CF73" s="267"/>
      <c r="CG73" s="267"/>
      <c r="CH73" s="267"/>
      <c r="CI73" s="267"/>
      <c r="CJ73" s="267"/>
      <c r="CK73" s="267"/>
      <c r="CL73" s="267"/>
      <c r="CM73" s="267"/>
      <c r="CN73" s="101">
        <f t="shared" si="5"/>
        <v>0</v>
      </c>
      <c r="CO73" s="101">
        <f t="shared" si="6"/>
        <v>0</v>
      </c>
    </row>
    <row r="74" spans="1:93" ht="13.9" customHeight="1" x14ac:dyDescent="0.2">
      <c r="A74" s="149">
        <v>2502</v>
      </c>
      <c r="B74" s="150" t="s">
        <v>323</v>
      </c>
      <c r="C74" s="150" t="s">
        <v>517</v>
      </c>
      <c r="D74" s="150" t="s">
        <v>508</v>
      </c>
      <c r="E74" s="150" t="s">
        <v>522</v>
      </c>
      <c r="F74" s="149">
        <v>527221</v>
      </c>
      <c r="G74" s="149">
        <v>172443</v>
      </c>
      <c r="H74" s="150" t="s">
        <v>176</v>
      </c>
      <c r="I74" s="151">
        <v>44286</v>
      </c>
      <c r="J74" s="151"/>
      <c r="K74" s="149">
        <v>0</v>
      </c>
      <c r="L74" s="149">
        <v>1</v>
      </c>
      <c r="M74" s="149">
        <v>1</v>
      </c>
      <c r="N74" s="149">
        <v>227</v>
      </c>
      <c r="O74" s="149">
        <v>227</v>
      </c>
      <c r="P74" s="152" t="s">
        <v>327</v>
      </c>
      <c r="Q74" s="150" t="s">
        <v>519</v>
      </c>
      <c r="R74" s="150" t="s">
        <v>388</v>
      </c>
      <c r="S74" s="151">
        <v>43971</v>
      </c>
      <c r="T74" s="151">
        <v>44127</v>
      </c>
      <c r="U74" s="152"/>
      <c r="V74" s="150" t="s">
        <v>330</v>
      </c>
      <c r="W74" s="151"/>
      <c r="X74" s="150" t="s">
        <v>331</v>
      </c>
      <c r="Y74" s="150" t="s">
        <v>343</v>
      </c>
      <c r="Z74" s="150" t="s">
        <v>343</v>
      </c>
      <c r="AA74" s="150" t="s">
        <v>334</v>
      </c>
      <c r="AB74" s="153">
        <v>0.01</v>
      </c>
      <c r="AC74" s="151">
        <v>44286</v>
      </c>
      <c r="AD74" s="150"/>
      <c r="AE74" s="151">
        <v>45382</v>
      </c>
      <c r="AF74" s="150" t="s">
        <v>49</v>
      </c>
      <c r="AG74" s="152" t="s">
        <v>470</v>
      </c>
      <c r="AH74" s="150" t="s">
        <v>511</v>
      </c>
      <c r="AI74" s="99"/>
      <c r="AJ74" s="149"/>
      <c r="AK74" s="99"/>
      <c r="AL74" s="149">
        <v>1</v>
      </c>
      <c r="AM74" s="99"/>
      <c r="AN74" s="149">
        <v>0</v>
      </c>
      <c r="AO74" s="149">
        <v>0</v>
      </c>
      <c r="AP74" s="149">
        <v>0</v>
      </c>
      <c r="AQ74" s="149">
        <v>1</v>
      </c>
      <c r="AR74" s="149">
        <v>0</v>
      </c>
      <c r="AS74" s="149">
        <v>0</v>
      </c>
      <c r="AT74" s="149">
        <v>0</v>
      </c>
      <c r="AU74" s="149">
        <v>0</v>
      </c>
      <c r="AV74" s="149">
        <v>0</v>
      </c>
      <c r="AW74" s="149">
        <v>0</v>
      </c>
      <c r="AX74" s="149">
        <v>0</v>
      </c>
      <c r="AY74" s="149">
        <v>0</v>
      </c>
      <c r="AZ74" s="149">
        <v>0</v>
      </c>
      <c r="BA74" s="149">
        <v>0</v>
      </c>
      <c r="BB74" s="149">
        <v>0</v>
      </c>
      <c r="BC74" s="149">
        <v>0</v>
      </c>
      <c r="BD74" s="149">
        <v>0</v>
      </c>
      <c r="BE74" s="149">
        <v>1</v>
      </c>
      <c r="BF74" s="149">
        <v>0</v>
      </c>
      <c r="BG74" s="149">
        <v>0</v>
      </c>
      <c r="BH74" s="149">
        <v>0</v>
      </c>
      <c r="BI74" s="149">
        <v>0</v>
      </c>
      <c r="BJ74" s="149">
        <v>0</v>
      </c>
      <c r="BK74" s="149">
        <v>0</v>
      </c>
      <c r="BL74" s="149">
        <v>0</v>
      </c>
      <c r="BM74" s="149">
        <v>0</v>
      </c>
      <c r="BN74" s="149">
        <v>0</v>
      </c>
      <c r="BO74" s="149">
        <v>0</v>
      </c>
      <c r="BP74" s="152"/>
      <c r="BQ74" s="152"/>
      <c r="BR74" s="154" t="s">
        <v>359</v>
      </c>
      <c r="BS74" s="136">
        <v>1</v>
      </c>
      <c r="BT74" s="267">
        <f t="shared" si="4"/>
        <v>1</v>
      </c>
      <c r="BU74" s="267"/>
      <c r="BV74" s="267"/>
      <c r="BW74" s="267"/>
      <c r="BX74" s="267"/>
      <c r="BY74" s="267"/>
      <c r="BZ74" s="267"/>
      <c r="CA74" s="267"/>
      <c r="CB74" s="267"/>
      <c r="CC74" s="267"/>
      <c r="CD74" s="267"/>
      <c r="CE74" s="267"/>
      <c r="CF74" s="267"/>
      <c r="CG74" s="267"/>
      <c r="CH74" s="267"/>
      <c r="CI74" s="267"/>
      <c r="CJ74" s="267"/>
      <c r="CK74" s="267"/>
      <c r="CL74" s="267"/>
      <c r="CM74" s="267"/>
      <c r="CN74" s="101">
        <f t="shared" si="5"/>
        <v>0</v>
      </c>
      <c r="CO74" s="101">
        <f t="shared" si="6"/>
        <v>0</v>
      </c>
    </row>
    <row r="75" spans="1:93" ht="13.9" customHeight="1" x14ac:dyDescent="0.2">
      <c r="A75" s="149">
        <v>2502</v>
      </c>
      <c r="B75" s="150" t="s">
        <v>323</v>
      </c>
      <c r="C75" s="150" t="s">
        <v>517</v>
      </c>
      <c r="D75" s="150" t="s">
        <v>508</v>
      </c>
      <c r="E75" s="150" t="s">
        <v>523</v>
      </c>
      <c r="F75" s="149">
        <v>527221</v>
      </c>
      <c r="G75" s="149">
        <v>172443</v>
      </c>
      <c r="H75" s="150" t="s">
        <v>176</v>
      </c>
      <c r="I75" s="151">
        <v>44286</v>
      </c>
      <c r="J75" s="151"/>
      <c r="K75" s="149">
        <v>0</v>
      </c>
      <c r="L75" s="149">
        <v>8</v>
      </c>
      <c r="M75" s="149">
        <v>8</v>
      </c>
      <c r="N75" s="149">
        <v>227</v>
      </c>
      <c r="O75" s="149">
        <v>227</v>
      </c>
      <c r="P75" s="152" t="s">
        <v>327</v>
      </c>
      <c r="Q75" s="150" t="s">
        <v>519</v>
      </c>
      <c r="R75" s="150" t="s">
        <v>388</v>
      </c>
      <c r="S75" s="151">
        <v>43971</v>
      </c>
      <c r="T75" s="151">
        <v>44127</v>
      </c>
      <c r="U75" s="152"/>
      <c r="V75" s="150" t="s">
        <v>330</v>
      </c>
      <c r="W75" s="151"/>
      <c r="X75" s="150" t="s">
        <v>331</v>
      </c>
      <c r="Y75" s="150" t="s">
        <v>343</v>
      </c>
      <c r="Z75" s="150" t="s">
        <v>343</v>
      </c>
      <c r="AA75" s="150" t="s">
        <v>334</v>
      </c>
      <c r="AB75" s="153">
        <v>7.6999999999999999E-2</v>
      </c>
      <c r="AC75" s="151">
        <v>44286</v>
      </c>
      <c r="AD75" s="150"/>
      <c r="AE75" s="151">
        <v>45382</v>
      </c>
      <c r="AF75" s="150" t="s">
        <v>49</v>
      </c>
      <c r="AG75" s="152" t="s">
        <v>470</v>
      </c>
      <c r="AH75" s="150" t="s">
        <v>511</v>
      </c>
      <c r="AI75" s="99"/>
      <c r="AJ75" s="149"/>
      <c r="AK75" s="99"/>
      <c r="AL75" s="149"/>
      <c r="AM75" s="99"/>
      <c r="AN75" s="149">
        <v>0</v>
      </c>
      <c r="AO75" s="149">
        <v>0</v>
      </c>
      <c r="AP75" s="149">
        <v>8</v>
      </c>
      <c r="AQ75" s="149">
        <v>0</v>
      </c>
      <c r="AR75" s="149">
        <v>0</v>
      </c>
      <c r="AS75" s="149">
        <v>0</v>
      </c>
      <c r="AT75" s="149">
        <v>0</v>
      </c>
      <c r="AU75" s="149">
        <v>0</v>
      </c>
      <c r="AV75" s="149">
        <v>0</v>
      </c>
      <c r="AW75" s="149">
        <v>8</v>
      </c>
      <c r="AX75" s="149">
        <v>0</v>
      </c>
      <c r="AY75" s="149">
        <v>0</v>
      </c>
      <c r="AZ75" s="149">
        <v>0</v>
      </c>
      <c r="BA75" s="149">
        <v>0</v>
      </c>
      <c r="BB75" s="149">
        <v>0</v>
      </c>
      <c r="BC75" s="149">
        <v>0</v>
      </c>
      <c r="BD75" s="149">
        <v>0</v>
      </c>
      <c r="BE75" s="149">
        <v>0</v>
      </c>
      <c r="BF75" s="149">
        <v>0</v>
      </c>
      <c r="BG75" s="149">
        <v>0</v>
      </c>
      <c r="BH75" s="149">
        <v>0</v>
      </c>
      <c r="BI75" s="149">
        <v>0</v>
      </c>
      <c r="BJ75" s="149">
        <v>0</v>
      </c>
      <c r="BK75" s="149">
        <v>0</v>
      </c>
      <c r="BL75" s="149">
        <v>0</v>
      </c>
      <c r="BM75" s="149">
        <v>0</v>
      </c>
      <c r="BN75" s="149">
        <v>0</v>
      </c>
      <c r="BO75" s="149">
        <v>0</v>
      </c>
      <c r="BP75" s="152"/>
      <c r="BQ75" s="152"/>
      <c r="BR75" s="154" t="s">
        <v>359</v>
      </c>
      <c r="BS75" s="136">
        <v>1</v>
      </c>
      <c r="BT75" s="267">
        <f t="shared" si="4"/>
        <v>8</v>
      </c>
      <c r="BU75" s="267"/>
      <c r="BV75" s="267"/>
      <c r="BW75" s="267"/>
      <c r="BX75" s="267"/>
      <c r="BY75" s="267"/>
      <c r="BZ75" s="267"/>
      <c r="CA75" s="267"/>
      <c r="CB75" s="267"/>
      <c r="CC75" s="267"/>
      <c r="CD75" s="267"/>
      <c r="CE75" s="267"/>
      <c r="CF75" s="267"/>
      <c r="CG75" s="267"/>
      <c r="CH75" s="267"/>
      <c r="CI75" s="267"/>
      <c r="CJ75" s="267"/>
      <c r="CK75" s="267"/>
      <c r="CL75" s="267"/>
      <c r="CM75" s="267"/>
      <c r="CN75" s="101">
        <f t="shared" si="5"/>
        <v>0</v>
      </c>
      <c r="CO75" s="101">
        <f t="shared" si="6"/>
        <v>0</v>
      </c>
    </row>
    <row r="76" spans="1:93" ht="13.9" customHeight="1" x14ac:dyDescent="0.2">
      <c r="A76" s="149">
        <v>2502</v>
      </c>
      <c r="B76" s="150" t="s">
        <v>323</v>
      </c>
      <c r="C76" s="150" t="s">
        <v>517</v>
      </c>
      <c r="D76" s="150" t="s">
        <v>508</v>
      </c>
      <c r="E76" s="150" t="s">
        <v>523</v>
      </c>
      <c r="F76" s="149">
        <v>527221</v>
      </c>
      <c r="G76" s="149">
        <v>172443</v>
      </c>
      <c r="H76" s="150" t="s">
        <v>176</v>
      </c>
      <c r="I76" s="151">
        <v>44286</v>
      </c>
      <c r="J76" s="151"/>
      <c r="K76" s="149">
        <v>0</v>
      </c>
      <c r="L76" s="149">
        <v>8</v>
      </c>
      <c r="M76" s="149">
        <v>8</v>
      </c>
      <c r="N76" s="149">
        <v>227</v>
      </c>
      <c r="O76" s="149">
        <v>227</v>
      </c>
      <c r="P76" s="152" t="s">
        <v>327</v>
      </c>
      <c r="Q76" s="150" t="s">
        <v>519</v>
      </c>
      <c r="R76" s="150" t="s">
        <v>388</v>
      </c>
      <c r="S76" s="151">
        <v>43971</v>
      </c>
      <c r="T76" s="151">
        <v>44127</v>
      </c>
      <c r="U76" s="152"/>
      <c r="V76" s="150" t="s">
        <v>330</v>
      </c>
      <c r="W76" s="151"/>
      <c r="X76" s="150" t="s">
        <v>331</v>
      </c>
      <c r="Y76" s="150" t="s">
        <v>343</v>
      </c>
      <c r="Z76" s="150" t="s">
        <v>343</v>
      </c>
      <c r="AA76" s="150" t="s">
        <v>334</v>
      </c>
      <c r="AB76" s="153">
        <v>7.6999999999999999E-2</v>
      </c>
      <c r="AC76" s="151">
        <v>44286</v>
      </c>
      <c r="AD76" s="150"/>
      <c r="AE76" s="151">
        <v>45382</v>
      </c>
      <c r="AF76" s="150" t="s">
        <v>48</v>
      </c>
      <c r="AG76" s="152" t="s">
        <v>344</v>
      </c>
      <c r="AH76" s="150" t="s">
        <v>511</v>
      </c>
      <c r="AI76" s="99"/>
      <c r="AJ76" s="149"/>
      <c r="AK76" s="99"/>
      <c r="AL76" s="149">
        <v>8</v>
      </c>
      <c r="AM76" s="99"/>
      <c r="AN76" s="149">
        <v>0</v>
      </c>
      <c r="AO76" s="149">
        <v>4</v>
      </c>
      <c r="AP76" s="149">
        <v>4</v>
      </c>
      <c r="AQ76" s="149">
        <v>0</v>
      </c>
      <c r="AR76" s="149">
        <v>0</v>
      </c>
      <c r="AS76" s="149">
        <v>0</v>
      </c>
      <c r="AT76" s="149">
        <v>0</v>
      </c>
      <c r="AU76" s="149">
        <v>0</v>
      </c>
      <c r="AV76" s="149">
        <v>4</v>
      </c>
      <c r="AW76" s="149">
        <v>4</v>
      </c>
      <c r="AX76" s="149">
        <v>0</v>
      </c>
      <c r="AY76" s="149">
        <v>0</v>
      </c>
      <c r="AZ76" s="149">
        <v>0</v>
      </c>
      <c r="BA76" s="149">
        <v>0</v>
      </c>
      <c r="BB76" s="149">
        <v>0</v>
      </c>
      <c r="BC76" s="149">
        <v>0</v>
      </c>
      <c r="BD76" s="149">
        <v>0</v>
      </c>
      <c r="BE76" s="149">
        <v>0</v>
      </c>
      <c r="BF76" s="149">
        <v>0</v>
      </c>
      <c r="BG76" s="149">
        <v>0</v>
      </c>
      <c r="BH76" s="149">
        <v>0</v>
      </c>
      <c r="BI76" s="149">
        <v>0</v>
      </c>
      <c r="BJ76" s="149">
        <v>0</v>
      </c>
      <c r="BK76" s="149">
        <v>0</v>
      </c>
      <c r="BL76" s="149">
        <v>0</v>
      </c>
      <c r="BM76" s="149">
        <v>0</v>
      </c>
      <c r="BN76" s="149">
        <v>0</v>
      </c>
      <c r="BO76" s="149">
        <v>0</v>
      </c>
      <c r="BP76" s="152"/>
      <c r="BQ76" s="152"/>
      <c r="BR76" s="154" t="s">
        <v>359</v>
      </c>
      <c r="BS76" s="136">
        <v>1</v>
      </c>
      <c r="BT76" s="267">
        <f t="shared" si="4"/>
        <v>8</v>
      </c>
      <c r="BU76" s="267"/>
      <c r="BV76" s="267"/>
      <c r="BW76" s="267"/>
      <c r="BX76" s="267"/>
      <c r="BY76" s="267"/>
      <c r="BZ76" s="267"/>
      <c r="CA76" s="267"/>
      <c r="CB76" s="267"/>
      <c r="CC76" s="267"/>
      <c r="CD76" s="267"/>
      <c r="CE76" s="267"/>
      <c r="CF76" s="267"/>
      <c r="CG76" s="267"/>
      <c r="CH76" s="267"/>
      <c r="CI76" s="267"/>
      <c r="CJ76" s="267"/>
      <c r="CK76" s="267"/>
      <c r="CL76" s="267"/>
      <c r="CM76" s="267"/>
      <c r="CN76" s="101">
        <f t="shared" si="5"/>
        <v>0</v>
      </c>
      <c r="CO76" s="101">
        <f t="shared" si="6"/>
        <v>0</v>
      </c>
    </row>
    <row r="77" spans="1:93" ht="13.9" customHeight="1" x14ac:dyDescent="0.2">
      <c r="A77" s="149">
        <v>2502</v>
      </c>
      <c r="B77" s="150" t="s">
        <v>323</v>
      </c>
      <c r="C77" s="150" t="s">
        <v>517</v>
      </c>
      <c r="D77" s="150" t="s">
        <v>508</v>
      </c>
      <c r="E77" s="150" t="s">
        <v>524</v>
      </c>
      <c r="F77" s="149">
        <v>527221</v>
      </c>
      <c r="G77" s="149">
        <v>172443</v>
      </c>
      <c r="H77" s="150" t="s">
        <v>176</v>
      </c>
      <c r="I77" s="151">
        <v>44286</v>
      </c>
      <c r="J77" s="151"/>
      <c r="K77" s="149">
        <v>0</v>
      </c>
      <c r="L77" s="149">
        <v>2</v>
      </c>
      <c r="M77" s="149">
        <v>2</v>
      </c>
      <c r="N77" s="149">
        <v>227</v>
      </c>
      <c r="O77" s="149">
        <v>227</v>
      </c>
      <c r="P77" s="152" t="s">
        <v>327</v>
      </c>
      <c r="Q77" s="150" t="s">
        <v>519</v>
      </c>
      <c r="R77" s="150" t="s">
        <v>388</v>
      </c>
      <c r="S77" s="151">
        <v>43971</v>
      </c>
      <c r="T77" s="151">
        <v>44127</v>
      </c>
      <c r="U77" s="152"/>
      <c r="V77" s="150" t="s">
        <v>330</v>
      </c>
      <c r="W77" s="151"/>
      <c r="X77" s="150" t="s">
        <v>331</v>
      </c>
      <c r="Y77" s="150" t="s">
        <v>343</v>
      </c>
      <c r="Z77" s="150" t="s">
        <v>343</v>
      </c>
      <c r="AA77" s="150" t="s">
        <v>334</v>
      </c>
      <c r="AB77" s="153">
        <v>1.9E-2</v>
      </c>
      <c r="AC77" s="151">
        <v>44286</v>
      </c>
      <c r="AD77" s="150"/>
      <c r="AE77" s="151">
        <v>45382</v>
      </c>
      <c r="AF77" s="150" t="s">
        <v>49</v>
      </c>
      <c r="AG77" s="152" t="s">
        <v>470</v>
      </c>
      <c r="AH77" s="150" t="s">
        <v>511</v>
      </c>
      <c r="AI77" s="99"/>
      <c r="AJ77" s="149"/>
      <c r="AK77" s="99"/>
      <c r="AL77" s="149">
        <v>1</v>
      </c>
      <c r="AM77" s="99"/>
      <c r="AN77" s="149">
        <v>0</v>
      </c>
      <c r="AO77" s="149">
        <v>0</v>
      </c>
      <c r="AP77" s="149">
        <v>0</v>
      </c>
      <c r="AQ77" s="149">
        <v>2</v>
      </c>
      <c r="AR77" s="149">
        <v>0</v>
      </c>
      <c r="AS77" s="149">
        <v>0</v>
      </c>
      <c r="AT77" s="149">
        <v>0</v>
      </c>
      <c r="AU77" s="149">
        <v>0</v>
      </c>
      <c r="AV77" s="149">
        <v>0</v>
      </c>
      <c r="AW77" s="149">
        <v>0</v>
      </c>
      <c r="AX77" s="149">
        <v>0</v>
      </c>
      <c r="AY77" s="149">
        <v>0</v>
      </c>
      <c r="AZ77" s="149">
        <v>0</v>
      </c>
      <c r="BA77" s="149">
        <v>0</v>
      </c>
      <c r="BB77" s="149">
        <v>0</v>
      </c>
      <c r="BC77" s="149">
        <v>0</v>
      </c>
      <c r="BD77" s="149">
        <v>0</v>
      </c>
      <c r="BE77" s="149">
        <v>2</v>
      </c>
      <c r="BF77" s="149">
        <v>0</v>
      </c>
      <c r="BG77" s="149">
        <v>0</v>
      </c>
      <c r="BH77" s="149">
        <v>0</v>
      </c>
      <c r="BI77" s="149">
        <v>0</v>
      </c>
      <c r="BJ77" s="149">
        <v>0</v>
      </c>
      <c r="BK77" s="149">
        <v>0</v>
      </c>
      <c r="BL77" s="149">
        <v>0</v>
      </c>
      <c r="BM77" s="149">
        <v>0</v>
      </c>
      <c r="BN77" s="149">
        <v>0</v>
      </c>
      <c r="BO77" s="149">
        <v>0</v>
      </c>
      <c r="BP77" s="152"/>
      <c r="BQ77" s="152"/>
      <c r="BR77" s="154" t="s">
        <v>359</v>
      </c>
      <c r="BS77" s="136">
        <v>1</v>
      </c>
      <c r="BT77" s="267">
        <f t="shared" si="4"/>
        <v>2</v>
      </c>
      <c r="BU77" s="267"/>
      <c r="BV77" s="267"/>
      <c r="BW77" s="267"/>
      <c r="BX77" s="267"/>
      <c r="BY77" s="267"/>
      <c r="BZ77" s="267"/>
      <c r="CA77" s="267"/>
      <c r="CB77" s="267"/>
      <c r="CC77" s="267"/>
      <c r="CD77" s="267"/>
      <c r="CE77" s="267"/>
      <c r="CF77" s="267"/>
      <c r="CG77" s="267"/>
      <c r="CH77" s="267"/>
      <c r="CI77" s="267"/>
      <c r="CJ77" s="267"/>
      <c r="CK77" s="267"/>
      <c r="CL77" s="267"/>
      <c r="CM77" s="267"/>
      <c r="CN77" s="101">
        <f t="shared" si="5"/>
        <v>0</v>
      </c>
      <c r="CO77" s="101">
        <f t="shared" si="6"/>
        <v>0</v>
      </c>
    </row>
    <row r="78" spans="1:93" ht="13.9" customHeight="1" x14ac:dyDescent="0.2">
      <c r="A78" s="149">
        <v>2502</v>
      </c>
      <c r="B78" s="150" t="s">
        <v>323</v>
      </c>
      <c r="C78" s="150" t="s">
        <v>517</v>
      </c>
      <c r="D78" s="150" t="s">
        <v>508</v>
      </c>
      <c r="E78" s="150" t="s">
        <v>525</v>
      </c>
      <c r="F78" s="149">
        <v>527221</v>
      </c>
      <c r="G78" s="149">
        <v>172443</v>
      </c>
      <c r="H78" s="150" t="s">
        <v>176</v>
      </c>
      <c r="I78" s="151">
        <v>44286</v>
      </c>
      <c r="J78" s="151"/>
      <c r="K78" s="149">
        <v>0</v>
      </c>
      <c r="L78" s="149">
        <v>2</v>
      </c>
      <c r="M78" s="149">
        <v>2</v>
      </c>
      <c r="N78" s="149">
        <v>227</v>
      </c>
      <c r="O78" s="149">
        <v>227</v>
      </c>
      <c r="P78" s="152" t="s">
        <v>327</v>
      </c>
      <c r="Q78" s="150" t="s">
        <v>519</v>
      </c>
      <c r="R78" s="150" t="s">
        <v>388</v>
      </c>
      <c r="S78" s="151">
        <v>43971</v>
      </c>
      <c r="T78" s="151">
        <v>44127</v>
      </c>
      <c r="U78" s="152"/>
      <c r="V78" s="150" t="s">
        <v>330</v>
      </c>
      <c r="W78" s="151"/>
      <c r="X78" s="150" t="s">
        <v>331</v>
      </c>
      <c r="Y78" s="150" t="s">
        <v>343</v>
      </c>
      <c r="Z78" s="150" t="s">
        <v>343</v>
      </c>
      <c r="AA78" s="150" t="s">
        <v>334</v>
      </c>
      <c r="AB78" s="153">
        <v>1.9E-2</v>
      </c>
      <c r="AC78" s="151">
        <v>44286</v>
      </c>
      <c r="AD78" s="150"/>
      <c r="AE78" s="151">
        <v>45382</v>
      </c>
      <c r="AF78" s="150" t="s">
        <v>49</v>
      </c>
      <c r="AG78" s="152" t="s">
        <v>470</v>
      </c>
      <c r="AH78" s="150" t="s">
        <v>511</v>
      </c>
      <c r="AI78" s="99"/>
      <c r="AJ78" s="149"/>
      <c r="AK78" s="99"/>
      <c r="AL78" s="149"/>
      <c r="AM78" s="99"/>
      <c r="AN78" s="149">
        <v>0</v>
      </c>
      <c r="AO78" s="149">
        <v>0</v>
      </c>
      <c r="AP78" s="149">
        <v>0</v>
      </c>
      <c r="AQ78" s="149">
        <v>2</v>
      </c>
      <c r="AR78" s="149">
        <v>0</v>
      </c>
      <c r="AS78" s="149">
        <v>0</v>
      </c>
      <c r="AT78" s="149">
        <v>0</v>
      </c>
      <c r="AU78" s="149">
        <v>0</v>
      </c>
      <c r="AV78" s="149">
        <v>0</v>
      </c>
      <c r="AW78" s="149">
        <v>0</v>
      </c>
      <c r="AX78" s="149">
        <v>0</v>
      </c>
      <c r="AY78" s="149">
        <v>0</v>
      </c>
      <c r="AZ78" s="149">
        <v>0</v>
      </c>
      <c r="BA78" s="149">
        <v>0</v>
      </c>
      <c r="BB78" s="149">
        <v>0</v>
      </c>
      <c r="BC78" s="149">
        <v>0</v>
      </c>
      <c r="BD78" s="149">
        <v>0</v>
      </c>
      <c r="BE78" s="149">
        <v>2</v>
      </c>
      <c r="BF78" s="149">
        <v>0</v>
      </c>
      <c r="BG78" s="149">
        <v>0</v>
      </c>
      <c r="BH78" s="149">
        <v>0</v>
      </c>
      <c r="BI78" s="149">
        <v>0</v>
      </c>
      <c r="BJ78" s="149">
        <v>0</v>
      </c>
      <c r="BK78" s="149">
        <v>0</v>
      </c>
      <c r="BL78" s="149">
        <v>0</v>
      </c>
      <c r="BM78" s="149">
        <v>0</v>
      </c>
      <c r="BN78" s="149">
        <v>0</v>
      </c>
      <c r="BO78" s="149">
        <v>0</v>
      </c>
      <c r="BP78" s="152"/>
      <c r="BQ78" s="152"/>
      <c r="BR78" s="154" t="s">
        <v>359</v>
      </c>
      <c r="BS78" s="136">
        <v>1</v>
      </c>
      <c r="BT78" s="267">
        <f t="shared" si="4"/>
        <v>2</v>
      </c>
      <c r="BU78" s="267"/>
      <c r="BV78" s="267"/>
      <c r="BW78" s="267"/>
      <c r="BX78" s="267"/>
      <c r="BY78" s="267"/>
      <c r="BZ78" s="267"/>
      <c r="CA78" s="267"/>
      <c r="CB78" s="267"/>
      <c r="CC78" s="267"/>
      <c r="CD78" s="267"/>
      <c r="CE78" s="267"/>
      <c r="CF78" s="267"/>
      <c r="CG78" s="267"/>
      <c r="CH78" s="267"/>
      <c r="CI78" s="267"/>
      <c r="CJ78" s="267"/>
      <c r="CK78" s="267"/>
      <c r="CL78" s="267"/>
      <c r="CM78" s="267"/>
      <c r="CN78" s="101">
        <f t="shared" si="5"/>
        <v>0</v>
      </c>
      <c r="CO78" s="101">
        <f t="shared" si="6"/>
        <v>0</v>
      </c>
    </row>
    <row r="79" spans="1:93" ht="13.9" customHeight="1" x14ac:dyDescent="0.2">
      <c r="A79" s="149">
        <v>2502</v>
      </c>
      <c r="B79" s="150" t="s">
        <v>323</v>
      </c>
      <c r="C79" s="150" t="s">
        <v>517</v>
      </c>
      <c r="D79" s="150" t="s">
        <v>508</v>
      </c>
      <c r="E79" s="150" t="s">
        <v>526</v>
      </c>
      <c r="F79" s="149">
        <v>527221</v>
      </c>
      <c r="G79" s="149">
        <v>172443</v>
      </c>
      <c r="H79" s="150" t="s">
        <v>176</v>
      </c>
      <c r="I79" s="151">
        <v>44286</v>
      </c>
      <c r="J79" s="151"/>
      <c r="K79" s="149">
        <v>0</v>
      </c>
      <c r="L79" s="149">
        <v>1</v>
      </c>
      <c r="M79" s="149">
        <v>1</v>
      </c>
      <c r="N79" s="149">
        <v>227</v>
      </c>
      <c r="O79" s="149">
        <v>227</v>
      </c>
      <c r="P79" s="152" t="s">
        <v>327</v>
      </c>
      <c r="Q79" s="150" t="s">
        <v>519</v>
      </c>
      <c r="R79" s="150" t="s">
        <v>388</v>
      </c>
      <c r="S79" s="151">
        <v>43971</v>
      </c>
      <c r="T79" s="151">
        <v>44127</v>
      </c>
      <c r="U79" s="152"/>
      <c r="V79" s="150" t="s">
        <v>330</v>
      </c>
      <c r="W79" s="151"/>
      <c r="X79" s="150" t="s">
        <v>331</v>
      </c>
      <c r="Y79" s="150" t="s">
        <v>343</v>
      </c>
      <c r="Z79" s="150" t="s">
        <v>343</v>
      </c>
      <c r="AA79" s="150" t="s">
        <v>334</v>
      </c>
      <c r="AB79" s="153">
        <v>0.01</v>
      </c>
      <c r="AC79" s="151">
        <v>44286</v>
      </c>
      <c r="AD79" s="150"/>
      <c r="AE79" s="151">
        <v>45382</v>
      </c>
      <c r="AF79" s="150" t="s">
        <v>48</v>
      </c>
      <c r="AG79" s="152" t="s">
        <v>344</v>
      </c>
      <c r="AH79" s="150" t="s">
        <v>511</v>
      </c>
      <c r="AI79" s="99"/>
      <c r="AJ79" s="149"/>
      <c r="AK79" s="99"/>
      <c r="AL79" s="149"/>
      <c r="AM79" s="99"/>
      <c r="AN79" s="149">
        <v>0</v>
      </c>
      <c r="AO79" s="149">
        <v>0</v>
      </c>
      <c r="AP79" s="149">
        <v>1</v>
      </c>
      <c r="AQ79" s="149">
        <v>0</v>
      </c>
      <c r="AR79" s="149">
        <v>0</v>
      </c>
      <c r="AS79" s="149">
        <v>0</v>
      </c>
      <c r="AT79" s="149">
        <v>0</v>
      </c>
      <c r="AU79" s="149">
        <v>0</v>
      </c>
      <c r="AV79" s="149">
        <v>0</v>
      </c>
      <c r="AW79" s="149">
        <v>0</v>
      </c>
      <c r="AX79" s="149">
        <v>0</v>
      </c>
      <c r="AY79" s="149">
        <v>0</v>
      </c>
      <c r="AZ79" s="149">
        <v>0</v>
      </c>
      <c r="BA79" s="149">
        <v>0</v>
      </c>
      <c r="BB79" s="149">
        <v>0</v>
      </c>
      <c r="BC79" s="149">
        <v>0</v>
      </c>
      <c r="BD79" s="149">
        <v>1</v>
      </c>
      <c r="BE79" s="149">
        <v>0</v>
      </c>
      <c r="BF79" s="149">
        <v>0</v>
      </c>
      <c r="BG79" s="149">
        <v>0</v>
      </c>
      <c r="BH79" s="149">
        <v>0</v>
      </c>
      <c r="BI79" s="149">
        <v>0</v>
      </c>
      <c r="BJ79" s="149">
        <v>0</v>
      </c>
      <c r="BK79" s="149">
        <v>0</v>
      </c>
      <c r="BL79" s="149">
        <v>0</v>
      </c>
      <c r="BM79" s="149">
        <v>0</v>
      </c>
      <c r="BN79" s="149">
        <v>0</v>
      </c>
      <c r="BO79" s="149">
        <v>0</v>
      </c>
      <c r="BP79" s="152"/>
      <c r="BQ79" s="152"/>
      <c r="BR79" s="154" t="s">
        <v>359</v>
      </c>
      <c r="BS79" s="136">
        <v>1</v>
      </c>
      <c r="BT79" s="267">
        <f t="shared" si="4"/>
        <v>1</v>
      </c>
      <c r="BU79" s="267"/>
      <c r="BV79" s="267"/>
      <c r="BW79" s="267"/>
      <c r="BX79" s="267"/>
      <c r="BY79" s="267"/>
      <c r="BZ79" s="267"/>
      <c r="CA79" s="267"/>
      <c r="CB79" s="267"/>
      <c r="CC79" s="267"/>
      <c r="CD79" s="267"/>
      <c r="CE79" s="267"/>
      <c r="CF79" s="267"/>
      <c r="CG79" s="267"/>
      <c r="CH79" s="267"/>
      <c r="CI79" s="267"/>
      <c r="CJ79" s="267"/>
      <c r="CK79" s="267"/>
      <c r="CL79" s="267"/>
      <c r="CM79" s="267"/>
      <c r="CN79" s="101">
        <f t="shared" si="5"/>
        <v>0</v>
      </c>
      <c r="CO79" s="101">
        <f t="shared" si="6"/>
        <v>0</v>
      </c>
    </row>
    <row r="80" spans="1:93" ht="13.9" customHeight="1" x14ac:dyDescent="0.2">
      <c r="A80" s="149">
        <v>2502</v>
      </c>
      <c r="B80" s="150" t="s">
        <v>323</v>
      </c>
      <c r="C80" s="150" t="s">
        <v>517</v>
      </c>
      <c r="D80" s="150" t="s">
        <v>508</v>
      </c>
      <c r="E80" s="150" t="s">
        <v>527</v>
      </c>
      <c r="F80" s="149">
        <v>527221</v>
      </c>
      <c r="G80" s="149">
        <v>172443</v>
      </c>
      <c r="H80" s="150" t="s">
        <v>176</v>
      </c>
      <c r="I80" s="151">
        <v>44286</v>
      </c>
      <c r="J80" s="151"/>
      <c r="K80" s="149">
        <v>0</v>
      </c>
      <c r="L80" s="149">
        <v>5</v>
      </c>
      <c r="M80" s="149">
        <v>5</v>
      </c>
      <c r="N80" s="149">
        <v>227</v>
      </c>
      <c r="O80" s="149">
        <v>227</v>
      </c>
      <c r="P80" s="152" t="s">
        <v>327</v>
      </c>
      <c r="Q80" s="150" t="s">
        <v>519</v>
      </c>
      <c r="R80" s="150" t="s">
        <v>388</v>
      </c>
      <c r="S80" s="151">
        <v>43971</v>
      </c>
      <c r="T80" s="151">
        <v>44127</v>
      </c>
      <c r="U80" s="152"/>
      <c r="V80" s="150" t="s">
        <v>330</v>
      </c>
      <c r="W80" s="151"/>
      <c r="X80" s="150" t="s">
        <v>331</v>
      </c>
      <c r="Y80" s="150" t="s">
        <v>343</v>
      </c>
      <c r="Z80" s="150" t="s">
        <v>343</v>
      </c>
      <c r="AA80" s="150" t="s">
        <v>334</v>
      </c>
      <c r="AB80" s="153">
        <v>4.8000000000000001E-2</v>
      </c>
      <c r="AC80" s="151">
        <v>44286</v>
      </c>
      <c r="AD80" s="150"/>
      <c r="AE80" s="151">
        <v>45382</v>
      </c>
      <c r="AF80" s="150" t="s">
        <v>48</v>
      </c>
      <c r="AG80" s="152" t="s">
        <v>344</v>
      </c>
      <c r="AH80" s="150" t="s">
        <v>511</v>
      </c>
      <c r="AI80" s="99"/>
      <c r="AJ80" s="149"/>
      <c r="AK80" s="99"/>
      <c r="AL80" s="149"/>
      <c r="AM80" s="99"/>
      <c r="AN80" s="149">
        <v>0</v>
      </c>
      <c r="AO80" s="149">
        <v>0</v>
      </c>
      <c r="AP80" s="149">
        <v>5</v>
      </c>
      <c r="AQ80" s="149">
        <v>0</v>
      </c>
      <c r="AR80" s="149">
        <v>0</v>
      </c>
      <c r="AS80" s="149">
        <v>0</v>
      </c>
      <c r="AT80" s="149">
        <v>0</v>
      </c>
      <c r="AU80" s="149">
        <v>0</v>
      </c>
      <c r="AV80" s="149">
        <v>0</v>
      </c>
      <c r="AW80" s="149">
        <v>0</v>
      </c>
      <c r="AX80" s="149">
        <v>0</v>
      </c>
      <c r="AY80" s="149">
        <v>0</v>
      </c>
      <c r="AZ80" s="149">
        <v>0</v>
      </c>
      <c r="BA80" s="149">
        <v>0</v>
      </c>
      <c r="BB80" s="149">
        <v>0</v>
      </c>
      <c r="BC80" s="149">
        <v>0</v>
      </c>
      <c r="BD80" s="149">
        <v>5</v>
      </c>
      <c r="BE80" s="149">
        <v>0</v>
      </c>
      <c r="BF80" s="149">
        <v>0</v>
      </c>
      <c r="BG80" s="149">
        <v>0</v>
      </c>
      <c r="BH80" s="149">
        <v>0</v>
      </c>
      <c r="BI80" s="149">
        <v>0</v>
      </c>
      <c r="BJ80" s="149">
        <v>0</v>
      </c>
      <c r="BK80" s="149">
        <v>0</v>
      </c>
      <c r="BL80" s="149">
        <v>0</v>
      </c>
      <c r="BM80" s="149">
        <v>0</v>
      </c>
      <c r="BN80" s="149">
        <v>0</v>
      </c>
      <c r="BO80" s="149">
        <v>0</v>
      </c>
      <c r="BP80" s="152"/>
      <c r="BQ80" s="152"/>
      <c r="BR80" s="154" t="s">
        <v>359</v>
      </c>
      <c r="BS80" s="136">
        <v>1</v>
      </c>
      <c r="BT80" s="267">
        <f t="shared" si="4"/>
        <v>5</v>
      </c>
      <c r="BU80" s="267"/>
      <c r="BV80" s="267"/>
      <c r="BW80" s="267"/>
      <c r="BX80" s="267"/>
      <c r="BY80" s="267"/>
      <c r="BZ80" s="267"/>
      <c r="CA80" s="267"/>
      <c r="CB80" s="267"/>
      <c r="CC80" s="267"/>
      <c r="CD80" s="267"/>
      <c r="CE80" s="267"/>
      <c r="CF80" s="267"/>
      <c r="CG80" s="267"/>
      <c r="CH80" s="267"/>
      <c r="CI80" s="267"/>
      <c r="CJ80" s="267"/>
      <c r="CK80" s="267"/>
      <c r="CL80" s="267"/>
      <c r="CM80" s="267"/>
      <c r="CN80" s="101">
        <f t="shared" si="5"/>
        <v>0</v>
      </c>
      <c r="CO80" s="101">
        <f t="shared" si="6"/>
        <v>0</v>
      </c>
    </row>
    <row r="81" spans="1:93" ht="13.9" customHeight="1" x14ac:dyDescent="0.2">
      <c r="A81" s="149">
        <v>2502</v>
      </c>
      <c r="B81" s="150" t="s">
        <v>323</v>
      </c>
      <c r="C81" s="150" t="s">
        <v>517</v>
      </c>
      <c r="D81" s="150" t="s">
        <v>508</v>
      </c>
      <c r="E81" s="150" t="s">
        <v>528</v>
      </c>
      <c r="F81" s="149">
        <v>527221</v>
      </c>
      <c r="G81" s="149">
        <v>172443</v>
      </c>
      <c r="H81" s="150" t="s">
        <v>176</v>
      </c>
      <c r="I81" s="151">
        <v>44286</v>
      </c>
      <c r="J81" s="151"/>
      <c r="K81" s="149">
        <v>0</v>
      </c>
      <c r="L81" s="149">
        <v>15</v>
      </c>
      <c r="M81" s="149">
        <v>15</v>
      </c>
      <c r="N81" s="149">
        <v>227</v>
      </c>
      <c r="O81" s="149">
        <v>227</v>
      </c>
      <c r="P81" s="152" t="s">
        <v>327</v>
      </c>
      <c r="Q81" s="150" t="s">
        <v>519</v>
      </c>
      <c r="R81" s="150" t="s">
        <v>388</v>
      </c>
      <c r="S81" s="151">
        <v>43971</v>
      </c>
      <c r="T81" s="151">
        <v>44127</v>
      </c>
      <c r="U81" s="152"/>
      <c r="V81" s="150" t="s">
        <v>330</v>
      </c>
      <c r="W81" s="151"/>
      <c r="X81" s="150" t="s">
        <v>331</v>
      </c>
      <c r="Y81" s="150" t="s">
        <v>343</v>
      </c>
      <c r="Z81" s="150" t="s">
        <v>343</v>
      </c>
      <c r="AA81" s="150" t="s">
        <v>334</v>
      </c>
      <c r="AB81" s="153">
        <v>0.14499999999999999</v>
      </c>
      <c r="AC81" s="151">
        <v>44286</v>
      </c>
      <c r="AD81" s="150"/>
      <c r="AE81" s="151">
        <v>45382</v>
      </c>
      <c r="AF81" s="150" t="s">
        <v>70</v>
      </c>
      <c r="AG81" s="152" t="s">
        <v>352</v>
      </c>
      <c r="AH81" s="150" t="s">
        <v>511</v>
      </c>
      <c r="AI81" s="99"/>
      <c r="AJ81" s="149"/>
      <c r="AK81" s="99"/>
      <c r="AL81" s="149"/>
      <c r="AM81" s="99"/>
      <c r="AN81" s="149">
        <v>0</v>
      </c>
      <c r="AO81" s="149">
        <v>6</v>
      </c>
      <c r="AP81" s="149">
        <v>9</v>
      </c>
      <c r="AQ81" s="149">
        <v>0</v>
      </c>
      <c r="AR81" s="149">
        <v>0</v>
      </c>
      <c r="AS81" s="149">
        <v>0</v>
      </c>
      <c r="AT81" s="149">
        <v>0</v>
      </c>
      <c r="AU81" s="149">
        <v>0</v>
      </c>
      <c r="AV81" s="149">
        <v>6</v>
      </c>
      <c r="AW81" s="149">
        <v>9</v>
      </c>
      <c r="AX81" s="149">
        <v>0</v>
      </c>
      <c r="AY81" s="149">
        <v>0</v>
      </c>
      <c r="AZ81" s="149">
        <v>0</v>
      </c>
      <c r="BA81" s="149">
        <v>0</v>
      </c>
      <c r="BB81" s="149">
        <v>0</v>
      </c>
      <c r="BC81" s="149">
        <v>0</v>
      </c>
      <c r="BD81" s="149">
        <v>0</v>
      </c>
      <c r="BE81" s="149">
        <v>0</v>
      </c>
      <c r="BF81" s="149">
        <v>0</v>
      </c>
      <c r="BG81" s="149">
        <v>0</v>
      </c>
      <c r="BH81" s="149">
        <v>0</v>
      </c>
      <c r="BI81" s="149">
        <v>0</v>
      </c>
      <c r="BJ81" s="149">
        <v>0</v>
      </c>
      <c r="BK81" s="149">
        <v>0</v>
      </c>
      <c r="BL81" s="149">
        <v>0</v>
      </c>
      <c r="BM81" s="149">
        <v>0</v>
      </c>
      <c r="BN81" s="149">
        <v>0</v>
      </c>
      <c r="BO81" s="149">
        <v>0</v>
      </c>
      <c r="BP81" s="152"/>
      <c r="BQ81" s="152"/>
      <c r="BR81" s="154" t="s">
        <v>359</v>
      </c>
      <c r="BS81" s="136">
        <v>1</v>
      </c>
      <c r="BT81" s="267">
        <f t="shared" si="4"/>
        <v>15</v>
      </c>
      <c r="BU81" s="267"/>
      <c r="BV81" s="267"/>
      <c r="BW81" s="267"/>
      <c r="BX81" s="267"/>
      <c r="BY81" s="267"/>
      <c r="BZ81" s="267"/>
      <c r="CA81" s="267"/>
      <c r="CB81" s="267"/>
      <c r="CC81" s="267"/>
      <c r="CD81" s="267"/>
      <c r="CE81" s="267"/>
      <c r="CF81" s="267"/>
      <c r="CG81" s="267"/>
      <c r="CH81" s="267"/>
      <c r="CI81" s="267"/>
      <c r="CJ81" s="267"/>
      <c r="CK81" s="267"/>
      <c r="CL81" s="267"/>
      <c r="CM81" s="267"/>
      <c r="CN81" s="101">
        <f t="shared" si="5"/>
        <v>0</v>
      </c>
      <c r="CO81" s="101">
        <f t="shared" si="6"/>
        <v>0</v>
      </c>
    </row>
    <row r="82" spans="1:93" ht="13.9" customHeight="1" x14ac:dyDescent="0.2">
      <c r="A82" s="149">
        <v>2502</v>
      </c>
      <c r="B82" s="150" t="s">
        <v>323</v>
      </c>
      <c r="C82" s="150" t="s">
        <v>517</v>
      </c>
      <c r="D82" s="150" t="s">
        <v>508</v>
      </c>
      <c r="E82" s="150" t="s">
        <v>529</v>
      </c>
      <c r="F82" s="149">
        <v>527221</v>
      </c>
      <c r="G82" s="149">
        <v>172443</v>
      </c>
      <c r="H82" s="150" t="s">
        <v>176</v>
      </c>
      <c r="I82" s="151">
        <v>44286</v>
      </c>
      <c r="J82" s="151"/>
      <c r="K82" s="149">
        <v>0</v>
      </c>
      <c r="L82" s="149">
        <v>9</v>
      </c>
      <c r="M82" s="149">
        <v>9</v>
      </c>
      <c r="N82" s="149">
        <v>227</v>
      </c>
      <c r="O82" s="149">
        <v>227</v>
      </c>
      <c r="P82" s="152" t="s">
        <v>327</v>
      </c>
      <c r="Q82" s="150" t="s">
        <v>519</v>
      </c>
      <c r="R82" s="150" t="s">
        <v>388</v>
      </c>
      <c r="S82" s="151">
        <v>43971</v>
      </c>
      <c r="T82" s="151">
        <v>44127</v>
      </c>
      <c r="U82" s="152"/>
      <c r="V82" s="150" t="s">
        <v>330</v>
      </c>
      <c r="W82" s="151"/>
      <c r="X82" s="150" t="s">
        <v>331</v>
      </c>
      <c r="Y82" s="150" t="s">
        <v>343</v>
      </c>
      <c r="Z82" s="150" t="s">
        <v>343</v>
      </c>
      <c r="AA82" s="150" t="s">
        <v>334</v>
      </c>
      <c r="AB82" s="153">
        <v>8.6999999999999994E-2</v>
      </c>
      <c r="AC82" s="151">
        <v>44286</v>
      </c>
      <c r="AD82" s="150"/>
      <c r="AE82" s="151">
        <v>45382</v>
      </c>
      <c r="AF82" s="150" t="s">
        <v>70</v>
      </c>
      <c r="AG82" s="152" t="s">
        <v>352</v>
      </c>
      <c r="AH82" s="150" t="s">
        <v>511</v>
      </c>
      <c r="AI82" s="99"/>
      <c r="AJ82" s="149"/>
      <c r="AK82" s="99"/>
      <c r="AL82" s="149"/>
      <c r="AM82" s="99"/>
      <c r="AN82" s="149">
        <v>0</v>
      </c>
      <c r="AO82" s="149">
        <v>0</v>
      </c>
      <c r="AP82" s="149">
        <v>7</v>
      </c>
      <c r="AQ82" s="149">
        <v>2</v>
      </c>
      <c r="AR82" s="149">
        <v>0</v>
      </c>
      <c r="AS82" s="149">
        <v>0</v>
      </c>
      <c r="AT82" s="149">
        <v>0</v>
      </c>
      <c r="AU82" s="149">
        <v>0</v>
      </c>
      <c r="AV82" s="149">
        <v>0</v>
      </c>
      <c r="AW82" s="149">
        <v>0</v>
      </c>
      <c r="AX82" s="149">
        <v>0</v>
      </c>
      <c r="AY82" s="149">
        <v>0</v>
      </c>
      <c r="AZ82" s="149">
        <v>0</v>
      </c>
      <c r="BA82" s="149">
        <v>0</v>
      </c>
      <c r="BB82" s="149">
        <v>0</v>
      </c>
      <c r="BC82" s="149">
        <v>0</v>
      </c>
      <c r="BD82" s="149">
        <v>7</v>
      </c>
      <c r="BE82" s="149">
        <v>2</v>
      </c>
      <c r="BF82" s="149">
        <v>0</v>
      </c>
      <c r="BG82" s="149">
        <v>0</v>
      </c>
      <c r="BH82" s="149">
        <v>0</v>
      </c>
      <c r="BI82" s="149">
        <v>0</v>
      </c>
      <c r="BJ82" s="149">
        <v>0</v>
      </c>
      <c r="BK82" s="149">
        <v>0</v>
      </c>
      <c r="BL82" s="149">
        <v>0</v>
      </c>
      <c r="BM82" s="149">
        <v>0</v>
      </c>
      <c r="BN82" s="149">
        <v>0</v>
      </c>
      <c r="BO82" s="149">
        <v>0</v>
      </c>
      <c r="BP82" s="152"/>
      <c r="BQ82" s="152"/>
      <c r="BR82" s="154" t="s">
        <v>359</v>
      </c>
      <c r="BS82" s="136">
        <v>1</v>
      </c>
      <c r="BT82" s="267">
        <f t="shared" si="4"/>
        <v>9</v>
      </c>
      <c r="BU82" s="267"/>
      <c r="BV82" s="267"/>
      <c r="BW82" s="267"/>
      <c r="BX82" s="267"/>
      <c r="BY82" s="267"/>
      <c r="BZ82" s="267"/>
      <c r="CA82" s="267"/>
      <c r="CB82" s="267"/>
      <c r="CC82" s="267"/>
      <c r="CD82" s="267"/>
      <c r="CE82" s="267"/>
      <c r="CF82" s="267"/>
      <c r="CG82" s="267"/>
      <c r="CH82" s="267"/>
      <c r="CI82" s="267"/>
      <c r="CJ82" s="267"/>
      <c r="CK82" s="267"/>
      <c r="CL82" s="267"/>
      <c r="CM82" s="267"/>
      <c r="CN82" s="101">
        <f t="shared" si="5"/>
        <v>0</v>
      </c>
      <c r="CO82" s="101">
        <f t="shared" si="6"/>
        <v>0</v>
      </c>
    </row>
    <row r="83" spans="1:93" ht="13.9" customHeight="1" x14ac:dyDescent="0.2">
      <c r="A83" s="149">
        <v>2502</v>
      </c>
      <c r="B83" s="150" t="s">
        <v>323</v>
      </c>
      <c r="C83" s="150" t="s">
        <v>517</v>
      </c>
      <c r="D83" s="150" t="s">
        <v>508</v>
      </c>
      <c r="E83" s="150" t="s">
        <v>530</v>
      </c>
      <c r="F83" s="149">
        <v>527221</v>
      </c>
      <c r="G83" s="149">
        <v>172443</v>
      </c>
      <c r="H83" s="150" t="s">
        <v>176</v>
      </c>
      <c r="I83" s="151">
        <v>44286</v>
      </c>
      <c r="J83" s="151"/>
      <c r="K83" s="149">
        <v>0</v>
      </c>
      <c r="L83" s="149">
        <v>20</v>
      </c>
      <c r="M83" s="149">
        <v>20</v>
      </c>
      <c r="N83" s="149">
        <v>227</v>
      </c>
      <c r="O83" s="149">
        <v>227</v>
      </c>
      <c r="P83" s="152" t="s">
        <v>327</v>
      </c>
      <c r="Q83" s="150" t="s">
        <v>519</v>
      </c>
      <c r="R83" s="150" t="s">
        <v>388</v>
      </c>
      <c r="S83" s="151">
        <v>43971</v>
      </c>
      <c r="T83" s="151">
        <v>44127</v>
      </c>
      <c r="U83" s="152"/>
      <c r="V83" s="150" t="s">
        <v>330</v>
      </c>
      <c r="W83" s="151"/>
      <c r="X83" s="150" t="s">
        <v>331</v>
      </c>
      <c r="Y83" s="150" t="s">
        <v>343</v>
      </c>
      <c r="Z83" s="150" t="s">
        <v>343</v>
      </c>
      <c r="AA83" s="150" t="s">
        <v>334</v>
      </c>
      <c r="AB83" s="153">
        <v>0.193</v>
      </c>
      <c r="AC83" s="151">
        <v>44286</v>
      </c>
      <c r="AD83" s="150"/>
      <c r="AE83" s="151">
        <v>45382</v>
      </c>
      <c r="AF83" s="150" t="s">
        <v>70</v>
      </c>
      <c r="AG83" s="152" t="s">
        <v>352</v>
      </c>
      <c r="AH83" s="150" t="s">
        <v>511</v>
      </c>
      <c r="AI83" s="99"/>
      <c r="AJ83" s="149"/>
      <c r="AK83" s="99"/>
      <c r="AL83" s="149"/>
      <c r="AM83" s="99"/>
      <c r="AN83" s="149">
        <v>0</v>
      </c>
      <c r="AO83" s="149">
        <v>9</v>
      </c>
      <c r="AP83" s="149">
        <v>11</v>
      </c>
      <c r="AQ83" s="149">
        <v>0</v>
      </c>
      <c r="AR83" s="149">
        <v>0</v>
      </c>
      <c r="AS83" s="149">
        <v>0</v>
      </c>
      <c r="AT83" s="149">
        <v>0</v>
      </c>
      <c r="AU83" s="149">
        <v>0</v>
      </c>
      <c r="AV83" s="149">
        <v>9</v>
      </c>
      <c r="AW83" s="149">
        <v>11</v>
      </c>
      <c r="AX83" s="149">
        <v>0</v>
      </c>
      <c r="AY83" s="149">
        <v>0</v>
      </c>
      <c r="AZ83" s="149">
        <v>0</v>
      </c>
      <c r="BA83" s="149">
        <v>0</v>
      </c>
      <c r="BB83" s="149">
        <v>0</v>
      </c>
      <c r="BC83" s="149">
        <v>0</v>
      </c>
      <c r="BD83" s="149">
        <v>0</v>
      </c>
      <c r="BE83" s="149">
        <v>0</v>
      </c>
      <c r="BF83" s="149">
        <v>0</v>
      </c>
      <c r="BG83" s="149">
        <v>0</v>
      </c>
      <c r="BH83" s="149">
        <v>0</v>
      </c>
      <c r="BI83" s="149">
        <v>0</v>
      </c>
      <c r="BJ83" s="149">
        <v>0</v>
      </c>
      <c r="BK83" s="149">
        <v>0</v>
      </c>
      <c r="BL83" s="149">
        <v>0</v>
      </c>
      <c r="BM83" s="149">
        <v>0</v>
      </c>
      <c r="BN83" s="149">
        <v>0</v>
      </c>
      <c r="BO83" s="149">
        <v>0</v>
      </c>
      <c r="BP83" s="152"/>
      <c r="BQ83" s="152"/>
      <c r="BR83" s="154" t="s">
        <v>359</v>
      </c>
      <c r="BS83" s="136">
        <v>1</v>
      </c>
      <c r="BT83" s="267">
        <f t="shared" si="4"/>
        <v>20</v>
      </c>
      <c r="BU83" s="267"/>
      <c r="BV83" s="267"/>
      <c r="BW83" s="267"/>
      <c r="BX83" s="267"/>
      <c r="BY83" s="267"/>
      <c r="BZ83" s="267"/>
      <c r="CA83" s="267"/>
      <c r="CB83" s="267"/>
      <c r="CC83" s="267"/>
      <c r="CD83" s="267"/>
      <c r="CE83" s="267"/>
      <c r="CF83" s="267"/>
      <c r="CG83" s="267"/>
      <c r="CH83" s="267"/>
      <c r="CI83" s="267"/>
      <c r="CJ83" s="267"/>
      <c r="CK83" s="267"/>
      <c r="CL83" s="267"/>
      <c r="CM83" s="267"/>
      <c r="CN83" s="101">
        <f t="shared" si="5"/>
        <v>0</v>
      </c>
      <c r="CO83" s="101">
        <f t="shared" si="6"/>
        <v>0</v>
      </c>
    </row>
    <row r="84" spans="1:93" ht="13.9" customHeight="1" x14ac:dyDescent="0.2">
      <c r="A84" s="149">
        <v>2502</v>
      </c>
      <c r="B84" s="150" t="s">
        <v>323</v>
      </c>
      <c r="C84" s="150" t="s">
        <v>517</v>
      </c>
      <c r="D84" s="150" t="s">
        <v>508</v>
      </c>
      <c r="E84" s="150" t="s">
        <v>531</v>
      </c>
      <c r="F84" s="149">
        <v>527221</v>
      </c>
      <c r="G84" s="149">
        <v>172443</v>
      </c>
      <c r="H84" s="150" t="s">
        <v>176</v>
      </c>
      <c r="I84" s="151">
        <v>44286</v>
      </c>
      <c r="J84" s="151"/>
      <c r="K84" s="149">
        <v>0</v>
      </c>
      <c r="L84" s="149">
        <v>5</v>
      </c>
      <c r="M84" s="149">
        <v>5</v>
      </c>
      <c r="N84" s="149">
        <v>227</v>
      </c>
      <c r="O84" s="149">
        <v>227</v>
      </c>
      <c r="P84" s="152" t="s">
        <v>327</v>
      </c>
      <c r="Q84" s="150" t="s">
        <v>519</v>
      </c>
      <c r="R84" s="150" t="s">
        <v>388</v>
      </c>
      <c r="S84" s="151">
        <v>43971</v>
      </c>
      <c r="T84" s="151">
        <v>44127</v>
      </c>
      <c r="U84" s="152"/>
      <c r="V84" s="150" t="s">
        <v>330</v>
      </c>
      <c r="W84" s="151"/>
      <c r="X84" s="150" t="s">
        <v>331</v>
      </c>
      <c r="Y84" s="150" t="s">
        <v>343</v>
      </c>
      <c r="Z84" s="150" t="s">
        <v>343</v>
      </c>
      <c r="AA84" s="150" t="s">
        <v>334</v>
      </c>
      <c r="AB84" s="153">
        <v>4.8000000000000001E-2</v>
      </c>
      <c r="AC84" s="151">
        <v>44286</v>
      </c>
      <c r="AD84" s="150"/>
      <c r="AE84" s="151">
        <v>45382</v>
      </c>
      <c r="AF84" s="150" t="s">
        <v>70</v>
      </c>
      <c r="AG84" s="152" t="s">
        <v>352</v>
      </c>
      <c r="AH84" s="150" t="s">
        <v>511</v>
      </c>
      <c r="AI84" s="99"/>
      <c r="AJ84" s="149"/>
      <c r="AK84" s="99"/>
      <c r="AL84" s="149"/>
      <c r="AM84" s="99"/>
      <c r="AN84" s="149">
        <v>0</v>
      </c>
      <c r="AO84" s="149">
        <v>0</v>
      </c>
      <c r="AP84" s="149">
        <v>0</v>
      </c>
      <c r="AQ84" s="149">
        <v>5</v>
      </c>
      <c r="AR84" s="149">
        <v>0</v>
      </c>
      <c r="AS84" s="149">
        <v>0</v>
      </c>
      <c r="AT84" s="149">
        <v>0</v>
      </c>
      <c r="AU84" s="149">
        <v>0</v>
      </c>
      <c r="AV84" s="149">
        <v>0</v>
      </c>
      <c r="AW84" s="149">
        <v>0</v>
      </c>
      <c r="AX84" s="149">
        <v>5</v>
      </c>
      <c r="AY84" s="149">
        <v>0</v>
      </c>
      <c r="AZ84" s="149">
        <v>0</v>
      </c>
      <c r="BA84" s="149">
        <v>0</v>
      </c>
      <c r="BB84" s="149">
        <v>0</v>
      </c>
      <c r="BC84" s="149">
        <v>0</v>
      </c>
      <c r="BD84" s="149">
        <v>0</v>
      </c>
      <c r="BE84" s="149">
        <v>0</v>
      </c>
      <c r="BF84" s="149">
        <v>0</v>
      </c>
      <c r="BG84" s="149">
        <v>0</v>
      </c>
      <c r="BH84" s="149">
        <v>0</v>
      </c>
      <c r="BI84" s="149">
        <v>0</v>
      </c>
      <c r="BJ84" s="149">
        <v>0</v>
      </c>
      <c r="BK84" s="149">
        <v>0</v>
      </c>
      <c r="BL84" s="149">
        <v>0</v>
      </c>
      <c r="BM84" s="149">
        <v>0</v>
      </c>
      <c r="BN84" s="149">
        <v>0</v>
      </c>
      <c r="BO84" s="149">
        <v>0</v>
      </c>
      <c r="BP84" s="152"/>
      <c r="BQ84" s="152"/>
      <c r="BR84" s="154" t="s">
        <v>359</v>
      </c>
      <c r="BS84" s="136">
        <v>1</v>
      </c>
      <c r="BT84" s="267">
        <f t="shared" si="4"/>
        <v>5</v>
      </c>
      <c r="BU84" s="267"/>
      <c r="BV84" s="267"/>
      <c r="BW84" s="267"/>
      <c r="BX84" s="267"/>
      <c r="BY84" s="267"/>
      <c r="BZ84" s="267"/>
      <c r="CA84" s="267"/>
      <c r="CB84" s="267"/>
      <c r="CC84" s="267"/>
      <c r="CD84" s="267"/>
      <c r="CE84" s="267"/>
      <c r="CF84" s="267"/>
      <c r="CG84" s="267"/>
      <c r="CH84" s="267"/>
      <c r="CI84" s="267"/>
      <c r="CJ84" s="267"/>
      <c r="CK84" s="267"/>
      <c r="CL84" s="267"/>
      <c r="CM84" s="267"/>
      <c r="CN84" s="101">
        <f t="shared" si="5"/>
        <v>0</v>
      </c>
      <c r="CO84" s="101">
        <f t="shared" si="6"/>
        <v>0</v>
      </c>
    </row>
    <row r="85" spans="1:93" ht="13.9" customHeight="1" x14ac:dyDescent="0.2">
      <c r="A85" s="149">
        <v>2502</v>
      </c>
      <c r="B85" s="150" t="s">
        <v>323</v>
      </c>
      <c r="C85" s="150" t="s">
        <v>517</v>
      </c>
      <c r="D85" s="150" t="s">
        <v>508</v>
      </c>
      <c r="E85" s="150" t="s">
        <v>532</v>
      </c>
      <c r="F85" s="149">
        <v>527221</v>
      </c>
      <c r="G85" s="149">
        <v>172443</v>
      </c>
      <c r="H85" s="150" t="s">
        <v>176</v>
      </c>
      <c r="I85" s="151">
        <v>44286</v>
      </c>
      <c r="J85" s="151"/>
      <c r="K85" s="149">
        <v>0</v>
      </c>
      <c r="L85" s="149">
        <v>8</v>
      </c>
      <c r="M85" s="149">
        <v>8</v>
      </c>
      <c r="N85" s="149">
        <v>227</v>
      </c>
      <c r="O85" s="149">
        <v>227</v>
      </c>
      <c r="P85" s="152" t="s">
        <v>327</v>
      </c>
      <c r="Q85" s="150" t="s">
        <v>519</v>
      </c>
      <c r="R85" s="150" t="s">
        <v>388</v>
      </c>
      <c r="S85" s="151">
        <v>43971</v>
      </c>
      <c r="T85" s="151">
        <v>44127</v>
      </c>
      <c r="U85" s="152"/>
      <c r="V85" s="150" t="s">
        <v>330</v>
      </c>
      <c r="W85" s="151"/>
      <c r="X85" s="150" t="s">
        <v>331</v>
      </c>
      <c r="Y85" s="150" t="s">
        <v>343</v>
      </c>
      <c r="Z85" s="150" t="s">
        <v>343</v>
      </c>
      <c r="AA85" s="150" t="s">
        <v>334</v>
      </c>
      <c r="AB85" s="153">
        <v>7.6999999999999999E-2</v>
      </c>
      <c r="AC85" s="151">
        <v>44286</v>
      </c>
      <c r="AD85" s="150"/>
      <c r="AE85" s="151">
        <v>45382</v>
      </c>
      <c r="AF85" s="150" t="s">
        <v>70</v>
      </c>
      <c r="AG85" s="152" t="s">
        <v>352</v>
      </c>
      <c r="AH85" s="150" t="s">
        <v>511</v>
      </c>
      <c r="AI85" s="99"/>
      <c r="AJ85" s="149"/>
      <c r="AK85" s="99"/>
      <c r="AL85" s="149"/>
      <c r="AM85" s="99"/>
      <c r="AN85" s="149">
        <v>0</v>
      </c>
      <c r="AO85" s="149">
        <v>0</v>
      </c>
      <c r="AP85" s="149">
        <v>4</v>
      </c>
      <c r="AQ85" s="149">
        <v>4</v>
      </c>
      <c r="AR85" s="149">
        <v>0</v>
      </c>
      <c r="AS85" s="149">
        <v>0</v>
      </c>
      <c r="AT85" s="149">
        <v>0</v>
      </c>
      <c r="AU85" s="149">
        <v>0</v>
      </c>
      <c r="AV85" s="149">
        <v>0</v>
      </c>
      <c r="AW85" s="149">
        <v>0</v>
      </c>
      <c r="AX85" s="149">
        <v>0</v>
      </c>
      <c r="AY85" s="149">
        <v>0</v>
      </c>
      <c r="AZ85" s="149">
        <v>0</v>
      </c>
      <c r="BA85" s="149">
        <v>0</v>
      </c>
      <c r="BB85" s="149">
        <v>0</v>
      </c>
      <c r="BC85" s="149">
        <v>0</v>
      </c>
      <c r="BD85" s="149">
        <v>4</v>
      </c>
      <c r="BE85" s="149">
        <v>4</v>
      </c>
      <c r="BF85" s="149">
        <v>0</v>
      </c>
      <c r="BG85" s="149">
        <v>0</v>
      </c>
      <c r="BH85" s="149">
        <v>0</v>
      </c>
      <c r="BI85" s="149">
        <v>0</v>
      </c>
      <c r="BJ85" s="149">
        <v>0</v>
      </c>
      <c r="BK85" s="149">
        <v>0</v>
      </c>
      <c r="BL85" s="149">
        <v>0</v>
      </c>
      <c r="BM85" s="149">
        <v>0</v>
      </c>
      <c r="BN85" s="149">
        <v>0</v>
      </c>
      <c r="BO85" s="149">
        <v>0</v>
      </c>
      <c r="BP85" s="152"/>
      <c r="BQ85" s="152"/>
      <c r="BR85" s="154" t="s">
        <v>359</v>
      </c>
      <c r="BS85" s="136">
        <v>1</v>
      </c>
      <c r="BT85" s="267">
        <f t="shared" si="4"/>
        <v>8</v>
      </c>
      <c r="BU85" s="267"/>
      <c r="BV85" s="267"/>
      <c r="BW85" s="267"/>
      <c r="BX85" s="267"/>
      <c r="BY85" s="267"/>
      <c r="BZ85" s="267"/>
      <c r="CA85" s="267"/>
      <c r="CB85" s="267"/>
      <c r="CC85" s="267"/>
      <c r="CD85" s="267"/>
      <c r="CE85" s="267"/>
      <c r="CF85" s="267"/>
      <c r="CG85" s="267"/>
      <c r="CH85" s="267"/>
      <c r="CI85" s="267"/>
      <c r="CJ85" s="267"/>
      <c r="CK85" s="267"/>
      <c r="CL85" s="267"/>
      <c r="CM85" s="267"/>
      <c r="CN85" s="101">
        <f t="shared" si="5"/>
        <v>0</v>
      </c>
      <c r="CO85" s="101">
        <f t="shared" si="6"/>
        <v>0</v>
      </c>
    </row>
    <row r="86" spans="1:93" ht="13.9" customHeight="1" x14ac:dyDescent="0.2">
      <c r="A86" s="149">
        <v>2502</v>
      </c>
      <c r="B86" s="150" t="s">
        <v>323</v>
      </c>
      <c r="C86" s="150" t="s">
        <v>517</v>
      </c>
      <c r="D86" s="150" t="s">
        <v>508</v>
      </c>
      <c r="E86" s="150" t="s">
        <v>533</v>
      </c>
      <c r="F86" s="149">
        <v>527221</v>
      </c>
      <c r="G86" s="149">
        <v>172443</v>
      </c>
      <c r="H86" s="150" t="s">
        <v>176</v>
      </c>
      <c r="I86" s="151">
        <v>44286</v>
      </c>
      <c r="J86" s="151"/>
      <c r="K86" s="149">
        <v>0</v>
      </c>
      <c r="L86" s="149">
        <v>20</v>
      </c>
      <c r="M86" s="149">
        <v>20</v>
      </c>
      <c r="N86" s="149">
        <v>227</v>
      </c>
      <c r="O86" s="149">
        <v>227</v>
      </c>
      <c r="P86" s="152" t="s">
        <v>327</v>
      </c>
      <c r="Q86" s="150" t="s">
        <v>519</v>
      </c>
      <c r="R86" s="150" t="s">
        <v>388</v>
      </c>
      <c r="S86" s="151">
        <v>43971</v>
      </c>
      <c r="T86" s="151">
        <v>44127</v>
      </c>
      <c r="U86" s="152"/>
      <c r="V86" s="150" t="s">
        <v>330</v>
      </c>
      <c r="W86" s="151"/>
      <c r="X86" s="150" t="s">
        <v>331</v>
      </c>
      <c r="Y86" s="150" t="s">
        <v>343</v>
      </c>
      <c r="Z86" s="150" t="s">
        <v>343</v>
      </c>
      <c r="AA86" s="150" t="s">
        <v>334</v>
      </c>
      <c r="AB86" s="153">
        <v>0.193</v>
      </c>
      <c r="AC86" s="151">
        <v>44286</v>
      </c>
      <c r="AD86" s="150"/>
      <c r="AE86" s="151">
        <v>45382</v>
      </c>
      <c r="AF86" s="150" t="s">
        <v>70</v>
      </c>
      <c r="AG86" s="152" t="s">
        <v>352</v>
      </c>
      <c r="AH86" s="150" t="s">
        <v>511</v>
      </c>
      <c r="AI86" s="99"/>
      <c r="AJ86" s="149"/>
      <c r="AK86" s="99"/>
      <c r="AL86" s="149"/>
      <c r="AM86" s="99"/>
      <c r="AN86" s="149">
        <v>0</v>
      </c>
      <c r="AO86" s="149">
        <v>9</v>
      </c>
      <c r="AP86" s="149">
        <v>11</v>
      </c>
      <c r="AQ86" s="149">
        <v>0</v>
      </c>
      <c r="AR86" s="149">
        <v>0</v>
      </c>
      <c r="AS86" s="149">
        <v>0</v>
      </c>
      <c r="AT86" s="149">
        <v>0</v>
      </c>
      <c r="AU86" s="149">
        <v>0</v>
      </c>
      <c r="AV86" s="149">
        <v>9</v>
      </c>
      <c r="AW86" s="149">
        <v>11</v>
      </c>
      <c r="AX86" s="149">
        <v>0</v>
      </c>
      <c r="AY86" s="149">
        <v>0</v>
      </c>
      <c r="AZ86" s="149">
        <v>0</v>
      </c>
      <c r="BA86" s="149">
        <v>0</v>
      </c>
      <c r="BB86" s="149">
        <v>0</v>
      </c>
      <c r="BC86" s="149">
        <v>0</v>
      </c>
      <c r="BD86" s="149">
        <v>0</v>
      </c>
      <c r="BE86" s="149">
        <v>0</v>
      </c>
      <c r="BF86" s="149">
        <v>0</v>
      </c>
      <c r="BG86" s="149">
        <v>0</v>
      </c>
      <c r="BH86" s="149">
        <v>0</v>
      </c>
      <c r="BI86" s="149">
        <v>0</v>
      </c>
      <c r="BJ86" s="149">
        <v>0</v>
      </c>
      <c r="BK86" s="149">
        <v>0</v>
      </c>
      <c r="BL86" s="149">
        <v>0</v>
      </c>
      <c r="BM86" s="149">
        <v>0</v>
      </c>
      <c r="BN86" s="149">
        <v>0</v>
      </c>
      <c r="BO86" s="149">
        <v>0</v>
      </c>
      <c r="BP86" s="152"/>
      <c r="BQ86" s="152"/>
      <c r="BR86" s="154" t="s">
        <v>359</v>
      </c>
      <c r="BS86" s="136">
        <v>1</v>
      </c>
      <c r="BT86" s="267">
        <f t="shared" si="4"/>
        <v>20</v>
      </c>
      <c r="BU86" s="267"/>
      <c r="BV86" s="267"/>
      <c r="BW86" s="267"/>
      <c r="BX86" s="267"/>
      <c r="BY86" s="267"/>
      <c r="BZ86" s="267"/>
      <c r="CA86" s="267"/>
      <c r="CB86" s="267"/>
      <c r="CC86" s="267"/>
      <c r="CD86" s="267"/>
      <c r="CE86" s="267"/>
      <c r="CF86" s="267"/>
      <c r="CG86" s="267"/>
      <c r="CH86" s="267"/>
      <c r="CI86" s="267"/>
      <c r="CJ86" s="267"/>
      <c r="CK86" s="267"/>
      <c r="CL86" s="267"/>
      <c r="CM86" s="267"/>
      <c r="CN86" s="101">
        <f t="shared" si="5"/>
        <v>0</v>
      </c>
      <c r="CO86" s="101">
        <f t="shared" si="6"/>
        <v>0</v>
      </c>
    </row>
    <row r="87" spans="1:93" ht="13.9" customHeight="1" x14ac:dyDescent="0.2">
      <c r="A87" s="149">
        <v>2502</v>
      </c>
      <c r="B87" s="150" t="s">
        <v>323</v>
      </c>
      <c r="C87" s="150" t="s">
        <v>517</v>
      </c>
      <c r="D87" s="150" t="s">
        <v>508</v>
      </c>
      <c r="E87" s="150" t="s">
        <v>534</v>
      </c>
      <c r="F87" s="149">
        <v>527221</v>
      </c>
      <c r="G87" s="149">
        <v>172443</v>
      </c>
      <c r="H87" s="150" t="s">
        <v>176</v>
      </c>
      <c r="I87" s="151">
        <v>44286</v>
      </c>
      <c r="J87" s="151"/>
      <c r="K87" s="149">
        <v>0</v>
      </c>
      <c r="L87" s="149">
        <v>7</v>
      </c>
      <c r="M87" s="149">
        <v>7</v>
      </c>
      <c r="N87" s="149">
        <v>227</v>
      </c>
      <c r="O87" s="149">
        <v>227</v>
      </c>
      <c r="P87" s="152" t="s">
        <v>327</v>
      </c>
      <c r="Q87" s="150" t="s">
        <v>519</v>
      </c>
      <c r="R87" s="150" t="s">
        <v>388</v>
      </c>
      <c r="S87" s="151">
        <v>43971</v>
      </c>
      <c r="T87" s="151">
        <v>44127</v>
      </c>
      <c r="U87" s="152"/>
      <c r="V87" s="150" t="s">
        <v>330</v>
      </c>
      <c r="W87" s="151"/>
      <c r="X87" s="150" t="s">
        <v>331</v>
      </c>
      <c r="Y87" s="150" t="s">
        <v>343</v>
      </c>
      <c r="Z87" s="150" t="s">
        <v>343</v>
      </c>
      <c r="AA87" s="150" t="s">
        <v>334</v>
      </c>
      <c r="AB87" s="153">
        <v>6.8000000000000005E-2</v>
      </c>
      <c r="AC87" s="151">
        <v>44286</v>
      </c>
      <c r="AD87" s="150"/>
      <c r="AE87" s="151">
        <v>45382</v>
      </c>
      <c r="AF87" s="150" t="s">
        <v>70</v>
      </c>
      <c r="AG87" s="152" t="s">
        <v>352</v>
      </c>
      <c r="AH87" s="150" t="s">
        <v>511</v>
      </c>
      <c r="AI87" s="99"/>
      <c r="AJ87" s="149"/>
      <c r="AK87" s="99"/>
      <c r="AL87" s="149"/>
      <c r="AM87" s="99"/>
      <c r="AN87" s="149">
        <v>0</v>
      </c>
      <c r="AO87" s="149">
        <v>0</v>
      </c>
      <c r="AP87" s="149">
        <v>3</v>
      </c>
      <c r="AQ87" s="149">
        <v>4</v>
      </c>
      <c r="AR87" s="149">
        <v>0</v>
      </c>
      <c r="AS87" s="149">
        <v>0</v>
      </c>
      <c r="AT87" s="149">
        <v>0</v>
      </c>
      <c r="AU87" s="149">
        <v>0</v>
      </c>
      <c r="AV87" s="149">
        <v>0</v>
      </c>
      <c r="AW87" s="149">
        <v>0</v>
      </c>
      <c r="AX87" s="149">
        <v>0</v>
      </c>
      <c r="AY87" s="149">
        <v>0</v>
      </c>
      <c r="AZ87" s="149">
        <v>0</v>
      </c>
      <c r="BA87" s="149">
        <v>0</v>
      </c>
      <c r="BB87" s="149">
        <v>0</v>
      </c>
      <c r="BC87" s="149">
        <v>0</v>
      </c>
      <c r="BD87" s="149">
        <v>3</v>
      </c>
      <c r="BE87" s="149">
        <v>4</v>
      </c>
      <c r="BF87" s="149">
        <v>0</v>
      </c>
      <c r="BG87" s="149">
        <v>0</v>
      </c>
      <c r="BH87" s="149">
        <v>0</v>
      </c>
      <c r="BI87" s="149">
        <v>0</v>
      </c>
      <c r="BJ87" s="149">
        <v>0</v>
      </c>
      <c r="BK87" s="149">
        <v>0</v>
      </c>
      <c r="BL87" s="149">
        <v>0</v>
      </c>
      <c r="BM87" s="149">
        <v>0</v>
      </c>
      <c r="BN87" s="149">
        <v>0</v>
      </c>
      <c r="BO87" s="149">
        <v>0</v>
      </c>
      <c r="BP87" s="152"/>
      <c r="BQ87" s="152"/>
      <c r="BR87" s="154" t="s">
        <v>359</v>
      </c>
      <c r="BS87" s="136">
        <v>1</v>
      </c>
      <c r="BT87" s="267">
        <f t="shared" si="4"/>
        <v>7</v>
      </c>
      <c r="BU87" s="267"/>
      <c r="BV87" s="267"/>
      <c r="BW87" s="267"/>
      <c r="BX87" s="267"/>
      <c r="BY87" s="267"/>
      <c r="BZ87" s="267"/>
      <c r="CA87" s="267"/>
      <c r="CB87" s="267"/>
      <c r="CC87" s="267"/>
      <c r="CD87" s="267"/>
      <c r="CE87" s="267"/>
      <c r="CF87" s="267"/>
      <c r="CG87" s="267"/>
      <c r="CH87" s="267"/>
      <c r="CI87" s="267"/>
      <c r="CJ87" s="267"/>
      <c r="CK87" s="267"/>
      <c r="CL87" s="267"/>
      <c r="CM87" s="267"/>
      <c r="CN87" s="101">
        <f t="shared" si="5"/>
        <v>0</v>
      </c>
      <c r="CO87" s="101">
        <f t="shared" si="6"/>
        <v>0</v>
      </c>
    </row>
    <row r="88" spans="1:93" ht="13.9" customHeight="1" x14ac:dyDescent="0.2">
      <c r="A88" s="149">
        <v>2502</v>
      </c>
      <c r="B88" s="150" t="s">
        <v>323</v>
      </c>
      <c r="C88" s="150" t="s">
        <v>517</v>
      </c>
      <c r="D88" s="150" t="s">
        <v>508</v>
      </c>
      <c r="E88" s="150" t="s">
        <v>535</v>
      </c>
      <c r="F88" s="149">
        <v>527221</v>
      </c>
      <c r="G88" s="149">
        <v>172443</v>
      </c>
      <c r="H88" s="150" t="s">
        <v>176</v>
      </c>
      <c r="I88" s="151">
        <v>44286</v>
      </c>
      <c r="J88" s="151"/>
      <c r="K88" s="149">
        <v>0</v>
      </c>
      <c r="L88" s="149">
        <v>15</v>
      </c>
      <c r="M88" s="149">
        <v>15</v>
      </c>
      <c r="N88" s="149">
        <v>227</v>
      </c>
      <c r="O88" s="149">
        <v>227</v>
      </c>
      <c r="P88" s="152" t="s">
        <v>327</v>
      </c>
      <c r="Q88" s="150" t="s">
        <v>519</v>
      </c>
      <c r="R88" s="150" t="s">
        <v>388</v>
      </c>
      <c r="S88" s="151">
        <v>43971</v>
      </c>
      <c r="T88" s="151">
        <v>44127</v>
      </c>
      <c r="U88" s="152"/>
      <c r="V88" s="150" t="s">
        <v>330</v>
      </c>
      <c r="W88" s="151"/>
      <c r="X88" s="150" t="s">
        <v>331</v>
      </c>
      <c r="Y88" s="150" t="s">
        <v>343</v>
      </c>
      <c r="Z88" s="150" t="s">
        <v>343</v>
      </c>
      <c r="AA88" s="150" t="s">
        <v>334</v>
      </c>
      <c r="AB88" s="153">
        <v>0.14499999999999999</v>
      </c>
      <c r="AC88" s="151">
        <v>44286</v>
      </c>
      <c r="AD88" s="150"/>
      <c r="AE88" s="151">
        <v>45382</v>
      </c>
      <c r="AF88" s="150" t="s">
        <v>70</v>
      </c>
      <c r="AG88" s="152" t="s">
        <v>352</v>
      </c>
      <c r="AH88" s="150" t="s">
        <v>511</v>
      </c>
      <c r="AI88" s="99"/>
      <c r="AJ88" s="149"/>
      <c r="AK88" s="99"/>
      <c r="AL88" s="149"/>
      <c r="AM88" s="99"/>
      <c r="AN88" s="149">
        <v>0</v>
      </c>
      <c r="AO88" s="149">
        <v>12</v>
      </c>
      <c r="AP88" s="149">
        <v>2</v>
      </c>
      <c r="AQ88" s="149">
        <v>1</v>
      </c>
      <c r="AR88" s="149">
        <v>0</v>
      </c>
      <c r="AS88" s="149">
        <v>0</v>
      </c>
      <c r="AT88" s="149">
        <v>0</v>
      </c>
      <c r="AU88" s="149">
        <v>0</v>
      </c>
      <c r="AV88" s="149">
        <v>12</v>
      </c>
      <c r="AW88" s="149">
        <v>2</v>
      </c>
      <c r="AX88" s="149">
        <v>1</v>
      </c>
      <c r="AY88" s="149">
        <v>0</v>
      </c>
      <c r="AZ88" s="149">
        <v>0</v>
      </c>
      <c r="BA88" s="149">
        <v>0</v>
      </c>
      <c r="BB88" s="149">
        <v>0</v>
      </c>
      <c r="BC88" s="149">
        <v>0</v>
      </c>
      <c r="BD88" s="149">
        <v>0</v>
      </c>
      <c r="BE88" s="149">
        <v>0</v>
      </c>
      <c r="BF88" s="149">
        <v>0</v>
      </c>
      <c r="BG88" s="149">
        <v>0</v>
      </c>
      <c r="BH88" s="149">
        <v>0</v>
      </c>
      <c r="BI88" s="149">
        <v>0</v>
      </c>
      <c r="BJ88" s="149">
        <v>0</v>
      </c>
      <c r="BK88" s="149">
        <v>0</v>
      </c>
      <c r="BL88" s="149">
        <v>0</v>
      </c>
      <c r="BM88" s="149">
        <v>0</v>
      </c>
      <c r="BN88" s="149">
        <v>0</v>
      </c>
      <c r="BO88" s="149">
        <v>0</v>
      </c>
      <c r="BP88" s="152"/>
      <c r="BQ88" s="152"/>
      <c r="BR88" s="154" t="s">
        <v>359</v>
      </c>
      <c r="BS88" s="136">
        <v>1</v>
      </c>
      <c r="BT88" s="267">
        <f t="shared" si="4"/>
        <v>15</v>
      </c>
      <c r="BU88" s="267"/>
      <c r="BV88" s="267"/>
      <c r="BW88" s="267"/>
      <c r="BX88" s="267"/>
      <c r="BY88" s="267"/>
      <c r="BZ88" s="267"/>
      <c r="CA88" s="267"/>
      <c r="CB88" s="267"/>
      <c r="CC88" s="267"/>
      <c r="CD88" s="267"/>
      <c r="CE88" s="267"/>
      <c r="CF88" s="267"/>
      <c r="CG88" s="267"/>
      <c r="CH88" s="267"/>
      <c r="CI88" s="267"/>
      <c r="CJ88" s="267"/>
      <c r="CK88" s="267"/>
      <c r="CL88" s="267"/>
      <c r="CM88" s="267"/>
      <c r="CN88" s="101">
        <f t="shared" si="5"/>
        <v>0</v>
      </c>
      <c r="CO88" s="101">
        <f t="shared" si="6"/>
        <v>0</v>
      </c>
    </row>
    <row r="89" spans="1:93" ht="13.9" customHeight="1" x14ac:dyDescent="0.2">
      <c r="A89" s="149">
        <v>2502</v>
      </c>
      <c r="B89" s="150" t="s">
        <v>323</v>
      </c>
      <c r="C89" s="150" t="s">
        <v>517</v>
      </c>
      <c r="D89" s="150" t="s">
        <v>508</v>
      </c>
      <c r="E89" s="150" t="s">
        <v>536</v>
      </c>
      <c r="F89" s="149">
        <v>527221</v>
      </c>
      <c r="G89" s="149">
        <v>172443</v>
      </c>
      <c r="H89" s="150" t="s">
        <v>176</v>
      </c>
      <c r="I89" s="151">
        <v>44286</v>
      </c>
      <c r="J89" s="151"/>
      <c r="K89" s="149">
        <v>0</v>
      </c>
      <c r="L89" s="149">
        <v>20</v>
      </c>
      <c r="M89" s="149">
        <v>20</v>
      </c>
      <c r="N89" s="149">
        <v>227</v>
      </c>
      <c r="O89" s="149">
        <v>227</v>
      </c>
      <c r="P89" s="152" t="s">
        <v>327</v>
      </c>
      <c r="Q89" s="150" t="s">
        <v>519</v>
      </c>
      <c r="R89" s="150" t="s">
        <v>388</v>
      </c>
      <c r="S89" s="151">
        <v>43971</v>
      </c>
      <c r="T89" s="151">
        <v>44127</v>
      </c>
      <c r="U89" s="152"/>
      <c r="V89" s="150" t="s">
        <v>330</v>
      </c>
      <c r="W89" s="151"/>
      <c r="X89" s="150" t="s">
        <v>331</v>
      </c>
      <c r="Y89" s="150" t="s">
        <v>343</v>
      </c>
      <c r="Z89" s="150" t="s">
        <v>343</v>
      </c>
      <c r="AA89" s="150" t="s">
        <v>334</v>
      </c>
      <c r="AB89" s="153">
        <v>0.193</v>
      </c>
      <c r="AC89" s="151">
        <v>44286</v>
      </c>
      <c r="AD89" s="150"/>
      <c r="AE89" s="151">
        <v>45382</v>
      </c>
      <c r="AF89" s="150" t="s">
        <v>70</v>
      </c>
      <c r="AG89" s="152" t="s">
        <v>352</v>
      </c>
      <c r="AH89" s="150" t="s">
        <v>511</v>
      </c>
      <c r="AI89" s="99"/>
      <c r="AJ89" s="149"/>
      <c r="AK89" s="99"/>
      <c r="AL89" s="149"/>
      <c r="AM89" s="99"/>
      <c r="AN89" s="149">
        <v>0</v>
      </c>
      <c r="AO89" s="149">
        <v>9</v>
      </c>
      <c r="AP89" s="149">
        <v>11</v>
      </c>
      <c r="AQ89" s="149">
        <v>0</v>
      </c>
      <c r="AR89" s="149">
        <v>0</v>
      </c>
      <c r="AS89" s="149">
        <v>0</v>
      </c>
      <c r="AT89" s="149">
        <v>0</v>
      </c>
      <c r="AU89" s="149">
        <v>0</v>
      </c>
      <c r="AV89" s="149">
        <v>9</v>
      </c>
      <c r="AW89" s="149">
        <v>11</v>
      </c>
      <c r="AX89" s="149">
        <v>0</v>
      </c>
      <c r="AY89" s="149">
        <v>0</v>
      </c>
      <c r="AZ89" s="149">
        <v>0</v>
      </c>
      <c r="BA89" s="149">
        <v>0</v>
      </c>
      <c r="BB89" s="149">
        <v>0</v>
      </c>
      <c r="BC89" s="149">
        <v>0</v>
      </c>
      <c r="BD89" s="149">
        <v>0</v>
      </c>
      <c r="BE89" s="149">
        <v>0</v>
      </c>
      <c r="BF89" s="149">
        <v>0</v>
      </c>
      <c r="BG89" s="149">
        <v>0</v>
      </c>
      <c r="BH89" s="149">
        <v>0</v>
      </c>
      <c r="BI89" s="149">
        <v>0</v>
      </c>
      <c r="BJ89" s="149">
        <v>0</v>
      </c>
      <c r="BK89" s="149">
        <v>0</v>
      </c>
      <c r="BL89" s="149">
        <v>0</v>
      </c>
      <c r="BM89" s="149">
        <v>0</v>
      </c>
      <c r="BN89" s="149">
        <v>0</v>
      </c>
      <c r="BO89" s="149">
        <v>0</v>
      </c>
      <c r="BP89" s="152"/>
      <c r="BQ89" s="152"/>
      <c r="BR89" s="154" t="s">
        <v>359</v>
      </c>
      <c r="BS89" s="136">
        <v>1</v>
      </c>
      <c r="BT89" s="267">
        <f t="shared" si="4"/>
        <v>20</v>
      </c>
      <c r="BU89" s="267"/>
      <c r="BV89" s="267"/>
      <c r="BW89" s="267"/>
      <c r="BX89" s="267"/>
      <c r="BY89" s="267"/>
      <c r="BZ89" s="267"/>
      <c r="CA89" s="267"/>
      <c r="CB89" s="267"/>
      <c r="CC89" s="267"/>
      <c r="CD89" s="267"/>
      <c r="CE89" s="267"/>
      <c r="CF89" s="267"/>
      <c r="CG89" s="267"/>
      <c r="CH89" s="267"/>
      <c r="CI89" s="267"/>
      <c r="CJ89" s="267"/>
      <c r="CK89" s="267"/>
      <c r="CL89" s="267"/>
      <c r="CM89" s="267"/>
      <c r="CN89" s="101">
        <f t="shared" si="5"/>
        <v>0</v>
      </c>
      <c r="CO89" s="101">
        <f t="shared" si="6"/>
        <v>0</v>
      </c>
    </row>
    <row r="90" spans="1:93" ht="13.9" customHeight="1" x14ac:dyDescent="0.2">
      <c r="A90" s="149">
        <v>2502</v>
      </c>
      <c r="B90" s="150" t="s">
        <v>323</v>
      </c>
      <c r="C90" s="150" t="s">
        <v>517</v>
      </c>
      <c r="D90" s="150" t="s">
        <v>508</v>
      </c>
      <c r="E90" s="150" t="s">
        <v>537</v>
      </c>
      <c r="F90" s="149">
        <v>527221</v>
      </c>
      <c r="G90" s="149">
        <v>172443</v>
      </c>
      <c r="H90" s="150" t="s">
        <v>176</v>
      </c>
      <c r="I90" s="151">
        <v>44286</v>
      </c>
      <c r="J90" s="151"/>
      <c r="K90" s="149">
        <v>0</v>
      </c>
      <c r="L90" s="149">
        <v>15</v>
      </c>
      <c r="M90" s="149">
        <v>15</v>
      </c>
      <c r="N90" s="149">
        <v>227</v>
      </c>
      <c r="O90" s="149">
        <v>227</v>
      </c>
      <c r="P90" s="152" t="s">
        <v>327</v>
      </c>
      <c r="Q90" s="150" t="s">
        <v>519</v>
      </c>
      <c r="R90" s="150" t="s">
        <v>388</v>
      </c>
      <c r="S90" s="151">
        <v>43971</v>
      </c>
      <c r="T90" s="151">
        <v>44127</v>
      </c>
      <c r="U90" s="152"/>
      <c r="V90" s="150" t="s">
        <v>330</v>
      </c>
      <c r="W90" s="151"/>
      <c r="X90" s="150" t="s">
        <v>331</v>
      </c>
      <c r="Y90" s="150" t="s">
        <v>343</v>
      </c>
      <c r="Z90" s="150" t="s">
        <v>343</v>
      </c>
      <c r="AA90" s="150" t="s">
        <v>334</v>
      </c>
      <c r="AB90" s="153">
        <v>0.14499999999999999</v>
      </c>
      <c r="AC90" s="151">
        <v>44286</v>
      </c>
      <c r="AD90" s="150"/>
      <c r="AE90" s="151">
        <v>45382</v>
      </c>
      <c r="AF90" s="150" t="s">
        <v>70</v>
      </c>
      <c r="AG90" s="152" t="s">
        <v>352</v>
      </c>
      <c r="AH90" s="150" t="s">
        <v>511</v>
      </c>
      <c r="AI90" s="99"/>
      <c r="AJ90" s="149"/>
      <c r="AK90" s="99"/>
      <c r="AL90" s="149"/>
      <c r="AM90" s="99"/>
      <c r="AN90" s="149">
        <v>0</v>
      </c>
      <c r="AO90" s="149">
        <v>6</v>
      </c>
      <c r="AP90" s="149">
        <v>8</v>
      </c>
      <c r="AQ90" s="149">
        <v>1</v>
      </c>
      <c r="AR90" s="149">
        <v>0</v>
      </c>
      <c r="AS90" s="149">
        <v>0</v>
      </c>
      <c r="AT90" s="149">
        <v>0</v>
      </c>
      <c r="AU90" s="149">
        <v>0</v>
      </c>
      <c r="AV90" s="149">
        <v>6</v>
      </c>
      <c r="AW90" s="149">
        <v>8</v>
      </c>
      <c r="AX90" s="149">
        <v>1</v>
      </c>
      <c r="AY90" s="149">
        <v>0</v>
      </c>
      <c r="AZ90" s="149">
        <v>0</v>
      </c>
      <c r="BA90" s="149">
        <v>0</v>
      </c>
      <c r="BB90" s="149">
        <v>0</v>
      </c>
      <c r="BC90" s="149">
        <v>0</v>
      </c>
      <c r="BD90" s="149">
        <v>0</v>
      </c>
      <c r="BE90" s="149">
        <v>0</v>
      </c>
      <c r="BF90" s="149">
        <v>0</v>
      </c>
      <c r="BG90" s="149">
        <v>0</v>
      </c>
      <c r="BH90" s="149">
        <v>0</v>
      </c>
      <c r="BI90" s="149">
        <v>0</v>
      </c>
      <c r="BJ90" s="149">
        <v>0</v>
      </c>
      <c r="BK90" s="149">
        <v>0</v>
      </c>
      <c r="BL90" s="149">
        <v>0</v>
      </c>
      <c r="BM90" s="149">
        <v>0</v>
      </c>
      <c r="BN90" s="149">
        <v>0</v>
      </c>
      <c r="BO90" s="149">
        <v>0</v>
      </c>
      <c r="BP90" s="152"/>
      <c r="BQ90" s="152"/>
      <c r="BR90" s="154" t="s">
        <v>359</v>
      </c>
      <c r="BS90" s="136">
        <v>1</v>
      </c>
      <c r="BT90" s="267">
        <f t="shared" si="4"/>
        <v>15</v>
      </c>
      <c r="BU90" s="267"/>
      <c r="BV90" s="267"/>
      <c r="BW90" s="267"/>
      <c r="BX90" s="267"/>
      <c r="BY90" s="267"/>
      <c r="BZ90" s="267"/>
      <c r="CA90" s="267"/>
      <c r="CB90" s="267"/>
      <c r="CC90" s="267"/>
      <c r="CD90" s="267"/>
      <c r="CE90" s="267"/>
      <c r="CF90" s="267"/>
      <c r="CG90" s="267"/>
      <c r="CH90" s="267"/>
      <c r="CI90" s="267"/>
      <c r="CJ90" s="267"/>
      <c r="CK90" s="267"/>
      <c r="CL90" s="267"/>
      <c r="CM90" s="267"/>
      <c r="CN90" s="101">
        <f t="shared" si="5"/>
        <v>0</v>
      </c>
      <c r="CO90" s="101">
        <f t="shared" si="6"/>
        <v>0</v>
      </c>
    </row>
    <row r="91" spans="1:93" ht="13.9" customHeight="1" x14ac:dyDescent="0.2">
      <c r="A91" s="149">
        <v>2502</v>
      </c>
      <c r="B91" s="150" t="s">
        <v>323</v>
      </c>
      <c r="C91" s="150" t="s">
        <v>517</v>
      </c>
      <c r="D91" s="150" t="s">
        <v>508</v>
      </c>
      <c r="E91" s="150" t="s">
        <v>538</v>
      </c>
      <c r="F91" s="149">
        <v>527221</v>
      </c>
      <c r="G91" s="149">
        <v>172443</v>
      </c>
      <c r="H91" s="150" t="s">
        <v>176</v>
      </c>
      <c r="I91" s="151">
        <v>44286</v>
      </c>
      <c r="J91" s="151"/>
      <c r="K91" s="149">
        <v>0</v>
      </c>
      <c r="L91" s="149">
        <v>15</v>
      </c>
      <c r="M91" s="149">
        <v>15</v>
      </c>
      <c r="N91" s="149">
        <v>227</v>
      </c>
      <c r="O91" s="149">
        <v>227</v>
      </c>
      <c r="P91" s="152" t="s">
        <v>327</v>
      </c>
      <c r="Q91" s="150" t="s">
        <v>519</v>
      </c>
      <c r="R91" s="150" t="s">
        <v>388</v>
      </c>
      <c r="S91" s="151">
        <v>43971</v>
      </c>
      <c r="T91" s="151">
        <v>44127</v>
      </c>
      <c r="U91" s="152"/>
      <c r="V91" s="150" t="s">
        <v>330</v>
      </c>
      <c r="W91" s="151"/>
      <c r="X91" s="150" t="s">
        <v>331</v>
      </c>
      <c r="Y91" s="150" t="s">
        <v>343</v>
      </c>
      <c r="Z91" s="150" t="s">
        <v>343</v>
      </c>
      <c r="AA91" s="150" t="s">
        <v>334</v>
      </c>
      <c r="AB91" s="153">
        <v>0.14499999999999999</v>
      </c>
      <c r="AC91" s="151">
        <v>44286</v>
      </c>
      <c r="AD91" s="150"/>
      <c r="AE91" s="151">
        <v>45382</v>
      </c>
      <c r="AF91" s="150" t="s">
        <v>70</v>
      </c>
      <c r="AG91" s="152" t="s">
        <v>352</v>
      </c>
      <c r="AH91" s="150" t="s">
        <v>511</v>
      </c>
      <c r="AI91" s="99"/>
      <c r="AJ91" s="149"/>
      <c r="AK91" s="99"/>
      <c r="AL91" s="149"/>
      <c r="AM91" s="99"/>
      <c r="AN91" s="149">
        <v>0</v>
      </c>
      <c r="AO91" s="149">
        <v>12</v>
      </c>
      <c r="AP91" s="149">
        <v>3</v>
      </c>
      <c r="AQ91" s="149">
        <v>0</v>
      </c>
      <c r="AR91" s="149">
        <v>0</v>
      </c>
      <c r="AS91" s="149">
        <v>0</v>
      </c>
      <c r="AT91" s="149">
        <v>0</v>
      </c>
      <c r="AU91" s="149">
        <v>0</v>
      </c>
      <c r="AV91" s="149">
        <v>12</v>
      </c>
      <c r="AW91" s="149">
        <v>3</v>
      </c>
      <c r="AX91" s="149">
        <v>0</v>
      </c>
      <c r="AY91" s="149">
        <v>0</v>
      </c>
      <c r="AZ91" s="149">
        <v>0</v>
      </c>
      <c r="BA91" s="149">
        <v>0</v>
      </c>
      <c r="BB91" s="149">
        <v>0</v>
      </c>
      <c r="BC91" s="149">
        <v>0</v>
      </c>
      <c r="BD91" s="149">
        <v>0</v>
      </c>
      <c r="BE91" s="149">
        <v>0</v>
      </c>
      <c r="BF91" s="149">
        <v>0</v>
      </c>
      <c r="BG91" s="149">
        <v>0</v>
      </c>
      <c r="BH91" s="149">
        <v>0</v>
      </c>
      <c r="BI91" s="149">
        <v>0</v>
      </c>
      <c r="BJ91" s="149">
        <v>0</v>
      </c>
      <c r="BK91" s="149">
        <v>0</v>
      </c>
      <c r="BL91" s="149">
        <v>0</v>
      </c>
      <c r="BM91" s="149">
        <v>0</v>
      </c>
      <c r="BN91" s="149">
        <v>0</v>
      </c>
      <c r="BO91" s="149">
        <v>0</v>
      </c>
      <c r="BP91" s="152"/>
      <c r="BQ91" s="152"/>
      <c r="BR91" s="154" t="s">
        <v>359</v>
      </c>
      <c r="BS91" s="136">
        <v>1</v>
      </c>
      <c r="BT91" s="267">
        <f t="shared" si="4"/>
        <v>15</v>
      </c>
      <c r="BU91" s="267"/>
      <c r="BV91" s="267"/>
      <c r="BW91" s="267"/>
      <c r="BX91" s="267"/>
      <c r="BY91" s="267"/>
      <c r="BZ91" s="267"/>
      <c r="CA91" s="267"/>
      <c r="CB91" s="267"/>
      <c r="CC91" s="267"/>
      <c r="CD91" s="267"/>
      <c r="CE91" s="267"/>
      <c r="CF91" s="267"/>
      <c r="CG91" s="267"/>
      <c r="CH91" s="267"/>
      <c r="CI91" s="267"/>
      <c r="CJ91" s="267"/>
      <c r="CK91" s="267"/>
      <c r="CL91" s="267"/>
      <c r="CM91" s="267"/>
      <c r="CN91" s="101">
        <f t="shared" si="5"/>
        <v>0</v>
      </c>
      <c r="CO91" s="101">
        <f t="shared" si="6"/>
        <v>0</v>
      </c>
    </row>
    <row r="92" spans="1:93" ht="13.9" customHeight="1" x14ac:dyDescent="0.2">
      <c r="A92" s="149">
        <v>7039</v>
      </c>
      <c r="B92" s="150" t="s">
        <v>323</v>
      </c>
      <c r="C92" s="150" t="s">
        <v>539</v>
      </c>
      <c r="D92" s="150" t="s">
        <v>540</v>
      </c>
      <c r="E92" s="150" t="s">
        <v>326</v>
      </c>
      <c r="F92" s="149">
        <v>526973</v>
      </c>
      <c r="G92" s="149">
        <v>171725</v>
      </c>
      <c r="H92" s="150" t="s">
        <v>173</v>
      </c>
      <c r="I92" s="151">
        <v>44651</v>
      </c>
      <c r="J92" s="151">
        <v>45107</v>
      </c>
      <c r="K92" s="149">
        <v>0</v>
      </c>
      <c r="L92" s="149">
        <v>1</v>
      </c>
      <c r="M92" s="149">
        <v>1</v>
      </c>
      <c r="N92" s="149">
        <v>4</v>
      </c>
      <c r="O92" s="149">
        <v>3</v>
      </c>
      <c r="P92" s="152"/>
      <c r="Q92" s="150" t="s">
        <v>541</v>
      </c>
      <c r="R92" s="150" t="s">
        <v>349</v>
      </c>
      <c r="S92" s="151">
        <v>44004</v>
      </c>
      <c r="T92" s="151">
        <v>44124</v>
      </c>
      <c r="U92" s="152"/>
      <c r="V92" s="150" t="s">
        <v>330</v>
      </c>
      <c r="W92" s="151"/>
      <c r="X92" s="150" t="s">
        <v>331</v>
      </c>
      <c r="Y92" s="150" t="s">
        <v>398</v>
      </c>
      <c r="Z92" s="150" t="s">
        <v>334</v>
      </c>
      <c r="AA92" s="150" t="s">
        <v>29</v>
      </c>
      <c r="AB92" s="153">
        <v>3.0000000000000001E-3</v>
      </c>
      <c r="AC92" s="151">
        <v>44651</v>
      </c>
      <c r="AD92" s="150"/>
      <c r="AE92" s="151">
        <v>45107</v>
      </c>
      <c r="AF92" s="150" t="s">
        <v>70</v>
      </c>
      <c r="AG92" s="152" t="s">
        <v>352</v>
      </c>
      <c r="AH92" s="150" t="s">
        <v>326</v>
      </c>
      <c r="AI92" s="99"/>
      <c r="AJ92" s="149"/>
      <c r="AK92" s="99"/>
      <c r="AL92" s="149"/>
      <c r="AM92" s="99"/>
      <c r="AN92" s="149">
        <v>0</v>
      </c>
      <c r="AO92" s="149">
        <v>1</v>
      </c>
      <c r="AP92" s="149">
        <v>0</v>
      </c>
      <c r="AQ92" s="149">
        <v>0</v>
      </c>
      <c r="AR92" s="149">
        <v>0</v>
      </c>
      <c r="AS92" s="149">
        <v>0</v>
      </c>
      <c r="AT92" s="149">
        <v>0</v>
      </c>
      <c r="AU92" s="149">
        <v>0</v>
      </c>
      <c r="AV92" s="149">
        <v>1</v>
      </c>
      <c r="AW92" s="149">
        <v>0</v>
      </c>
      <c r="AX92" s="149">
        <v>0</v>
      </c>
      <c r="AY92" s="149">
        <v>0</v>
      </c>
      <c r="AZ92" s="149">
        <v>0</v>
      </c>
      <c r="BA92" s="149">
        <v>0</v>
      </c>
      <c r="BB92" s="149">
        <v>0</v>
      </c>
      <c r="BC92" s="149">
        <v>0</v>
      </c>
      <c r="BD92" s="149">
        <v>0</v>
      </c>
      <c r="BE92" s="149">
        <v>0</v>
      </c>
      <c r="BF92" s="149">
        <v>0</v>
      </c>
      <c r="BG92" s="149">
        <v>0</v>
      </c>
      <c r="BH92" s="149">
        <v>0</v>
      </c>
      <c r="BI92" s="149">
        <v>0</v>
      </c>
      <c r="BJ92" s="149">
        <v>0</v>
      </c>
      <c r="BK92" s="149">
        <v>0</v>
      </c>
      <c r="BL92" s="149">
        <v>0</v>
      </c>
      <c r="BM92" s="149">
        <v>0</v>
      </c>
      <c r="BN92" s="149">
        <v>0</v>
      </c>
      <c r="BO92" s="149">
        <v>0</v>
      </c>
      <c r="BP92" s="152"/>
      <c r="BQ92" s="152"/>
      <c r="BR92" s="154" t="s">
        <v>359</v>
      </c>
      <c r="BS92" s="136">
        <v>11</v>
      </c>
      <c r="BT92" s="267">
        <f t="shared" si="4"/>
        <v>1</v>
      </c>
      <c r="BU92" s="267"/>
      <c r="BV92" s="267"/>
      <c r="BW92" s="267"/>
      <c r="BX92" s="267"/>
      <c r="BY92" s="267"/>
      <c r="BZ92" s="267"/>
      <c r="CA92" s="267"/>
      <c r="CB92" s="267"/>
      <c r="CC92" s="267"/>
      <c r="CD92" s="267"/>
      <c r="CE92" s="267"/>
      <c r="CF92" s="267"/>
      <c r="CG92" s="267"/>
      <c r="CH92" s="267"/>
      <c r="CI92" s="267"/>
      <c r="CJ92" s="267"/>
      <c r="CK92" s="267"/>
      <c r="CL92" s="267"/>
      <c r="CM92" s="267"/>
      <c r="CN92" s="101">
        <f t="shared" si="5"/>
        <v>0</v>
      </c>
      <c r="CO92" s="101">
        <f t="shared" si="6"/>
        <v>0</v>
      </c>
    </row>
    <row r="93" spans="1:93" ht="13.9" customHeight="1" x14ac:dyDescent="0.2">
      <c r="A93" s="149">
        <v>7039</v>
      </c>
      <c r="B93" s="150" t="s">
        <v>323</v>
      </c>
      <c r="C93" s="150" t="s">
        <v>539</v>
      </c>
      <c r="D93" s="150" t="s">
        <v>540</v>
      </c>
      <c r="E93" s="150" t="s">
        <v>326</v>
      </c>
      <c r="F93" s="149">
        <v>526973</v>
      </c>
      <c r="G93" s="149">
        <v>171725</v>
      </c>
      <c r="H93" s="150" t="s">
        <v>173</v>
      </c>
      <c r="I93" s="151">
        <v>44651</v>
      </c>
      <c r="J93" s="151">
        <v>45107</v>
      </c>
      <c r="K93" s="149">
        <v>0</v>
      </c>
      <c r="L93" s="149">
        <v>1</v>
      </c>
      <c r="M93" s="149">
        <v>1</v>
      </c>
      <c r="N93" s="149">
        <v>4</v>
      </c>
      <c r="O93" s="149">
        <v>3</v>
      </c>
      <c r="P93" s="152"/>
      <c r="Q93" s="150" t="s">
        <v>541</v>
      </c>
      <c r="R93" s="150" t="s">
        <v>349</v>
      </c>
      <c r="S93" s="151">
        <v>44004</v>
      </c>
      <c r="T93" s="151">
        <v>44124</v>
      </c>
      <c r="U93" s="152"/>
      <c r="V93" s="150" t="s">
        <v>330</v>
      </c>
      <c r="W93" s="151"/>
      <c r="X93" s="150" t="s">
        <v>331</v>
      </c>
      <c r="Y93" s="150" t="s">
        <v>398</v>
      </c>
      <c r="Z93" s="150" t="s">
        <v>334</v>
      </c>
      <c r="AA93" s="150" t="s">
        <v>413</v>
      </c>
      <c r="AB93" s="153">
        <v>2E-3</v>
      </c>
      <c r="AC93" s="151">
        <v>44651</v>
      </c>
      <c r="AD93" s="150"/>
      <c r="AE93" s="151">
        <v>45107</v>
      </c>
      <c r="AF93" s="150" t="s">
        <v>70</v>
      </c>
      <c r="AG93" s="152" t="s">
        <v>352</v>
      </c>
      <c r="AH93" s="150" t="s">
        <v>326</v>
      </c>
      <c r="AI93" s="99"/>
      <c r="AJ93" s="149"/>
      <c r="AK93" s="99"/>
      <c r="AL93" s="149"/>
      <c r="AM93" s="99"/>
      <c r="AN93" s="149">
        <v>0</v>
      </c>
      <c r="AO93" s="149">
        <v>1</v>
      </c>
      <c r="AP93" s="149">
        <v>0</v>
      </c>
      <c r="AQ93" s="149">
        <v>0</v>
      </c>
      <c r="AR93" s="149">
        <v>0</v>
      </c>
      <c r="AS93" s="149">
        <v>0</v>
      </c>
      <c r="AT93" s="149">
        <v>0</v>
      </c>
      <c r="AU93" s="149">
        <v>0</v>
      </c>
      <c r="AV93" s="149">
        <v>1</v>
      </c>
      <c r="AW93" s="149">
        <v>0</v>
      </c>
      <c r="AX93" s="149">
        <v>0</v>
      </c>
      <c r="AY93" s="149">
        <v>0</v>
      </c>
      <c r="AZ93" s="149">
        <v>0</v>
      </c>
      <c r="BA93" s="149">
        <v>0</v>
      </c>
      <c r="BB93" s="149">
        <v>0</v>
      </c>
      <c r="BC93" s="149">
        <v>0</v>
      </c>
      <c r="BD93" s="149">
        <v>0</v>
      </c>
      <c r="BE93" s="149">
        <v>0</v>
      </c>
      <c r="BF93" s="149">
        <v>0</v>
      </c>
      <c r="BG93" s="149">
        <v>0</v>
      </c>
      <c r="BH93" s="149">
        <v>0</v>
      </c>
      <c r="BI93" s="149">
        <v>0</v>
      </c>
      <c r="BJ93" s="149">
        <v>0</v>
      </c>
      <c r="BK93" s="149">
        <v>0</v>
      </c>
      <c r="BL93" s="149">
        <v>0</v>
      </c>
      <c r="BM93" s="149">
        <v>0</v>
      </c>
      <c r="BN93" s="149">
        <v>0</v>
      </c>
      <c r="BO93" s="149">
        <v>0</v>
      </c>
      <c r="BP93" s="152"/>
      <c r="BQ93" s="152"/>
      <c r="BR93" s="154" t="s">
        <v>359</v>
      </c>
      <c r="BS93" s="136">
        <v>11</v>
      </c>
      <c r="BT93" s="267">
        <f t="shared" si="4"/>
        <v>1</v>
      </c>
      <c r="BU93" s="267"/>
      <c r="BV93" s="267"/>
      <c r="BW93" s="267"/>
      <c r="BX93" s="267"/>
      <c r="BY93" s="267"/>
      <c r="BZ93" s="267"/>
      <c r="CA93" s="267"/>
      <c r="CB93" s="267"/>
      <c r="CC93" s="267"/>
      <c r="CD93" s="267"/>
      <c r="CE93" s="267"/>
      <c r="CF93" s="267"/>
      <c r="CG93" s="267"/>
      <c r="CH93" s="267"/>
      <c r="CI93" s="267"/>
      <c r="CJ93" s="267"/>
      <c r="CK93" s="267"/>
      <c r="CL93" s="267"/>
      <c r="CM93" s="267"/>
      <c r="CN93" s="101">
        <f t="shared" si="5"/>
        <v>0</v>
      </c>
      <c r="CO93" s="101">
        <f t="shared" si="6"/>
        <v>0</v>
      </c>
    </row>
    <row r="94" spans="1:93" ht="13.9" customHeight="1" x14ac:dyDescent="0.2">
      <c r="A94" s="149">
        <v>7039</v>
      </c>
      <c r="B94" s="150" t="s">
        <v>323</v>
      </c>
      <c r="C94" s="150" t="s">
        <v>539</v>
      </c>
      <c r="D94" s="150" t="s">
        <v>540</v>
      </c>
      <c r="E94" s="150" t="s">
        <v>326</v>
      </c>
      <c r="F94" s="149">
        <v>526973</v>
      </c>
      <c r="G94" s="149">
        <v>171725</v>
      </c>
      <c r="H94" s="150" t="s">
        <v>173</v>
      </c>
      <c r="I94" s="151">
        <v>44651</v>
      </c>
      <c r="J94" s="151">
        <v>45107</v>
      </c>
      <c r="K94" s="149">
        <v>1</v>
      </c>
      <c r="L94" s="149">
        <v>2</v>
      </c>
      <c r="M94" s="149">
        <v>1</v>
      </c>
      <c r="N94" s="149">
        <v>4</v>
      </c>
      <c r="O94" s="149">
        <v>3</v>
      </c>
      <c r="P94" s="152"/>
      <c r="Q94" s="150" t="s">
        <v>541</v>
      </c>
      <c r="R94" s="150" t="s">
        <v>349</v>
      </c>
      <c r="S94" s="151">
        <v>44004</v>
      </c>
      <c r="T94" s="151">
        <v>44124</v>
      </c>
      <c r="U94" s="152"/>
      <c r="V94" s="150" t="s">
        <v>330</v>
      </c>
      <c r="W94" s="151"/>
      <c r="X94" s="150" t="s">
        <v>331</v>
      </c>
      <c r="Y94" s="150" t="s">
        <v>398</v>
      </c>
      <c r="Z94" s="150" t="s">
        <v>334</v>
      </c>
      <c r="AA94" s="150" t="s">
        <v>399</v>
      </c>
      <c r="AB94" s="153">
        <v>4.0000000000000001E-3</v>
      </c>
      <c r="AC94" s="151">
        <v>44651</v>
      </c>
      <c r="AD94" s="150"/>
      <c r="AE94" s="151">
        <v>45107</v>
      </c>
      <c r="AF94" s="150" t="s">
        <v>70</v>
      </c>
      <c r="AG94" s="152" t="s">
        <v>352</v>
      </c>
      <c r="AH94" s="150" t="s">
        <v>326</v>
      </c>
      <c r="AI94" s="99"/>
      <c r="AJ94" s="149"/>
      <c r="AK94" s="99"/>
      <c r="AL94" s="149"/>
      <c r="AM94" s="99"/>
      <c r="AN94" s="149">
        <v>0</v>
      </c>
      <c r="AO94" s="149">
        <v>2</v>
      </c>
      <c r="AP94" s="149">
        <v>-1</v>
      </c>
      <c r="AQ94" s="149">
        <v>0</v>
      </c>
      <c r="AR94" s="149">
        <v>0</v>
      </c>
      <c r="AS94" s="149">
        <v>0</v>
      </c>
      <c r="AT94" s="149">
        <v>0</v>
      </c>
      <c r="AU94" s="149">
        <v>0</v>
      </c>
      <c r="AV94" s="149">
        <v>2</v>
      </c>
      <c r="AW94" s="149">
        <v>-1</v>
      </c>
      <c r="AX94" s="149">
        <v>0</v>
      </c>
      <c r="AY94" s="149">
        <v>0</v>
      </c>
      <c r="AZ94" s="149">
        <v>0</v>
      </c>
      <c r="BA94" s="149">
        <v>0</v>
      </c>
      <c r="BB94" s="149">
        <v>0</v>
      </c>
      <c r="BC94" s="149">
        <v>0</v>
      </c>
      <c r="BD94" s="149">
        <v>0</v>
      </c>
      <c r="BE94" s="149">
        <v>0</v>
      </c>
      <c r="BF94" s="149">
        <v>0</v>
      </c>
      <c r="BG94" s="149">
        <v>0</v>
      </c>
      <c r="BH94" s="149">
        <v>0</v>
      </c>
      <c r="BI94" s="149">
        <v>0</v>
      </c>
      <c r="BJ94" s="149">
        <v>0</v>
      </c>
      <c r="BK94" s="149">
        <v>0</v>
      </c>
      <c r="BL94" s="149">
        <v>0</v>
      </c>
      <c r="BM94" s="149">
        <v>0</v>
      </c>
      <c r="BN94" s="149">
        <v>0</v>
      </c>
      <c r="BO94" s="149">
        <v>0</v>
      </c>
      <c r="BP94" s="152"/>
      <c r="BQ94" s="152"/>
      <c r="BR94" s="154" t="s">
        <v>359</v>
      </c>
      <c r="BS94" s="136">
        <v>11</v>
      </c>
      <c r="BT94" s="267">
        <f t="shared" si="4"/>
        <v>1</v>
      </c>
      <c r="BU94" s="267"/>
      <c r="BV94" s="267"/>
      <c r="BW94" s="267"/>
      <c r="BX94" s="267"/>
      <c r="BY94" s="267"/>
      <c r="BZ94" s="267"/>
      <c r="CA94" s="267"/>
      <c r="CB94" s="267"/>
      <c r="CC94" s="267"/>
      <c r="CD94" s="267"/>
      <c r="CE94" s="267"/>
      <c r="CF94" s="267"/>
      <c r="CG94" s="267"/>
      <c r="CH94" s="267"/>
      <c r="CI94" s="267"/>
      <c r="CJ94" s="267"/>
      <c r="CK94" s="267"/>
      <c r="CL94" s="267"/>
      <c r="CM94" s="267"/>
      <c r="CN94" s="101">
        <f t="shared" si="5"/>
        <v>0</v>
      </c>
      <c r="CO94" s="101">
        <f t="shared" si="6"/>
        <v>0</v>
      </c>
    </row>
    <row r="95" spans="1:93" ht="13.9" customHeight="1" x14ac:dyDescent="0.2">
      <c r="A95" s="149">
        <v>5381</v>
      </c>
      <c r="B95" s="150" t="s">
        <v>323</v>
      </c>
      <c r="C95" s="150" t="s">
        <v>542</v>
      </c>
      <c r="D95" s="150" t="s">
        <v>543</v>
      </c>
      <c r="E95" s="150" t="s">
        <v>544</v>
      </c>
      <c r="F95" s="149">
        <v>526820</v>
      </c>
      <c r="G95" s="149">
        <v>176155</v>
      </c>
      <c r="H95" s="150" t="s">
        <v>170</v>
      </c>
      <c r="I95" s="151">
        <v>43430</v>
      </c>
      <c r="J95" s="151"/>
      <c r="K95" s="149">
        <v>0</v>
      </c>
      <c r="L95" s="149">
        <v>11</v>
      </c>
      <c r="M95" s="149">
        <v>11</v>
      </c>
      <c r="N95" s="149">
        <v>93</v>
      </c>
      <c r="O95" s="149">
        <v>93</v>
      </c>
      <c r="P95" s="152" t="s">
        <v>327</v>
      </c>
      <c r="Q95" s="150" t="s">
        <v>545</v>
      </c>
      <c r="R95" s="150" t="s">
        <v>381</v>
      </c>
      <c r="S95" s="151">
        <v>44034</v>
      </c>
      <c r="T95" s="151">
        <v>44265</v>
      </c>
      <c r="U95" s="152"/>
      <c r="V95" s="150" t="s">
        <v>330</v>
      </c>
      <c r="W95" s="151"/>
      <c r="X95" s="150" t="s">
        <v>331</v>
      </c>
      <c r="Y95" s="150" t="s">
        <v>343</v>
      </c>
      <c r="Z95" s="150" t="s">
        <v>343</v>
      </c>
      <c r="AA95" s="150" t="s">
        <v>334</v>
      </c>
      <c r="AB95" s="153">
        <v>0.01</v>
      </c>
      <c r="AC95" s="151">
        <v>43430</v>
      </c>
      <c r="AD95" s="150"/>
      <c r="AE95" s="151">
        <v>45017</v>
      </c>
      <c r="AF95" s="150" t="s">
        <v>48</v>
      </c>
      <c r="AG95" s="152" t="s">
        <v>544</v>
      </c>
      <c r="AH95" s="150" t="s">
        <v>546</v>
      </c>
      <c r="AI95" s="99"/>
      <c r="AJ95" s="149"/>
      <c r="AK95" s="99"/>
      <c r="AL95" s="149"/>
      <c r="AM95" s="99"/>
      <c r="AN95" s="149">
        <v>0</v>
      </c>
      <c r="AO95" s="149">
        <v>5</v>
      </c>
      <c r="AP95" s="149">
        <v>6</v>
      </c>
      <c r="AQ95" s="149">
        <v>0</v>
      </c>
      <c r="AR95" s="149">
        <v>0</v>
      </c>
      <c r="AS95" s="149">
        <v>0</v>
      </c>
      <c r="AT95" s="149">
        <v>0</v>
      </c>
      <c r="AU95" s="149">
        <v>0</v>
      </c>
      <c r="AV95" s="149">
        <v>5</v>
      </c>
      <c r="AW95" s="149">
        <v>6</v>
      </c>
      <c r="AX95" s="149">
        <v>0</v>
      </c>
      <c r="AY95" s="149">
        <v>0</v>
      </c>
      <c r="AZ95" s="149">
        <v>0</v>
      </c>
      <c r="BA95" s="149">
        <v>0</v>
      </c>
      <c r="BB95" s="149">
        <v>0</v>
      </c>
      <c r="BC95" s="149">
        <v>0</v>
      </c>
      <c r="BD95" s="149">
        <v>0</v>
      </c>
      <c r="BE95" s="149">
        <v>0</v>
      </c>
      <c r="BF95" s="149">
        <v>0</v>
      </c>
      <c r="BG95" s="149">
        <v>0</v>
      </c>
      <c r="BH95" s="149">
        <v>0</v>
      </c>
      <c r="BI95" s="149">
        <v>0</v>
      </c>
      <c r="BJ95" s="149">
        <v>0</v>
      </c>
      <c r="BK95" s="149">
        <v>0</v>
      </c>
      <c r="BL95" s="149">
        <v>0</v>
      </c>
      <c r="BM95" s="149">
        <v>0</v>
      </c>
      <c r="BN95" s="149">
        <v>0</v>
      </c>
      <c r="BO95" s="149">
        <v>0</v>
      </c>
      <c r="BP95" s="152"/>
      <c r="BQ95" s="152"/>
      <c r="BR95" s="154" t="s">
        <v>408</v>
      </c>
      <c r="BS95" s="136">
        <v>1</v>
      </c>
      <c r="BT95" s="267">
        <f t="shared" si="4"/>
        <v>11</v>
      </c>
      <c r="BU95" s="267"/>
      <c r="BV95" s="267"/>
      <c r="BW95" s="267"/>
      <c r="BX95" s="267"/>
      <c r="BY95" s="267"/>
      <c r="BZ95" s="267"/>
      <c r="CA95" s="267"/>
      <c r="CB95" s="267"/>
      <c r="CC95" s="267"/>
      <c r="CD95" s="267"/>
      <c r="CE95" s="267"/>
      <c r="CF95" s="267"/>
      <c r="CG95" s="267"/>
      <c r="CH95" s="267"/>
      <c r="CI95" s="267"/>
      <c r="CJ95" s="267"/>
      <c r="CK95" s="267"/>
      <c r="CL95" s="267"/>
      <c r="CM95" s="267"/>
      <c r="CN95" s="101">
        <f t="shared" si="5"/>
        <v>0</v>
      </c>
      <c r="CO95" s="101">
        <f t="shared" si="6"/>
        <v>0</v>
      </c>
    </row>
    <row r="96" spans="1:93" ht="13.9" customHeight="1" x14ac:dyDescent="0.2">
      <c r="A96" s="149">
        <v>6805</v>
      </c>
      <c r="B96" s="150" t="s">
        <v>323</v>
      </c>
      <c r="C96" s="150" t="s">
        <v>547</v>
      </c>
      <c r="D96" s="150" t="s">
        <v>548</v>
      </c>
      <c r="E96" s="150" t="s">
        <v>326</v>
      </c>
      <c r="F96" s="149">
        <v>524490</v>
      </c>
      <c r="G96" s="149">
        <v>175266</v>
      </c>
      <c r="H96" s="150" t="s">
        <v>171</v>
      </c>
      <c r="I96" s="151">
        <v>45099</v>
      </c>
      <c r="J96" s="151">
        <v>45343</v>
      </c>
      <c r="K96" s="149">
        <v>0</v>
      </c>
      <c r="L96" s="149">
        <v>6</v>
      </c>
      <c r="M96" s="149">
        <v>6</v>
      </c>
      <c r="N96" s="149">
        <v>8</v>
      </c>
      <c r="O96" s="149">
        <v>8</v>
      </c>
      <c r="P96" s="152"/>
      <c r="Q96" s="150" t="s">
        <v>549</v>
      </c>
      <c r="R96" s="150" t="s">
        <v>349</v>
      </c>
      <c r="S96" s="151">
        <v>44048</v>
      </c>
      <c r="T96" s="151">
        <v>44162</v>
      </c>
      <c r="U96" s="152"/>
      <c r="V96" s="150" t="s">
        <v>330</v>
      </c>
      <c r="W96" s="151"/>
      <c r="X96" s="150" t="s">
        <v>331</v>
      </c>
      <c r="Y96" s="150" t="s">
        <v>398</v>
      </c>
      <c r="Z96" s="150" t="s">
        <v>334</v>
      </c>
      <c r="AA96" s="150" t="s">
        <v>32</v>
      </c>
      <c r="AB96" s="153">
        <v>1.4E-2</v>
      </c>
      <c r="AC96" s="151">
        <v>45099</v>
      </c>
      <c r="AD96" s="152" t="s">
        <v>327</v>
      </c>
      <c r="AE96" s="151">
        <v>45343</v>
      </c>
      <c r="AF96" s="150" t="s">
        <v>70</v>
      </c>
      <c r="AG96" s="152" t="s">
        <v>352</v>
      </c>
      <c r="AH96" s="150" t="s">
        <v>326</v>
      </c>
      <c r="AI96" s="99"/>
      <c r="AJ96" s="149"/>
      <c r="AK96" s="99"/>
      <c r="AL96" s="149"/>
      <c r="AM96" s="99"/>
      <c r="AN96" s="149">
        <v>0</v>
      </c>
      <c r="AO96" s="149">
        <v>5</v>
      </c>
      <c r="AP96" s="149">
        <v>1</v>
      </c>
      <c r="AQ96" s="149">
        <v>0</v>
      </c>
      <c r="AR96" s="149">
        <v>0</v>
      </c>
      <c r="AS96" s="149">
        <v>0</v>
      </c>
      <c r="AT96" s="149">
        <v>0</v>
      </c>
      <c r="AU96" s="149">
        <v>0</v>
      </c>
      <c r="AV96" s="149">
        <v>5</v>
      </c>
      <c r="AW96" s="149">
        <v>1</v>
      </c>
      <c r="AX96" s="149">
        <v>0</v>
      </c>
      <c r="AY96" s="149">
        <v>0</v>
      </c>
      <c r="AZ96" s="149">
        <v>0</v>
      </c>
      <c r="BA96" s="149">
        <v>0</v>
      </c>
      <c r="BB96" s="149">
        <v>0</v>
      </c>
      <c r="BC96" s="149">
        <v>0</v>
      </c>
      <c r="BD96" s="149">
        <v>0</v>
      </c>
      <c r="BE96" s="149">
        <v>0</v>
      </c>
      <c r="BF96" s="149">
        <v>0</v>
      </c>
      <c r="BG96" s="149">
        <v>0</v>
      </c>
      <c r="BH96" s="149">
        <v>0</v>
      </c>
      <c r="BI96" s="149">
        <v>0</v>
      </c>
      <c r="BJ96" s="149">
        <v>0</v>
      </c>
      <c r="BK96" s="149">
        <v>0</v>
      </c>
      <c r="BL96" s="149">
        <v>0</v>
      </c>
      <c r="BM96" s="149">
        <v>0</v>
      </c>
      <c r="BN96" s="149">
        <v>0</v>
      </c>
      <c r="BO96" s="149">
        <v>0</v>
      </c>
      <c r="BP96" s="152"/>
      <c r="BQ96" s="152"/>
      <c r="BR96" s="154" t="s">
        <v>359</v>
      </c>
      <c r="BS96" s="136">
        <v>11</v>
      </c>
      <c r="BT96" s="267">
        <f t="shared" si="4"/>
        <v>6</v>
      </c>
      <c r="BU96" s="267"/>
      <c r="BV96" s="267"/>
      <c r="BW96" s="267"/>
      <c r="BX96" s="267"/>
      <c r="BY96" s="267"/>
      <c r="BZ96" s="267"/>
      <c r="CA96" s="267"/>
      <c r="CB96" s="267"/>
      <c r="CC96" s="267"/>
      <c r="CD96" s="267"/>
      <c r="CE96" s="267"/>
      <c r="CF96" s="267"/>
      <c r="CG96" s="267"/>
      <c r="CH96" s="267"/>
      <c r="CI96" s="267"/>
      <c r="CJ96" s="267"/>
      <c r="CK96" s="267"/>
      <c r="CL96" s="267"/>
      <c r="CM96" s="267"/>
      <c r="CN96" s="101">
        <f t="shared" si="5"/>
        <v>0</v>
      </c>
      <c r="CO96" s="101">
        <f t="shared" si="6"/>
        <v>0</v>
      </c>
    </row>
    <row r="97" spans="1:93" ht="13.9" customHeight="1" x14ac:dyDescent="0.2">
      <c r="A97" s="149">
        <v>6805</v>
      </c>
      <c r="B97" s="150" t="s">
        <v>323</v>
      </c>
      <c r="C97" s="150" t="s">
        <v>547</v>
      </c>
      <c r="D97" s="150" t="s">
        <v>548</v>
      </c>
      <c r="E97" s="150" t="s">
        <v>326</v>
      </c>
      <c r="F97" s="149">
        <v>524490</v>
      </c>
      <c r="G97" s="149">
        <v>175266</v>
      </c>
      <c r="H97" s="150" t="s">
        <v>171</v>
      </c>
      <c r="I97" s="151">
        <v>45099</v>
      </c>
      <c r="J97" s="151">
        <v>45343</v>
      </c>
      <c r="K97" s="149">
        <v>0</v>
      </c>
      <c r="L97" s="149">
        <v>2</v>
      </c>
      <c r="M97" s="149">
        <v>2</v>
      </c>
      <c r="N97" s="149">
        <v>8</v>
      </c>
      <c r="O97" s="149">
        <v>8</v>
      </c>
      <c r="P97" s="152"/>
      <c r="Q97" s="150" t="s">
        <v>549</v>
      </c>
      <c r="R97" s="150" t="s">
        <v>349</v>
      </c>
      <c r="S97" s="151">
        <v>44048</v>
      </c>
      <c r="T97" s="151">
        <v>44162</v>
      </c>
      <c r="U97" s="152"/>
      <c r="V97" s="150" t="s">
        <v>330</v>
      </c>
      <c r="W97" s="151"/>
      <c r="X97" s="150" t="s">
        <v>331</v>
      </c>
      <c r="Y97" s="150" t="s">
        <v>398</v>
      </c>
      <c r="Z97" s="150" t="s">
        <v>334</v>
      </c>
      <c r="AA97" s="150" t="s">
        <v>413</v>
      </c>
      <c r="AB97" s="153">
        <v>5.0000000000000001E-3</v>
      </c>
      <c r="AC97" s="151">
        <v>45099</v>
      </c>
      <c r="AD97" s="152" t="s">
        <v>327</v>
      </c>
      <c r="AE97" s="151">
        <v>45343</v>
      </c>
      <c r="AF97" s="150" t="s">
        <v>70</v>
      </c>
      <c r="AG97" s="152" t="s">
        <v>352</v>
      </c>
      <c r="AH97" s="150" t="s">
        <v>326</v>
      </c>
      <c r="AI97" s="99"/>
      <c r="AJ97" s="149"/>
      <c r="AK97" s="99"/>
      <c r="AL97" s="149"/>
      <c r="AM97" s="99"/>
      <c r="AN97" s="149">
        <v>0</v>
      </c>
      <c r="AO97" s="149">
        <v>1</v>
      </c>
      <c r="AP97" s="149">
        <v>1</v>
      </c>
      <c r="AQ97" s="149">
        <v>0</v>
      </c>
      <c r="AR97" s="149">
        <v>0</v>
      </c>
      <c r="AS97" s="149">
        <v>0</v>
      </c>
      <c r="AT97" s="149">
        <v>0</v>
      </c>
      <c r="AU97" s="149">
        <v>0</v>
      </c>
      <c r="AV97" s="149">
        <v>1</v>
      </c>
      <c r="AW97" s="149">
        <v>1</v>
      </c>
      <c r="AX97" s="149">
        <v>0</v>
      </c>
      <c r="AY97" s="149">
        <v>0</v>
      </c>
      <c r="AZ97" s="149">
        <v>0</v>
      </c>
      <c r="BA97" s="149">
        <v>0</v>
      </c>
      <c r="BB97" s="149">
        <v>0</v>
      </c>
      <c r="BC97" s="149">
        <v>0</v>
      </c>
      <c r="BD97" s="149">
        <v>0</v>
      </c>
      <c r="BE97" s="149">
        <v>0</v>
      </c>
      <c r="BF97" s="149">
        <v>0</v>
      </c>
      <c r="BG97" s="149">
        <v>0</v>
      </c>
      <c r="BH97" s="149">
        <v>0</v>
      </c>
      <c r="BI97" s="149">
        <v>0</v>
      </c>
      <c r="BJ97" s="149">
        <v>0</v>
      </c>
      <c r="BK97" s="149">
        <v>0</v>
      </c>
      <c r="BL97" s="149">
        <v>0</v>
      </c>
      <c r="BM97" s="149">
        <v>0</v>
      </c>
      <c r="BN97" s="149">
        <v>0</v>
      </c>
      <c r="BO97" s="149">
        <v>0</v>
      </c>
      <c r="BP97" s="152"/>
      <c r="BQ97" s="152"/>
      <c r="BR97" s="154" t="s">
        <v>359</v>
      </c>
      <c r="BS97" s="136">
        <v>11</v>
      </c>
      <c r="BT97" s="267">
        <f t="shared" si="4"/>
        <v>2</v>
      </c>
      <c r="BU97" s="267"/>
      <c r="BV97" s="267"/>
      <c r="BW97" s="267"/>
      <c r="BX97" s="267"/>
      <c r="BY97" s="267"/>
      <c r="BZ97" s="267"/>
      <c r="CA97" s="267"/>
      <c r="CB97" s="267"/>
      <c r="CC97" s="267"/>
      <c r="CD97" s="267"/>
      <c r="CE97" s="267"/>
      <c r="CF97" s="267"/>
      <c r="CG97" s="267"/>
      <c r="CH97" s="267"/>
      <c r="CI97" s="267"/>
      <c r="CJ97" s="267"/>
      <c r="CK97" s="267"/>
      <c r="CL97" s="267"/>
      <c r="CM97" s="267"/>
      <c r="CN97" s="101">
        <f t="shared" si="5"/>
        <v>0</v>
      </c>
      <c r="CO97" s="101">
        <f t="shared" si="6"/>
        <v>0</v>
      </c>
    </row>
    <row r="98" spans="1:93" ht="13.9" customHeight="1" x14ac:dyDescent="0.2">
      <c r="A98" s="149">
        <v>4999</v>
      </c>
      <c r="B98" s="150" t="s">
        <v>323</v>
      </c>
      <c r="C98" s="150" t="s">
        <v>550</v>
      </c>
      <c r="D98" s="150" t="s">
        <v>551</v>
      </c>
      <c r="E98" s="150" t="s">
        <v>326</v>
      </c>
      <c r="F98" s="149">
        <v>527475</v>
      </c>
      <c r="G98" s="149">
        <v>174306</v>
      </c>
      <c r="H98" s="150" t="s">
        <v>165</v>
      </c>
      <c r="I98" s="151">
        <v>44743</v>
      </c>
      <c r="J98" s="151">
        <v>45201</v>
      </c>
      <c r="K98" s="149">
        <v>2</v>
      </c>
      <c r="L98" s="149">
        <v>2</v>
      </c>
      <c r="M98" s="149">
        <v>0</v>
      </c>
      <c r="N98" s="149">
        <v>2</v>
      </c>
      <c r="O98" s="149">
        <v>0</v>
      </c>
      <c r="P98" s="152"/>
      <c r="Q98" s="150" t="s">
        <v>552</v>
      </c>
      <c r="R98" s="150" t="s">
        <v>349</v>
      </c>
      <c r="S98" s="151">
        <v>44092</v>
      </c>
      <c r="T98" s="151">
        <v>44148</v>
      </c>
      <c r="U98" s="152"/>
      <c r="V98" s="150" t="s">
        <v>330</v>
      </c>
      <c r="W98" s="151"/>
      <c r="X98" s="150" t="s">
        <v>331</v>
      </c>
      <c r="Y98" s="150" t="s">
        <v>398</v>
      </c>
      <c r="Z98" s="150" t="s">
        <v>334</v>
      </c>
      <c r="AA98" s="150" t="s">
        <v>413</v>
      </c>
      <c r="AB98" s="153">
        <v>1.2E-2</v>
      </c>
      <c r="AC98" s="151">
        <v>44743</v>
      </c>
      <c r="AD98" s="150"/>
      <c r="AE98" s="151">
        <v>45201</v>
      </c>
      <c r="AF98" s="150" t="s">
        <v>70</v>
      </c>
      <c r="AG98" s="152" t="s">
        <v>352</v>
      </c>
      <c r="AH98" s="150" t="s">
        <v>326</v>
      </c>
      <c r="AI98" s="99"/>
      <c r="AJ98" s="149"/>
      <c r="AK98" s="99"/>
      <c r="AL98" s="149"/>
      <c r="AM98" s="99"/>
      <c r="AN98" s="149">
        <v>-1</v>
      </c>
      <c r="AO98" s="149">
        <v>-1</v>
      </c>
      <c r="AP98" s="149">
        <v>1</v>
      </c>
      <c r="AQ98" s="149">
        <v>1</v>
      </c>
      <c r="AR98" s="149">
        <v>0</v>
      </c>
      <c r="AS98" s="149">
        <v>0</v>
      </c>
      <c r="AT98" s="149">
        <v>0</v>
      </c>
      <c r="AU98" s="149">
        <v>-1</v>
      </c>
      <c r="AV98" s="149">
        <v>-1</v>
      </c>
      <c r="AW98" s="149">
        <v>1</v>
      </c>
      <c r="AX98" s="149">
        <v>1</v>
      </c>
      <c r="AY98" s="149">
        <v>0</v>
      </c>
      <c r="AZ98" s="149">
        <v>0</v>
      </c>
      <c r="BA98" s="149">
        <v>0</v>
      </c>
      <c r="BB98" s="149">
        <v>0</v>
      </c>
      <c r="BC98" s="149">
        <v>0</v>
      </c>
      <c r="BD98" s="149">
        <v>0</v>
      </c>
      <c r="BE98" s="149">
        <v>0</v>
      </c>
      <c r="BF98" s="149">
        <v>0</v>
      </c>
      <c r="BG98" s="149">
        <v>0</v>
      </c>
      <c r="BH98" s="149">
        <v>0</v>
      </c>
      <c r="BI98" s="149">
        <v>0</v>
      </c>
      <c r="BJ98" s="149">
        <v>0</v>
      </c>
      <c r="BK98" s="149">
        <v>0</v>
      </c>
      <c r="BL98" s="149">
        <v>0</v>
      </c>
      <c r="BM98" s="149">
        <v>0</v>
      </c>
      <c r="BN98" s="149">
        <v>0</v>
      </c>
      <c r="BO98" s="149">
        <v>0</v>
      </c>
      <c r="BP98" s="152"/>
      <c r="BQ98" s="152"/>
      <c r="BR98" s="154" t="s">
        <v>359</v>
      </c>
      <c r="BS98" s="136">
        <v>11</v>
      </c>
      <c r="BT98" s="267">
        <f t="shared" ref="BT98:BT129" si="7">M98</f>
        <v>0</v>
      </c>
      <c r="BU98" s="267"/>
      <c r="BV98" s="267"/>
      <c r="BW98" s="267"/>
      <c r="BX98" s="267"/>
      <c r="BY98" s="267"/>
      <c r="BZ98" s="267"/>
      <c r="CA98" s="267"/>
      <c r="CB98" s="267"/>
      <c r="CC98" s="267"/>
      <c r="CD98" s="267"/>
      <c r="CE98" s="267"/>
      <c r="CF98" s="267"/>
      <c r="CG98" s="267"/>
      <c r="CH98" s="267"/>
      <c r="CI98" s="267"/>
      <c r="CJ98" s="267"/>
      <c r="CK98" s="267"/>
      <c r="CL98" s="267"/>
      <c r="CM98" s="267"/>
      <c r="CN98" s="101">
        <f t="shared" si="5"/>
        <v>0</v>
      </c>
      <c r="CO98" s="101">
        <f t="shared" si="6"/>
        <v>0</v>
      </c>
    </row>
    <row r="99" spans="1:93" ht="13.9" customHeight="1" x14ac:dyDescent="0.2">
      <c r="A99" s="149">
        <v>6472</v>
      </c>
      <c r="B99" s="150" t="s">
        <v>323</v>
      </c>
      <c r="C99" s="150" t="s">
        <v>553</v>
      </c>
      <c r="D99" s="150" t="s">
        <v>554</v>
      </c>
      <c r="E99" s="150" t="s">
        <v>326</v>
      </c>
      <c r="F99" s="149">
        <v>527866</v>
      </c>
      <c r="G99" s="149">
        <v>171090</v>
      </c>
      <c r="H99" s="150" t="s">
        <v>163</v>
      </c>
      <c r="I99" s="151">
        <v>44986</v>
      </c>
      <c r="J99" s="151">
        <v>45377</v>
      </c>
      <c r="K99" s="149">
        <v>0</v>
      </c>
      <c r="L99" s="149">
        <v>3</v>
      </c>
      <c r="M99" s="149">
        <v>3</v>
      </c>
      <c r="N99" s="149">
        <v>3</v>
      </c>
      <c r="O99" s="149">
        <v>3</v>
      </c>
      <c r="P99" s="152"/>
      <c r="Q99" s="150" t="s">
        <v>555</v>
      </c>
      <c r="R99" s="150" t="s">
        <v>435</v>
      </c>
      <c r="S99" s="151">
        <v>44082</v>
      </c>
      <c r="T99" s="151">
        <v>44138</v>
      </c>
      <c r="U99" s="152"/>
      <c r="V99" s="150" t="s">
        <v>436</v>
      </c>
      <c r="W99" s="151">
        <v>44284</v>
      </c>
      <c r="X99" s="150" t="s">
        <v>331</v>
      </c>
      <c r="Y99" s="150" t="s">
        <v>343</v>
      </c>
      <c r="Z99" s="150" t="s">
        <v>334</v>
      </c>
      <c r="AA99" s="150" t="s">
        <v>363</v>
      </c>
      <c r="AB99" s="153">
        <v>1.2E-2</v>
      </c>
      <c r="AC99" s="151">
        <v>44986</v>
      </c>
      <c r="AD99" s="150"/>
      <c r="AE99" s="151">
        <v>45377</v>
      </c>
      <c r="AF99" s="150" t="s">
        <v>70</v>
      </c>
      <c r="AG99" s="152" t="s">
        <v>352</v>
      </c>
      <c r="AH99" s="150" t="s">
        <v>326</v>
      </c>
      <c r="AI99" s="99"/>
      <c r="AJ99" s="149"/>
      <c r="AK99" s="99"/>
      <c r="AL99" s="149"/>
      <c r="AM99" s="99"/>
      <c r="AN99" s="149">
        <v>0</v>
      </c>
      <c r="AO99" s="149">
        <v>3</v>
      </c>
      <c r="AP99" s="149">
        <v>0</v>
      </c>
      <c r="AQ99" s="149">
        <v>0</v>
      </c>
      <c r="AR99" s="149">
        <v>0</v>
      </c>
      <c r="AS99" s="149">
        <v>0</v>
      </c>
      <c r="AT99" s="149">
        <v>0</v>
      </c>
      <c r="AU99" s="149">
        <v>0</v>
      </c>
      <c r="AV99" s="149">
        <v>3</v>
      </c>
      <c r="AW99" s="149">
        <v>0</v>
      </c>
      <c r="AX99" s="149">
        <v>0</v>
      </c>
      <c r="AY99" s="149">
        <v>0</v>
      </c>
      <c r="AZ99" s="149">
        <v>0</v>
      </c>
      <c r="BA99" s="149">
        <v>0</v>
      </c>
      <c r="BB99" s="149">
        <v>0</v>
      </c>
      <c r="BC99" s="149">
        <v>0</v>
      </c>
      <c r="BD99" s="149">
        <v>0</v>
      </c>
      <c r="BE99" s="149">
        <v>0</v>
      </c>
      <c r="BF99" s="149">
        <v>0</v>
      </c>
      <c r="BG99" s="149">
        <v>0</v>
      </c>
      <c r="BH99" s="149">
        <v>0</v>
      </c>
      <c r="BI99" s="149">
        <v>0</v>
      </c>
      <c r="BJ99" s="149">
        <v>0</v>
      </c>
      <c r="BK99" s="149">
        <v>0</v>
      </c>
      <c r="BL99" s="149">
        <v>0</v>
      </c>
      <c r="BM99" s="149">
        <v>0</v>
      </c>
      <c r="BN99" s="149">
        <v>0</v>
      </c>
      <c r="BO99" s="149">
        <v>0</v>
      </c>
      <c r="BP99" s="152" t="s">
        <v>142</v>
      </c>
      <c r="BQ99" s="152"/>
      <c r="BR99" s="154" t="s">
        <v>142</v>
      </c>
      <c r="BS99" s="136">
        <v>1</v>
      </c>
      <c r="BT99" s="267">
        <f t="shared" si="7"/>
        <v>3</v>
      </c>
      <c r="BU99" s="267"/>
      <c r="BV99" s="267"/>
      <c r="BW99" s="267"/>
      <c r="BX99" s="267"/>
      <c r="BY99" s="267"/>
      <c r="BZ99" s="267"/>
      <c r="CA99" s="267"/>
      <c r="CB99" s="267"/>
      <c r="CC99" s="267"/>
      <c r="CD99" s="267"/>
      <c r="CE99" s="267"/>
      <c r="CF99" s="267"/>
      <c r="CG99" s="267"/>
      <c r="CH99" s="267"/>
      <c r="CI99" s="267"/>
      <c r="CJ99" s="267"/>
      <c r="CK99" s="267"/>
      <c r="CL99" s="267"/>
      <c r="CM99" s="267"/>
      <c r="CN99" s="101">
        <f t="shared" si="5"/>
        <v>0</v>
      </c>
      <c r="CO99" s="101">
        <f t="shared" si="6"/>
        <v>0</v>
      </c>
    </row>
    <row r="100" spans="1:93" ht="13.9" customHeight="1" x14ac:dyDescent="0.2">
      <c r="A100" s="149">
        <v>7338</v>
      </c>
      <c r="B100" s="150" t="s">
        <v>323</v>
      </c>
      <c r="C100" s="150" t="s">
        <v>556</v>
      </c>
      <c r="D100" s="150" t="s">
        <v>493</v>
      </c>
      <c r="E100" s="150" t="s">
        <v>326</v>
      </c>
      <c r="F100" s="149">
        <v>527505</v>
      </c>
      <c r="G100" s="149">
        <v>174973</v>
      </c>
      <c r="H100" s="150" t="s">
        <v>164</v>
      </c>
      <c r="I100" s="151">
        <v>45017</v>
      </c>
      <c r="J100" s="151">
        <v>45382</v>
      </c>
      <c r="K100" s="149">
        <v>0</v>
      </c>
      <c r="L100" s="149">
        <v>1</v>
      </c>
      <c r="M100" s="149">
        <v>1</v>
      </c>
      <c r="N100" s="149">
        <v>1</v>
      </c>
      <c r="O100" s="149">
        <v>1</v>
      </c>
      <c r="P100" s="152"/>
      <c r="Q100" s="150" t="s">
        <v>557</v>
      </c>
      <c r="R100" s="150" t="s">
        <v>349</v>
      </c>
      <c r="S100" s="151">
        <v>44124</v>
      </c>
      <c r="T100" s="151">
        <v>44180</v>
      </c>
      <c r="U100" s="152"/>
      <c r="V100" s="150" t="s">
        <v>330</v>
      </c>
      <c r="W100" s="151"/>
      <c r="X100" s="150" t="s">
        <v>331</v>
      </c>
      <c r="Y100" s="150" t="s">
        <v>398</v>
      </c>
      <c r="Z100" s="150" t="s">
        <v>334</v>
      </c>
      <c r="AA100" s="150" t="s">
        <v>26</v>
      </c>
      <c r="AB100" s="153">
        <v>0.01</v>
      </c>
      <c r="AC100" s="151">
        <v>45017</v>
      </c>
      <c r="AD100" s="152" t="s">
        <v>327</v>
      </c>
      <c r="AE100" s="151">
        <v>45382</v>
      </c>
      <c r="AF100" s="150" t="s">
        <v>70</v>
      </c>
      <c r="AG100" s="152" t="s">
        <v>352</v>
      </c>
      <c r="AH100" s="150" t="s">
        <v>326</v>
      </c>
      <c r="AI100" s="99"/>
      <c r="AJ100" s="149"/>
      <c r="AK100" s="99"/>
      <c r="AL100" s="149"/>
      <c r="AM100" s="99"/>
      <c r="AN100" s="149">
        <v>0</v>
      </c>
      <c r="AO100" s="149">
        <v>0</v>
      </c>
      <c r="AP100" s="149">
        <v>1</v>
      </c>
      <c r="AQ100" s="149">
        <v>0</v>
      </c>
      <c r="AR100" s="149">
        <v>0</v>
      </c>
      <c r="AS100" s="149">
        <v>0</v>
      </c>
      <c r="AT100" s="149">
        <v>0</v>
      </c>
      <c r="AU100" s="149">
        <v>0</v>
      </c>
      <c r="AV100" s="149">
        <v>0</v>
      </c>
      <c r="AW100" s="149">
        <v>0</v>
      </c>
      <c r="AX100" s="149">
        <v>0</v>
      </c>
      <c r="AY100" s="149">
        <v>0</v>
      </c>
      <c r="AZ100" s="149">
        <v>0</v>
      </c>
      <c r="BA100" s="149">
        <v>0</v>
      </c>
      <c r="BB100" s="149">
        <v>0</v>
      </c>
      <c r="BC100" s="149">
        <v>0</v>
      </c>
      <c r="BD100" s="149">
        <v>1</v>
      </c>
      <c r="BE100" s="149">
        <v>0</v>
      </c>
      <c r="BF100" s="149">
        <v>0</v>
      </c>
      <c r="BG100" s="149">
        <v>0</v>
      </c>
      <c r="BH100" s="149">
        <v>0</v>
      </c>
      <c r="BI100" s="149">
        <v>0</v>
      </c>
      <c r="BJ100" s="149">
        <v>0</v>
      </c>
      <c r="BK100" s="149">
        <v>0</v>
      </c>
      <c r="BL100" s="149">
        <v>0</v>
      </c>
      <c r="BM100" s="149">
        <v>0</v>
      </c>
      <c r="BN100" s="149">
        <v>0</v>
      </c>
      <c r="BO100" s="149">
        <v>0</v>
      </c>
      <c r="BP100" s="152" t="s">
        <v>140</v>
      </c>
      <c r="BQ100" s="152"/>
      <c r="BR100" s="154" t="s">
        <v>148</v>
      </c>
      <c r="BS100" s="136">
        <v>11</v>
      </c>
      <c r="BT100" s="267">
        <f t="shared" si="7"/>
        <v>1</v>
      </c>
      <c r="BU100" s="267"/>
      <c r="BV100" s="267"/>
      <c r="BW100" s="267"/>
      <c r="BX100" s="267"/>
      <c r="BY100" s="267"/>
      <c r="BZ100" s="267"/>
      <c r="CA100" s="267"/>
      <c r="CB100" s="267"/>
      <c r="CC100" s="267"/>
      <c r="CD100" s="267"/>
      <c r="CE100" s="267"/>
      <c r="CF100" s="267"/>
      <c r="CG100" s="267"/>
      <c r="CH100" s="267"/>
      <c r="CI100" s="267"/>
      <c r="CJ100" s="267"/>
      <c r="CK100" s="267"/>
      <c r="CL100" s="267"/>
      <c r="CM100" s="267"/>
      <c r="CN100" s="101">
        <f t="shared" si="5"/>
        <v>0</v>
      </c>
      <c r="CO100" s="101">
        <f t="shared" si="6"/>
        <v>0</v>
      </c>
    </row>
    <row r="101" spans="1:93" ht="13.9" customHeight="1" x14ac:dyDescent="0.2">
      <c r="A101" s="149">
        <v>7093</v>
      </c>
      <c r="B101" s="150" t="s">
        <v>323</v>
      </c>
      <c r="C101" s="150" t="s">
        <v>558</v>
      </c>
      <c r="D101" s="150" t="s">
        <v>559</v>
      </c>
      <c r="E101" s="150" t="s">
        <v>326</v>
      </c>
      <c r="F101" s="149">
        <v>527391</v>
      </c>
      <c r="G101" s="149">
        <v>171716</v>
      </c>
      <c r="H101" s="150" t="s">
        <v>172</v>
      </c>
      <c r="I101" s="151">
        <v>44753</v>
      </c>
      <c r="J101" s="151">
        <v>45359</v>
      </c>
      <c r="K101" s="149">
        <v>1</v>
      </c>
      <c r="L101" s="149">
        <v>5</v>
      </c>
      <c r="M101" s="149">
        <v>4</v>
      </c>
      <c r="N101" s="149">
        <v>5</v>
      </c>
      <c r="O101" s="149">
        <v>4</v>
      </c>
      <c r="P101" s="152"/>
      <c r="Q101" s="150" t="s">
        <v>560</v>
      </c>
      <c r="R101" s="150" t="s">
        <v>349</v>
      </c>
      <c r="S101" s="151">
        <v>44117</v>
      </c>
      <c r="T101" s="151">
        <v>44256</v>
      </c>
      <c r="U101" s="152"/>
      <c r="V101" s="150" t="s">
        <v>330</v>
      </c>
      <c r="W101" s="151"/>
      <c r="X101" s="150" t="s">
        <v>331</v>
      </c>
      <c r="Y101" s="150" t="s">
        <v>343</v>
      </c>
      <c r="Z101" s="150" t="s">
        <v>334</v>
      </c>
      <c r="AA101" s="150" t="s">
        <v>363</v>
      </c>
      <c r="AB101" s="153">
        <v>0.02</v>
      </c>
      <c r="AC101" s="151">
        <v>44753</v>
      </c>
      <c r="AD101" s="150"/>
      <c r="AE101" s="151">
        <v>45359</v>
      </c>
      <c r="AF101" s="150" t="s">
        <v>70</v>
      </c>
      <c r="AG101" s="152" t="s">
        <v>352</v>
      </c>
      <c r="AH101" s="150" t="s">
        <v>326</v>
      </c>
      <c r="AI101" s="99"/>
      <c r="AJ101" s="149"/>
      <c r="AK101" s="99"/>
      <c r="AL101" s="149"/>
      <c r="AM101" s="99"/>
      <c r="AN101" s="149">
        <v>0</v>
      </c>
      <c r="AO101" s="149">
        <v>3</v>
      </c>
      <c r="AP101" s="149">
        <v>0</v>
      </c>
      <c r="AQ101" s="149">
        <v>2</v>
      </c>
      <c r="AR101" s="149">
        <v>-1</v>
      </c>
      <c r="AS101" s="149">
        <v>0</v>
      </c>
      <c r="AT101" s="149">
        <v>0</v>
      </c>
      <c r="AU101" s="149">
        <v>0</v>
      </c>
      <c r="AV101" s="149">
        <v>3</v>
      </c>
      <c r="AW101" s="149">
        <v>0</v>
      </c>
      <c r="AX101" s="149">
        <v>2</v>
      </c>
      <c r="AY101" s="149">
        <v>0</v>
      </c>
      <c r="AZ101" s="149">
        <v>0</v>
      </c>
      <c r="BA101" s="149">
        <v>0</v>
      </c>
      <c r="BB101" s="149">
        <v>0</v>
      </c>
      <c r="BC101" s="149">
        <v>0</v>
      </c>
      <c r="BD101" s="149">
        <v>0</v>
      </c>
      <c r="BE101" s="149">
        <v>0</v>
      </c>
      <c r="BF101" s="149">
        <v>-1</v>
      </c>
      <c r="BG101" s="149">
        <v>0</v>
      </c>
      <c r="BH101" s="149">
        <v>0</v>
      </c>
      <c r="BI101" s="149">
        <v>0</v>
      </c>
      <c r="BJ101" s="149">
        <v>0</v>
      </c>
      <c r="BK101" s="149">
        <v>0</v>
      </c>
      <c r="BL101" s="149">
        <v>0</v>
      </c>
      <c r="BM101" s="149">
        <v>0</v>
      </c>
      <c r="BN101" s="149">
        <v>0</v>
      </c>
      <c r="BO101" s="149">
        <v>0</v>
      </c>
      <c r="BP101" s="152"/>
      <c r="BQ101" s="152"/>
      <c r="BR101" s="154" t="s">
        <v>359</v>
      </c>
      <c r="BS101" s="136">
        <v>1</v>
      </c>
      <c r="BT101" s="267">
        <f t="shared" si="7"/>
        <v>4</v>
      </c>
      <c r="BU101" s="267"/>
      <c r="BV101" s="267"/>
      <c r="BW101" s="267"/>
      <c r="BX101" s="267"/>
      <c r="BY101" s="267"/>
      <c r="BZ101" s="267"/>
      <c r="CA101" s="267"/>
      <c r="CB101" s="267"/>
      <c r="CC101" s="267"/>
      <c r="CD101" s="267"/>
      <c r="CE101" s="267"/>
      <c r="CF101" s="267"/>
      <c r="CG101" s="267"/>
      <c r="CH101" s="267"/>
      <c r="CI101" s="267"/>
      <c r="CJ101" s="267"/>
      <c r="CK101" s="267"/>
      <c r="CL101" s="267"/>
      <c r="CM101" s="267"/>
      <c r="CN101" s="101">
        <f t="shared" si="5"/>
        <v>0</v>
      </c>
      <c r="CO101" s="101">
        <f t="shared" si="6"/>
        <v>0</v>
      </c>
    </row>
    <row r="102" spans="1:93" ht="13.9" customHeight="1" x14ac:dyDescent="0.2">
      <c r="A102" s="149">
        <v>3514</v>
      </c>
      <c r="B102" s="150" t="s">
        <v>323</v>
      </c>
      <c r="C102" s="150" t="s">
        <v>561</v>
      </c>
      <c r="D102" s="150" t="s">
        <v>562</v>
      </c>
      <c r="E102" s="150" t="s">
        <v>402</v>
      </c>
      <c r="F102" s="149">
        <v>528809</v>
      </c>
      <c r="G102" s="149">
        <v>177181</v>
      </c>
      <c r="H102" s="150" t="s">
        <v>149</v>
      </c>
      <c r="I102" s="151">
        <v>42662</v>
      </c>
      <c r="J102" s="151"/>
      <c r="K102" s="149">
        <v>0</v>
      </c>
      <c r="L102" s="149">
        <v>46</v>
      </c>
      <c r="M102" s="149">
        <v>46</v>
      </c>
      <c r="N102" s="149">
        <v>233</v>
      </c>
      <c r="O102" s="149">
        <v>233</v>
      </c>
      <c r="P102" s="152" t="s">
        <v>327</v>
      </c>
      <c r="Q102" s="150" t="s">
        <v>563</v>
      </c>
      <c r="R102" s="150" t="s">
        <v>381</v>
      </c>
      <c r="S102" s="151">
        <v>44147</v>
      </c>
      <c r="T102" s="151">
        <v>44301</v>
      </c>
      <c r="U102" s="152"/>
      <c r="V102" s="150" t="s">
        <v>330</v>
      </c>
      <c r="W102" s="151"/>
      <c r="X102" s="150" t="s">
        <v>331</v>
      </c>
      <c r="Y102" s="150" t="s">
        <v>343</v>
      </c>
      <c r="Z102" s="150" t="s">
        <v>343</v>
      </c>
      <c r="AA102" s="150" t="s">
        <v>334</v>
      </c>
      <c r="AB102" s="153">
        <v>7.9000000000000001E-2</v>
      </c>
      <c r="AC102" s="151">
        <v>44651</v>
      </c>
      <c r="AD102" s="150"/>
      <c r="AE102" s="151">
        <v>45382</v>
      </c>
      <c r="AF102" s="150" t="s">
        <v>70</v>
      </c>
      <c r="AG102" s="152" t="s">
        <v>352</v>
      </c>
      <c r="AH102" s="150" t="s">
        <v>564</v>
      </c>
      <c r="AI102" s="99"/>
      <c r="AJ102" s="149">
        <v>46</v>
      </c>
      <c r="AK102" s="99"/>
      <c r="AL102" s="149">
        <v>4</v>
      </c>
      <c r="AM102" s="99"/>
      <c r="AN102" s="149">
        <v>0</v>
      </c>
      <c r="AO102" s="149">
        <v>0</v>
      </c>
      <c r="AP102" s="149">
        <v>42</v>
      </c>
      <c r="AQ102" s="149">
        <v>4</v>
      </c>
      <c r="AR102" s="149">
        <v>0</v>
      </c>
      <c r="AS102" s="149">
        <v>0</v>
      </c>
      <c r="AT102" s="149">
        <v>0</v>
      </c>
      <c r="AU102" s="149">
        <v>0</v>
      </c>
      <c r="AV102" s="149">
        <v>0</v>
      </c>
      <c r="AW102" s="149">
        <v>42</v>
      </c>
      <c r="AX102" s="149">
        <v>4</v>
      </c>
      <c r="AY102" s="149">
        <v>0</v>
      </c>
      <c r="AZ102" s="149">
        <v>0</v>
      </c>
      <c r="BA102" s="149">
        <v>0</v>
      </c>
      <c r="BB102" s="149">
        <v>0</v>
      </c>
      <c r="BC102" s="149">
        <v>0</v>
      </c>
      <c r="BD102" s="149">
        <v>0</v>
      </c>
      <c r="BE102" s="149">
        <v>0</v>
      </c>
      <c r="BF102" s="149">
        <v>0</v>
      </c>
      <c r="BG102" s="149">
        <v>0</v>
      </c>
      <c r="BH102" s="149">
        <v>0</v>
      </c>
      <c r="BI102" s="149">
        <v>0</v>
      </c>
      <c r="BJ102" s="149">
        <v>0</v>
      </c>
      <c r="BK102" s="149">
        <v>0</v>
      </c>
      <c r="BL102" s="149">
        <v>0</v>
      </c>
      <c r="BM102" s="149">
        <v>0</v>
      </c>
      <c r="BN102" s="149">
        <v>0</v>
      </c>
      <c r="BO102" s="149">
        <v>0</v>
      </c>
      <c r="BP102" s="152"/>
      <c r="BQ102" s="152" t="s">
        <v>327</v>
      </c>
      <c r="BR102" s="154" t="s">
        <v>149</v>
      </c>
      <c r="BS102" s="136">
        <v>1</v>
      </c>
      <c r="BT102" s="267">
        <f t="shared" si="7"/>
        <v>46</v>
      </c>
      <c r="BU102" s="267"/>
      <c r="BV102" s="267"/>
      <c r="BW102" s="267"/>
      <c r="BX102" s="267"/>
      <c r="BY102" s="267"/>
      <c r="BZ102" s="267"/>
      <c r="CA102" s="267"/>
      <c r="CB102" s="267"/>
      <c r="CC102" s="267"/>
      <c r="CD102" s="267"/>
      <c r="CE102" s="267"/>
      <c r="CF102" s="267"/>
      <c r="CG102" s="267"/>
      <c r="CH102" s="267"/>
      <c r="CI102" s="267"/>
      <c r="CJ102" s="267"/>
      <c r="CK102" s="267"/>
      <c r="CL102" s="267"/>
      <c r="CM102" s="267"/>
      <c r="CN102" s="101">
        <f t="shared" si="5"/>
        <v>0</v>
      </c>
      <c r="CO102" s="101">
        <f t="shared" si="6"/>
        <v>0</v>
      </c>
    </row>
    <row r="103" spans="1:93" ht="13.9" customHeight="1" x14ac:dyDescent="0.2">
      <c r="A103" s="149">
        <v>3514</v>
      </c>
      <c r="B103" s="150" t="s">
        <v>323</v>
      </c>
      <c r="C103" s="150" t="s">
        <v>561</v>
      </c>
      <c r="D103" s="150" t="s">
        <v>562</v>
      </c>
      <c r="E103" s="150" t="s">
        <v>565</v>
      </c>
      <c r="F103" s="149">
        <v>528809</v>
      </c>
      <c r="G103" s="149">
        <v>177181</v>
      </c>
      <c r="H103" s="150" t="s">
        <v>149</v>
      </c>
      <c r="I103" s="151">
        <v>42662</v>
      </c>
      <c r="J103" s="151"/>
      <c r="K103" s="149">
        <v>0</v>
      </c>
      <c r="L103" s="149">
        <v>95</v>
      </c>
      <c r="M103" s="149">
        <v>95</v>
      </c>
      <c r="N103" s="149">
        <v>233</v>
      </c>
      <c r="O103" s="149">
        <v>233</v>
      </c>
      <c r="P103" s="152" t="s">
        <v>327</v>
      </c>
      <c r="Q103" s="150" t="s">
        <v>563</v>
      </c>
      <c r="R103" s="150" t="s">
        <v>381</v>
      </c>
      <c r="S103" s="151">
        <v>44147</v>
      </c>
      <c r="T103" s="151">
        <v>44301</v>
      </c>
      <c r="U103" s="152"/>
      <c r="V103" s="150" t="s">
        <v>330</v>
      </c>
      <c r="W103" s="151"/>
      <c r="X103" s="150" t="s">
        <v>331</v>
      </c>
      <c r="Y103" s="150" t="s">
        <v>343</v>
      </c>
      <c r="Z103" s="150" t="s">
        <v>343</v>
      </c>
      <c r="AA103" s="150" t="s">
        <v>334</v>
      </c>
      <c r="AB103" s="153">
        <v>0.20399999999999999</v>
      </c>
      <c r="AC103" s="151">
        <v>44287</v>
      </c>
      <c r="AD103" s="150"/>
      <c r="AE103" s="151">
        <v>45382</v>
      </c>
      <c r="AF103" s="150" t="s">
        <v>70</v>
      </c>
      <c r="AG103" s="152" t="s">
        <v>352</v>
      </c>
      <c r="AH103" s="150" t="s">
        <v>564</v>
      </c>
      <c r="AI103" s="99"/>
      <c r="AJ103" s="149">
        <v>95</v>
      </c>
      <c r="AK103" s="99"/>
      <c r="AL103" s="149">
        <v>10</v>
      </c>
      <c r="AM103" s="99"/>
      <c r="AN103" s="149">
        <v>0</v>
      </c>
      <c r="AO103" s="149">
        <v>17</v>
      </c>
      <c r="AP103" s="149">
        <v>53</v>
      </c>
      <c r="AQ103" s="149">
        <v>21</v>
      </c>
      <c r="AR103" s="149">
        <v>4</v>
      </c>
      <c r="AS103" s="149">
        <v>0</v>
      </c>
      <c r="AT103" s="149">
        <v>0</v>
      </c>
      <c r="AU103" s="149">
        <v>0</v>
      </c>
      <c r="AV103" s="149">
        <v>17</v>
      </c>
      <c r="AW103" s="149">
        <v>53</v>
      </c>
      <c r="AX103" s="149">
        <v>21</v>
      </c>
      <c r="AY103" s="149">
        <v>4</v>
      </c>
      <c r="AZ103" s="149">
        <v>0</v>
      </c>
      <c r="BA103" s="149">
        <v>0</v>
      </c>
      <c r="BB103" s="149">
        <v>0</v>
      </c>
      <c r="BC103" s="149">
        <v>0</v>
      </c>
      <c r="BD103" s="149">
        <v>0</v>
      </c>
      <c r="BE103" s="149">
        <v>0</v>
      </c>
      <c r="BF103" s="149">
        <v>0</v>
      </c>
      <c r="BG103" s="149">
        <v>0</v>
      </c>
      <c r="BH103" s="149">
        <v>0</v>
      </c>
      <c r="BI103" s="149">
        <v>0</v>
      </c>
      <c r="BJ103" s="149">
        <v>0</v>
      </c>
      <c r="BK103" s="149">
        <v>0</v>
      </c>
      <c r="BL103" s="149">
        <v>0</v>
      </c>
      <c r="BM103" s="149">
        <v>0</v>
      </c>
      <c r="BN103" s="149">
        <v>0</v>
      </c>
      <c r="BO103" s="149">
        <v>0</v>
      </c>
      <c r="BP103" s="152"/>
      <c r="BQ103" s="152" t="s">
        <v>327</v>
      </c>
      <c r="BR103" s="154" t="s">
        <v>149</v>
      </c>
      <c r="BS103" s="136">
        <v>1</v>
      </c>
      <c r="BT103" s="267">
        <f t="shared" si="7"/>
        <v>95</v>
      </c>
      <c r="BU103" s="267"/>
      <c r="BV103" s="267"/>
      <c r="BW103" s="267"/>
      <c r="BX103" s="267"/>
      <c r="BY103" s="267"/>
      <c r="BZ103" s="267"/>
      <c r="CA103" s="267"/>
      <c r="CB103" s="267"/>
      <c r="CC103" s="267"/>
      <c r="CD103" s="267"/>
      <c r="CE103" s="267"/>
      <c r="CF103" s="267"/>
      <c r="CG103" s="267"/>
      <c r="CH103" s="267"/>
      <c r="CI103" s="267"/>
      <c r="CJ103" s="267"/>
      <c r="CK103" s="267"/>
      <c r="CL103" s="267"/>
      <c r="CM103" s="267"/>
      <c r="CN103" s="101">
        <f t="shared" si="5"/>
        <v>0</v>
      </c>
      <c r="CO103" s="101">
        <f t="shared" si="6"/>
        <v>0</v>
      </c>
    </row>
    <row r="104" spans="1:93" ht="13.9" customHeight="1" x14ac:dyDescent="0.2">
      <c r="A104" s="149">
        <v>3514</v>
      </c>
      <c r="B104" s="150" t="s">
        <v>323</v>
      </c>
      <c r="C104" s="150" t="s">
        <v>561</v>
      </c>
      <c r="D104" s="150" t="s">
        <v>562</v>
      </c>
      <c r="E104" s="150" t="s">
        <v>566</v>
      </c>
      <c r="F104" s="149">
        <v>528809</v>
      </c>
      <c r="G104" s="149">
        <v>177181</v>
      </c>
      <c r="H104" s="150" t="s">
        <v>149</v>
      </c>
      <c r="I104" s="151">
        <v>42662</v>
      </c>
      <c r="J104" s="151"/>
      <c r="K104" s="149">
        <v>0</v>
      </c>
      <c r="L104" s="149">
        <v>92</v>
      </c>
      <c r="M104" s="149">
        <v>92</v>
      </c>
      <c r="N104" s="149">
        <v>233</v>
      </c>
      <c r="O104" s="149">
        <v>233</v>
      </c>
      <c r="P104" s="152" t="s">
        <v>327</v>
      </c>
      <c r="Q104" s="150" t="s">
        <v>563</v>
      </c>
      <c r="R104" s="150" t="s">
        <v>381</v>
      </c>
      <c r="S104" s="151">
        <v>44147</v>
      </c>
      <c r="T104" s="151">
        <v>44301</v>
      </c>
      <c r="U104" s="152"/>
      <c r="V104" s="150" t="s">
        <v>330</v>
      </c>
      <c r="W104" s="151"/>
      <c r="X104" s="150" t="s">
        <v>331</v>
      </c>
      <c r="Y104" s="150" t="s">
        <v>343</v>
      </c>
      <c r="Z104" s="150" t="s">
        <v>343</v>
      </c>
      <c r="AA104" s="150" t="s">
        <v>334</v>
      </c>
      <c r="AB104" s="153">
        <v>0.16900000000000001</v>
      </c>
      <c r="AC104" s="151">
        <v>44651</v>
      </c>
      <c r="AD104" s="150"/>
      <c r="AE104" s="151">
        <v>45382</v>
      </c>
      <c r="AF104" s="150" t="s">
        <v>70</v>
      </c>
      <c r="AG104" s="152" t="s">
        <v>352</v>
      </c>
      <c r="AH104" s="150" t="s">
        <v>564</v>
      </c>
      <c r="AI104" s="99"/>
      <c r="AJ104" s="149">
        <v>92</v>
      </c>
      <c r="AK104" s="99"/>
      <c r="AL104" s="149">
        <v>10</v>
      </c>
      <c r="AM104" s="99"/>
      <c r="AN104" s="149">
        <v>0</v>
      </c>
      <c r="AO104" s="149">
        <v>28</v>
      </c>
      <c r="AP104" s="149">
        <v>56</v>
      </c>
      <c r="AQ104" s="149">
        <v>4</v>
      </c>
      <c r="AR104" s="149">
        <v>4</v>
      </c>
      <c r="AS104" s="149">
        <v>0</v>
      </c>
      <c r="AT104" s="149">
        <v>0</v>
      </c>
      <c r="AU104" s="149">
        <v>0</v>
      </c>
      <c r="AV104" s="149">
        <v>28</v>
      </c>
      <c r="AW104" s="149">
        <v>56</v>
      </c>
      <c r="AX104" s="149">
        <v>4</v>
      </c>
      <c r="AY104" s="149">
        <v>4</v>
      </c>
      <c r="AZ104" s="149">
        <v>0</v>
      </c>
      <c r="BA104" s="149">
        <v>0</v>
      </c>
      <c r="BB104" s="149">
        <v>0</v>
      </c>
      <c r="BC104" s="149">
        <v>0</v>
      </c>
      <c r="BD104" s="149">
        <v>0</v>
      </c>
      <c r="BE104" s="149">
        <v>0</v>
      </c>
      <c r="BF104" s="149">
        <v>0</v>
      </c>
      <c r="BG104" s="149">
        <v>0</v>
      </c>
      <c r="BH104" s="149">
        <v>0</v>
      </c>
      <c r="BI104" s="149">
        <v>0</v>
      </c>
      <c r="BJ104" s="149">
        <v>0</v>
      </c>
      <c r="BK104" s="149">
        <v>0</v>
      </c>
      <c r="BL104" s="149">
        <v>0</v>
      </c>
      <c r="BM104" s="149">
        <v>0</v>
      </c>
      <c r="BN104" s="149">
        <v>0</v>
      </c>
      <c r="BO104" s="149">
        <v>0</v>
      </c>
      <c r="BP104" s="152"/>
      <c r="BQ104" s="152" t="s">
        <v>327</v>
      </c>
      <c r="BR104" s="154" t="s">
        <v>149</v>
      </c>
      <c r="BS104" s="136">
        <v>1</v>
      </c>
      <c r="BT104" s="267">
        <f t="shared" si="7"/>
        <v>92</v>
      </c>
      <c r="BU104" s="267"/>
      <c r="BV104" s="267"/>
      <c r="BW104" s="267"/>
      <c r="BX104" s="267"/>
      <c r="BY104" s="267"/>
      <c r="BZ104" s="267"/>
      <c r="CA104" s="267"/>
      <c r="CB104" s="267"/>
      <c r="CC104" s="267"/>
      <c r="CD104" s="267"/>
      <c r="CE104" s="267"/>
      <c r="CF104" s="267"/>
      <c r="CG104" s="267"/>
      <c r="CH104" s="267"/>
      <c r="CI104" s="267"/>
      <c r="CJ104" s="267"/>
      <c r="CK104" s="267"/>
      <c r="CL104" s="267"/>
      <c r="CM104" s="267"/>
      <c r="CN104" s="101">
        <f t="shared" si="5"/>
        <v>0</v>
      </c>
      <c r="CO104" s="101">
        <f t="shared" si="6"/>
        <v>0</v>
      </c>
    </row>
    <row r="105" spans="1:93" ht="13.9" customHeight="1" x14ac:dyDescent="0.2">
      <c r="A105" s="149">
        <v>7488</v>
      </c>
      <c r="B105" s="150" t="s">
        <v>323</v>
      </c>
      <c r="C105" s="150" t="s">
        <v>567</v>
      </c>
      <c r="D105" s="150" t="s">
        <v>568</v>
      </c>
      <c r="E105" s="150" t="s">
        <v>326</v>
      </c>
      <c r="F105" s="149">
        <v>526356</v>
      </c>
      <c r="G105" s="149">
        <v>173676</v>
      </c>
      <c r="H105" s="150" t="s">
        <v>175</v>
      </c>
      <c r="I105" s="151">
        <v>44306</v>
      </c>
      <c r="J105" s="151">
        <v>45345</v>
      </c>
      <c r="K105" s="149">
        <v>0</v>
      </c>
      <c r="L105" s="149">
        <v>2</v>
      </c>
      <c r="M105" s="149">
        <v>2</v>
      </c>
      <c r="N105" s="149">
        <v>4</v>
      </c>
      <c r="O105" s="149">
        <v>3</v>
      </c>
      <c r="P105" s="152"/>
      <c r="Q105" s="150" t="s">
        <v>569</v>
      </c>
      <c r="R105" s="150" t="s">
        <v>349</v>
      </c>
      <c r="S105" s="151">
        <v>44144</v>
      </c>
      <c r="T105" s="151">
        <v>44201</v>
      </c>
      <c r="U105" s="152"/>
      <c r="V105" s="150" t="s">
        <v>330</v>
      </c>
      <c r="W105" s="151"/>
      <c r="X105" s="150" t="s">
        <v>331</v>
      </c>
      <c r="Y105" s="150" t="s">
        <v>350</v>
      </c>
      <c r="Z105" s="150" t="s">
        <v>334</v>
      </c>
      <c r="AA105" s="150" t="s">
        <v>413</v>
      </c>
      <c r="AB105" s="153">
        <v>1.6E-2</v>
      </c>
      <c r="AC105" s="151">
        <v>44306</v>
      </c>
      <c r="AD105" s="150"/>
      <c r="AE105" s="151">
        <v>45345</v>
      </c>
      <c r="AF105" s="150" t="s">
        <v>70</v>
      </c>
      <c r="AG105" s="152" t="s">
        <v>352</v>
      </c>
      <c r="AH105" s="150" t="s">
        <v>326</v>
      </c>
      <c r="AI105" s="99"/>
      <c r="AJ105" s="149"/>
      <c r="AK105" s="99"/>
      <c r="AL105" s="149"/>
      <c r="AM105" s="99"/>
      <c r="AN105" s="149">
        <v>0</v>
      </c>
      <c r="AO105" s="149">
        <v>1</v>
      </c>
      <c r="AP105" s="149">
        <v>0</v>
      </c>
      <c r="AQ105" s="149">
        <v>1</v>
      </c>
      <c r="AR105" s="149">
        <v>0</v>
      </c>
      <c r="AS105" s="149">
        <v>0</v>
      </c>
      <c r="AT105" s="149">
        <v>0</v>
      </c>
      <c r="AU105" s="149">
        <v>0</v>
      </c>
      <c r="AV105" s="149">
        <v>1</v>
      </c>
      <c r="AW105" s="149">
        <v>0</v>
      </c>
      <c r="AX105" s="149">
        <v>1</v>
      </c>
      <c r="AY105" s="149">
        <v>0</v>
      </c>
      <c r="AZ105" s="149">
        <v>0</v>
      </c>
      <c r="BA105" s="149">
        <v>0</v>
      </c>
      <c r="BB105" s="149">
        <v>0</v>
      </c>
      <c r="BC105" s="149">
        <v>0</v>
      </c>
      <c r="BD105" s="149">
        <v>0</v>
      </c>
      <c r="BE105" s="149">
        <v>0</v>
      </c>
      <c r="BF105" s="149">
        <v>0</v>
      </c>
      <c r="BG105" s="149">
        <v>0</v>
      </c>
      <c r="BH105" s="149">
        <v>0</v>
      </c>
      <c r="BI105" s="149">
        <v>0</v>
      </c>
      <c r="BJ105" s="149">
        <v>0</v>
      </c>
      <c r="BK105" s="149">
        <v>0</v>
      </c>
      <c r="BL105" s="149">
        <v>0</v>
      </c>
      <c r="BM105" s="149">
        <v>0</v>
      </c>
      <c r="BN105" s="149">
        <v>0</v>
      </c>
      <c r="BO105" s="149">
        <v>0</v>
      </c>
      <c r="BP105" s="152"/>
      <c r="BQ105" s="152"/>
      <c r="BR105" s="154" t="s">
        <v>359</v>
      </c>
      <c r="BS105" s="136">
        <v>11</v>
      </c>
      <c r="BT105" s="267">
        <f t="shared" si="7"/>
        <v>2</v>
      </c>
      <c r="BU105" s="267"/>
      <c r="BV105" s="267"/>
      <c r="BW105" s="267"/>
      <c r="BX105" s="267"/>
      <c r="BY105" s="267"/>
      <c r="BZ105" s="267"/>
      <c r="CA105" s="267"/>
      <c r="CB105" s="267"/>
      <c r="CC105" s="267"/>
      <c r="CD105" s="267"/>
      <c r="CE105" s="267"/>
      <c r="CF105" s="267"/>
      <c r="CG105" s="267"/>
      <c r="CH105" s="267"/>
      <c r="CI105" s="267"/>
      <c r="CJ105" s="267"/>
      <c r="CK105" s="267"/>
      <c r="CL105" s="267"/>
      <c r="CM105" s="267"/>
      <c r="CN105" s="101">
        <f t="shared" si="5"/>
        <v>0</v>
      </c>
      <c r="CO105" s="101">
        <f t="shared" si="6"/>
        <v>0</v>
      </c>
    </row>
    <row r="106" spans="1:93" ht="13.9" customHeight="1" x14ac:dyDescent="0.2">
      <c r="A106" s="149">
        <v>7488</v>
      </c>
      <c r="B106" s="150" t="s">
        <v>323</v>
      </c>
      <c r="C106" s="150" t="s">
        <v>567</v>
      </c>
      <c r="D106" s="150" t="s">
        <v>568</v>
      </c>
      <c r="E106" s="150" t="s">
        <v>326</v>
      </c>
      <c r="F106" s="149">
        <v>526356</v>
      </c>
      <c r="G106" s="149">
        <v>173676</v>
      </c>
      <c r="H106" s="150" t="s">
        <v>175</v>
      </c>
      <c r="I106" s="151">
        <v>44306</v>
      </c>
      <c r="J106" s="151">
        <v>45345</v>
      </c>
      <c r="K106" s="149">
        <v>1</v>
      </c>
      <c r="L106" s="149">
        <v>2</v>
      </c>
      <c r="M106" s="149">
        <v>1</v>
      </c>
      <c r="N106" s="149">
        <v>4</v>
      </c>
      <c r="O106" s="149">
        <v>3</v>
      </c>
      <c r="P106" s="152"/>
      <c r="Q106" s="150" t="s">
        <v>569</v>
      </c>
      <c r="R106" s="150" t="s">
        <v>349</v>
      </c>
      <c r="S106" s="151">
        <v>44144</v>
      </c>
      <c r="T106" s="151">
        <v>44201</v>
      </c>
      <c r="U106" s="152"/>
      <c r="V106" s="150" t="s">
        <v>330</v>
      </c>
      <c r="W106" s="151"/>
      <c r="X106" s="150" t="s">
        <v>331</v>
      </c>
      <c r="Y106" s="150" t="s">
        <v>350</v>
      </c>
      <c r="Z106" s="150" t="s">
        <v>334</v>
      </c>
      <c r="AA106" s="150" t="s">
        <v>16</v>
      </c>
      <c r="AB106" s="153">
        <v>1.6E-2</v>
      </c>
      <c r="AC106" s="151">
        <v>44306</v>
      </c>
      <c r="AD106" s="150"/>
      <c r="AE106" s="151">
        <v>45345</v>
      </c>
      <c r="AF106" s="150" t="s">
        <v>70</v>
      </c>
      <c r="AG106" s="152" t="s">
        <v>352</v>
      </c>
      <c r="AH106" s="150" t="s">
        <v>326</v>
      </c>
      <c r="AI106" s="99"/>
      <c r="AJ106" s="149"/>
      <c r="AK106" s="99"/>
      <c r="AL106" s="149"/>
      <c r="AM106" s="99"/>
      <c r="AN106" s="149">
        <v>0</v>
      </c>
      <c r="AO106" s="149">
        <v>0</v>
      </c>
      <c r="AP106" s="149">
        <v>1</v>
      </c>
      <c r="AQ106" s="149">
        <v>1</v>
      </c>
      <c r="AR106" s="149">
        <v>0</v>
      </c>
      <c r="AS106" s="149">
        <v>-1</v>
      </c>
      <c r="AT106" s="149">
        <v>0</v>
      </c>
      <c r="AU106" s="149">
        <v>0</v>
      </c>
      <c r="AV106" s="149">
        <v>0</v>
      </c>
      <c r="AW106" s="149">
        <v>1</v>
      </c>
      <c r="AX106" s="149">
        <v>1</v>
      </c>
      <c r="AY106" s="149">
        <v>0</v>
      </c>
      <c r="AZ106" s="149">
        <v>0</v>
      </c>
      <c r="BA106" s="149">
        <v>0</v>
      </c>
      <c r="BB106" s="149">
        <v>0</v>
      </c>
      <c r="BC106" s="149">
        <v>0</v>
      </c>
      <c r="BD106" s="149">
        <v>0</v>
      </c>
      <c r="BE106" s="149">
        <v>0</v>
      </c>
      <c r="BF106" s="149">
        <v>0</v>
      </c>
      <c r="BG106" s="149">
        <v>-1</v>
      </c>
      <c r="BH106" s="149">
        <v>0</v>
      </c>
      <c r="BI106" s="149">
        <v>0</v>
      </c>
      <c r="BJ106" s="149">
        <v>0</v>
      </c>
      <c r="BK106" s="149">
        <v>0</v>
      </c>
      <c r="BL106" s="149">
        <v>0</v>
      </c>
      <c r="BM106" s="149">
        <v>0</v>
      </c>
      <c r="BN106" s="149">
        <v>0</v>
      </c>
      <c r="BO106" s="149">
        <v>0</v>
      </c>
      <c r="BP106" s="152"/>
      <c r="BQ106" s="152"/>
      <c r="BR106" s="154" t="s">
        <v>359</v>
      </c>
      <c r="BS106" s="136">
        <v>11</v>
      </c>
      <c r="BT106" s="267">
        <f t="shared" si="7"/>
        <v>1</v>
      </c>
      <c r="BU106" s="267"/>
      <c r="BV106" s="267"/>
      <c r="BW106" s="267"/>
      <c r="BX106" s="267"/>
      <c r="BY106" s="267"/>
      <c r="BZ106" s="267"/>
      <c r="CA106" s="267"/>
      <c r="CB106" s="267"/>
      <c r="CC106" s="267"/>
      <c r="CD106" s="267"/>
      <c r="CE106" s="267"/>
      <c r="CF106" s="267"/>
      <c r="CG106" s="267"/>
      <c r="CH106" s="267"/>
      <c r="CI106" s="267"/>
      <c r="CJ106" s="267"/>
      <c r="CK106" s="267"/>
      <c r="CL106" s="267"/>
      <c r="CM106" s="267"/>
      <c r="CN106" s="101">
        <f t="shared" si="5"/>
        <v>0</v>
      </c>
      <c r="CO106" s="101">
        <f t="shared" si="6"/>
        <v>0</v>
      </c>
    </row>
    <row r="107" spans="1:93" ht="13.9" customHeight="1" x14ac:dyDescent="0.2">
      <c r="A107" s="149">
        <v>6305</v>
      </c>
      <c r="B107" s="150" t="s">
        <v>323</v>
      </c>
      <c r="C107" s="150" t="s">
        <v>570</v>
      </c>
      <c r="D107" s="150" t="s">
        <v>571</v>
      </c>
      <c r="E107" s="150" t="s">
        <v>326</v>
      </c>
      <c r="F107" s="149">
        <v>522122</v>
      </c>
      <c r="G107" s="149">
        <v>175335</v>
      </c>
      <c r="H107" s="150" t="s">
        <v>166</v>
      </c>
      <c r="I107" s="151">
        <v>44713</v>
      </c>
      <c r="J107" s="151">
        <v>45382</v>
      </c>
      <c r="K107" s="149">
        <v>1</v>
      </c>
      <c r="L107" s="149">
        <v>4</v>
      </c>
      <c r="M107" s="149">
        <v>3</v>
      </c>
      <c r="N107" s="149">
        <v>4</v>
      </c>
      <c r="O107" s="149">
        <v>3</v>
      </c>
      <c r="P107" s="152"/>
      <c r="Q107" s="150" t="s">
        <v>572</v>
      </c>
      <c r="R107" s="150" t="s">
        <v>349</v>
      </c>
      <c r="S107" s="151">
        <v>44154</v>
      </c>
      <c r="T107" s="151">
        <v>44228</v>
      </c>
      <c r="U107" s="152"/>
      <c r="V107" s="150" t="s">
        <v>330</v>
      </c>
      <c r="W107" s="151"/>
      <c r="X107" s="150" t="s">
        <v>331</v>
      </c>
      <c r="Y107" s="150" t="s">
        <v>350</v>
      </c>
      <c r="Z107" s="150" t="s">
        <v>334</v>
      </c>
      <c r="AA107" s="150" t="s">
        <v>16</v>
      </c>
      <c r="AB107" s="153">
        <v>4.3999999999999997E-2</v>
      </c>
      <c r="AC107" s="151">
        <v>44713</v>
      </c>
      <c r="AD107" s="150"/>
      <c r="AE107" s="151">
        <v>45382</v>
      </c>
      <c r="AF107" s="150" t="s">
        <v>70</v>
      </c>
      <c r="AG107" s="152" t="s">
        <v>352</v>
      </c>
      <c r="AH107" s="150" t="s">
        <v>326</v>
      </c>
      <c r="AI107" s="99"/>
      <c r="AJ107" s="149"/>
      <c r="AK107" s="99"/>
      <c r="AL107" s="149"/>
      <c r="AM107" s="99"/>
      <c r="AN107" s="149">
        <v>0</v>
      </c>
      <c r="AO107" s="149">
        <v>1</v>
      </c>
      <c r="AP107" s="149">
        <v>3</v>
      </c>
      <c r="AQ107" s="149">
        <v>0</v>
      </c>
      <c r="AR107" s="149">
        <v>0</v>
      </c>
      <c r="AS107" s="149">
        <v>-1</v>
      </c>
      <c r="AT107" s="149">
        <v>0</v>
      </c>
      <c r="AU107" s="149">
        <v>0</v>
      </c>
      <c r="AV107" s="149">
        <v>1</v>
      </c>
      <c r="AW107" s="149">
        <v>3</v>
      </c>
      <c r="AX107" s="149">
        <v>0</v>
      </c>
      <c r="AY107" s="149">
        <v>0</v>
      </c>
      <c r="AZ107" s="149">
        <v>0</v>
      </c>
      <c r="BA107" s="149">
        <v>0</v>
      </c>
      <c r="BB107" s="149">
        <v>0</v>
      </c>
      <c r="BC107" s="149">
        <v>0</v>
      </c>
      <c r="BD107" s="149">
        <v>0</v>
      </c>
      <c r="BE107" s="149">
        <v>0</v>
      </c>
      <c r="BF107" s="149">
        <v>0</v>
      </c>
      <c r="BG107" s="149">
        <v>-1</v>
      </c>
      <c r="BH107" s="149">
        <v>0</v>
      </c>
      <c r="BI107" s="149">
        <v>0</v>
      </c>
      <c r="BJ107" s="149">
        <v>0</v>
      </c>
      <c r="BK107" s="149">
        <v>0</v>
      </c>
      <c r="BL107" s="149">
        <v>0</v>
      </c>
      <c r="BM107" s="149">
        <v>0</v>
      </c>
      <c r="BN107" s="149">
        <v>0</v>
      </c>
      <c r="BO107" s="149">
        <v>0</v>
      </c>
      <c r="BP107" s="152"/>
      <c r="BQ107" s="152"/>
      <c r="BR107" s="154" t="s">
        <v>359</v>
      </c>
      <c r="BS107" s="136">
        <v>11</v>
      </c>
      <c r="BT107" s="267">
        <f t="shared" si="7"/>
        <v>3</v>
      </c>
      <c r="BU107" s="267"/>
      <c r="BV107" s="267"/>
      <c r="BW107" s="267"/>
      <c r="BX107" s="267"/>
      <c r="BY107" s="267"/>
      <c r="BZ107" s="267"/>
      <c r="CA107" s="267"/>
      <c r="CB107" s="267"/>
      <c r="CC107" s="267"/>
      <c r="CD107" s="267"/>
      <c r="CE107" s="267"/>
      <c r="CF107" s="267"/>
      <c r="CG107" s="267"/>
      <c r="CH107" s="267"/>
      <c r="CI107" s="267"/>
      <c r="CJ107" s="267"/>
      <c r="CK107" s="267"/>
      <c r="CL107" s="267"/>
      <c r="CM107" s="267"/>
      <c r="CN107" s="101">
        <f t="shared" si="5"/>
        <v>0</v>
      </c>
      <c r="CO107" s="101">
        <f t="shared" si="6"/>
        <v>0</v>
      </c>
    </row>
    <row r="108" spans="1:93" ht="13.9" customHeight="1" x14ac:dyDescent="0.2">
      <c r="A108" s="149">
        <v>7495</v>
      </c>
      <c r="B108" s="150" t="s">
        <v>323</v>
      </c>
      <c r="C108" s="150" t="s">
        <v>573</v>
      </c>
      <c r="D108" s="150" t="s">
        <v>574</v>
      </c>
      <c r="E108" s="150" t="s">
        <v>326</v>
      </c>
      <c r="F108" s="149">
        <v>526948</v>
      </c>
      <c r="G108" s="149">
        <v>171621</v>
      </c>
      <c r="H108" s="150" t="s">
        <v>173</v>
      </c>
      <c r="I108" s="151">
        <v>44791</v>
      </c>
      <c r="J108" s="151">
        <v>45189</v>
      </c>
      <c r="K108" s="149">
        <v>0</v>
      </c>
      <c r="L108" s="149">
        <v>1</v>
      </c>
      <c r="M108" s="149">
        <v>1</v>
      </c>
      <c r="N108" s="149">
        <v>1</v>
      </c>
      <c r="O108" s="149">
        <v>1</v>
      </c>
      <c r="P108" s="152"/>
      <c r="Q108" s="150" t="s">
        <v>575</v>
      </c>
      <c r="R108" s="150" t="s">
        <v>349</v>
      </c>
      <c r="S108" s="151">
        <v>44158</v>
      </c>
      <c r="T108" s="151">
        <v>44242</v>
      </c>
      <c r="U108" s="152"/>
      <c r="V108" s="150" t="s">
        <v>330</v>
      </c>
      <c r="W108" s="151"/>
      <c r="X108" s="150" t="s">
        <v>331</v>
      </c>
      <c r="Y108" s="150" t="s">
        <v>398</v>
      </c>
      <c r="Z108" s="150" t="s">
        <v>334</v>
      </c>
      <c r="AA108" s="150" t="s">
        <v>413</v>
      </c>
      <c r="AB108" s="153">
        <v>3.0000000000000001E-3</v>
      </c>
      <c r="AC108" s="151">
        <v>44791</v>
      </c>
      <c r="AD108" s="150"/>
      <c r="AE108" s="151">
        <v>45189</v>
      </c>
      <c r="AF108" s="150" t="s">
        <v>70</v>
      </c>
      <c r="AG108" s="152" t="s">
        <v>352</v>
      </c>
      <c r="AH108" s="150" t="s">
        <v>326</v>
      </c>
      <c r="AI108" s="99"/>
      <c r="AJ108" s="149"/>
      <c r="AK108" s="99"/>
      <c r="AL108" s="149"/>
      <c r="AM108" s="99"/>
      <c r="AN108" s="149">
        <v>0</v>
      </c>
      <c r="AO108" s="149">
        <v>1</v>
      </c>
      <c r="AP108" s="149">
        <v>0</v>
      </c>
      <c r="AQ108" s="149">
        <v>0</v>
      </c>
      <c r="AR108" s="149">
        <v>0</v>
      </c>
      <c r="AS108" s="149">
        <v>0</v>
      </c>
      <c r="AT108" s="149">
        <v>0</v>
      </c>
      <c r="AU108" s="149">
        <v>0</v>
      </c>
      <c r="AV108" s="149">
        <v>1</v>
      </c>
      <c r="AW108" s="149">
        <v>0</v>
      </c>
      <c r="AX108" s="149">
        <v>0</v>
      </c>
      <c r="AY108" s="149">
        <v>0</v>
      </c>
      <c r="AZ108" s="149">
        <v>0</v>
      </c>
      <c r="BA108" s="149">
        <v>0</v>
      </c>
      <c r="BB108" s="149">
        <v>0</v>
      </c>
      <c r="BC108" s="149">
        <v>0</v>
      </c>
      <c r="BD108" s="149">
        <v>0</v>
      </c>
      <c r="BE108" s="149">
        <v>0</v>
      </c>
      <c r="BF108" s="149">
        <v>0</v>
      </c>
      <c r="BG108" s="149">
        <v>0</v>
      </c>
      <c r="BH108" s="149">
        <v>0</v>
      </c>
      <c r="BI108" s="149">
        <v>0</v>
      </c>
      <c r="BJ108" s="149">
        <v>0</v>
      </c>
      <c r="BK108" s="149">
        <v>0</v>
      </c>
      <c r="BL108" s="149">
        <v>0</v>
      </c>
      <c r="BM108" s="149">
        <v>0</v>
      </c>
      <c r="BN108" s="149">
        <v>0</v>
      </c>
      <c r="BO108" s="149">
        <v>0</v>
      </c>
      <c r="BP108" s="152"/>
      <c r="BQ108" s="152"/>
      <c r="BR108" s="154" t="s">
        <v>359</v>
      </c>
      <c r="BS108" s="136">
        <v>11</v>
      </c>
      <c r="BT108" s="267">
        <f t="shared" si="7"/>
        <v>1</v>
      </c>
      <c r="BU108" s="267"/>
      <c r="BV108" s="267"/>
      <c r="BW108" s="267"/>
      <c r="BX108" s="267"/>
      <c r="BY108" s="267"/>
      <c r="BZ108" s="267"/>
      <c r="CA108" s="267"/>
      <c r="CB108" s="267"/>
      <c r="CC108" s="267"/>
      <c r="CD108" s="267"/>
      <c r="CE108" s="267"/>
      <c r="CF108" s="267"/>
      <c r="CG108" s="267"/>
      <c r="CH108" s="267"/>
      <c r="CI108" s="267"/>
      <c r="CJ108" s="267"/>
      <c r="CK108" s="267"/>
      <c r="CL108" s="267"/>
      <c r="CM108" s="267"/>
      <c r="CN108" s="101">
        <f t="shared" si="5"/>
        <v>0</v>
      </c>
      <c r="CO108" s="101">
        <f t="shared" si="6"/>
        <v>0</v>
      </c>
    </row>
    <row r="109" spans="1:93" ht="13.9" customHeight="1" x14ac:dyDescent="0.2">
      <c r="A109" s="149">
        <v>4686</v>
      </c>
      <c r="B109" s="150" t="s">
        <v>323</v>
      </c>
      <c r="C109" s="150" t="s">
        <v>576</v>
      </c>
      <c r="D109" s="150" t="s">
        <v>577</v>
      </c>
      <c r="E109" s="150" t="s">
        <v>326</v>
      </c>
      <c r="F109" s="149">
        <v>527471</v>
      </c>
      <c r="G109" s="149">
        <v>174831</v>
      </c>
      <c r="H109" s="150" t="s">
        <v>165</v>
      </c>
      <c r="I109" s="151">
        <v>45016</v>
      </c>
      <c r="J109" s="151">
        <v>45034</v>
      </c>
      <c r="K109" s="149">
        <v>2</v>
      </c>
      <c r="L109" s="149">
        <v>1</v>
      </c>
      <c r="M109" s="149">
        <v>-1</v>
      </c>
      <c r="N109" s="149">
        <v>1</v>
      </c>
      <c r="O109" s="149">
        <v>-1</v>
      </c>
      <c r="P109" s="152"/>
      <c r="Q109" s="150" t="s">
        <v>578</v>
      </c>
      <c r="R109" s="150" t="s">
        <v>349</v>
      </c>
      <c r="S109" s="151">
        <v>44208</v>
      </c>
      <c r="T109" s="151">
        <v>44264</v>
      </c>
      <c r="U109" s="152"/>
      <c r="V109" s="150" t="s">
        <v>330</v>
      </c>
      <c r="W109" s="151"/>
      <c r="X109" s="150" t="s">
        <v>331</v>
      </c>
      <c r="Y109" s="150" t="s">
        <v>350</v>
      </c>
      <c r="Z109" s="150" t="s">
        <v>334</v>
      </c>
      <c r="AA109" s="150" t="s">
        <v>18</v>
      </c>
      <c r="AB109" s="153">
        <v>1.2E-2</v>
      </c>
      <c r="AC109" s="151">
        <v>45016</v>
      </c>
      <c r="AD109" s="150"/>
      <c r="AE109" s="151">
        <v>45034</v>
      </c>
      <c r="AF109" s="150" t="s">
        <v>70</v>
      </c>
      <c r="AG109" s="152" t="s">
        <v>352</v>
      </c>
      <c r="AH109" s="150" t="s">
        <v>326</v>
      </c>
      <c r="AI109" s="99"/>
      <c r="AJ109" s="149"/>
      <c r="AK109" s="99"/>
      <c r="AL109" s="149"/>
      <c r="AM109" s="99"/>
      <c r="AN109" s="149">
        <v>0</v>
      </c>
      <c r="AO109" s="149">
        <v>-1</v>
      </c>
      <c r="AP109" s="149">
        <v>0</v>
      </c>
      <c r="AQ109" s="149">
        <v>0</v>
      </c>
      <c r="AR109" s="149">
        <v>-1</v>
      </c>
      <c r="AS109" s="149">
        <v>1</v>
      </c>
      <c r="AT109" s="149">
        <v>0</v>
      </c>
      <c r="AU109" s="149">
        <v>0</v>
      </c>
      <c r="AV109" s="149">
        <v>-1</v>
      </c>
      <c r="AW109" s="149">
        <v>0</v>
      </c>
      <c r="AX109" s="149">
        <v>0</v>
      </c>
      <c r="AY109" s="149">
        <v>-1</v>
      </c>
      <c r="AZ109" s="149">
        <v>0</v>
      </c>
      <c r="BA109" s="149">
        <v>0</v>
      </c>
      <c r="BB109" s="149">
        <v>0</v>
      </c>
      <c r="BC109" s="149">
        <v>0</v>
      </c>
      <c r="BD109" s="149">
        <v>0</v>
      </c>
      <c r="BE109" s="149">
        <v>0</v>
      </c>
      <c r="BF109" s="149">
        <v>0</v>
      </c>
      <c r="BG109" s="149">
        <v>1</v>
      </c>
      <c r="BH109" s="149">
        <v>0</v>
      </c>
      <c r="BI109" s="149">
        <v>0</v>
      </c>
      <c r="BJ109" s="149">
        <v>0</v>
      </c>
      <c r="BK109" s="149">
        <v>0</v>
      </c>
      <c r="BL109" s="149">
        <v>0</v>
      </c>
      <c r="BM109" s="149">
        <v>0</v>
      </c>
      <c r="BN109" s="149">
        <v>0</v>
      </c>
      <c r="BO109" s="149">
        <v>0</v>
      </c>
      <c r="BP109" s="152"/>
      <c r="BQ109" s="152"/>
      <c r="BR109" s="154" t="s">
        <v>148</v>
      </c>
      <c r="BS109" s="136">
        <v>11</v>
      </c>
      <c r="BT109" s="267">
        <f t="shared" si="7"/>
        <v>-1</v>
      </c>
      <c r="BU109" s="267"/>
      <c r="BV109" s="267"/>
      <c r="BW109" s="267"/>
      <c r="BX109" s="267"/>
      <c r="BY109" s="267"/>
      <c r="BZ109" s="267"/>
      <c r="CA109" s="267"/>
      <c r="CB109" s="267"/>
      <c r="CC109" s="267"/>
      <c r="CD109" s="267"/>
      <c r="CE109" s="267"/>
      <c r="CF109" s="267"/>
      <c r="CG109" s="267"/>
      <c r="CH109" s="267"/>
      <c r="CI109" s="267"/>
      <c r="CJ109" s="267"/>
      <c r="CK109" s="267"/>
      <c r="CL109" s="267"/>
      <c r="CM109" s="267"/>
      <c r="CN109" s="101">
        <f t="shared" si="5"/>
        <v>0</v>
      </c>
      <c r="CO109" s="101">
        <f t="shared" si="6"/>
        <v>0</v>
      </c>
    </row>
    <row r="110" spans="1:93" ht="13.9" customHeight="1" x14ac:dyDescent="0.2">
      <c r="A110" s="149">
        <v>4793</v>
      </c>
      <c r="B110" s="150" t="s">
        <v>323</v>
      </c>
      <c r="C110" s="150" t="s">
        <v>579</v>
      </c>
      <c r="D110" s="150" t="s">
        <v>580</v>
      </c>
      <c r="E110" s="150" t="s">
        <v>326</v>
      </c>
      <c r="F110" s="149">
        <v>528375</v>
      </c>
      <c r="G110" s="149">
        <v>175229</v>
      </c>
      <c r="H110" s="150" t="s">
        <v>164</v>
      </c>
      <c r="I110" s="151">
        <v>45016</v>
      </c>
      <c r="J110" s="151">
        <v>45017</v>
      </c>
      <c r="K110" s="149">
        <v>2</v>
      </c>
      <c r="L110" s="149">
        <v>1</v>
      </c>
      <c r="M110" s="149">
        <v>-1</v>
      </c>
      <c r="N110" s="149">
        <v>1</v>
      </c>
      <c r="O110" s="149">
        <v>-1</v>
      </c>
      <c r="P110" s="152"/>
      <c r="Q110" s="150" t="s">
        <v>581</v>
      </c>
      <c r="R110" s="150" t="s">
        <v>349</v>
      </c>
      <c r="S110" s="151">
        <v>44167</v>
      </c>
      <c r="T110" s="151">
        <v>44246</v>
      </c>
      <c r="U110" s="152"/>
      <c r="V110" s="150" t="s">
        <v>330</v>
      </c>
      <c r="W110" s="151"/>
      <c r="X110" s="150" t="s">
        <v>331</v>
      </c>
      <c r="Y110" s="150" t="s">
        <v>350</v>
      </c>
      <c r="Z110" s="150" t="s">
        <v>334</v>
      </c>
      <c r="AA110" s="150" t="s">
        <v>18</v>
      </c>
      <c r="AB110" s="153">
        <v>0.02</v>
      </c>
      <c r="AC110" s="151">
        <v>45016</v>
      </c>
      <c r="AD110" s="150"/>
      <c r="AE110" s="151">
        <v>45017</v>
      </c>
      <c r="AF110" s="150" t="s">
        <v>70</v>
      </c>
      <c r="AG110" s="152" t="s">
        <v>352</v>
      </c>
      <c r="AH110" s="150" t="s">
        <v>326</v>
      </c>
      <c r="AI110" s="99"/>
      <c r="AJ110" s="149"/>
      <c r="AK110" s="99"/>
      <c r="AL110" s="149"/>
      <c r="AM110" s="99"/>
      <c r="AN110" s="149">
        <v>0</v>
      </c>
      <c r="AO110" s="149">
        <v>-1</v>
      </c>
      <c r="AP110" s="149">
        <v>0</v>
      </c>
      <c r="AQ110" s="149">
        <v>0</v>
      </c>
      <c r="AR110" s="149">
        <v>0</v>
      </c>
      <c r="AS110" s="149">
        <v>0</v>
      </c>
      <c r="AT110" s="149">
        <v>0</v>
      </c>
      <c r="AU110" s="149">
        <v>0</v>
      </c>
      <c r="AV110" s="149">
        <v>-1</v>
      </c>
      <c r="AW110" s="149">
        <v>0</v>
      </c>
      <c r="AX110" s="149">
        <v>0</v>
      </c>
      <c r="AY110" s="149">
        <v>0</v>
      </c>
      <c r="AZ110" s="149">
        <v>-1</v>
      </c>
      <c r="BA110" s="149">
        <v>0</v>
      </c>
      <c r="BB110" s="149">
        <v>0</v>
      </c>
      <c r="BC110" s="149">
        <v>0</v>
      </c>
      <c r="BD110" s="149">
        <v>0</v>
      </c>
      <c r="BE110" s="149">
        <v>0</v>
      </c>
      <c r="BF110" s="149">
        <v>0</v>
      </c>
      <c r="BG110" s="149">
        <v>1</v>
      </c>
      <c r="BH110" s="149">
        <v>0</v>
      </c>
      <c r="BI110" s="149">
        <v>0</v>
      </c>
      <c r="BJ110" s="149">
        <v>0</v>
      </c>
      <c r="BK110" s="149">
        <v>0</v>
      </c>
      <c r="BL110" s="149">
        <v>0</v>
      </c>
      <c r="BM110" s="149">
        <v>0</v>
      </c>
      <c r="BN110" s="149">
        <v>0</v>
      </c>
      <c r="BO110" s="149">
        <v>0</v>
      </c>
      <c r="BP110" s="152"/>
      <c r="BQ110" s="152"/>
      <c r="BR110" s="154" t="s">
        <v>359</v>
      </c>
      <c r="BS110" s="136">
        <v>11</v>
      </c>
      <c r="BT110" s="267">
        <f t="shared" si="7"/>
        <v>-1</v>
      </c>
      <c r="BU110" s="267"/>
      <c r="BV110" s="267"/>
      <c r="BW110" s="267"/>
      <c r="BX110" s="267"/>
      <c r="BY110" s="267"/>
      <c r="BZ110" s="267"/>
      <c r="CA110" s="267"/>
      <c r="CB110" s="267"/>
      <c r="CC110" s="267"/>
      <c r="CD110" s="267"/>
      <c r="CE110" s="267"/>
      <c r="CF110" s="267"/>
      <c r="CG110" s="267"/>
      <c r="CH110" s="267"/>
      <c r="CI110" s="267"/>
      <c r="CJ110" s="267"/>
      <c r="CK110" s="267"/>
      <c r="CL110" s="267"/>
      <c r="CM110" s="267"/>
      <c r="CN110" s="101">
        <f t="shared" si="5"/>
        <v>0</v>
      </c>
      <c r="CO110" s="101">
        <f t="shared" si="6"/>
        <v>0</v>
      </c>
    </row>
    <row r="111" spans="1:93" ht="13.9" customHeight="1" x14ac:dyDescent="0.2">
      <c r="A111" s="149">
        <v>4693</v>
      </c>
      <c r="B111" s="150" t="s">
        <v>323</v>
      </c>
      <c r="C111" s="150" t="s">
        <v>582</v>
      </c>
      <c r="D111" s="150" t="s">
        <v>583</v>
      </c>
      <c r="E111" s="150" t="s">
        <v>326</v>
      </c>
      <c r="F111" s="149">
        <v>524887</v>
      </c>
      <c r="G111" s="149">
        <v>174632</v>
      </c>
      <c r="H111" s="150" t="s">
        <v>161</v>
      </c>
      <c r="I111" s="151">
        <v>44652</v>
      </c>
      <c r="J111" s="151">
        <v>45088</v>
      </c>
      <c r="K111" s="149">
        <v>0</v>
      </c>
      <c r="L111" s="149">
        <v>3</v>
      </c>
      <c r="M111" s="149">
        <v>3</v>
      </c>
      <c r="N111" s="149">
        <v>3</v>
      </c>
      <c r="O111" s="149">
        <v>3</v>
      </c>
      <c r="P111" s="152"/>
      <c r="Q111" s="150" t="s">
        <v>584</v>
      </c>
      <c r="R111" s="150" t="s">
        <v>349</v>
      </c>
      <c r="S111" s="151">
        <v>44186</v>
      </c>
      <c r="T111" s="151">
        <v>44264</v>
      </c>
      <c r="U111" s="152"/>
      <c r="V111" s="150" t="s">
        <v>330</v>
      </c>
      <c r="W111" s="151"/>
      <c r="X111" s="150" t="s">
        <v>331</v>
      </c>
      <c r="Y111" s="150" t="s">
        <v>398</v>
      </c>
      <c r="Z111" s="150" t="s">
        <v>334</v>
      </c>
      <c r="AA111" s="150" t="s">
        <v>363</v>
      </c>
      <c r="AB111" s="153">
        <v>5.0000000000000001E-3</v>
      </c>
      <c r="AC111" s="151">
        <v>44652</v>
      </c>
      <c r="AD111" s="150"/>
      <c r="AE111" s="151">
        <v>45088</v>
      </c>
      <c r="AF111" s="150" t="s">
        <v>70</v>
      </c>
      <c r="AG111" s="152" t="s">
        <v>352</v>
      </c>
      <c r="AH111" s="150" t="s">
        <v>326</v>
      </c>
      <c r="AI111" s="99"/>
      <c r="AJ111" s="149"/>
      <c r="AK111" s="99"/>
      <c r="AL111" s="149"/>
      <c r="AM111" s="99"/>
      <c r="AN111" s="149">
        <v>2</v>
      </c>
      <c r="AO111" s="149">
        <v>1</v>
      </c>
      <c r="AP111" s="149">
        <v>0</v>
      </c>
      <c r="AQ111" s="149">
        <v>0</v>
      </c>
      <c r="AR111" s="149">
        <v>0</v>
      </c>
      <c r="AS111" s="149">
        <v>0</v>
      </c>
      <c r="AT111" s="149">
        <v>0</v>
      </c>
      <c r="AU111" s="149">
        <v>2</v>
      </c>
      <c r="AV111" s="149">
        <v>1</v>
      </c>
      <c r="AW111" s="149">
        <v>0</v>
      </c>
      <c r="AX111" s="149">
        <v>0</v>
      </c>
      <c r="AY111" s="149">
        <v>0</v>
      </c>
      <c r="AZ111" s="149">
        <v>0</v>
      </c>
      <c r="BA111" s="149">
        <v>0</v>
      </c>
      <c r="BB111" s="149">
        <v>0</v>
      </c>
      <c r="BC111" s="149">
        <v>0</v>
      </c>
      <c r="BD111" s="149">
        <v>0</v>
      </c>
      <c r="BE111" s="149">
        <v>0</v>
      </c>
      <c r="BF111" s="149">
        <v>0</v>
      </c>
      <c r="BG111" s="149">
        <v>0</v>
      </c>
      <c r="BH111" s="149">
        <v>0</v>
      </c>
      <c r="BI111" s="149">
        <v>0</v>
      </c>
      <c r="BJ111" s="149">
        <v>0</v>
      </c>
      <c r="BK111" s="149">
        <v>0</v>
      </c>
      <c r="BL111" s="149">
        <v>0</v>
      </c>
      <c r="BM111" s="149">
        <v>0</v>
      </c>
      <c r="BN111" s="149">
        <v>0</v>
      </c>
      <c r="BO111" s="149">
        <v>0</v>
      </c>
      <c r="BP111" s="152"/>
      <c r="BQ111" s="152"/>
      <c r="BR111" s="154" t="s">
        <v>359</v>
      </c>
      <c r="BS111" s="136">
        <v>11</v>
      </c>
      <c r="BT111" s="267">
        <f t="shared" si="7"/>
        <v>3</v>
      </c>
      <c r="BU111" s="267"/>
      <c r="BV111" s="267"/>
      <c r="BW111" s="267"/>
      <c r="BX111" s="267"/>
      <c r="BY111" s="267"/>
      <c r="BZ111" s="267"/>
      <c r="CA111" s="267"/>
      <c r="CB111" s="267"/>
      <c r="CC111" s="267"/>
      <c r="CD111" s="267"/>
      <c r="CE111" s="267"/>
      <c r="CF111" s="267"/>
      <c r="CG111" s="267"/>
      <c r="CH111" s="267"/>
      <c r="CI111" s="267"/>
      <c r="CJ111" s="267"/>
      <c r="CK111" s="267"/>
      <c r="CL111" s="267"/>
      <c r="CM111" s="267"/>
      <c r="CN111" s="101">
        <f t="shared" si="5"/>
        <v>0</v>
      </c>
      <c r="CO111" s="101">
        <f t="shared" si="6"/>
        <v>0</v>
      </c>
    </row>
    <row r="112" spans="1:93" ht="13.9" customHeight="1" x14ac:dyDescent="0.2">
      <c r="A112" s="149">
        <v>4762</v>
      </c>
      <c r="B112" s="150" t="s">
        <v>323</v>
      </c>
      <c r="C112" s="150" t="s">
        <v>585</v>
      </c>
      <c r="D112" s="150" t="s">
        <v>586</v>
      </c>
      <c r="E112" s="150" t="s">
        <v>326</v>
      </c>
      <c r="F112" s="149">
        <v>527890</v>
      </c>
      <c r="G112" s="149">
        <v>170978</v>
      </c>
      <c r="H112" s="150" t="s">
        <v>173</v>
      </c>
      <c r="I112" s="151">
        <v>44661</v>
      </c>
      <c r="J112" s="151">
        <v>45043</v>
      </c>
      <c r="K112" s="149">
        <v>0</v>
      </c>
      <c r="L112" s="149">
        <v>1</v>
      </c>
      <c r="M112" s="149">
        <v>1</v>
      </c>
      <c r="N112" s="149">
        <v>1</v>
      </c>
      <c r="O112" s="149">
        <v>1</v>
      </c>
      <c r="P112" s="152"/>
      <c r="Q112" s="150" t="s">
        <v>587</v>
      </c>
      <c r="R112" s="150" t="s">
        <v>349</v>
      </c>
      <c r="S112" s="151">
        <v>44186</v>
      </c>
      <c r="T112" s="151">
        <v>44453</v>
      </c>
      <c r="U112" s="152"/>
      <c r="V112" s="150" t="s">
        <v>330</v>
      </c>
      <c r="W112" s="151"/>
      <c r="X112" s="150" t="s">
        <v>331</v>
      </c>
      <c r="Y112" s="150" t="s">
        <v>350</v>
      </c>
      <c r="Z112" s="150" t="s">
        <v>334</v>
      </c>
      <c r="AA112" s="150" t="s">
        <v>29</v>
      </c>
      <c r="AB112" s="153">
        <v>4.4000000000000003E-3</v>
      </c>
      <c r="AC112" s="151">
        <v>44661</v>
      </c>
      <c r="AD112" s="150"/>
      <c r="AE112" s="151">
        <v>45043</v>
      </c>
      <c r="AF112" s="150" t="s">
        <v>70</v>
      </c>
      <c r="AG112" s="152" t="s">
        <v>352</v>
      </c>
      <c r="AH112" s="150" t="s">
        <v>326</v>
      </c>
      <c r="AI112" s="99"/>
      <c r="AJ112" s="149"/>
      <c r="AK112" s="99"/>
      <c r="AL112" s="149"/>
      <c r="AM112" s="99"/>
      <c r="AN112" s="149">
        <v>0</v>
      </c>
      <c r="AO112" s="149">
        <v>1</v>
      </c>
      <c r="AP112" s="149">
        <v>0</v>
      </c>
      <c r="AQ112" s="149">
        <v>0</v>
      </c>
      <c r="AR112" s="149">
        <v>0</v>
      </c>
      <c r="AS112" s="149">
        <v>0</v>
      </c>
      <c r="AT112" s="149">
        <v>0</v>
      </c>
      <c r="AU112" s="149">
        <v>0</v>
      </c>
      <c r="AV112" s="149">
        <v>1</v>
      </c>
      <c r="AW112" s="149">
        <v>0</v>
      </c>
      <c r="AX112" s="149">
        <v>0</v>
      </c>
      <c r="AY112" s="149">
        <v>0</v>
      </c>
      <c r="AZ112" s="149">
        <v>0</v>
      </c>
      <c r="BA112" s="149">
        <v>0</v>
      </c>
      <c r="BB112" s="149">
        <v>0</v>
      </c>
      <c r="BC112" s="149">
        <v>0</v>
      </c>
      <c r="BD112" s="149">
        <v>0</v>
      </c>
      <c r="BE112" s="149">
        <v>0</v>
      </c>
      <c r="BF112" s="149">
        <v>0</v>
      </c>
      <c r="BG112" s="149">
        <v>0</v>
      </c>
      <c r="BH112" s="149">
        <v>0</v>
      </c>
      <c r="BI112" s="149">
        <v>0</v>
      </c>
      <c r="BJ112" s="149">
        <v>0</v>
      </c>
      <c r="BK112" s="149">
        <v>0</v>
      </c>
      <c r="BL112" s="149">
        <v>0</v>
      </c>
      <c r="BM112" s="149">
        <v>0</v>
      </c>
      <c r="BN112" s="149">
        <v>0</v>
      </c>
      <c r="BO112" s="149">
        <v>0</v>
      </c>
      <c r="BP112" s="152"/>
      <c r="BQ112" s="152"/>
      <c r="BR112" s="154" t="s">
        <v>142</v>
      </c>
      <c r="BS112" s="136">
        <v>11</v>
      </c>
      <c r="BT112" s="267">
        <f t="shared" si="7"/>
        <v>1</v>
      </c>
      <c r="BU112" s="267"/>
      <c r="BV112" s="267"/>
      <c r="BW112" s="267"/>
      <c r="BX112" s="267"/>
      <c r="BY112" s="267"/>
      <c r="BZ112" s="267"/>
      <c r="CA112" s="267"/>
      <c r="CB112" s="267"/>
      <c r="CC112" s="267"/>
      <c r="CD112" s="267"/>
      <c r="CE112" s="267"/>
      <c r="CF112" s="267"/>
      <c r="CG112" s="267"/>
      <c r="CH112" s="267"/>
      <c r="CI112" s="267"/>
      <c r="CJ112" s="267"/>
      <c r="CK112" s="267"/>
      <c r="CL112" s="267"/>
      <c r="CM112" s="267"/>
      <c r="CN112" s="101">
        <f t="shared" si="5"/>
        <v>0</v>
      </c>
      <c r="CO112" s="101">
        <f t="shared" si="6"/>
        <v>0</v>
      </c>
    </row>
    <row r="113" spans="1:93" ht="13.9" customHeight="1" x14ac:dyDescent="0.2">
      <c r="A113" s="149">
        <v>7291</v>
      </c>
      <c r="B113" s="150" t="s">
        <v>323</v>
      </c>
      <c r="C113" s="150" t="s">
        <v>588</v>
      </c>
      <c r="D113" s="150" t="s">
        <v>589</v>
      </c>
      <c r="E113" s="150" t="s">
        <v>326</v>
      </c>
      <c r="F113" s="149">
        <v>524705</v>
      </c>
      <c r="G113" s="149">
        <v>173268</v>
      </c>
      <c r="H113" s="150" t="s">
        <v>178</v>
      </c>
      <c r="I113" s="151">
        <v>44743</v>
      </c>
      <c r="J113" s="151">
        <v>45017</v>
      </c>
      <c r="K113" s="149">
        <v>0</v>
      </c>
      <c r="L113" s="149">
        <v>3</v>
      </c>
      <c r="M113" s="149">
        <v>3</v>
      </c>
      <c r="N113" s="149">
        <v>3</v>
      </c>
      <c r="O113" s="149">
        <v>3</v>
      </c>
      <c r="P113" s="152"/>
      <c r="Q113" s="150" t="s">
        <v>590</v>
      </c>
      <c r="R113" s="150" t="s">
        <v>349</v>
      </c>
      <c r="S113" s="151">
        <v>44189</v>
      </c>
      <c r="T113" s="151">
        <v>44270</v>
      </c>
      <c r="U113" s="152"/>
      <c r="V113" s="150" t="s">
        <v>330</v>
      </c>
      <c r="W113" s="151"/>
      <c r="X113" s="150" t="s">
        <v>331</v>
      </c>
      <c r="Y113" s="150" t="s">
        <v>398</v>
      </c>
      <c r="Z113" s="150" t="s">
        <v>334</v>
      </c>
      <c r="AA113" s="150" t="s">
        <v>413</v>
      </c>
      <c r="AB113" s="153">
        <v>7.0000000000000001E-3</v>
      </c>
      <c r="AC113" s="151">
        <v>44743</v>
      </c>
      <c r="AD113" s="150"/>
      <c r="AE113" s="151">
        <v>45017</v>
      </c>
      <c r="AF113" s="150" t="s">
        <v>70</v>
      </c>
      <c r="AG113" s="152" t="s">
        <v>352</v>
      </c>
      <c r="AH113" s="150" t="s">
        <v>326</v>
      </c>
      <c r="AI113" s="99"/>
      <c r="AJ113" s="149"/>
      <c r="AK113" s="99"/>
      <c r="AL113" s="149"/>
      <c r="AM113" s="99"/>
      <c r="AN113" s="149">
        <v>0</v>
      </c>
      <c r="AO113" s="149">
        <v>3</v>
      </c>
      <c r="AP113" s="149">
        <v>0</v>
      </c>
      <c r="AQ113" s="149">
        <v>0</v>
      </c>
      <c r="AR113" s="149">
        <v>0</v>
      </c>
      <c r="AS113" s="149">
        <v>0</v>
      </c>
      <c r="AT113" s="149">
        <v>0</v>
      </c>
      <c r="AU113" s="149">
        <v>0</v>
      </c>
      <c r="AV113" s="149">
        <v>3</v>
      </c>
      <c r="AW113" s="149">
        <v>0</v>
      </c>
      <c r="AX113" s="149">
        <v>0</v>
      </c>
      <c r="AY113" s="149">
        <v>0</v>
      </c>
      <c r="AZ113" s="149">
        <v>0</v>
      </c>
      <c r="BA113" s="149">
        <v>0</v>
      </c>
      <c r="BB113" s="149">
        <v>0</v>
      </c>
      <c r="BC113" s="149">
        <v>0</v>
      </c>
      <c r="BD113" s="149">
        <v>0</v>
      </c>
      <c r="BE113" s="149">
        <v>0</v>
      </c>
      <c r="BF113" s="149">
        <v>0</v>
      </c>
      <c r="BG113" s="149">
        <v>0</v>
      </c>
      <c r="BH113" s="149">
        <v>0</v>
      </c>
      <c r="BI113" s="149">
        <v>0</v>
      </c>
      <c r="BJ113" s="149">
        <v>0</v>
      </c>
      <c r="BK113" s="149">
        <v>0</v>
      </c>
      <c r="BL113" s="149">
        <v>0</v>
      </c>
      <c r="BM113" s="149">
        <v>0</v>
      </c>
      <c r="BN113" s="149">
        <v>0</v>
      </c>
      <c r="BO113" s="149">
        <v>0</v>
      </c>
      <c r="BP113" s="152"/>
      <c r="BQ113" s="152"/>
      <c r="BR113" s="154" t="s">
        <v>359</v>
      </c>
      <c r="BS113" s="136">
        <v>11</v>
      </c>
      <c r="BT113" s="267">
        <f t="shared" si="7"/>
        <v>3</v>
      </c>
      <c r="BU113" s="267"/>
      <c r="BV113" s="267"/>
      <c r="BW113" s="267"/>
      <c r="BX113" s="267"/>
      <c r="BY113" s="267"/>
      <c r="BZ113" s="267"/>
      <c r="CA113" s="267"/>
      <c r="CB113" s="267"/>
      <c r="CC113" s="267"/>
      <c r="CD113" s="267"/>
      <c r="CE113" s="267"/>
      <c r="CF113" s="267"/>
      <c r="CG113" s="267"/>
      <c r="CH113" s="267"/>
      <c r="CI113" s="267"/>
      <c r="CJ113" s="267"/>
      <c r="CK113" s="267"/>
      <c r="CL113" s="267"/>
      <c r="CM113" s="267"/>
      <c r="CN113" s="101">
        <f t="shared" si="5"/>
        <v>0</v>
      </c>
      <c r="CO113" s="101">
        <f t="shared" si="6"/>
        <v>0</v>
      </c>
    </row>
    <row r="114" spans="1:93" ht="13.9" customHeight="1" x14ac:dyDescent="0.2">
      <c r="A114" s="149">
        <v>7397</v>
      </c>
      <c r="B114" s="150" t="s">
        <v>323</v>
      </c>
      <c r="C114" s="150" t="s">
        <v>591</v>
      </c>
      <c r="D114" s="150" t="s">
        <v>592</v>
      </c>
      <c r="E114" s="150" t="s">
        <v>326</v>
      </c>
      <c r="F114" s="149">
        <v>528375</v>
      </c>
      <c r="G114" s="149">
        <v>172919</v>
      </c>
      <c r="H114" s="150" t="s">
        <v>168</v>
      </c>
      <c r="I114" s="151">
        <v>45051</v>
      </c>
      <c r="J114" s="151">
        <v>45373</v>
      </c>
      <c r="K114" s="149">
        <v>0</v>
      </c>
      <c r="L114" s="149">
        <v>1</v>
      </c>
      <c r="M114" s="149">
        <v>1</v>
      </c>
      <c r="N114" s="149">
        <v>1</v>
      </c>
      <c r="O114" s="149">
        <v>1</v>
      </c>
      <c r="P114" s="152"/>
      <c r="Q114" s="150" t="s">
        <v>593</v>
      </c>
      <c r="R114" s="150" t="s">
        <v>349</v>
      </c>
      <c r="S114" s="151">
        <v>44193</v>
      </c>
      <c r="T114" s="151">
        <v>44279</v>
      </c>
      <c r="U114" s="152"/>
      <c r="V114" s="150" t="s">
        <v>330</v>
      </c>
      <c r="W114" s="151"/>
      <c r="X114" s="150" t="s">
        <v>331</v>
      </c>
      <c r="Y114" s="150" t="s">
        <v>343</v>
      </c>
      <c r="Z114" s="150" t="s">
        <v>334</v>
      </c>
      <c r="AA114" s="150" t="s">
        <v>29</v>
      </c>
      <c r="AB114" s="153">
        <v>4.0000000000000001E-3</v>
      </c>
      <c r="AC114" s="151">
        <v>45051</v>
      </c>
      <c r="AD114" s="152" t="s">
        <v>327</v>
      </c>
      <c r="AE114" s="151">
        <v>45373</v>
      </c>
      <c r="AF114" s="150" t="s">
        <v>70</v>
      </c>
      <c r="AG114" s="152" t="s">
        <v>352</v>
      </c>
      <c r="AH114" s="150" t="s">
        <v>326</v>
      </c>
      <c r="AI114" s="99"/>
      <c r="AJ114" s="149"/>
      <c r="AK114" s="99"/>
      <c r="AL114" s="149"/>
      <c r="AM114" s="99"/>
      <c r="AN114" s="149">
        <v>0</v>
      </c>
      <c r="AO114" s="149">
        <v>1</v>
      </c>
      <c r="AP114" s="149">
        <v>0</v>
      </c>
      <c r="AQ114" s="149">
        <v>0</v>
      </c>
      <c r="AR114" s="149">
        <v>0</v>
      </c>
      <c r="AS114" s="149">
        <v>0</v>
      </c>
      <c r="AT114" s="149">
        <v>0</v>
      </c>
      <c r="AU114" s="149">
        <v>0</v>
      </c>
      <c r="AV114" s="149">
        <v>0</v>
      </c>
      <c r="AW114" s="149">
        <v>0</v>
      </c>
      <c r="AX114" s="149">
        <v>0</v>
      </c>
      <c r="AY114" s="149">
        <v>0</v>
      </c>
      <c r="AZ114" s="149">
        <v>0</v>
      </c>
      <c r="BA114" s="149">
        <v>0</v>
      </c>
      <c r="BB114" s="149">
        <v>0</v>
      </c>
      <c r="BC114" s="149">
        <v>1</v>
      </c>
      <c r="BD114" s="149">
        <v>0</v>
      </c>
      <c r="BE114" s="149">
        <v>0</v>
      </c>
      <c r="BF114" s="149">
        <v>0</v>
      </c>
      <c r="BG114" s="149">
        <v>0</v>
      </c>
      <c r="BH114" s="149">
        <v>0</v>
      </c>
      <c r="BI114" s="149">
        <v>0</v>
      </c>
      <c r="BJ114" s="149">
        <v>0</v>
      </c>
      <c r="BK114" s="149">
        <v>0</v>
      </c>
      <c r="BL114" s="149">
        <v>0</v>
      </c>
      <c r="BM114" s="149">
        <v>0</v>
      </c>
      <c r="BN114" s="149">
        <v>0</v>
      </c>
      <c r="BO114" s="149">
        <v>0</v>
      </c>
      <c r="BP114" s="152"/>
      <c r="BQ114" s="152"/>
      <c r="BR114" s="154" t="s">
        <v>359</v>
      </c>
      <c r="BS114" s="136">
        <v>1</v>
      </c>
      <c r="BT114" s="267">
        <f t="shared" si="7"/>
        <v>1</v>
      </c>
      <c r="BU114" s="267"/>
      <c r="BV114" s="267"/>
      <c r="BW114" s="267"/>
      <c r="BX114" s="267"/>
      <c r="BY114" s="267"/>
      <c r="BZ114" s="267"/>
      <c r="CA114" s="267"/>
      <c r="CB114" s="267"/>
      <c r="CC114" s="267"/>
      <c r="CD114" s="267"/>
      <c r="CE114" s="267"/>
      <c r="CF114" s="267"/>
      <c r="CG114" s="267"/>
      <c r="CH114" s="267"/>
      <c r="CI114" s="267"/>
      <c r="CJ114" s="267"/>
      <c r="CK114" s="267"/>
      <c r="CL114" s="267"/>
      <c r="CM114" s="267"/>
      <c r="CN114" s="101">
        <f t="shared" si="5"/>
        <v>0</v>
      </c>
      <c r="CO114" s="101">
        <f t="shared" si="6"/>
        <v>0</v>
      </c>
    </row>
    <row r="115" spans="1:93" ht="13.9" customHeight="1" x14ac:dyDescent="0.2">
      <c r="A115" s="149">
        <v>7364</v>
      </c>
      <c r="B115" s="150" t="s">
        <v>323</v>
      </c>
      <c r="C115" s="150" t="s">
        <v>594</v>
      </c>
      <c r="D115" s="150" t="s">
        <v>595</v>
      </c>
      <c r="E115" s="150" t="s">
        <v>326</v>
      </c>
      <c r="F115" s="149">
        <v>527592</v>
      </c>
      <c r="G115" s="149">
        <v>175427</v>
      </c>
      <c r="H115" s="150" t="s">
        <v>164</v>
      </c>
      <c r="I115" s="151">
        <v>44652</v>
      </c>
      <c r="J115" s="151">
        <v>45061</v>
      </c>
      <c r="K115" s="149">
        <v>1</v>
      </c>
      <c r="L115" s="149">
        <v>7</v>
      </c>
      <c r="M115" s="149">
        <v>6</v>
      </c>
      <c r="N115" s="149">
        <v>7</v>
      </c>
      <c r="O115" s="149">
        <v>6</v>
      </c>
      <c r="P115" s="152"/>
      <c r="Q115" s="150" t="s">
        <v>596</v>
      </c>
      <c r="R115" s="150" t="s">
        <v>349</v>
      </c>
      <c r="S115" s="151">
        <v>44225</v>
      </c>
      <c r="T115" s="151">
        <v>44344</v>
      </c>
      <c r="U115" s="152"/>
      <c r="V115" s="150" t="s">
        <v>330</v>
      </c>
      <c r="W115" s="151"/>
      <c r="X115" s="150" t="s">
        <v>331</v>
      </c>
      <c r="Y115" s="150" t="s">
        <v>343</v>
      </c>
      <c r="Z115" s="150" t="s">
        <v>334</v>
      </c>
      <c r="AA115" s="150" t="s">
        <v>363</v>
      </c>
      <c r="AB115" s="153">
        <v>3.2000000000000001E-2</v>
      </c>
      <c r="AC115" s="151">
        <v>44652</v>
      </c>
      <c r="AD115" s="150"/>
      <c r="AE115" s="151">
        <v>45061</v>
      </c>
      <c r="AF115" s="150" t="s">
        <v>70</v>
      </c>
      <c r="AG115" s="152" t="s">
        <v>352</v>
      </c>
      <c r="AH115" s="150" t="s">
        <v>326</v>
      </c>
      <c r="AI115" s="99"/>
      <c r="AJ115" s="149"/>
      <c r="AK115" s="99"/>
      <c r="AL115" s="149"/>
      <c r="AM115" s="102"/>
      <c r="AN115" s="149">
        <v>0</v>
      </c>
      <c r="AO115" s="149">
        <v>1</v>
      </c>
      <c r="AP115" s="149">
        <v>4</v>
      </c>
      <c r="AQ115" s="149">
        <v>1</v>
      </c>
      <c r="AR115" s="149">
        <v>0</v>
      </c>
      <c r="AS115" s="149">
        <v>0</v>
      </c>
      <c r="AT115" s="149">
        <v>0</v>
      </c>
      <c r="AU115" s="149">
        <v>0</v>
      </c>
      <c r="AV115" s="149">
        <v>1</v>
      </c>
      <c r="AW115" s="149">
        <v>4</v>
      </c>
      <c r="AX115" s="149">
        <v>2</v>
      </c>
      <c r="AY115" s="149">
        <v>0</v>
      </c>
      <c r="AZ115" s="149">
        <v>0</v>
      </c>
      <c r="BA115" s="149">
        <v>0</v>
      </c>
      <c r="BB115" s="149">
        <v>0</v>
      </c>
      <c r="BC115" s="149">
        <v>0</v>
      </c>
      <c r="BD115" s="149">
        <v>0</v>
      </c>
      <c r="BE115" s="149">
        <v>-1</v>
      </c>
      <c r="BF115" s="149">
        <v>0</v>
      </c>
      <c r="BG115" s="149">
        <v>0</v>
      </c>
      <c r="BH115" s="149">
        <v>0</v>
      </c>
      <c r="BI115" s="149">
        <v>0</v>
      </c>
      <c r="BJ115" s="149">
        <v>0</v>
      </c>
      <c r="BK115" s="149">
        <v>0</v>
      </c>
      <c r="BL115" s="149">
        <v>0</v>
      </c>
      <c r="BM115" s="149">
        <v>0</v>
      </c>
      <c r="BN115" s="149">
        <v>0</v>
      </c>
      <c r="BO115" s="149">
        <v>0</v>
      </c>
      <c r="BP115" s="152"/>
      <c r="BQ115" s="152"/>
      <c r="BR115" s="154" t="s">
        <v>148</v>
      </c>
      <c r="BS115" s="136">
        <v>1</v>
      </c>
      <c r="BT115" s="267">
        <f t="shared" si="7"/>
        <v>6</v>
      </c>
      <c r="BU115" s="267"/>
      <c r="BV115" s="267"/>
      <c r="BW115" s="267"/>
      <c r="BX115" s="267"/>
      <c r="BY115" s="267"/>
      <c r="BZ115" s="267"/>
      <c r="CA115" s="267"/>
      <c r="CB115" s="267"/>
      <c r="CC115" s="267"/>
      <c r="CD115" s="267"/>
      <c r="CE115" s="267"/>
      <c r="CF115" s="267"/>
      <c r="CG115" s="267"/>
      <c r="CH115" s="267"/>
      <c r="CI115" s="267"/>
      <c r="CJ115" s="267"/>
      <c r="CK115" s="267"/>
      <c r="CL115" s="267"/>
      <c r="CM115" s="267"/>
      <c r="CN115" s="101">
        <f t="shared" si="5"/>
        <v>0</v>
      </c>
      <c r="CO115" s="101">
        <f t="shared" si="6"/>
        <v>0</v>
      </c>
    </row>
    <row r="116" spans="1:93" ht="13.9" customHeight="1" x14ac:dyDescent="0.2">
      <c r="A116" s="149">
        <v>3511</v>
      </c>
      <c r="B116" s="150" t="s">
        <v>323</v>
      </c>
      <c r="C116" s="150" t="s">
        <v>597</v>
      </c>
      <c r="D116" s="150" t="s">
        <v>598</v>
      </c>
      <c r="E116" s="150" t="s">
        <v>599</v>
      </c>
      <c r="F116" s="149">
        <v>529369</v>
      </c>
      <c r="G116" s="149">
        <v>177317</v>
      </c>
      <c r="H116" s="150" t="s">
        <v>149</v>
      </c>
      <c r="I116" s="151">
        <v>43800</v>
      </c>
      <c r="J116" s="151">
        <v>45382</v>
      </c>
      <c r="K116" s="149">
        <v>0</v>
      </c>
      <c r="L116" s="149">
        <v>17</v>
      </c>
      <c r="M116" s="149">
        <v>17</v>
      </c>
      <c r="N116" s="149">
        <v>17</v>
      </c>
      <c r="O116" s="149">
        <v>17</v>
      </c>
      <c r="P116" s="152" t="s">
        <v>327</v>
      </c>
      <c r="Q116" s="150" t="s">
        <v>600</v>
      </c>
      <c r="R116" s="150" t="s">
        <v>342</v>
      </c>
      <c r="S116" s="151">
        <v>44239</v>
      </c>
      <c r="T116" s="151">
        <v>44328</v>
      </c>
      <c r="U116" s="152"/>
      <c r="V116" s="150" t="s">
        <v>330</v>
      </c>
      <c r="W116" s="151"/>
      <c r="X116" s="150" t="s">
        <v>331</v>
      </c>
      <c r="Y116" s="150" t="s">
        <v>343</v>
      </c>
      <c r="Z116" s="150" t="s">
        <v>343</v>
      </c>
      <c r="AA116" s="150" t="s">
        <v>334</v>
      </c>
      <c r="AB116" s="153">
        <v>0.72299999999999998</v>
      </c>
      <c r="AC116" s="151">
        <v>43800</v>
      </c>
      <c r="AD116" s="150"/>
      <c r="AE116" s="151">
        <v>45382</v>
      </c>
      <c r="AF116" s="150" t="s">
        <v>70</v>
      </c>
      <c r="AG116" s="152" t="s">
        <v>352</v>
      </c>
      <c r="AH116" s="150" t="s">
        <v>601</v>
      </c>
      <c r="AI116" s="99"/>
      <c r="AJ116" s="149"/>
      <c r="AK116" s="99"/>
      <c r="AL116" s="149"/>
      <c r="AM116" s="99"/>
      <c r="AN116" s="149">
        <v>0</v>
      </c>
      <c r="AO116" s="149">
        <v>0</v>
      </c>
      <c r="AP116" s="149">
        <v>0</v>
      </c>
      <c r="AQ116" s="149">
        <v>0</v>
      </c>
      <c r="AR116" s="149">
        <v>17</v>
      </c>
      <c r="AS116" s="149">
        <v>0</v>
      </c>
      <c r="AT116" s="149">
        <v>0</v>
      </c>
      <c r="AU116" s="149">
        <v>0</v>
      </c>
      <c r="AV116" s="149">
        <v>0</v>
      </c>
      <c r="AW116" s="149">
        <v>0</v>
      </c>
      <c r="AX116" s="149">
        <v>0</v>
      </c>
      <c r="AY116" s="149">
        <v>17</v>
      </c>
      <c r="AZ116" s="149">
        <v>0</v>
      </c>
      <c r="BA116" s="149">
        <v>0</v>
      </c>
      <c r="BB116" s="149">
        <v>0</v>
      </c>
      <c r="BC116" s="149">
        <v>0</v>
      </c>
      <c r="BD116" s="149">
        <v>0</v>
      </c>
      <c r="BE116" s="149">
        <v>0</v>
      </c>
      <c r="BF116" s="149">
        <v>0</v>
      </c>
      <c r="BG116" s="149">
        <v>0</v>
      </c>
      <c r="BH116" s="149">
        <v>0</v>
      </c>
      <c r="BI116" s="149">
        <v>0</v>
      </c>
      <c r="BJ116" s="149">
        <v>0</v>
      </c>
      <c r="BK116" s="149">
        <v>0</v>
      </c>
      <c r="BL116" s="149">
        <v>0</v>
      </c>
      <c r="BM116" s="149">
        <v>0</v>
      </c>
      <c r="BN116" s="149">
        <v>0</v>
      </c>
      <c r="BO116" s="149">
        <v>0</v>
      </c>
      <c r="BP116" s="152"/>
      <c r="BQ116" s="152" t="s">
        <v>327</v>
      </c>
      <c r="BR116" s="154" t="s">
        <v>149</v>
      </c>
      <c r="BS116" s="136">
        <v>1</v>
      </c>
      <c r="BT116" s="267">
        <f t="shared" si="7"/>
        <v>17</v>
      </c>
      <c r="BU116" s="267"/>
      <c r="BV116" s="267"/>
      <c r="BW116" s="267"/>
      <c r="BX116" s="267"/>
      <c r="BY116" s="267"/>
      <c r="BZ116" s="267"/>
      <c r="CA116" s="267"/>
      <c r="CB116" s="267"/>
      <c r="CC116" s="267"/>
      <c r="CD116" s="267"/>
      <c r="CE116" s="267"/>
      <c r="CF116" s="267"/>
      <c r="CG116" s="267"/>
      <c r="CH116" s="267"/>
      <c r="CI116" s="267"/>
      <c r="CJ116" s="267"/>
      <c r="CK116" s="267"/>
      <c r="CL116" s="267"/>
      <c r="CM116" s="267"/>
      <c r="CN116" s="101">
        <f t="shared" si="5"/>
        <v>0</v>
      </c>
      <c r="CO116" s="101">
        <f t="shared" si="6"/>
        <v>0</v>
      </c>
    </row>
    <row r="117" spans="1:93" ht="13.9" customHeight="1" x14ac:dyDescent="0.2">
      <c r="A117" s="149">
        <v>6794</v>
      </c>
      <c r="B117" s="150" t="s">
        <v>323</v>
      </c>
      <c r="C117" s="150" t="s">
        <v>602</v>
      </c>
      <c r="D117" s="150" t="s">
        <v>603</v>
      </c>
      <c r="E117" s="150" t="s">
        <v>326</v>
      </c>
      <c r="F117" s="149">
        <v>526068</v>
      </c>
      <c r="G117" s="149">
        <v>174820</v>
      </c>
      <c r="H117" s="150" t="s">
        <v>177</v>
      </c>
      <c r="I117" s="151">
        <v>44621</v>
      </c>
      <c r="J117" s="151">
        <v>45070</v>
      </c>
      <c r="K117" s="149">
        <v>2</v>
      </c>
      <c r="L117" s="149">
        <v>1</v>
      </c>
      <c r="M117" s="149">
        <v>-1</v>
      </c>
      <c r="N117" s="149">
        <v>1</v>
      </c>
      <c r="O117" s="149">
        <v>-1</v>
      </c>
      <c r="P117" s="152"/>
      <c r="Q117" s="150" t="s">
        <v>604</v>
      </c>
      <c r="R117" s="150" t="s">
        <v>349</v>
      </c>
      <c r="S117" s="151">
        <v>44274</v>
      </c>
      <c r="T117" s="151">
        <v>44328</v>
      </c>
      <c r="U117" s="152"/>
      <c r="V117" s="150" t="s">
        <v>330</v>
      </c>
      <c r="W117" s="151"/>
      <c r="X117" s="150" t="s">
        <v>331</v>
      </c>
      <c r="Y117" s="150" t="s">
        <v>350</v>
      </c>
      <c r="Z117" s="150" t="s">
        <v>334</v>
      </c>
      <c r="AA117" s="150" t="s">
        <v>18</v>
      </c>
      <c r="AB117" s="153">
        <v>1.2999999999999999E-2</v>
      </c>
      <c r="AC117" s="151">
        <v>44621</v>
      </c>
      <c r="AD117" s="150"/>
      <c r="AE117" s="151">
        <v>45070</v>
      </c>
      <c r="AF117" s="150" t="s">
        <v>70</v>
      </c>
      <c r="AG117" s="152" t="s">
        <v>352</v>
      </c>
      <c r="AH117" s="150" t="s">
        <v>326</v>
      </c>
      <c r="AI117" s="99"/>
      <c r="AJ117" s="149"/>
      <c r="AK117" s="99"/>
      <c r="AL117" s="149"/>
      <c r="AM117" s="99"/>
      <c r="AN117" s="149">
        <v>0</v>
      </c>
      <c r="AO117" s="149">
        <v>-2</v>
      </c>
      <c r="AP117" s="149">
        <v>0</v>
      </c>
      <c r="AQ117" s="149">
        <v>0</v>
      </c>
      <c r="AR117" s="149">
        <v>1</v>
      </c>
      <c r="AS117" s="149">
        <v>0</v>
      </c>
      <c r="AT117" s="149">
        <v>0</v>
      </c>
      <c r="AU117" s="149">
        <v>0</v>
      </c>
      <c r="AV117" s="149">
        <v>-2</v>
      </c>
      <c r="AW117" s="149">
        <v>0</v>
      </c>
      <c r="AX117" s="149">
        <v>0</v>
      </c>
      <c r="AY117" s="149">
        <v>0</v>
      </c>
      <c r="AZ117" s="149">
        <v>0</v>
      </c>
      <c r="BA117" s="149">
        <v>0</v>
      </c>
      <c r="BB117" s="149">
        <v>0</v>
      </c>
      <c r="BC117" s="149">
        <v>0</v>
      </c>
      <c r="BD117" s="149">
        <v>0</v>
      </c>
      <c r="BE117" s="149">
        <v>0</v>
      </c>
      <c r="BF117" s="149">
        <v>1</v>
      </c>
      <c r="BG117" s="149">
        <v>0</v>
      </c>
      <c r="BH117" s="149">
        <v>0</v>
      </c>
      <c r="BI117" s="149">
        <v>0</v>
      </c>
      <c r="BJ117" s="149">
        <v>0</v>
      </c>
      <c r="BK117" s="149">
        <v>0</v>
      </c>
      <c r="BL117" s="149">
        <v>0</v>
      </c>
      <c r="BM117" s="149">
        <v>0</v>
      </c>
      <c r="BN117" s="149">
        <v>0</v>
      </c>
      <c r="BO117" s="149">
        <v>0</v>
      </c>
      <c r="BP117" s="152"/>
      <c r="BQ117" s="152"/>
      <c r="BR117" s="154" t="s">
        <v>359</v>
      </c>
      <c r="BS117" s="136">
        <v>11</v>
      </c>
      <c r="BT117" s="267">
        <f t="shared" si="7"/>
        <v>-1</v>
      </c>
      <c r="BU117" s="267"/>
      <c r="BV117" s="267"/>
      <c r="BW117" s="267"/>
      <c r="BX117" s="267"/>
      <c r="BY117" s="267"/>
      <c r="BZ117" s="267"/>
      <c r="CA117" s="267"/>
      <c r="CB117" s="267"/>
      <c r="CC117" s="267"/>
      <c r="CD117" s="267"/>
      <c r="CE117" s="267"/>
      <c r="CF117" s="267"/>
      <c r="CG117" s="267"/>
      <c r="CH117" s="267"/>
      <c r="CI117" s="267"/>
      <c r="CJ117" s="267"/>
      <c r="CK117" s="267"/>
      <c r="CL117" s="267"/>
      <c r="CM117" s="267"/>
      <c r="CN117" s="101">
        <f t="shared" si="5"/>
        <v>0</v>
      </c>
      <c r="CO117" s="101">
        <f t="shared" si="6"/>
        <v>0</v>
      </c>
    </row>
    <row r="118" spans="1:93" ht="13.9" customHeight="1" x14ac:dyDescent="0.2">
      <c r="A118" s="149">
        <v>7361</v>
      </c>
      <c r="B118" s="150" t="s">
        <v>323</v>
      </c>
      <c r="C118" s="150" t="s">
        <v>605</v>
      </c>
      <c r="D118" s="150" t="s">
        <v>606</v>
      </c>
      <c r="E118" s="150" t="s">
        <v>326</v>
      </c>
      <c r="F118" s="149">
        <v>526027</v>
      </c>
      <c r="G118" s="149">
        <v>175089</v>
      </c>
      <c r="H118" s="150" t="s">
        <v>177</v>
      </c>
      <c r="I118" s="151">
        <v>44757</v>
      </c>
      <c r="J118" s="151">
        <v>45051</v>
      </c>
      <c r="K118" s="149">
        <v>0</v>
      </c>
      <c r="L118" s="149">
        <v>1</v>
      </c>
      <c r="M118" s="149">
        <v>1</v>
      </c>
      <c r="N118" s="149">
        <v>1</v>
      </c>
      <c r="O118" s="149">
        <v>1</v>
      </c>
      <c r="P118" s="152"/>
      <c r="Q118" s="150" t="s">
        <v>607</v>
      </c>
      <c r="R118" s="150" t="s">
        <v>407</v>
      </c>
      <c r="S118" s="151">
        <v>44272</v>
      </c>
      <c r="T118" s="151">
        <v>44327</v>
      </c>
      <c r="U118" s="152"/>
      <c r="V118" s="150" t="s">
        <v>330</v>
      </c>
      <c r="W118" s="151"/>
      <c r="X118" s="150" t="s">
        <v>331</v>
      </c>
      <c r="Y118" s="150" t="s">
        <v>332</v>
      </c>
      <c r="Z118" s="150" t="s">
        <v>334</v>
      </c>
      <c r="AA118" s="150" t="s">
        <v>29</v>
      </c>
      <c r="AB118" s="153">
        <v>6.0000000000000001E-3</v>
      </c>
      <c r="AC118" s="151">
        <v>44757</v>
      </c>
      <c r="AD118" s="150"/>
      <c r="AE118" s="151">
        <v>45051</v>
      </c>
      <c r="AF118" s="150" t="s">
        <v>70</v>
      </c>
      <c r="AG118" s="152" t="s">
        <v>352</v>
      </c>
      <c r="AH118" s="150" t="s">
        <v>326</v>
      </c>
      <c r="AI118" s="99"/>
      <c r="AJ118" s="149"/>
      <c r="AK118" s="99"/>
      <c r="AL118" s="149"/>
      <c r="AM118" s="99"/>
      <c r="AN118" s="149">
        <v>0</v>
      </c>
      <c r="AO118" s="149">
        <v>0</v>
      </c>
      <c r="AP118" s="149">
        <v>1</v>
      </c>
      <c r="AQ118" s="149">
        <v>0</v>
      </c>
      <c r="AR118" s="149">
        <v>0</v>
      </c>
      <c r="AS118" s="149">
        <v>0</v>
      </c>
      <c r="AT118" s="149">
        <v>0</v>
      </c>
      <c r="AU118" s="149">
        <v>0</v>
      </c>
      <c r="AV118" s="149">
        <v>0</v>
      </c>
      <c r="AW118" s="149">
        <v>1</v>
      </c>
      <c r="AX118" s="149">
        <v>0</v>
      </c>
      <c r="AY118" s="149">
        <v>0</v>
      </c>
      <c r="AZ118" s="149">
        <v>0</v>
      </c>
      <c r="BA118" s="149">
        <v>0</v>
      </c>
      <c r="BB118" s="149">
        <v>0</v>
      </c>
      <c r="BC118" s="149">
        <v>0</v>
      </c>
      <c r="BD118" s="149">
        <v>0</v>
      </c>
      <c r="BE118" s="149">
        <v>0</v>
      </c>
      <c r="BF118" s="149">
        <v>0</v>
      </c>
      <c r="BG118" s="149">
        <v>0</v>
      </c>
      <c r="BH118" s="149">
        <v>0</v>
      </c>
      <c r="BI118" s="149">
        <v>0</v>
      </c>
      <c r="BJ118" s="149">
        <v>0</v>
      </c>
      <c r="BK118" s="149">
        <v>0</v>
      </c>
      <c r="BL118" s="149">
        <v>0</v>
      </c>
      <c r="BM118" s="149">
        <v>0</v>
      </c>
      <c r="BN118" s="149">
        <v>0</v>
      </c>
      <c r="BO118" s="149">
        <v>0</v>
      </c>
      <c r="BP118" s="152"/>
      <c r="BQ118" s="152"/>
      <c r="BR118" s="154" t="s">
        <v>463</v>
      </c>
      <c r="BS118" s="136">
        <v>11</v>
      </c>
      <c r="BT118" s="267">
        <f t="shared" si="7"/>
        <v>1</v>
      </c>
      <c r="BU118" s="267"/>
      <c r="BV118" s="267"/>
      <c r="BW118" s="267"/>
      <c r="BX118" s="267"/>
      <c r="BY118" s="267"/>
      <c r="BZ118" s="267"/>
      <c r="CA118" s="267"/>
      <c r="CB118" s="267"/>
      <c r="CC118" s="267"/>
      <c r="CD118" s="267"/>
      <c r="CE118" s="267"/>
      <c r="CF118" s="267"/>
      <c r="CG118" s="267"/>
      <c r="CH118" s="267"/>
      <c r="CI118" s="267"/>
      <c r="CJ118" s="267"/>
      <c r="CK118" s="267"/>
      <c r="CL118" s="267"/>
      <c r="CM118" s="267"/>
      <c r="CN118" s="101">
        <f t="shared" si="5"/>
        <v>0</v>
      </c>
      <c r="CO118" s="101">
        <f t="shared" si="6"/>
        <v>0</v>
      </c>
    </row>
    <row r="119" spans="1:93" ht="13.9" customHeight="1" x14ac:dyDescent="0.2">
      <c r="A119" s="149">
        <v>5029</v>
      </c>
      <c r="B119" s="150" t="s">
        <v>323</v>
      </c>
      <c r="C119" s="150" t="s">
        <v>608</v>
      </c>
      <c r="D119" s="150" t="s">
        <v>609</v>
      </c>
      <c r="E119" s="150" t="s">
        <v>326</v>
      </c>
      <c r="F119" s="149">
        <v>527404</v>
      </c>
      <c r="G119" s="149">
        <v>176366</v>
      </c>
      <c r="H119" s="150" t="s">
        <v>170</v>
      </c>
      <c r="I119" s="151">
        <v>44958</v>
      </c>
      <c r="J119" s="151">
        <v>45205</v>
      </c>
      <c r="K119" s="149">
        <v>0</v>
      </c>
      <c r="L119" s="149">
        <v>1</v>
      </c>
      <c r="M119" s="149">
        <v>1</v>
      </c>
      <c r="N119" s="149">
        <v>1</v>
      </c>
      <c r="O119" s="149">
        <v>1</v>
      </c>
      <c r="P119" s="152"/>
      <c r="Q119" s="150" t="s">
        <v>610</v>
      </c>
      <c r="R119" s="150" t="s">
        <v>349</v>
      </c>
      <c r="S119" s="151">
        <v>44279</v>
      </c>
      <c r="T119" s="151">
        <v>44333</v>
      </c>
      <c r="U119" s="152"/>
      <c r="V119" s="150" t="s">
        <v>330</v>
      </c>
      <c r="W119" s="151"/>
      <c r="X119" s="150" t="s">
        <v>331</v>
      </c>
      <c r="Y119" s="150" t="s">
        <v>398</v>
      </c>
      <c r="Z119" s="150" t="s">
        <v>334</v>
      </c>
      <c r="AA119" s="150" t="s">
        <v>413</v>
      </c>
      <c r="AB119" s="153">
        <v>7.0000000000000001E-3</v>
      </c>
      <c r="AC119" s="151">
        <v>44958</v>
      </c>
      <c r="AD119" s="150"/>
      <c r="AE119" s="151">
        <v>45205</v>
      </c>
      <c r="AF119" s="150" t="s">
        <v>70</v>
      </c>
      <c r="AG119" s="152" t="s">
        <v>352</v>
      </c>
      <c r="AH119" s="150" t="s">
        <v>326</v>
      </c>
      <c r="AI119" s="99"/>
      <c r="AJ119" s="149"/>
      <c r="AK119" s="99"/>
      <c r="AL119" s="149"/>
      <c r="AM119" s="99"/>
      <c r="AN119" s="149">
        <v>0</v>
      </c>
      <c r="AO119" s="149">
        <v>0</v>
      </c>
      <c r="AP119" s="149">
        <v>1</v>
      </c>
      <c r="AQ119" s="149">
        <v>0</v>
      </c>
      <c r="AR119" s="149">
        <v>0</v>
      </c>
      <c r="AS119" s="149">
        <v>0</v>
      </c>
      <c r="AT119" s="149">
        <v>0</v>
      </c>
      <c r="AU119" s="149">
        <v>0</v>
      </c>
      <c r="AV119" s="149">
        <v>0</v>
      </c>
      <c r="AW119" s="149">
        <v>1</v>
      </c>
      <c r="AX119" s="149">
        <v>0</v>
      </c>
      <c r="AY119" s="149">
        <v>0</v>
      </c>
      <c r="AZ119" s="149">
        <v>0</v>
      </c>
      <c r="BA119" s="149">
        <v>0</v>
      </c>
      <c r="BB119" s="149">
        <v>0</v>
      </c>
      <c r="BC119" s="149">
        <v>0</v>
      </c>
      <c r="BD119" s="149">
        <v>0</v>
      </c>
      <c r="BE119" s="149">
        <v>0</v>
      </c>
      <c r="BF119" s="149">
        <v>0</v>
      </c>
      <c r="BG119" s="149">
        <v>0</v>
      </c>
      <c r="BH119" s="149">
        <v>0</v>
      </c>
      <c r="BI119" s="149">
        <v>0</v>
      </c>
      <c r="BJ119" s="149">
        <v>0</v>
      </c>
      <c r="BK119" s="149">
        <v>0</v>
      </c>
      <c r="BL119" s="149">
        <v>0</v>
      </c>
      <c r="BM119" s="149">
        <v>0</v>
      </c>
      <c r="BN119" s="149">
        <v>0</v>
      </c>
      <c r="BO119" s="149">
        <v>0</v>
      </c>
      <c r="BP119" s="152"/>
      <c r="BQ119" s="152"/>
      <c r="BR119" s="154" t="s">
        <v>359</v>
      </c>
      <c r="BS119" s="136">
        <v>11</v>
      </c>
      <c r="BT119" s="267">
        <f t="shared" si="7"/>
        <v>1</v>
      </c>
      <c r="BU119" s="267"/>
      <c r="BV119" s="267"/>
      <c r="BW119" s="267"/>
      <c r="BX119" s="267"/>
      <c r="BY119" s="267"/>
      <c r="BZ119" s="267"/>
      <c r="CA119" s="267"/>
      <c r="CB119" s="267"/>
      <c r="CC119" s="267"/>
      <c r="CD119" s="267"/>
      <c r="CE119" s="267"/>
      <c r="CF119" s="267"/>
      <c r="CG119" s="267"/>
      <c r="CH119" s="267"/>
      <c r="CI119" s="267"/>
      <c r="CJ119" s="267"/>
      <c r="CK119" s="267"/>
      <c r="CL119" s="267"/>
      <c r="CM119" s="267"/>
      <c r="CN119" s="101">
        <f t="shared" si="5"/>
        <v>0</v>
      </c>
      <c r="CO119" s="101">
        <f t="shared" si="6"/>
        <v>0</v>
      </c>
    </row>
    <row r="120" spans="1:93" ht="13.9" customHeight="1" x14ac:dyDescent="0.2">
      <c r="A120" s="149">
        <v>7631</v>
      </c>
      <c r="B120" s="150" t="s">
        <v>323</v>
      </c>
      <c r="C120" s="150" t="s">
        <v>611</v>
      </c>
      <c r="D120" s="150" t="s">
        <v>612</v>
      </c>
      <c r="E120" s="150" t="s">
        <v>326</v>
      </c>
      <c r="F120" s="149">
        <v>527889</v>
      </c>
      <c r="G120" s="149">
        <v>171463</v>
      </c>
      <c r="H120" s="150" t="s">
        <v>172</v>
      </c>
      <c r="I120" s="151">
        <v>44510</v>
      </c>
      <c r="J120" s="151">
        <v>45017</v>
      </c>
      <c r="K120" s="149">
        <v>1</v>
      </c>
      <c r="L120" s="149">
        <v>1</v>
      </c>
      <c r="M120" s="149">
        <v>0</v>
      </c>
      <c r="N120" s="149">
        <v>1</v>
      </c>
      <c r="O120" s="149">
        <v>0</v>
      </c>
      <c r="P120" s="152"/>
      <c r="Q120" s="150" t="s">
        <v>613</v>
      </c>
      <c r="R120" s="150" t="s">
        <v>358</v>
      </c>
      <c r="S120" s="151">
        <v>44286</v>
      </c>
      <c r="T120" s="151">
        <v>44341</v>
      </c>
      <c r="U120" s="152"/>
      <c r="V120" s="150" t="s">
        <v>330</v>
      </c>
      <c r="W120" s="151"/>
      <c r="X120" s="150" t="s">
        <v>331</v>
      </c>
      <c r="Y120" s="150" t="s">
        <v>350</v>
      </c>
      <c r="Z120" s="150" t="s">
        <v>334</v>
      </c>
      <c r="AA120" s="150" t="s">
        <v>16</v>
      </c>
      <c r="AB120" s="153">
        <v>3.4659999999999999E-3</v>
      </c>
      <c r="AC120" s="151">
        <v>44510</v>
      </c>
      <c r="AD120" s="150"/>
      <c r="AE120" s="151">
        <v>45017</v>
      </c>
      <c r="AF120" s="150" t="s">
        <v>70</v>
      </c>
      <c r="AG120" s="152" t="s">
        <v>337</v>
      </c>
      <c r="AH120" s="150" t="s">
        <v>326</v>
      </c>
      <c r="AI120" s="99"/>
      <c r="AJ120" s="149"/>
      <c r="AK120" s="99"/>
      <c r="AL120" s="149"/>
      <c r="AM120" s="99"/>
      <c r="AN120" s="149">
        <v>0</v>
      </c>
      <c r="AO120" s="149">
        <v>0</v>
      </c>
      <c r="AP120" s="149">
        <v>0</v>
      </c>
      <c r="AQ120" s="149">
        <v>0</v>
      </c>
      <c r="AR120" s="149">
        <v>-1</v>
      </c>
      <c r="AS120" s="149">
        <v>1</v>
      </c>
      <c r="AT120" s="149">
        <v>0</v>
      </c>
      <c r="AU120" s="149">
        <v>0</v>
      </c>
      <c r="AV120" s="149">
        <v>0</v>
      </c>
      <c r="AW120" s="149">
        <v>0</v>
      </c>
      <c r="AX120" s="149">
        <v>0</v>
      </c>
      <c r="AY120" s="149">
        <v>0</v>
      </c>
      <c r="AZ120" s="149">
        <v>0</v>
      </c>
      <c r="BA120" s="149">
        <v>0</v>
      </c>
      <c r="BB120" s="149">
        <v>0</v>
      </c>
      <c r="BC120" s="149">
        <v>0</v>
      </c>
      <c r="BD120" s="149">
        <v>0</v>
      </c>
      <c r="BE120" s="149">
        <v>0</v>
      </c>
      <c r="BF120" s="149">
        <v>-1</v>
      </c>
      <c r="BG120" s="149">
        <v>1</v>
      </c>
      <c r="BH120" s="149">
        <v>0</v>
      </c>
      <c r="BI120" s="149">
        <v>0</v>
      </c>
      <c r="BJ120" s="149">
        <v>0</v>
      </c>
      <c r="BK120" s="149">
        <v>0</v>
      </c>
      <c r="BL120" s="149">
        <v>0</v>
      </c>
      <c r="BM120" s="149">
        <v>0</v>
      </c>
      <c r="BN120" s="149">
        <v>0</v>
      </c>
      <c r="BO120" s="149">
        <v>0</v>
      </c>
      <c r="BP120" s="152"/>
      <c r="BQ120" s="152"/>
      <c r="BR120" s="154" t="s">
        <v>359</v>
      </c>
      <c r="BS120" s="136">
        <v>11</v>
      </c>
      <c r="BT120" s="267">
        <f t="shared" si="7"/>
        <v>0</v>
      </c>
      <c r="BU120" s="267"/>
      <c r="BV120" s="267"/>
      <c r="BW120" s="267"/>
      <c r="BX120" s="267"/>
      <c r="BY120" s="267"/>
      <c r="BZ120" s="267"/>
      <c r="CA120" s="267"/>
      <c r="CB120" s="267"/>
      <c r="CC120" s="267"/>
      <c r="CD120" s="267"/>
      <c r="CE120" s="267"/>
      <c r="CF120" s="267"/>
      <c r="CG120" s="267"/>
      <c r="CH120" s="267"/>
      <c r="CI120" s="267"/>
      <c r="CJ120" s="267"/>
      <c r="CK120" s="267"/>
      <c r="CL120" s="267"/>
      <c r="CM120" s="267"/>
      <c r="CN120" s="101">
        <f t="shared" si="5"/>
        <v>0</v>
      </c>
      <c r="CO120" s="101">
        <f t="shared" si="6"/>
        <v>0</v>
      </c>
    </row>
    <row r="121" spans="1:93" ht="13.9" customHeight="1" x14ac:dyDescent="0.2">
      <c r="A121" s="149">
        <v>6032</v>
      </c>
      <c r="B121" s="150" t="s">
        <v>323</v>
      </c>
      <c r="C121" s="150" t="s">
        <v>614</v>
      </c>
      <c r="D121" s="150" t="s">
        <v>499</v>
      </c>
      <c r="E121" s="150" t="s">
        <v>326</v>
      </c>
      <c r="F121" s="149">
        <v>524386</v>
      </c>
      <c r="G121" s="149">
        <v>175298</v>
      </c>
      <c r="H121" s="150" t="s">
        <v>171</v>
      </c>
      <c r="I121" s="151">
        <v>44411</v>
      </c>
      <c r="J121" s="151">
        <v>45156</v>
      </c>
      <c r="K121" s="149">
        <v>0</v>
      </c>
      <c r="L121" s="149">
        <v>1</v>
      </c>
      <c r="M121" s="149">
        <v>1</v>
      </c>
      <c r="N121" s="149">
        <v>1</v>
      </c>
      <c r="O121" s="149">
        <v>1</v>
      </c>
      <c r="P121" s="152"/>
      <c r="Q121" s="150" t="s">
        <v>615</v>
      </c>
      <c r="R121" s="150" t="s">
        <v>349</v>
      </c>
      <c r="S121" s="151">
        <v>44288</v>
      </c>
      <c r="T121" s="151">
        <v>44397</v>
      </c>
      <c r="U121" s="152"/>
      <c r="V121" s="150" t="s">
        <v>330</v>
      </c>
      <c r="W121" s="151"/>
      <c r="X121" s="150" t="s">
        <v>331</v>
      </c>
      <c r="Y121" s="150" t="s">
        <v>491</v>
      </c>
      <c r="Z121" s="150" t="s">
        <v>334</v>
      </c>
      <c r="AA121" s="150" t="s">
        <v>413</v>
      </c>
      <c r="AB121" s="153">
        <v>5.4000000000000003E-3</v>
      </c>
      <c r="AC121" s="151">
        <v>44411</v>
      </c>
      <c r="AD121" s="150"/>
      <c r="AE121" s="151">
        <v>45156</v>
      </c>
      <c r="AF121" s="150" t="s">
        <v>70</v>
      </c>
      <c r="AG121" s="152" t="s">
        <v>337</v>
      </c>
      <c r="AH121" s="150" t="s">
        <v>326</v>
      </c>
      <c r="AI121" s="99"/>
      <c r="AJ121" s="149"/>
      <c r="AK121" s="99"/>
      <c r="AL121" s="149"/>
      <c r="AM121" s="99"/>
      <c r="AN121" s="149">
        <v>0</v>
      </c>
      <c r="AO121" s="149">
        <v>1</v>
      </c>
      <c r="AP121" s="149">
        <v>0</v>
      </c>
      <c r="AQ121" s="149">
        <v>0</v>
      </c>
      <c r="AR121" s="149">
        <v>0</v>
      </c>
      <c r="AS121" s="149">
        <v>0</v>
      </c>
      <c r="AT121" s="149">
        <v>0</v>
      </c>
      <c r="AU121" s="149">
        <v>0</v>
      </c>
      <c r="AV121" s="149">
        <v>1</v>
      </c>
      <c r="AW121" s="149">
        <v>0</v>
      </c>
      <c r="AX121" s="149">
        <v>0</v>
      </c>
      <c r="AY121" s="149">
        <v>0</v>
      </c>
      <c r="AZ121" s="149">
        <v>0</v>
      </c>
      <c r="BA121" s="149">
        <v>0</v>
      </c>
      <c r="BB121" s="149">
        <v>0</v>
      </c>
      <c r="BC121" s="149">
        <v>0</v>
      </c>
      <c r="BD121" s="149">
        <v>0</v>
      </c>
      <c r="BE121" s="149">
        <v>0</v>
      </c>
      <c r="BF121" s="149">
        <v>0</v>
      </c>
      <c r="BG121" s="149">
        <v>0</v>
      </c>
      <c r="BH121" s="149">
        <v>0</v>
      </c>
      <c r="BI121" s="149">
        <v>0</v>
      </c>
      <c r="BJ121" s="149">
        <v>0</v>
      </c>
      <c r="BK121" s="149">
        <v>0</v>
      </c>
      <c r="BL121" s="149">
        <v>0</v>
      </c>
      <c r="BM121" s="149">
        <v>0</v>
      </c>
      <c r="BN121" s="149">
        <v>0</v>
      </c>
      <c r="BO121" s="149">
        <v>0</v>
      </c>
      <c r="BP121" s="152"/>
      <c r="BQ121" s="152"/>
      <c r="BR121" s="154" t="s">
        <v>359</v>
      </c>
      <c r="BS121" s="136">
        <v>11</v>
      </c>
      <c r="BT121" s="267">
        <f t="shared" si="7"/>
        <v>1</v>
      </c>
      <c r="BU121" s="267"/>
      <c r="BV121" s="267"/>
      <c r="BW121" s="267"/>
      <c r="BX121" s="267"/>
      <c r="BY121" s="267"/>
      <c r="BZ121" s="267"/>
      <c r="CA121" s="267"/>
      <c r="CB121" s="267"/>
      <c r="CC121" s="267"/>
      <c r="CD121" s="267"/>
      <c r="CE121" s="267"/>
      <c r="CF121" s="267"/>
      <c r="CG121" s="267"/>
      <c r="CH121" s="267"/>
      <c r="CI121" s="267"/>
      <c r="CJ121" s="267"/>
      <c r="CK121" s="267"/>
      <c r="CL121" s="267"/>
      <c r="CM121" s="267"/>
      <c r="CN121" s="101">
        <f t="shared" si="5"/>
        <v>0</v>
      </c>
      <c r="CO121" s="101">
        <f t="shared" si="6"/>
        <v>0</v>
      </c>
    </row>
    <row r="122" spans="1:93" ht="13.9" customHeight="1" x14ac:dyDescent="0.2">
      <c r="A122" s="149">
        <v>7187</v>
      </c>
      <c r="B122" s="150" t="s">
        <v>323</v>
      </c>
      <c r="C122" s="150" t="s">
        <v>616</v>
      </c>
      <c r="D122" s="150" t="s">
        <v>617</v>
      </c>
      <c r="E122" s="150" t="s">
        <v>48</v>
      </c>
      <c r="F122" s="149">
        <v>526782</v>
      </c>
      <c r="G122" s="149">
        <v>176145</v>
      </c>
      <c r="H122" s="150" t="s">
        <v>170</v>
      </c>
      <c r="I122" s="151">
        <v>44169</v>
      </c>
      <c r="J122" s="151">
        <v>45358</v>
      </c>
      <c r="K122" s="149">
        <v>0</v>
      </c>
      <c r="L122" s="149">
        <v>41</v>
      </c>
      <c r="M122" s="149">
        <v>41</v>
      </c>
      <c r="N122" s="149">
        <v>79</v>
      </c>
      <c r="O122" s="149">
        <v>79</v>
      </c>
      <c r="P122" s="152" t="s">
        <v>327</v>
      </c>
      <c r="Q122" s="150" t="s">
        <v>618</v>
      </c>
      <c r="R122" s="150" t="s">
        <v>329</v>
      </c>
      <c r="S122" s="151">
        <v>44294</v>
      </c>
      <c r="T122" s="151">
        <v>44917</v>
      </c>
      <c r="U122" s="152"/>
      <c r="V122" s="150" t="s">
        <v>330</v>
      </c>
      <c r="W122" s="151"/>
      <c r="X122" s="150" t="s">
        <v>331</v>
      </c>
      <c r="Y122" s="150" t="s">
        <v>343</v>
      </c>
      <c r="Z122" s="150" t="s">
        <v>343</v>
      </c>
      <c r="AA122" s="150" t="s">
        <v>334</v>
      </c>
      <c r="AB122" s="153">
        <v>2.1000000000000001E-2</v>
      </c>
      <c r="AC122" s="151">
        <v>44169</v>
      </c>
      <c r="AD122" s="150"/>
      <c r="AE122" s="151">
        <v>45358</v>
      </c>
      <c r="AF122" s="150" t="s">
        <v>48</v>
      </c>
      <c r="AG122" s="152" t="s">
        <v>544</v>
      </c>
      <c r="AH122" s="150" t="s">
        <v>326</v>
      </c>
      <c r="AI122" s="99"/>
      <c r="AJ122" s="149"/>
      <c r="AK122" s="99"/>
      <c r="AL122" s="149"/>
      <c r="AM122" s="138">
        <v>8</v>
      </c>
      <c r="AN122" s="149">
        <v>0</v>
      </c>
      <c r="AO122" s="149">
        <v>16</v>
      </c>
      <c r="AP122" s="149">
        <v>25</v>
      </c>
      <c r="AQ122" s="149">
        <v>0</v>
      </c>
      <c r="AR122" s="149">
        <v>0</v>
      </c>
      <c r="AS122" s="149">
        <v>0</v>
      </c>
      <c r="AT122" s="149">
        <v>0</v>
      </c>
      <c r="AU122" s="149">
        <v>0</v>
      </c>
      <c r="AV122" s="149">
        <v>16</v>
      </c>
      <c r="AW122" s="149">
        <v>25</v>
      </c>
      <c r="AX122" s="149">
        <v>0</v>
      </c>
      <c r="AY122" s="149">
        <v>0</v>
      </c>
      <c r="AZ122" s="149">
        <v>0</v>
      </c>
      <c r="BA122" s="149">
        <v>0</v>
      </c>
      <c r="BB122" s="149">
        <v>0</v>
      </c>
      <c r="BC122" s="149">
        <v>0</v>
      </c>
      <c r="BD122" s="149">
        <v>0</v>
      </c>
      <c r="BE122" s="149">
        <v>0</v>
      </c>
      <c r="BF122" s="149">
        <v>0</v>
      </c>
      <c r="BG122" s="149">
        <v>0</v>
      </c>
      <c r="BH122" s="149">
        <v>0</v>
      </c>
      <c r="BI122" s="149">
        <v>0</v>
      </c>
      <c r="BJ122" s="149">
        <v>0</v>
      </c>
      <c r="BK122" s="149">
        <v>0</v>
      </c>
      <c r="BL122" s="149">
        <v>0</v>
      </c>
      <c r="BM122" s="149">
        <v>0</v>
      </c>
      <c r="BN122" s="149">
        <v>0</v>
      </c>
      <c r="BO122" s="149">
        <v>0</v>
      </c>
      <c r="BP122" s="152"/>
      <c r="BQ122" s="152"/>
      <c r="BR122" s="154" t="s">
        <v>408</v>
      </c>
      <c r="BS122" s="136">
        <v>1</v>
      </c>
      <c r="BT122" s="267">
        <f t="shared" si="7"/>
        <v>41</v>
      </c>
      <c r="BU122" s="267"/>
      <c r="BV122" s="267"/>
      <c r="BW122" s="267"/>
      <c r="BX122" s="267"/>
      <c r="BY122" s="267"/>
      <c r="BZ122" s="267"/>
      <c r="CA122" s="267"/>
      <c r="CB122" s="267"/>
      <c r="CC122" s="267"/>
      <c r="CD122" s="267"/>
      <c r="CE122" s="267"/>
      <c r="CF122" s="267"/>
      <c r="CG122" s="267"/>
      <c r="CH122" s="267"/>
      <c r="CI122" s="267"/>
      <c r="CJ122" s="267"/>
      <c r="CK122" s="267"/>
      <c r="CL122" s="267"/>
      <c r="CM122" s="267"/>
      <c r="CN122" s="101">
        <f t="shared" si="5"/>
        <v>0</v>
      </c>
      <c r="CO122" s="101">
        <f t="shared" si="6"/>
        <v>0</v>
      </c>
    </row>
    <row r="123" spans="1:93" ht="13.9" customHeight="1" x14ac:dyDescent="0.2">
      <c r="A123" s="149">
        <v>7187</v>
      </c>
      <c r="B123" s="150" t="s">
        <v>323</v>
      </c>
      <c r="C123" s="150" t="s">
        <v>616</v>
      </c>
      <c r="D123" s="150" t="s">
        <v>617</v>
      </c>
      <c r="E123" s="150" t="s">
        <v>183</v>
      </c>
      <c r="F123" s="149">
        <v>526782</v>
      </c>
      <c r="G123" s="149">
        <v>176145</v>
      </c>
      <c r="H123" s="150" t="s">
        <v>170</v>
      </c>
      <c r="I123" s="151">
        <v>44169</v>
      </c>
      <c r="J123" s="151">
        <v>45358</v>
      </c>
      <c r="K123" s="149">
        <v>0</v>
      </c>
      <c r="L123" s="149">
        <v>38</v>
      </c>
      <c r="M123" s="149">
        <v>38</v>
      </c>
      <c r="N123" s="149">
        <v>79</v>
      </c>
      <c r="O123" s="149">
        <v>79</v>
      </c>
      <c r="P123" s="152" t="s">
        <v>327</v>
      </c>
      <c r="Q123" s="150" t="s">
        <v>618</v>
      </c>
      <c r="R123" s="150" t="s">
        <v>329</v>
      </c>
      <c r="S123" s="151">
        <v>44294</v>
      </c>
      <c r="T123" s="151">
        <v>44917</v>
      </c>
      <c r="U123" s="152"/>
      <c r="V123" s="150" t="s">
        <v>330</v>
      </c>
      <c r="W123" s="151"/>
      <c r="X123" s="150" t="s">
        <v>331</v>
      </c>
      <c r="Y123" s="150" t="s">
        <v>343</v>
      </c>
      <c r="Z123" s="150" t="s">
        <v>343</v>
      </c>
      <c r="AA123" s="150" t="s">
        <v>334</v>
      </c>
      <c r="AB123" s="153">
        <v>0.02</v>
      </c>
      <c r="AC123" s="151">
        <v>44169</v>
      </c>
      <c r="AD123" s="150"/>
      <c r="AE123" s="151">
        <v>45358</v>
      </c>
      <c r="AF123" s="150" t="s">
        <v>70</v>
      </c>
      <c r="AG123" s="152" t="s">
        <v>337</v>
      </c>
      <c r="AH123" s="150" t="s">
        <v>326</v>
      </c>
      <c r="AI123" s="99"/>
      <c r="AJ123" s="149"/>
      <c r="AK123" s="99"/>
      <c r="AL123" s="149"/>
      <c r="AM123" s="99"/>
      <c r="AN123" s="149">
        <v>0</v>
      </c>
      <c r="AO123" s="149">
        <v>8</v>
      </c>
      <c r="AP123" s="149">
        <v>28</v>
      </c>
      <c r="AQ123" s="149">
        <v>2</v>
      </c>
      <c r="AR123" s="149">
        <v>0</v>
      </c>
      <c r="AS123" s="149">
        <v>0</v>
      </c>
      <c r="AT123" s="149">
        <v>0</v>
      </c>
      <c r="AU123" s="149">
        <v>0</v>
      </c>
      <c r="AV123" s="149">
        <v>8</v>
      </c>
      <c r="AW123" s="149">
        <v>28</v>
      </c>
      <c r="AX123" s="149">
        <v>2</v>
      </c>
      <c r="AY123" s="149">
        <v>0</v>
      </c>
      <c r="AZ123" s="149">
        <v>0</v>
      </c>
      <c r="BA123" s="149">
        <v>0</v>
      </c>
      <c r="BB123" s="149">
        <v>0</v>
      </c>
      <c r="BC123" s="149">
        <v>0</v>
      </c>
      <c r="BD123" s="149">
        <v>0</v>
      </c>
      <c r="BE123" s="149">
        <v>0</v>
      </c>
      <c r="BF123" s="149">
        <v>0</v>
      </c>
      <c r="BG123" s="149">
        <v>0</v>
      </c>
      <c r="BH123" s="149">
        <v>0</v>
      </c>
      <c r="BI123" s="149">
        <v>0</v>
      </c>
      <c r="BJ123" s="149">
        <v>0</v>
      </c>
      <c r="BK123" s="149">
        <v>0</v>
      </c>
      <c r="BL123" s="149">
        <v>0</v>
      </c>
      <c r="BM123" s="149">
        <v>0</v>
      </c>
      <c r="BN123" s="149">
        <v>0</v>
      </c>
      <c r="BO123" s="149">
        <v>0</v>
      </c>
      <c r="BP123" s="152"/>
      <c r="BQ123" s="152"/>
      <c r="BR123" s="154" t="s">
        <v>408</v>
      </c>
      <c r="BS123" s="136">
        <v>1</v>
      </c>
      <c r="BT123" s="267">
        <f t="shared" si="7"/>
        <v>38</v>
      </c>
      <c r="BU123" s="267"/>
      <c r="BV123" s="267"/>
      <c r="BW123" s="267"/>
      <c r="BX123" s="267"/>
      <c r="BY123" s="267"/>
      <c r="BZ123" s="267"/>
      <c r="CA123" s="267"/>
      <c r="CB123" s="267"/>
      <c r="CC123" s="267"/>
      <c r="CD123" s="267"/>
      <c r="CE123" s="267"/>
      <c r="CF123" s="267"/>
      <c r="CG123" s="267"/>
      <c r="CH123" s="267"/>
      <c r="CI123" s="267"/>
      <c r="CJ123" s="267"/>
      <c r="CK123" s="267"/>
      <c r="CL123" s="267"/>
      <c r="CM123" s="267"/>
      <c r="CN123" s="101">
        <f t="shared" si="5"/>
        <v>0</v>
      </c>
      <c r="CO123" s="101">
        <f t="shared" si="6"/>
        <v>0</v>
      </c>
    </row>
    <row r="124" spans="1:93" ht="13.9" customHeight="1" x14ac:dyDescent="0.2">
      <c r="A124" s="149">
        <v>3046</v>
      </c>
      <c r="B124" s="150" t="s">
        <v>323</v>
      </c>
      <c r="C124" s="150" t="s">
        <v>619</v>
      </c>
      <c r="D124" s="150" t="s">
        <v>620</v>
      </c>
      <c r="E124" s="150" t="s">
        <v>326</v>
      </c>
      <c r="F124" s="149">
        <v>527378</v>
      </c>
      <c r="G124" s="149">
        <v>172911</v>
      </c>
      <c r="H124" s="150" t="s">
        <v>174</v>
      </c>
      <c r="I124" s="151">
        <v>44740</v>
      </c>
      <c r="J124" s="151">
        <v>45274</v>
      </c>
      <c r="K124" s="149">
        <v>5</v>
      </c>
      <c r="L124" s="149">
        <v>1</v>
      </c>
      <c r="M124" s="149">
        <v>-4</v>
      </c>
      <c r="N124" s="149">
        <v>1</v>
      </c>
      <c r="O124" s="149">
        <v>-4</v>
      </c>
      <c r="P124" s="152"/>
      <c r="Q124" s="150" t="s">
        <v>621</v>
      </c>
      <c r="R124" s="150" t="s">
        <v>349</v>
      </c>
      <c r="S124" s="151">
        <v>44322</v>
      </c>
      <c r="T124" s="151">
        <v>44417</v>
      </c>
      <c r="U124" s="152"/>
      <c r="V124" s="150" t="s">
        <v>330</v>
      </c>
      <c r="W124" s="151"/>
      <c r="X124" s="150" t="s">
        <v>331</v>
      </c>
      <c r="Y124" s="150" t="s">
        <v>398</v>
      </c>
      <c r="Z124" s="150" t="s">
        <v>334</v>
      </c>
      <c r="AA124" s="150" t="s">
        <v>18</v>
      </c>
      <c r="AB124" s="153">
        <v>6.4749999999999999E-3</v>
      </c>
      <c r="AC124" s="151">
        <v>44740</v>
      </c>
      <c r="AD124" s="150"/>
      <c r="AE124" s="151">
        <v>45274</v>
      </c>
      <c r="AF124" s="150" t="s">
        <v>70</v>
      </c>
      <c r="AG124" s="152" t="s">
        <v>352</v>
      </c>
      <c r="AH124" s="150" t="s">
        <v>326</v>
      </c>
      <c r="AI124" s="99"/>
      <c r="AJ124" s="149"/>
      <c r="AK124" s="102"/>
      <c r="AL124" s="149"/>
      <c r="AM124" s="102"/>
      <c r="AN124" s="149">
        <v>-4</v>
      </c>
      <c r="AO124" s="149">
        <v>-1</v>
      </c>
      <c r="AP124" s="149">
        <v>0</v>
      </c>
      <c r="AQ124" s="149">
        <v>0</v>
      </c>
      <c r="AR124" s="149">
        <v>0</v>
      </c>
      <c r="AS124" s="149">
        <v>1</v>
      </c>
      <c r="AT124" s="149">
        <v>0</v>
      </c>
      <c r="AU124" s="149">
        <v>-4</v>
      </c>
      <c r="AV124" s="149">
        <v>-1</v>
      </c>
      <c r="AW124" s="149">
        <v>0</v>
      </c>
      <c r="AX124" s="149">
        <v>0</v>
      </c>
      <c r="AY124" s="149">
        <v>0</v>
      </c>
      <c r="AZ124" s="149">
        <v>0</v>
      </c>
      <c r="BA124" s="149">
        <v>0</v>
      </c>
      <c r="BB124" s="149">
        <v>0</v>
      </c>
      <c r="BC124" s="149">
        <v>0</v>
      </c>
      <c r="BD124" s="149">
        <v>0</v>
      </c>
      <c r="BE124" s="149">
        <v>0</v>
      </c>
      <c r="BF124" s="149">
        <v>0</v>
      </c>
      <c r="BG124" s="149">
        <v>1</v>
      </c>
      <c r="BH124" s="149">
        <v>0</v>
      </c>
      <c r="BI124" s="149">
        <v>0</v>
      </c>
      <c r="BJ124" s="149">
        <v>0</v>
      </c>
      <c r="BK124" s="149">
        <v>0</v>
      </c>
      <c r="BL124" s="149">
        <v>0</v>
      </c>
      <c r="BM124" s="149">
        <v>0</v>
      </c>
      <c r="BN124" s="149">
        <v>0</v>
      </c>
      <c r="BO124" s="149">
        <v>0</v>
      </c>
      <c r="BP124" s="152"/>
      <c r="BQ124" s="152"/>
      <c r="BR124" s="154" t="s">
        <v>359</v>
      </c>
      <c r="BS124" s="136">
        <v>11</v>
      </c>
      <c r="BT124" s="267">
        <f t="shared" si="7"/>
        <v>-4</v>
      </c>
      <c r="BU124" s="267"/>
      <c r="BV124" s="267"/>
      <c r="BW124" s="267"/>
      <c r="BX124" s="267"/>
      <c r="BY124" s="267"/>
      <c r="BZ124" s="267"/>
      <c r="CA124" s="267"/>
      <c r="CB124" s="267"/>
      <c r="CC124" s="267"/>
      <c r="CD124" s="267"/>
      <c r="CE124" s="267"/>
      <c r="CF124" s="267"/>
      <c r="CG124" s="267"/>
      <c r="CH124" s="267"/>
      <c r="CI124" s="267"/>
      <c r="CJ124" s="267"/>
      <c r="CK124" s="267"/>
      <c r="CL124" s="267"/>
      <c r="CM124" s="267"/>
      <c r="CN124" s="101">
        <f t="shared" si="5"/>
        <v>0</v>
      </c>
      <c r="CO124" s="101">
        <f t="shared" si="6"/>
        <v>0</v>
      </c>
    </row>
    <row r="125" spans="1:93" ht="13.9" customHeight="1" x14ac:dyDescent="0.2">
      <c r="A125" s="149">
        <v>7653</v>
      </c>
      <c r="B125" s="150" t="s">
        <v>323</v>
      </c>
      <c r="C125" s="150" t="s">
        <v>622</v>
      </c>
      <c r="D125" s="150" t="s">
        <v>623</v>
      </c>
      <c r="E125" s="150" t="s">
        <v>326</v>
      </c>
      <c r="F125" s="149">
        <v>527507</v>
      </c>
      <c r="G125" s="149">
        <v>170721</v>
      </c>
      <c r="H125" s="150" t="s">
        <v>173</v>
      </c>
      <c r="I125" s="151">
        <v>44743</v>
      </c>
      <c r="J125" s="151">
        <v>45330</v>
      </c>
      <c r="K125" s="149">
        <v>0</v>
      </c>
      <c r="L125" s="149">
        <v>5</v>
      </c>
      <c r="M125" s="149">
        <v>5</v>
      </c>
      <c r="N125" s="149">
        <v>5</v>
      </c>
      <c r="O125" s="149">
        <v>5</v>
      </c>
      <c r="P125" s="152"/>
      <c r="Q125" s="150" t="s">
        <v>624</v>
      </c>
      <c r="R125" s="150" t="s">
        <v>349</v>
      </c>
      <c r="S125" s="151">
        <v>44361</v>
      </c>
      <c r="T125" s="151">
        <v>44523</v>
      </c>
      <c r="U125" s="152"/>
      <c r="V125" s="150" t="s">
        <v>330</v>
      </c>
      <c r="W125" s="151"/>
      <c r="X125" s="150" t="s">
        <v>331</v>
      </c>
      <c r="Y125" s="150" t="s">
        <v>343</v>
      </c>
      <c r="Z125" s="150" t="s">
        <v>334</v>
      </c>
      <c r="AA125" s="150" t="s">
        <v>363</v>
      </c>
      <c r="AB125" s="153">
        <v>1.4999999999999999E-2</v>
      </c>
      <c r="AC125" s="151">
        <v>44743</v>
      </c>
      <c r="AD125" s="150"/>
      <c r="AE125" s="151">
        <v>45330</v>
      </c>
      <c r="AF125" s="150" t="s">
        <v>70</v>
      </c>
      <c r="AG125" s="152" t="s">
        <v>352</v>
      </c>
      <c r="AH125" s="150" t="s">
        <v>326</v>
      </c>
      <c r="AI125" s="99"/>
      <c r="AJ125" s="149"/>
      <c r="AK125" s="102"/>
      <c r="AL125" s="149"/>
      <c r="AM125" s="102"/>
      <c r="AN125" s="149">
        <v>0</v>
      </c>
      <c r="AO125" s="149">
        <v>3</v>
      </c>
      <c r="AP125" s="149">
        <v>2</v>
      </c>
      <c r="AQ125" s="149">
        <v>0</v>
      </c>
      <c r="AR125" s="149">
        <v>0</v>
      </c>
      <c r="AS125" s="149">
        <v>0</v>
      </c>
      <c r="AT125" s="149">
        <v>0</v>
      </c>
      <c r="AU125" s="149">
        <v>0</v>
      </c>
      <c r="AV125" s="149">
        <v>3</v>
      </c>
      <c r="AW125" s="149">
        <v>2</v>
      </c>
      <c r="AX125" s="149">
        <v>0</v>
      </c>
      <c r="AY125" s="149">
        <v>0</v>
      </c>
      <c r="AZ125" s="149">
        <v>0</v>
      </c>
      <c r="BA125" s="149">
        <v>0</v>
      </c>
      <c r="BB125" s="149">
        <v>0</v>
      </c>
      <c r="BC125" s="149">
        <v>0</v>
      </c>
      <c r="BD125" s="149">
        <v>0</v>
      </c>
      <c r="BE125" s="149">
        <v>0</v>
      </c>
      <c r="BF125" s="149">
        <v>0</v>
      </c>
      <c r="BG125" s="149">
        <v>0</v>
      </c>
      <c r="BH125" s="149">
        <v>0</v>
      </c>
      <c r="BI125" s="149">
        <v>0</v>
      </c>
      <c r="BJ125" s="149">
        <v>0</v>
      </c>
      <c r="BK125" s="149">
        <v>0</v>
      </c>
      <c r="BL125" s="149">
        <v>0</v>
      </c>
      <c r="BM125" s="149">
        <v>0</v>
      </c>
      <c r="BN125" s="149">
        <v>0</v>
      </c>
      <c r="BO125" s="149">
        <v>0</v>
      </c>
      <c r="BP125" s="152"/>
      <c r="BQ125" s="152"/>
      <c r="BR125" s="154" t="s">
        <v>359</v>
      </c>
      <c r="BS125" s="136">
        <v>1</v>
      </c>
      <c r="BT125" s="267">
        <f t="shared" si="7"/>
        <v>5</v>
      </c>
      <c r="BU125" s="267"/>
      <c r="BV125" s="267"/>
      <c r="BW125" s="267"/>
      <c r="BX125" s="267"/>
      <c r="BY125" s="267"/>
      <c r="BZ125" s="267"/>
      <c r="CA125" s="267"/>
      <c r="CB125" s="267"/>
      <c r="CC125" s="267"/>
      <c r="CD125" s="267"/>
      <c r="CE125" s="267"/>
      <c r="CF125" s="267"/>
      <c r="CG125" s="267"/>
      <c r="CH125" s="267"/>
      <c r="CI125" s="267"/>
      <c r="CJ125" s="267"/>
      <c r="CK125" s="267"/>
      <c r="CL125" s="267"/>
      <c r="CM125" s="267"/>
      <c r="CN125" s="101">
        <f t="shared" si="5"/>
        <v>0</v>
      </c>
      <c r="CO125" s="101">
        <f t="shared" si="6"/>
        <v>0</v>
      </c>
    </row>
    <row r="126" spans="1:93" ht="13.9" customHeight="1" x14ac:dyDescent="0.2">
      <c r="A126" s="149">
        <v>3066</v>
      </c>
      <c r="B126" s="150" t="s">
        <v>323</v>
      </c>
      <c r="C126" s="150" t="s">
        <v>625</v>
      </c>
      <c r="D126" s="150" t="s">
        <v>626</v>
      </c>
      <c r="E126" s="150" t="s">
        <v>326</v>
      </c>
      <c r="F126" s="149">
        <v>523512</v>
      </c>
      <c r="G126" s="149">
        <v>175269</v>
      </c>
      <c r="H126" s="150" t="s">
        <v>179</v>
      </c>
      <c r="I126" s="151">
        <v>44651</v>
      </c>
      <c r="J126" s="151">
        <v>45091</v>
      </c>
      <c r="K126" s="149">
        <v>2</v>
      </c>
      <c r="L126" s="149">
        <v>7</v>
      </c>
      <c r="M126" s="149">
        <v>5</v>
      </c>
      <c r="N126" s="149">
        <v>7</v>
      </c>
      <c r="O126" s="149">
        <v>5</v>
      </c>
      <c r="P126" s="152"/>
      <c r="Q126" s="150" t="s">
        <v>627</v>
      </c>
      <c r="R126" s="150" t="s">
        <v>349</v>
      </c>
      <c r="S126" s="151">
        <v>44362</v>
      </c>
      <c r="T126" s="151">
        <v>44439</v>
      </c>
      <c r="U126" s="152"/>
      <c r="V126" s="150" t="s">
        <v>330</v>
      </c>
      <c r="W126" s="151"/>
      <c r="X126" s="150" t="s">
        <v>331</v>
      </c>
      <c r="Y126" s="150" t="s">
        <v>398</v>
      </c>
      <c r="Z126" s="150" t="s">
        <v>334</v>
      </c>
      <c r="AA126" s="150" t="s">
        <v>32</v>
      </c>
      <c r="AB126" s="153">
        <v>6.6000000000000003E-2</v>
      </c>
      <c r="AC126" s="151">
        <v>44651</v>
      </c>
      <c r="AD126" s="150"/>
      <c r="AE126" s="151">
        <v>45091</v>
      </c>
      <c r="AF126" s="150" t="s">
        <v>70</v>
      </c>
      <c r="AG126" s="152" t="s">
        <v>352</v>
      </c>
      <c r="AH126" s="150" t="s">
        <v>326</v>
      </c>
      <c r="AI126" s="99"/>
      <c r="AJ126" s="149"/>
      <c r="AK126" s="99"/>
      <c r="AL126" s="149"/>
      <c r="AM126" s="99"/>
      <c r="AN126" s="149">
        <v>0</v>
      </c>
      <c r="AO126" s="149">
        <v>3</v>
      </c>
      <c r="AP126" s="149">
        <v>1</v>
      </c>
      <c r="AQ126" s="149">
        <v>1</v>
      </c>
      <c r="AR126" s="149">
        <v>0</v>
      </c>
      <c r="AS126" s="149">
        <v>0</v>
      </c>
      <c r="AT126" s="149">
        <v>0</v>
      </c>
      <c r="AU126" s="149">
        <v>0</v>
      </c>
      <c r="AV126" s="149">
        <v>3</v>
      </c>
      <c r="AW126" s="149">
        <v>1</v>
      </c>
      <c r="AX126" s="149">
        <v>1</v>
      </c>
      <c r="AY126" s="149">
        <v>0</v>
      </c>
      <c r="AZ126" s="149">
        <v>0</v>
      </c>
      <c r="BA126" s="149">
        <v>0</v>
      </c>
      <c r="BB126" s="149">
        <v>0</v>
      </c>
      <c r="BC126" s="149">
        <v>0</v>
      </c>
      <c r="BD126" s="149">
        <v>0</v>
      </c>
      <c r="BE126" s="149">
        <v>0</v>
      </c>
      <c r="BF126" s="149">
        <v>0</v>
      </c>
      <c r="BG126" s="149">
        <v>0</v>
      </c>
      <c r="BH126" s="149">
        <v>0</v>
      </c>
      <c r="BI126" s="149">
        <v>0</v>
      </c>
      <c r="BJ126" s="149">
        <v>0</v>
      </c>
      <c r="BK126" s="149">
        <v>0</v>
      </c>
      <c r="BL126" s="149">
        <v>0</v>
      </c>
      <c r="BM126" s="149">
        <v>0</v>
      </c>
      <c r="BN126" s="149">
        <v>0</v>
      </c>
      <c r="BO126" s="149">
        <v>0</v>
      </c>
      <c r="BP126" s="152"/>
      <c r="BQ126" s="152"/>
      <c r="BR126" s="154" t="s">
        <v>359</v>
      </c>
      <c r="BS126" s="136">
        <v>11</v>
      </c>
      <c r="BT126" s="267">
        <f t="shared" si="7"/>
        <v>5</v>
      </c>
      <c r="BU126" s="267"/>
      <c r="BV126" s="267"/>
      <c r="BW126" s="267"/>
      <c r="BX126" s="267"/>
      <c r="BY126" s="267"/>
      <c r="BZ126" s="267"/>
      <c r="CA126" s="267"/>
      <c r="CB126" s="267"/>
      <c r="CC126" s="267"/>
      <c r="CD126" s="267"/>
      <c r="CE126" s="267"/>
      <c r="CF126" s="267"/>
      <c r="CG126" s="267"/>
      <c r="CH126" s="267"/>
      <c r="CI126" s="267"/>
      <c r="CJ126" s="267"/>
      <c r="CK126" s="267"/>
      <c r="CL126" s="267"/>
      <c r="CM126" s="267"/>
      <c r="CN126" s="101">
        <f t="shared" si="5"/>
        <v>0</v>
      </c>
      <c r="CO126" s="101">
        <f t="shared" si="6"/>
        <v>0</v>
      </c>
    </row>
    <row r="127" spans="1:93" ht="13.9" customHeight="1" x14ac:dyDescent="0.2">
      <c r="A127" s="149">
        <v>6804</v>
      </c>
      <c r="B127" s="150" t="s">
        <v>323</v>
      </c>
      <c r="C127" s="150" t="s">
        <v>628</v>
      </c>
      <c r="D127" s="150" t="s">
        <v>629</v>
      </c>
      <c r="E127" s="150" t="s">
        <v>326</v>
      </c>
      <c r="F127" s="149">
        <v>523594</v>
      </c>
      <c r="G127" s="149">
        <v>175801</v>
      </c>
      <c r="H127" s="150" t="s">
        <v>171</v>
      </c>
      <c r="I127" s="151">
        <v>45016</v>
      </c>
      <c r="J127" s="151">
        <v>45338</v>
      </c>
      <c r="K127" s="149">
        <v>2</v>
      </c>
      <c r="L127" s="149">
        <v>5</v>
      </c>
      <c r="M127" s="149">
        <v>3</v>
      </c>
      <c r="N127" s="149">
        <v>5</v>
      </c>
      <c r="O127" s="149">
        <v>3</v>
      </c>
      <c r="P127" s="152"/>
      <c r="Q127" s="150" t="s">
        <v>630</v>
      </c>
      <c r="R127" s="150" t="s">
        <v>349</v>
      </c>
      <c r="S127" s="151">
        <v>44368</v>
      </c>
      <c r="T127" s="151">
        <v>44519</v>
      </c>
      <c r="U127" s="152"/>
      <c r="V127" s="150" t="s">
        <v>330</v>
      </c>
      <c r="W127" s="151"/>
      <c r="X127" s="150" t="s">
        <v>331</v>
      </c>
      <c r="Y127" s="150" t="s">
        <v>398</v>
      </c>
      <c r="Z127" s="150" t="s">
        <v>334</v>
      </c>
      <c r="AA127" s="150" t="s">
        <v>32</v>
      </c>
      <c r="AB127" s="153">
        <v>6.8275000000000002E-3</v>
      </c>
      <c r="AC127" s="151">
        <v>45016</v>
      </c>
      <c r="AD127" s="150"/>
      <c r="AE127" s="151">
        <v>45338</v>
      </c>
      <c r="AF127" s="150" t="s">
        <v>70</v>
      </c>
      <c r="AG127" s="152" t="s">
        <v>352</v>
      </c>
      <c r="AH127" s="150" t="s">
        <v>326</v>
      </c>
      <c r="AI127" s="99"/>
      <c r="AJ127" s="149"/>
      <c r="AK127" s="99"/>
      <c r="AL127" s="149"/>
      <c r="AM127" s="99"/>
      <c r="AN127" s="149">
        <v>0</v>
      </c>
      <c r="AO127" s="149">
        <v>2</v>
      </c>
      <c r="AP127" s="149">
        <v>0</v>
      </c>
      <c r="AQ127" s="149">
        <v>1</v>
      </c>
      <c r="AR127" s="149">
        <v>0</v>
      </c>
      <c r="AS127" s="149">
        <v>0</v>
      </c>
      <c r="AT127" s="149">
        <v>0</v>
      </c>
      <c r="AU127" s="149">
        <v>0</v>
      </c>
      <c r="AV127" s="149">
        <v>2</v>
      </c>
      <c r="AW127" s="149">
        <v>0</v>
      </c>
      <c r="AX127" s="149">
        <v>1</v>
      </c>
      <c r="AY127" s="149">
        <v>0</v>
      </c>
      <c r="AZ127" s="149">
        <v>0</v>
      </c>
      <c r="BA127" s="149">
        <v>0</v>
      </c>
      <c r="BB127" s="149">
        <v>0</v>
      </c>
      <c r="BC127" s="149">
        <v>0</v>
      </c>
      <c r="BD127" s="149">
        <v>0</v>
      </c>
      <c r="BE127" s="149">
        <v>0</v>
      </c>
      <c r="BF127" s="149">
        <v>0</v>
      </c>
      <c r="BG127" s="149">
        <v>0</v>
      </c>
      <c r="BH127" s="149">
        <v>0</v>
      </c>
      <c r="BI127" s="149">
        <v>0</v>
      </c>
      <c r="BJ127" s="149">
        <v>0</v>
      </c>
      <c r="BK127" s="149">
        <v>0</v>
      </c>
      <c r="BL127" s="149">
        <v>0</v>
      </c>
      <c r="BM127" s="149">
        <v>0</v>
      </c>
      <c r="BN127" s="149">
        <v>0</v>
      </c>
      <c r="BO127" s="149">
        <v>0</v>
      </c>
      <c r="BP127" s="152"/>
      <c r="BQ127" s="152"/>
      <c r="BR127" s="154" t="s">
        <v>359</v>
      </c>
      <c r="BS127" s="136">
        <v>11</v>
      </c>
      <c r="BT127" s="267">
        <f t="shared" si="7"/>
        <v>3</v>
      </c>
      <c r="BU127" s="267"/>
      <c r="BV127" s="267"/>
      <c r="BW127" s="267"/>
      <c r="BX127" s="267"/>
      <c r="BY127" s="267"/>
      <c r="BZ127" s="267"/>
      <c r="CA127" s="267"/>
      <c r="CB127" s="267"/>
      <c r="CC127" s="267"/>
      <c r="CD127" s="267"/>
      <c r="CE127" s="267"/>
      <c r="CF127" s="267"/>
      <c r="CG127" s="267"/>
      <c r="CH127" s="267"/>
      <c r="CI127" s="267"/>
      <c r="CJ127" s="267"/>
      <c r="CK127" s="267"/>
      <c r="CL127" s="267"/>
      <c r="CM127" s="267"/>
      <c r="CN127" s="101">
        <f t="shared" si="5"/>
        <v>0</v>
      </c>
      <c r="CO127" s="101">
        <f t="shared" si="6"/>
        <v>0</v>
      </c>
    </row>
    <row r="128" spans="1:93" ht="13.9" customHeight="1" x14ac:dyDescent="0.2">
      <c r="A128" s="149">
        <v>6153</v>
      </c>
      <c r="B128" s="150" t="s">
        <v>323</v>
      </c>
      <c r="C128" s="150" t="s">
        <v>631</v>
      </c>
      <c r="D128" s="150" t="s">
        <v>632</v>
      </c>
      <c r="E128" s="150" t="s">
        <v>326</v>
      </c>
      <c r="F128" s="149">
        <v>528193</v>
      </c>
      <c r="G128" s="149">
        <v>172920</v>
      </c>
      <c r="H128" s="150" t="s">
        <v>174</v>
      </c>
      <c r="I128" s="151">
        <v>44286</v>
      </c>
      <c r="J128" s="151">
        <v>45021</v>
      </c>
      <c r="K128" s="149">
        <v>2</v>
      </c>
      <c r="L128" s="149">
        <v>1</v>
      </c>
      <c r="M128" s="149">
        <v>-1</v>
      </c>
      <c r="N128" s="149">
        <v>1</v>
      </c>
      <c r="O128" s="149">
        <v>-1</v>
      </c>
      <c r="P128" s="152"/>
      <c r="Q128" s="150" t="s">
        <v>633</v>
      </c>
      <c r="R128" s="150" t="s">
        <v>349</v>
      </c>
      <c r="S128" s="151">
        <v>44358</v>
      </c>
      <c r="T128" s="151">
        <v>44414</v>
      </c>
      <c r="U128" s="152"/>
      <c r="V128" s="150" t="s">
        <v>330</v>
      </c>
      <c r="W128" s="151"/>
      <c r="X128" s="150" t="s">
        <v>331</v>
      </c>
      <c r="Y128" s="150" t="s">
        <v>350</v>
      </c>
      <c r="Z128" s="150" t="s">
        <v>334</v>
      </c>
      <c r="AA128" s="150" t="s">
        <v>18</v>
      </c>
      <c r="AB128" s="153">
        <v>5.1166600000000003E-3</v>
      </c>
      <c r="AC128" s="151">
        <v>44286</v>
      </c>
      <c r="AD128" s="150"/>
      <c r="AE128" s="151">
        <v>45021</v>
      </c>
      <c r="AF128" s="150" t="s">
        <v>70</v>
      </c>
      <c r="AG128" s="152" t="s">
        <v>337</v>
      </c>
      <c r="AH128" s="150" t="s">
        <v>326</v>
      </c>
      <c r="AI128" s="99"/>
      <c r="AJ128" s="149"/>
      <c r="AK128" s="99"/>
      <c r="AL128" s="149"/>
      <c r="AM128" s="99"/>
      <c r="AN128" s="149">
        <v>0</v>
      </c>
      <c r="AO128" s="149">
        <v>-1</v>
      </c>
      <c r="AP128" s="149">
        <v>0</v>
      </c>
      <c r="AQ128" s="149">
        <v>-1</v>
      </c>
      <c r="AR128" s="149">
        <v>1</v>
      </c>
      <c r="AS128" s="149">
        <v>0</v>
      </c>
      <c r="AT128" s="149">
        <v>0</v>
      </c>
      <c r="AU128" s="149">
        <v>0</v>
      </c>
      <c r="AV128" s="149">
        <v>-1</v>
      </c>
      <c r="AW128" s="149">
        <v>0</v>
      </c>
      <c r="AX128" s="149">
        <v>-1</v>
      </c>
      <c r="AY128" s="149">
        <v>0</v>
      </c>
      <c r="AZ128" s="149">
        <v>0</v>
      </c>
      <c r="BA128" s="149">
        <v>0</v>
      </c>
      <c r="BB128" s="149">
        <v>0</v>
      </c>
      <c r="BC128" s="149">
        <v>0</v>
      </c>
      <c r="BD128" s="149">
        <v>0</v>
      </c>
      <c r="BE128" s="149">
        <v>0</v>
      </c>
      <c r="BF128" s="149">
        <v>1</v>
      </c>
      <c r="BG128" s="149">
        <v>0</v>
      </c>
      <c r="BH128" s="149">
        <v>0</v>
      </c>
      <c r="BI128" s="149">
        <v>0</v>
      </c>
      <c r="BJ128" s="149">
        <v>0</v>
      </c>
      <c r="BK128" s="149">
        <v>0</v>
      </c>
      <c r="BL128" s="149">
        <v>0</v>
      </c>
      <c r="BM128" s="149">
        <v>0</v>
      </c>
      <c r="BN128" s="149">
        <v>0</v>
      </c>
      <c r="BO128" s="149">
        <v>0</v>
      </c>
      <c r="BP128" s="152"/>
      <c r="BQ128" s="152"/>
      <c r="BR128" s="154" t="s">
        <v>359</v>
      </c>
      <c r="BS128" s="136">
        <v>11</v>
      </c>
      <c r="BT128" s="267">
        <f t="shared" si="7"/>
        <v>-1</v>
      </c>
      <c r="BU128" s="267"/>
      <c r="BV128" s="267"/>
      <c r="BW128" s="267"/>
      <c r="BX128" s="267"/>
      <c r="BY128" s="267"/>
      <c r="BZ128" s="267"/>
      <c r="CA128" s="267"/>
      <c r="CB128" s="267"/>
      <c r="CC128" s="267"/>
      <c r="CD128" s="267"/>
      <c r="CE128" s="267"/>
      <c r="CF128" s="267"/>
      <c r="CG128" s="267"/>
      <c r="CH128" s="267"/>
      <c r="CI128" s="267"/>
      <c r="CJ128" s="267"/>
      <c r="CK128" s="267"/>
      <c r="CL128" s="267"/>
      <c r="CM128" s="267"/>
      <c r="CN128" s="101">
        <f t="shared" si="5"/>
        <v>0</v>
      </c>
      <c r="CO128" s="101">
        <f t="shared" si="6"/>
        <v>0</v>
      </c>
    </row>
    <row r="129" spans="1:93" ht="13.9" customHeight="1" x14ac:dyDescent="0.2">
      <c r="A129" s="149">
        <v>7673</v>
      </c>
      <c r="B129" s="150" t="s">
        <v>323</v>
      </c>
      <c r="C129" s="150" t="s">
        <v>634</v>
      </c>
      <c r="D129" s="150" t="s">
        <v>635</v>
      </c>
      <c r="E129" s="150" t="s">
        <v>326</v>
      </c>
      <c r="F129" s="149">
        <v>527055</v>
      </c>
      <c r="G129" s="149">
        <v>173767</v>
      </c>
      <c r="H129" s="150" t="s">
        <v>176</v>
      </c>
      <c r="I129" s="151">
        <v>44652</v>
      </c>
      <c r="J129" s="151">
        <v>45257</v>
      </c>
      <c r="K129" s="149">
        <v>3</v>
      </c>
      <c r="L129" s="149">
        <v>1</v>
      </c>
      <c r="M129" s="149">
        <v>-2</v>
      </c>
      <c r="N129" s="149">
        <v>1</v>
      </c>
      <c r="O129" s="149">
        <v>-2</v>
      </c>
      <c r="P129" s="152"/>
      <c r="Q129" s="150" t="s">
        <v>636</v>
      </c>
      <c r="R129" s="150" t="s">
        <v>349</v>
      </c>
      <c r="S129" s="151">
        <v>44371</v>
      </c>
      <c r="T129" s="151">
        <v>44552</v>
      </c>
      <c r="U129" s="152"/>
      <c r="V129" s="150" t="s">
        <v>330</v>
      </c>
      <c r="W129" s="151"/>
      <c r="X129" s="150" t="s">
        <v>331</v>
      </c>
      <c r="Y129" s="150" t="s">
        <v>398</v>
      </c>
      <c r="Z129" s="150" t="s">
        <v>334</v>
      </c>
      <c r="AA129" s="150" t="s">
        <v>18</v>
      </c>
      <c r="AB129" s="153">
        <v>8.0000000000000002E-3</v>
      </c>
      <c r="AC129" s="151">
        <v>44652</v>
      </c>
      <c r="AD129" s="150"/>
      <c r="AE129" s="151">
        <v>45257</v>
      </c>
      <c r="AF129" s="150" t="s">
        <v>70</v>
      </c>
      <c r="AG129" s="152" t="s">
        <v>352</v>
      </c>
      <c r="AH129" s="150" t="s">
        <v>326</v>
      </c>
      <c r="AI129" s="99"/>
      <c r="AJ129" s="149"/>
      <c r="AK129" s="99"/>
      <c r="AL129" s="149"/>
      <c r="AM129" s="99"/>
      <c r="AN129" s="149">
        <v>0</v>
      </c>
      <c r="AO129" s="149">
        <v>-2</v>
      </c>
      <c r="AP129" s="149">
        <v>-1</v>
      </c>
      <c r="AQ129" s="149">
        <v>0</v>
      </c>
      <c r="AR129" s="149">
        <v>0</v>
      </c>
      <c r="AS129" s="149">
        <v>1</v>
      </c>
      <c r="AT129" s="149">
        <v>0</v>
      </c>
      <c r="AU129" s="149">
        <v>0</v>
      </c>
      <c r="AV129" s="149">
        <v>-2</v>
      </c>
      <c r="AW129" s="149">
        <v>-1</v>
      </c>
      <c r="AX129" s="149">
        <v>0</v>
      </c>
      <c r="AY129" s="149">
        <v>0</v>
      </c>
      <c r="AZ129" s="149">
        <v>0</v>
      </c>
      <c r="BA129" s="149">
        <v>0</v>
      </c>
      <c r="BB129" s="149">
        <v>0</v>
      </c>
      <c r="BC129" s="149">
        <v>0</v>
      </c>
      <c r="BD129" s="149">
        <v>0</v>
      </c>
      <c r="BE129" s="149">
        <v>0</v>
      </c>
      <c r="BF129" s="149">
        <v>0</v>
      </c>
      <c r="BG129" s="149">
        <v>1</v>
      </c>
      <c r="BH129" s="149">
        <v>0</v>
      </c>
      <c r="BI129" s="149">
        <v>0</v>
      </c>
      <c r="BJ129" s="149">
        <v>0</v>
      </c>
      <c r="BK129" s="149">
        <v>0</v>
      </c>
      <c r="BL129" s="149">
        <v>0</v>
      </c>
      <c r="BM129" s="149">
        <v>0</v>
      </c>
      <c r="BN129" s="149">
        <v>0</v>
      </c>
      <c r="BO129" s="149">
        <v>0</v>
      </c>
      <c r="BP129" s="152"/>
      <c r="BQ129" s="152"/>
      <c r="BR129" s="154" t="s">
        <v>359</v>
      </c>
      <c r="BS129" s="136">
        <v>11</v>
      </c>
      <c r="BT129" s="267">
        <f t="shared" si="7"/>
        <v>-2</v>
      </c>
      <c r="BU129" s="267"/>
      <c r="BV129" s="267"/>
      <c r="BW129" s="267"/>
      <c r="BX129" s="267"/>
      <c r="BY129" s="267"/>
      <c r="BZ129" s="267"/>
      <c r="CA129" s="267"/>
      <c r="CB129" s="267"/>
      <c r="CC129" s="267"/>
      <c r="CD129" s="267"/>
      <c r="CE129" s="267"/>
      <c r="CF129" s="267"/>
      <c r="CG129" s="267"/>
      <c r="CH129" s="267"/>
      <c r="CI129" s="267"/>
      <c r="CJ129" s="267"/>
      <c r="CK129" s="267"/>
      <c r="CL129" s="267"/>
      <c r="CM129" s="267"/>
      <c r="CN129" s="101">
        <f t="shared" si="5"/>
        <v>0</v>
      </c>
      <c r="CO129" s="101">
        <f t="shared" si="6"/>
        <v>0</v>
      </c>
    </row>
    <row r="130" spans="1:93" ht="13.9" customHeight="1" x14ac:dyDescent="0.2">
      <c r="A130" s="149">
        <v>6188</v>
      </c>
      <c r="B130" s="150" t="s">
        <v>323</v>
      </c>
      <c r="C130" s="150" t="s">
        <v>637</v>
      </c>
      <c r="D130" s="150" t="s">
        <v>638</v>
      </c>
      <c r="E130" s="150" t="s">
        <v>326</v>
      </c>
      <c r="F130" s="149">
        <v>525924</v>
      </c>
      <c r="G130" s="149">
        <v>173800</v>
      </c>
      <c r="H130" s="150" t="s">
        <v>175</v>
      </c>
      <c r="I130" s="151">
        <v>44651</v>
      </c>
      <c r="J130" s="151">
        <v>45162</v>
      </c>
      <c r="K130" s="149">
        <v>0</v>
      </c>
      <c r="L130" s="149">
        <v>5</v>
      </c>
      <c r="M130" s="149">
        <v>5</v>
      </c>
      <c r="N130" s="149">
        <v>5</v>
      </c>
      <c r="O130" s="149">
        <v>5</v>
      </c>
      <c r="P130" s="152"/>
      <c r="Q130" s="150" t="s">
        <v>639</v>
      </c>
      <c r="R130" s="150" t="s">
        <v>349</v>
      </c>
      <c r="S130" s="151">
        <v>44370</v>
      </c>
      <c r="T130" s="151">
        <v>44439</v>
      </c>
      <c r="U130" s="152"/>
      <c r="V130" s="150" t="s">
        <v>330</v>
      </c>
      <c r="W130" s="151"/>
      <c r="X130" s="150" t="s">
        <v>331</v>
      </c>
      <c r="Y130" s="150" t="s">
        <v>398</v>
      </c>
      <c r="Z130" s="150" t="s">
        <v>334</v>
      </c>
      <c r="AA130" s="150" t="s">
        <v>29</v>
      </c>
      <c r="AB130" s="153">
        <v>8.0000000000000002E-3</v>
      </c>
      <c r="AC130" s="151">
        <v>44651</v>
      </c>
      <c r="AD130" s="150"/>
      <c r="AE130" s="151">
        <v>45162</v>
      </c>
      <c r="AF130" s="150" t="s">
        <v>70</v>
      </c>
      <c r="AG130" s="152" t="s">
        <v>352</v>
      </c>
      <c r="AH130" s="150" t="s">
        <v>326</v>
      </c>
      <c r="AI130" s="99"/>
      <c r="AJ130" s="149"/>
      <c r="AK130" s="99"/>
      <c r="AL130" s="149"/>
      <c r="AM130" s="99"/>
      <c r="AN130" s="149">
        <v>0</v>
      </c>
      <c r="AO130" s="149">
        <v>1</v>
      </c>
      <c r="AP130" s="149">
        <v>4</v>
      </c>
      <c r="AQ130" s="149">
        <v>0</v>
      </c>
      <c r="AR130" s="149">
        <v>0</v>
      </c>
      <c r="AS130" s="149">
        <v>0</v>
      </c>
      <c r="AT130" s="149">
        <v>0</v>
      </c>
      <c r="AU130" s="149">
        <v>0</v>
      </c>
      <c r="AV130" s="149">
        <v>1</v>
      </c>
      <c r="AW130" s="149">
        <v>4</v>
      </c>
      <c r="AX130" s="149">
        <v>0</v>
      </c>
      <c r="AY130" s="149">
        <v>0</v>
      </c>
      <c r="AZ130" s="149">
        <v>0</v>
      </c>
      <c r="BA130" s="149">
        <v>0</v>
      </c>
      <c r="BB130" s="149">
        <v>0</v>
      </c>
      <c r="BC130" s="149">
        <v>0</v>
      </c>
      <c r="BD130" s="149">
        <v>0</v>
      </c>
      <c r="BE130" s="149">
        <v>0</v>
      </c>
      <c r="BF130" s="149">
        <v>0</v>
      </c>
      <c r="BG130" s="149">
        <v>0</v>
      </c>
      <c r="BH130" s="149">
        <v>0</v>
      </c>
      <c r="BI130" s="149">
        <v>0</v>
      </c>
      <c r="BJ130" s="149">
        <v>0</v>
      </c>
      <c r="BK130" s="149">
        <v>0</v>
      </c>
      <c r="BL130" s="149">
        <v>0</v>
      </c>
      <c r="BM130" s="149">
        <v>0</v>
      </c>
      <c r="BN130" s="149">
        <v>0</v>
      </c>
      <c r="BO130" s="149">
        <v>0</v>
      </c>
      <c r="BP130" s="152"/>
      <c r="BQ130" s="152"/>
      <c r="BR130" s="154" t="s">
        <v>151</v>
      </c>
      <c r="BS130" s="136">
        <v>11</v>
      </c>
      <c r="BT130" s="267">
        <f t="shared" ref="BT130:BT161" si="8">M130</f>
        <v>5</v>
      </c>
      <c r="BU130" s="267"/>
      <c r="BV130" s="267"/>
      <c r="BW130" s="267"/>
      <c r="BX130" s="267"/>
      <c r="BY130" s="267"/>
      <c r="BZ130" s="267"/>
      <c r="CA130" s="267"/>
      <c r="CB130" s="267"/>
      <c r="CC130" s="267"/>
      <c r="CD130" s="267"/>
      <c r="CE130" s="267"/>
      <c r="CF130" s="267"/>
      <c r="CG130" s="267"/>
      <c r="CH130" s="267"/>
      <c r="CI130" s="267"/>
      <c r="CJ130" s="267"/>
      <c r="CK130" s="267"/>
      <c r="CL130" s="267"/>
      <c r="CM130" s="267"/>
      <c r="CN130" s="101">
        <f t="shared" si="5"/>
        <v>0</v>
      </c>
      <c r="CO130" s="101">
        <f t="shared" si="6"/>
        <v>0</v>
      </c>
    </row>
    <row r="131" spans="1:93" ht="13.9" customHeight="1" x14ac:dyDescent="0.2">
      <c r="A131" s="149">
        <v>3938</v>
      </c>
      <c r="B131" s="150" t="s">
        <v>323</v>
      </c>
      <c r="C131" s="150" t="s">
        <v>640</v>
      </c>
      <c r="D131" s="150" t="s">
        <v>641</v>
      </c>
      <c r="E131" s="150" t="s">
        <v>642</v>
      </c>
      <c r="F131" s="149">
        <v>529318</v>
      </c>
      <c r="G131" s="149">
        <v>177190</v>
      </c>
      <c r="H131" s="150" t="s">
        <v>149</v>
      </c>
      <c r="I131" s="151">
        <v>42506</v>
      </c>
      <c r="J131" s="151">
        <v>45210</v>
      </c>
      <c r="K131" s="149">
        <v>0</v>
      </c>
      <c r="L131" s="149">
        <v>168</v>
      </c>
      <c r="M131" s="149">
        <v>168</v>
      </c>
      <c r="N131" s="149">
        <v>386</v>
      </c>
      <c r="O131" s="149">
        <v>386</v>
      </c>
      <c r="P131" s="152" t="s">
        <v>327</v>
      </c>
      <c r="Q131" s="150" t="s">
        <v>643</v>
      </c>
      <c r="R131" s="150" t="s">
        <v>342</v>
      </c>
      <c r="S131" s="151">
        <v>44375</v>
      </c>
      <c r="T131" s="151">
        <v>44403</v>
      </c>
      <c r="U131" s="152"/>
      <c r="V131" s="150" t="s">
        <v>330</v>
      </c>
      <c r="W131" s="151"/>
      <c r="X131" s="150" t="s">
        <v>331</v>
      </c>
      <c r="Y131" s="150" t="s">
        <v>343</v>
      </c>
      <c r="Z131" s="150" t="s">
        <v>343</v>
      </c>
      <c r="AA131" s="150" t="s">
        <v>334</v>
      </c>
      <c r="AB131" s="153">
        <v>0.309</v>
      </c>
      <c r="AC131" s="151">
        <v>43549</v>
      </c>
      <c r="AD131" s="150"/>
      <c r="AE131" s="151">
        <v>45210</v>
      </c>
      <c r="AF131" s="150" t="s">
        <v>49</v>
      </c>
      <c r="AG131" s="152" t="s">
        <v>481</v>
      </c>
      <c r="AH131" s="150" t="s">
        <v>644</v>
      </c>
      <c r="AI131" s="99"/>
      <c r="AJ131" s="149"/>
      <c r="AK131" s="138">
        <v>147</v>
      </c>
      <c r="AL131" s="149"/>
      <c r="AM131" s="138">
        <v>21</v>
      </c>
      <c r="AN131" s="149">
        <v>2</v>
      </c>
      <c r="AO131" s="149">
        <v>60</v>
      </c>
      <c r="AP131" s="149">
        <v>44</v>
      </c>
      <c r="AQ131" s="149">
        <v>30</v>
      </c>
      <c r="AR131" s="149">
        <v>32</v>
      </c>
      <c r="AS131" s="149">
        <v>0</v>
      </c>
      <c r="AT131" s="149">
        <v>0</v>
      </c>
      <c r="AU131" s="149">
        <v>2</v>
      </c>
      <c r="AV131" s="149">
        <v>60</v>
      </c>
      <c r="AW131" s="149">
        <v>44</v>
      </c>
      <c r="AX131" s="149">
        <v>30</v>
      </c>
      <c r="AY131" s="149">
        <v>32</v>
      </c>
      <c r="AZ131" s="149">
        <v>0</v>
      </c>
      <c r="BA131" s="149">
        <v>0</v>
      </c>
      <c r="BB131" s="149">
        <v>0</v>
      </c>
      <c r="BC131" s="149">
        <v>0</v>
      </c>
      <c r="BD131" s="149">
        <v>0</v>
      </c>
      <c r="BE131" s="149">
        <v>0</v>
      </c>
      <c r="BF131" s="149">
        <v>0</v>
      </c>
      <c r="BG131" s="149">
        <v>0</v>
      </c>
      <c r="BH131" s="149">
        <v>0</v>
      </c>
      <c r="BI131" s="149">
        <v>0</v>
      </c>
      <c r="BJ131" s="149">
        <v>0</v>
      </c>
      <c r="BK131" s="149">
        <v>0</v>
      </c>
      <c r="BL131" s="149">
        <v>0</v>
      </c>
      <c r="BM131" s="149">
        <v>0</v>
      </c>
      <c r="BN131" s="149">
        <v>0</v>
      </c>
      <c r="BO131" s="149">
        <v>0</v>
      </c>
      <c r="BP131" s="152"/>
      <c r="BQ131" s="152" t="s">
        <v>327</v>
      </c>
      <c r="BR131" s="154" t="s">
        <v>149</v>
      </c>
      <c r="BS131" s="136">
        <v>1</v>
      </c>
      <c r="BT131" s="267">
        <f t="shared" si="8"/>
        <v>168</v>
      </c>
      <c r="BU131" s="267"/>
      <c r="BV131" s="267"/>
      <c r="BW131" s="267"/>
      <c r="BX131" s="267"/>
      <c r="BY131" s="267"/>
      <c r="BZ131" s="267"/>
      <c r="CA131" s="267"/>
      <c r="CB131" s="267"/>
      <c r="CC131" s="267"/>
      <c r="CD131" s="267"/>
      <c r="CE131" s="267"/>
      <c r="CF131" s="267"/>
      <c r="CG131" s="267"/>
      <c r="CH131" s="267"/>
      <c r="CI131" s="267"/>
      <c r="CJ131" s="267"/>
      <c r="CK131" s="267"/>
      <c r="CL131" s="267"/>
      <c r="CM131" s="267"/>
      <c r="CN131" s="101">
        <f t="shared" ref="CN131:CN177" si="9">SUM(BU131:BY131)</f>
        <v>0</v>
      </c>
      <c r="CO131" s="101">
        <f t="shared" ref="CO131:CO177" si="10">SUM(BU131:CD131)</f>
        <v>0</v>
      </c>
    </row>
    <row r="132" spans="1:93" ht="13.9" customHeight="1" x14ac:dyDescent="0.2">
      <c r="A132" s="149">
        <v>3938</v>
      </c>
      <c r="B132" s="150" t="s">
        <v>323</v>
      </c>
      <c r="C132" s="150" t="s">
        <v>640</v>
      </c>
      <c r="D132" s="150" t="s">
        <v>641</v>
      </c>
      <c r="E132" s="150" t="s">
        <v>645</v>
      </c>
      <c r="F132" s="149">
        <v>529318</v>
      </c>
      <c r="G132" s="149">
        <v>177190</v>
      </c>
      <c r="H132" s="150" t="s">
        <v>149</v>
      </c>
      <c r="I132" s="151">
        <v>42506</v>
      </c>
      <c r="J132" s="151">
        <v>45210</v>
      </c>
      <c r="K132" s="149">
        <v>0</v>
      </c>
      <c r="L132" s="149">
        <v>82</v>
      </c>
      <c r="M132" s="149">
        <v>82</v>
      </c>
      <c r="N132" s="149">
        <v>386</v>
      </c>
      <c r="O132" s="149">
        <v>386</v>
      </c>
      <c r="P132" s="152" t="s">
        <v>327</v>
      </c>
      <c r="Q132" s="150" t="s">
        <v>643</v>
      </c>
      <c r="R132" s="150" t="s">
        <v>342</v>
      </c>
      <c r="S132" s="151">
        <v>44375</v>
      </c>
      <c r="T132" s="151">
        <v>44403</v>
      </c>
      <c r="U132" s="152"/>
      <c r="V132" s="150" t="s">
        <v>330</v>
      </c>
      <c r="W132" s="151"/>
      <c r="X132" s="150" t="s">
        <v>331</v>
      </c>
      <c r="Y132" s="150" t="s">
        <v>343</v>
      </c>
      <c r="Z132" s="150" t="s">
        <v>343</v>
      </c>
      <c r="AA132" s="150" t="s">
        <v>334</v>
      </c>
      <c r="AB132" s="153">
        <v>0.151</v>
      </c>
      <c r="AC132" s="151">
        <v>43549</v>
      </c>
      <c r="AD132" s="150"/>
      <c r="AE132" s="151">
        <v>45210</v>
      </c>
      <c r="AF132" s="150" t="s">
        <v>49</v>
      </c>
      <c r="AG132" s="152" t="s">
        <v>481</v>
      </c>
      <c r="AH132" s="150" t="s">
        <v>644</v>
      </c>
      <c r="AI132" s="99"/>
      <c r="AJ132" s="149"/>
      <c r="AK132" s="138">
        <v>77</v>
      </c>
      <c r="AL132" s="149"/>
      <c r="AM132" s="138">
        <v>5</v>
      </c>
      <c r="AN132" s="149">
        <v>0</v>
      </c>
      <c r="AO132" s="149">
        <v>0</v>
      </c>
      <c r="AP132" s="149">
        <v>40</v>
      </c>
      <c r="AQ132" s="149">
        <v>39</v>
      </c>
      <c r="AR132" s="149">
        <v>3</v>
      </c>
      <c r="AS132" s="149">
        <v>0</v>
      </c>
      <c r="AT132" s="149">
        <v>0</v>
      </c>
      <c r="AU132" s="149">
        <v>0</v>
      </c>
      <c r="AV132" s="149">
        <v>0</v>
      </c>
      <c r="AW132" s="149">
        <v>40</v>
      </c>
      <c r="AX132" s="149">
        <v>39</v>
      </c>
      <c r="AY132" s="149">
        <v>3</v>
      </c>
      <c r="AZ132" s="149">
        <v>0</v>
      </c>
      <c r="BA132" s="149">
        <v>0</v>
      </c>
      <c r="BB132" s="149">
        <v>0</v>
      </c>
      <c r="BC132" s="149">
        <v>0</v>
      </c>
      <c r="BD132" s="149">
        <v>0</v>
      </c>
      <c r="BE132" s="149">
        <v>0</v>
      </c>
      <c r="BF132" s="149">
        <v>0</v>
      </c>
      <c r="BG132" s="149">
        <v>0</v>
      </c>
      <c r="BH132" s="149">
        <v>0</v>
      </c>
      <c r="BI132" s="149">
        <v>0</v>
      </c>
      <c r="BJ132" s="149">
        <v>0</v>
      </c>
      <c r="BK132" s="149">
        <v>0</v>
      </c>
      <c r="BL132" s="149">
        <v>0</v>
      </c>
      <c r="BM132" s="149">
        <v>0</v>
      </c>
      <c r="BN132" s="149">
        <v>0</v>
      </c>
      <c r="BO132" s="149">
        <v>0</v>
      </c>
      <c r="BP132" s="152"/>
      <c r="BQ132" s="152" t="s">
        <v>327</v>
      </c>
      <c r="BR132" s="154" t="s">
        <v>149</v>
      </c>
      <c r="BS132" s="136">
        <v>1</v>
      </c>
      <c r="BT132" s="267">
        <f t="shared" si="8"/>
        <v>82</v>
      </c>
      <c r="BU132" s="267"/>
      <c r="BV132" s="267"/>
      <c r="BW132" s="267"/>
      <c r="BX132" s="267"/>
      <c r="BY132" s="267"/>
      <c r="BZ132" s="267"/>
      <c r="CA132" s="267"/>
      <c r="CB132" s="267"/>
      <c r="CC132" s="267"/>
      <c r="CD132" s="267"/>
      <c r="CE132" s="267"/>
      <c r="CF132" s="267"/>
      <c r="CG132" s="267"/>
      <c r="CH132" s="267"/>
      <c r="CI132" s="267"/>
      <c r="CJ132" s="267"/>
      <c r="CK132" s="267"/>
      <c r="CL132" s="267"/>
      <c r="CM132" s="267"/>
      <c r="CN132" s="101">
        <f t="shared" si="9"/>
        <v>0</v>
      </c>
      <c r="CO132" s="101">
        <f t="shared" si="10"/>
        <v>0</v>
      </c>
    </row>
    <row r="133" spans="1:93" ht="13.9" customHeight="1" x14ac:dyDescent="0.2">
      <c r="A133" s="149">
        <v>7787</v>
      </c>
      <c r="B133" s="150" t="s">
        <v>323</v>
      </c>
      <c r="C133" s="150" t="s">
        <v>646</v>
      </c>
      <c r="D133" s="150" t="s">
        <v>647</v>
      </c>
      <c r="E133" s="150" t="s">
        <v>326</v>
      </c>
      <c r="F133" s="149">
        <v>527051</v>
      </c>
      <c r="G133" s="149">
        <v>171896</v>
      </c>
      <c r="H133" s="150" t="s">
        <v>173</v>
      </c>
      <c r="I133" s="151">
        <v>45017</v>
      </c>
      <c r="J133" s="151">
        <v>45017</v>
      </c>
      <c r="K133" s="149">
        <v>1</v>
      </c>
      <c r="L133" s="149">
        <v>0</v>
      </c>
      <c r="M133" s="149">
        <v>-1</v>
      </c>
      <c r="N133" s="149">
        <v>0</v>
      </c>
      <c r="O133" s="149">
        <v>-1</v>
      </c>
      <c r="P133" s="152"/>
      <c r="Q133" s="150" t="s">
        <v>648</v>
      </c>
      <c r="R133" s="150" t="s">
        <v>349</v>
      </c>
      <c r="S133" s="151">
        <v>44404</v>
      </c>
      <c r="T133" s="151">
        <v>44460</v>
      </c>
      <c r="U133" s="152"/>
      <c r="V133" s="150" t="s">
        <v>330</v>
      </c>
      <c r="W133" s="151"/>
      <c r="X133" s="150" t="s">
        <v>331</v>
      </c>
      <c r="Y133" s="150" t="s">
        <v>332</v>
      </c>
      <c r="Z133" s="150" t="s">
        <v>334</v>
      </c>
      <c r="AA133" s="150" t="s">
        <v>35</v>
      </c>
      <c r="AB133" s="153">
        <v>0.182</v>
      </c>
      <c r="AC133" s="151">
        <v>45017</v>
      </c>
      <c r="AD133" s="152" t="s">
        <v>327</v>
      </c>
      <c r="AE133" s="151">
        <v>45017</v>
      </c>
      <c r="AF133" s="150" t="s">
        <v>70</v>
      </c>
      <c r="AG133" s="152" t="s">
        <v>352</v>
      </c>
      <c r="AH133" s="150" t="s">
        <v>326</v>
      </c>
      <c r="AI133" s="99"/>
      <c r="AJ133" s="149"/>
      <c r="AK133" s="99"/>
      <c r="AL133" s="149"/>
      <c r="AM133" s="99"/>
      <c r="AN133" s="149">
        <v>0</v>
      </c>
      <c r="AO133" s="149">
        <v>0</v>
      </c>
      <c r="AP133" s="149">
        <v>0</v>
      </c>
      <c r="AQ133" s="149">
        <v>0</v>
      </c>
      <c r="AR133" s="149">
        <v>0</v>
      </c>
      <c r="AS133" s="149">
        <v>-1</v>
      </c>
      <c r="AT133" s="149">
        <v>0</v>
      </c>
      <c r="AU133" s="149">
        <v>0</v>
      </c>
      <c r="AV133" s="149">
        <v>0</v>
      </c>
      <c r="AW133" s="149">
        <v>0</v>
      </c>
      <c r="AX133" s="149">
        <v>0</v>
      </c>
      <c r="AY133" s="149">
        <v>0</v>
      </c>
      <c r="AZ133" s="149">
        <v>-1</v>
      </c>
      <c r="BA133" s="149">
        <v>0</v>
      </c>
      <c r="BB133" s="149">
        <v>0</v>
      </c>
      <c r="BC133" s="149">
        <v>0</v>
      </c>
      <c r="BD133" s="149">
        <v>0</v>
      </c>
      <c r="BE133" s="149">
        <v>0</v>
      </c>
      <c r="BF133" s="149">
        <v>0</v>
      </c>
      <c r="BG133" s="149">
        <v>0</v>
      </c>
      <c r="BH133" s="149">
        <v>0</v>
      </c>
      <c r="BI133" s="149">
        <v>0</v>
      </c>
      <c r="BJ133" s="149">
        <v>0</v>
      </c>
      <c r="BK133" s="149">
        <v>0</v>
      </c>
      <c r="BL133" s="149">
        <v>0</v>
      </c>
      <c r="BM133" s="149">
        <v>0</v>
      </c>
      <c r="BN133" s="149">
        <v>0</v>
      </c>
      <c r="BO133" s="149">
        <v>0</v>
      </c>
      <c r="BP133" s="152"/>
      <c r="BQ133" s="152"/>
      <c r="BR133" s="154" t="s">
        <v>359</v>
      </c>
      <c r="BS133" s="136">
        <v>11</v>
      </c>
      <c r="BT133" s="267">
        <f t="shared" si="8"/>
        <v>-1</v>
      </c>
      <c r="BU133" s="267"/>
      <c r="BV133" s="267"/>
      <c r="BW133" s="267"/>
      <c r="BX133" s="267"/>
      <c r="BY133" s="267"/>
      <c r="BZ133" s="267"/>
      <c r="CA133" s="267"/>
      <c r="CB133" s="267"/>
      <c r="CC133" s="267"/>
      <c r="CD133" s="267"/>
      <c r="CE133" s="267"/>
      <c r="CF133" s="267"/>
      <c r="CG133" s="267"/>
      <c r="CH133" s="267"/>
      <c r="CI133" s="267"/>
      <c r="CJ133" s="267"/>
      <c r="CK133" s="267"/>
      <c r="CL133" s="267"/>
      <c r="CM133" s="267"/>
      <c r="CN133" s="101">
        <f t="shared" si="9"/>
        <v>0</v>
      </c>
      <c r="CO133" s="101">
        <f t="shared" si="10"/>
        <v>0</v>
      </c>
    </row>
    <row r="134" spans="1:93" ht="13.9" customHeight="1" x14ac:dyDescent="0.2">
      <c r="A134" s="149">
        <v>6381</v>
      </c>
      <c r="B134" s="150" t="s">
        <v>323</v>
      </c>
      <c r="C134" s="150" t="s">
        <v>649</v>
      </c>
      <c r="D134" s="150" t="s">
        <v>650</v>
      </c>
      <c r="E134" s="150" t="s">
        <v>326</v>
      </c>
      <c r="F134" s="149">
        <v>528420</v>
      </c>
      <c r="G134" s="149">
        <v>173036</v>
      </c>
      <c r="H134" s="150" t="s">
        <v>168</v>
      </c>
      <c r="I134" s="151">
        <v>44773</v>
      </c>
      <c r="J134" s="151">
        <v>45316</v>
      </c>
      <c r="K134" s="149">
        <v>0</v>
      </c>
      <c r="L134" s="149">
        <v>1</v>
      </c>
      <c r="M134" s="149">
        <v>1</v>
      </c>
      <c r="N134" s="149">
        <v>1</v>
      </c>
      <c r="O134" s="149">
        <v>1</v>
      </c>
      <c r="P134" s="152"/>
      <c r="Q134" s="150" t="s">
        <v>651</v>
      </c>
      <c r="R134" s="150" t="s">
        <v>349</v>
      </c>
      <c r="S134" s="151">
        <v>44433</v>
      </c>
      <c r="T134" s="151">
        <v>44578</v>
      </c>
      <c r="U134" s="152"/>
      <c r="V134" s="150" t="s">
        <v>330</v>
      </c>
      <c r="W134" s="151"/>
      <c r="X134" s="150" t="s">
        <v>331</v>
      </c>
      <c r="Y134" s="150" t="s">
        <v>332</v>
      </c>
      <c r="Z134" s="150" t="s">
        <v>334</v>
      </c>
      <c r="AA134" s="150" t="s">
        <v>32</v>
      </c>
      <c r="AB134" s="153">
        <v>6.0000000000000001E-3</v>
      </c>
      <c r="AC134" s="151">
        <v>44773</v>
      </c>
      <c r="AD134" s="150"/>
      <c r="AE134" s="151">
        <v>45316</v>
      </c>
      <c r="AF134" s="150" t="s">
        <v>70</v>
      </c>
      <c r="AG134" s="152" t="s">
        <v>352</v>
      </c>
      <c r="AH134" s="150" t="s">
        <v>326</v>
      </c>
      <c r="AI134" s="99"/>
      <c r="AJ134" s="149"/>
      <c r="AK134" s="99"/>
      <c r="AL134" s="149"/>
      <c r="AM134" s="99"/>
      <c r="AN134" s="149">
        <v>0</v>
      </c>
      <c r="AO134" s="149">
        <v>0</v>
      </c>
      <c r="AP134" s="149">
        <v>0</v>
      </c>
      <c r="AQ134" s="149">
        <v>1</v>
      </c>
      <c r="AR134" s="149">
        <v>0</v>
      </c>
      <c r="AS134" s="149">
        <v>0</v>
      </c>
      <c r="AT134" s="149">
        <v>0</v>
      </c>
      <c r="AU134" s="149">
        <v>0</v>
      </c>
      <c r="AV134" s="149">
        <v>0</v>
      </c>
      <c r="AW134" s="149">
        <v>0</v>
      </c>
      <c r="AX134" s="149">
        <v>0</v>
      </c>
      <c r="AY134" s="149">
        <v>0</v>
      </c>
      <c r="AZ134" s="149">
        <v>0</v>
      </c>
      <c r="BA134" s="149">
        <v>0</v>
      </c>
      <c r="BB134" s="149">
        <v>0</v>
      </c>
      <c r="BC134" s="149">
        <v>0</v>
      </c>
      <c r="BD134" s="149">
        <v>0</v>
      </c>
      <c r="BE134" s="149">
        <v>1</v>
      </c>
      <c r="BF134" s="149">
        <v>0</v>
      </c>
      <c r="BG134" s="149">
        <v>0</v>
      </c>
      <c r="BH134" s="149">
        <v>0</v>
      </c>
      <c r="BI134" s="149">
        <v>0</v>
      </c>
      <c r="BJ134" s="149">
        <v>0</v>
      </c>
      <c r="BK134" s="149">
        <v>0</v>
      </c>
      <c r="BL134" s="149">
        <v>0</v>
      </c>
      <c r="BM134" s="149">
        <v>0</v>
      </c>
      <c r="BN134" s="149">
        <v>0</v>
      </c>
      <c r="BO134" s="149">
        <v>0</v>
      </c>
      <c r="BP134" s="152"/>
      <c r="BQ134" s="152"/>
      <c r="BR134" s="154" t="s">
        <v>359</v>
      </c>
      <c r="BS134" s="136">
        <v>11</v>
      </c>
      <c r="BT134" s="267">
        <f t="shared" si="8"/>
        <v>1</v>
      </c>
      <c r="BU134" s="267"/>
      <c r="BV134" s="267"/>
      <c r="BW134" s="267"/>
      <c r="BX134" s="267"/>
      <c r="BY134" s="267"/>
      <c r="BZ134" s="267"/>
      <c r="CA134" s="267"/>
      <c r="CB134" s="267"/>
      <c r="CC134" s="267"/>
      <c r="CD134" s="267"/>
      <c r="CE134" s="267"/>
      <c r="CF134" s="267"/>
      <c r="CG134" s="267"/>
      <c r="CH134" s="267"/>
      <c r="CI134" s="267"/>
      <c r="CJ134" s="267"/>
      <c r="CK134" s="267"/>
      <c r="CL134" s="267"/>
      <c r="CM134" s="267"/>
      <c r="CN134" s="101">
        <f t="shared" si="9"/>
        <v>0</v>
      </c>
      <c r="CO134" s="101">
        <f t="shared" si="10"/>
        <v>0</v>
      </c>
    </row>
    <row r="135" spans="1:93" ht="13.9" customHeight="1" x14ac:dyDescent="0.2">
      <c r="A135" s="149">
        <v>7624</v>
      </c>
      <c r="B135" s="150" t="s">
        <v>323</v>
      </c>
      <c r="C135" s="150" t="s">
        <v>652</v>
      </c>
      <c r="D135" s="150" t="s">
        <v>653</v>
      </c>
      <c r="E135" s="150" t="s">
        <v>326</v>
      </c>
      <c r="F135" s="149">
        <v>527535</v>
      </c>
      <c r="G135" s="149">
        <v>172689</v>
      </c>
      <c r="H135" s="150" t="s">
        <v>174</v>
      </c>
      <c r="I135" s="151">
        <v>45016</v>
      </c>
      <c r="J135" s="151">
        <v>45017</v>
      </c>
      <c r="K135" s="149">
        <v>2</v>
      </c>
      <c r="L135" s="149">
        <v>1</v>
      </c>
      <c r="M135" s="149">
        <v>-1</v>
      </c>
      <c r="N135" s="149">
        <v>1</v>
      </c>
      <c r="O135" s="149">
        <v>-1</v>
      </c>
      <c r="P135" s="152"/>
      <c r="Q135" s="150" t="s">
        <v>654</v>
      </c>
      <c r="R135" s="150" t="s">
        <v>349</v>
      </c>
      <c r="S135" s="151">
        <v>44410</v>
      </c>
      <c r="T135" s="151">
        <v>44545</v>
      </c>
      <c r="U135" s="152"/>
      <c r="V135" s="150" t="s">
        <v>330</v>
      </c>
      <c r="W135" s="151"/>
      <c r="X135" s="150" t="s">
        <v>331</v>
      </c>
      <c r="Y135" s="150" t="s">
        <v>350</v>
      </c>
      <c r="Z135" s="150" t="s">
        <v>334</v>
      </c>
      <c r="AA135" s="150" t="s">
        <v>18</v>
      </c>
      <c r="AB135" s="153">
        <v>8.7226600000000001E-3</v>
      </c>
      <c r="AC135" s="151">
        <v>45016</v>
      </c>
      <c r="AD135" s="150"/>
      <c r="AE135" s="151">
        <v>45017</v>
      </c>
      <c r="AF135" s="150" t="s">
        <v>70</v>
      </c>
      <c r="AG135" s="152" t="s">
        <v>352</v>
      </c>
      <c r="AH135" s="150" t="s">
        <v>326</v>
      </c>
      <c r="AI135" s="99"/>
      <c r="AJ135" s="149"/>
      <c r="AK135" s="99"/>
      <c r="AL135" s="149"/>
      <c r="AM135" s="99"/>
      <c r="AN135" s="149">
        <v>0</v>
      </c>
      <c r="AO135" s="149">
        <v>0</v>
      </c>
      <c r="AP135" s="149">
        <v>-1</v>
      </c>
      <c r="AQ135" s="149">
        <v>0</v>
      </c>
      <c r="AR135" s="149">
        <v>0</v>
      </c>
      <c r="AS135" s="149">
        <v>0</v>
      </c>
      <c r="AT135" s="149">
        <v>0</v>
      </c>
      <c r="AU135" s="149">
        <v>0</v>
      </c>
      <c r="AV135" s="149">
        <v>0</v>
      </c>
      <c r="AW135" s="149">
        <v>-1</v>
      </c>
      <c r="AX135" s="149">
        <v>0</v>
      </c>
      <c r="AY135" s="149">
        <v>0</v>
      </c>
      <c r="AZ135" s="149">
        <v>-1</v>
      </c>
      <c r="BA135" s="149">
        <v>0</v>
      </c>
      <c r="BB135" s="149">
        <v>0</v>
      </c>
      <c r="BC135" s="149">
        <v>0</v>
      </c>
      <c r="BD135" s="149">
        <v>0</v>
      </c>
      <c r="BE135" s="149">
        <v>0</v>
      </c>
      <c r="BF135" s="149">
        <v>0</v>
      </c>
      <c r="BG135" s="149">
        <v>1</v>
      </c>
      <c r="BH135" s="149">
        <v>0</v>
      </c>
      <c r="BI135" s="149">
        <v>0</v>
      </c>
      <c r="BJ135" s="149">
        <v>0</v>
      </c>
      <c r="BK135" s="149">
        <v>0</v>
      </c>
      <c r="BL135" s="149">
        <v>0</v>
      </c>
      <c r="BM135" s="149">
        <v>0</v>
      </c>
      <c r="BN135" s="149">
        <v>0</v>
      </c>
      <c r="BO135" s="149">
        <v>0</v>
      </c>
      <c r="BP135" s="152"/>
      <c r="BQ135" s="152"/>
      <c r="BR135" s="154" t="s">
        <v>359</v>
      </c>
      <c r="BS135" s="136">
        <v>11</v>
      </c>
      <c r="BT135" s="267">
        <f t="shared" si="8"/>
        <v>-1</v>
      </c>
      <c r="BU135" s="267"/>
      <c r="BV135" s="267"/>
      <c r="BW135" s="267"/>
      <c r="BX135" s="267"/>
      <c r="BY135" s="267"/>
      <c r="BZ135" s="267"/>
      <c r="CA135" s="267"/>
      <c r="CB135" s="267"/>
      <c r="CC135" s="267"/>
      <c r="CD135" s="267"/>
      <c r="CE135" s="267"/>
      <c r="CF135" s="267"/>
      <c r="CG135" s="267"/>
      <c r="CH135" s="267"/>
      <c r="CI135" s="267"/>
      <c r="CJ135" s="267"/>
      <c r="CK135" s="267"/>
      <c r="CL135" s="267"/>
      <c r="CM135" s="267"/>
      <c r="CN135" s="101">
        <f t="shared" si="9"/>
        <v>0</v>
      </c>
      <c r="CO135" s="101">
        <f t="shared" si="10"/>
        <v>0</v>
      </c>
    </row>
    <row r="136" spans="1:93" ht="13.9" customHeight="1" x14ac:dyDescent="0.2">
      <c r="A136" s="149">
        <v>7327</v>
      </c>
      <c r="B136" s="150" t="s">
        <v>323</v>
      </c>
      <c r="C136" s="150" t="s">
        <v>655</v>
      </c>
      <c r="D136" s="150" t="s">
        <v>656</v>
      </c>
      <c r="E136" s="150" t="s">
        <v>326</v>
      </c>
      <c r="F136" s="149">
        <v>527931</v>
      </c>
      <c r="G136" s="149">
        <v>174869</v>
      </c>
      <c r="H136" s="150" t="s">
        <v>165</v>
      </c>
      <c r="I136" s="151">
        <v>44571</v>
      </c>
      <c r="J136" s="151">
        <v>45300</v>
      </c>
      <c r="K136" s="149">
        <v>2</v>
      </c>
      <c r="L136" s="149">
        <v>2</v>
      </c>
      <c r="M136" s="149">
        <v>0</v>
      </c>
      <c r="N136" s="149">
        <v>2</v>
      </c>
      <c r="O136" s="149">
        <v>0</v>
      </c>
      <c r="P136" s="152"/>
      <c r="Q136" s="150" t="s">
        <v>657</v>
      </c>
      <c r="R136" s="150" t="s">
        <v>349</v>
      </c>
      <c r="S136" s="151">
        <v>44419</v>
      </c>
      <c r="T136" s="151">
        <v>44523</v>
      </c>
      <c r="U136" s="152"/>
      <c r="V136" s="150" t="s">
        <v>330</v>
      </c>
      <c r="W136" s="151"/>
      <c r="X136" s="150" t="s">
        <v>331</v>
      </c>
      <c r="Y136" s="150" t="s">
        <v>343</v>
      </c>
      <c r="Z136" s="150" t="s">
        <v>334</v>
      </c>
      <c r="AA136" s="150" t="s">
        <v>363</v>
      </c>
      <c r="AB136" s="153">
        <v>1.4999999999999999E-2</v>
      </c>
      <c r="AC136" s="151">
        <v>44571</v>
      </c>
      <c r="AD136" s="150"/>
      <c r="AE136" s="151">
        <v>45300</v>
      </c>
      <c r="AF136" s="150" t="s">
        <v>70</v>
      </c>
      <c r="AG136" s="152" t="s">
        <v>352</v>
      </c>
      <c r="AH136" s="150" t="s">
        <v>326</v>
      </c>
      <c r="AI136" s="99"/>
      <c r="AJ136" s="138"/>
      <c r="AK136" s="102"/>
      <c r="AL136" s="138"/>
      <c r="AM136" s="102"/>
      <c r="AN136" s="149">
        <v>0</v>
      </c>
      <c r="AO136" s="149">
        <v>0</v>
      </c>
      <c r="AP136" s="149">
        <v>-2</v>
      </c>
      <c r="AQ136" s="149">
        <v>0</v>
      </c>
      <c r="AR136" s="149">
        <v>2</v>
      </c>
      <c r="AS136" s="149">
        <v>0</v>
      </c>
      <c r="AT136" s="149">
        <v>0</v>
      </c>
      <c r="AU136" s="149">
        <v>0</v>
      </c>
      <c r="AV136" s="149">
        <v>0</v>
      </c>
      <c r="AW136" s="149">
        <v>-2</v>
      </c>
      <c r="AX136" s="149">
        <v>0</v>
      </c>
      <c r="AY136" s="149">
        <v>2</v>
      </c>
      <c r="AZ136" s="149">
        <v>0</v>
      </c>
      <c r="BA136" s="149">
        <v>0</v>
      </c>
      <c r="BB136" s="149">
        <v>0</v>
      </c>
      <c r="BC136" s="149">
        <v>0</v>
      </c>
      <c r="BD136" s="149">
        <v>0</v>
      </c>
      <c r="BE136" s="149">
        <v>0</v>
      </c>
      <c r="BF136" s="149">
        <v>0</v>
      </c>
      <c r="BG136" s="149">
        <v>0</v>
      </c>
      <c r="BH136" s="149">
        <v>0</v>
      </c>
      <c r="BI136" s="149">
        <v>0</v>
      </c>
      <c r="BJ136" s="149">
        <v>0</v>
      </c>
      <c r="BK136" s="149">
        <v>0</v>
      </c>
      <c r="BL136" s="149">
        <v>0</v>
      </c>
      <c r="BM136" s="149">
        <v>0</v>
      </c>
      <c r="BN136" s="149">
        <v>0</v>
      </c>
      <c r="BO136" s="149">
        <v>0</v>
      </c>
      <c r="BP136" s="152"/>
      <c r="BQ136" s="152"/>
      <c r="BR136" s="154" t="s">
        <v>359</v>
      </c>
      <c r="BS136" s="136">
        <v>1</v>
      </c>
      <c r="BT136" s="267">
        <f t="shared" si="8"/>
        <v>0</v>
      </c>
      <c r="BU136" s="267"/>
      <c r="BV136" s="267"/>
      <c r="BW136" s="267"/>
      <c r="BX136" s="267"/>
      <c r="BY136" s="267"/>
      <c r="BZ136" s="267"/>
      <c r="CA136" s="267"/>
      <c r="CB136" s="267"/>
      <c r="CC136" s="267"/>
      <c r="CD136" s="267"/>
      <c r="CE136" s="267"/>
      <c r="CF136" s="267"/>
      <c r="CG136" s="267"/>
      <c r="CH136" s="267"/>
      <c r="CI136" s="267"/>
      <c r="CJ136" s="267"/>
      <c r="CK136" s="267"/>
      <c r="CL136" s="267"/>
      <c r="CM136" s="267"/>
      <c r="CN136" s="101">
        <f t="shared" si="9"/>
        <v>0</v>
      </c>
      <c r="CO136" s="101">
        <f t="shared" si="10"/>
        <v>0</v>
      </c>
    </row>
    <row r="137" spans="1:93" ht="13.9" customHeight="1" x14ac:dyDescent="0.2">
      <c r="A137" s="149">
        <v>4257</v>
      </c>
      <c r="B137" s="150" t="s">
        <v>323</v>
      </c>
      <c r="C137" s="150" t="s">
        <v>658</v>
      </c>
      <c r="D137" s="150" t="s">
        <v>659</v>
      </c>
      <c r="E137" s="150" t="s">
        <v>326</v>
      </c>
      <c r="F137" s="149">
        <v>527846</v>
      </c>
      <c r="G137" s="149">
        <v>172221</v>
      </c>
      <c r="H137" s="150" t="s">
        <v>172</v>
      </c>
      <c r="I137" s="151">
        <v>44651</v>
      </c>
      <c r="J137" s="151">
        <v>45069</v>
      </c>
      <c r="K137" s="149">
        <v>2</v>
      </c>
      <c r="L137" s="149">
        <v>0</v>
      </c>
      <c r="M137" s="149">
        <v>-2</v>
      </c>
      <c r="N137" s="149">
        <v>0</v>
      </c>
      <c r="O137" s="149">
        <v>-2</v>
      </c>
      <c r="P137" s="152"/>
      <c r="Q137" s="150" t="s">
        <v>660</v>
      </c>
      <c r="R137" s="150" t="s">
        <v>349</v>
      </c>
      <c r="S137" s="151">
        <v>44477</v>
      </c>
      <c r="T137" s="151">
        <v>44595</v>
      </c>
      <c r="U137" s="152"/>
      <c r="V137" s="150" t="s">
        <v>330</v>
      </c>
      <c r="W137" s="151"/>
      <c r="X137" s="150" t="s">
        <v>331</v>
      </c>
      <c r="Y137" s="150" t="s">
        <v>398</v>
      </c>
      <c r="Z137" s="150" t="s">
        <v>334</v>
      </c>
      <c r="AA137" s="150" t="s">
        <v>413</v>
      </c>
      <c r="AB137" s="153">
        <v>0</v>
      </c>
      <c r="AC137" s="151">
        <v>44651</v>
      </c>
      <c r="AD137" s="150"/>
      <c r="AE137" s="151">
        <v>45069</v>
      </c>
      <c r="AF137" s="150" t="s">
        <v>70</v>
      </c>
      <c r="AG137" s="152" t="s">
        <v>337</v>
      </c>
      <c r="AH137" s="150" t="s">
        <v>326</v>
      </c>
      <c r="AI137" s="99"/>
      <c r="AJ137" s="138"/>
      <c r="AK137" s="102"/>
      <c r="AL137" s="138"/>
      <c r="AM137" s="102"/>
      <c r="AN137" s="149">
        <v>0</v>
      </c>
      <c r="AO137" s="149">
        <v>0</v>
      </c>
      <c r="AP137" s="149">
        <v>0</v>
      </c>
      <c r="AQ137" s="149">
        <v>0</v>
      </c>
      <c r="AR137" s="149">
        <v>0</v>
      </c>
      <c r="AS137" s="149">
        <v>-2</v>
      </c>
      <c r="AT137" s="149">
        <v>0</v>
      </c>
      <c r="AU137" s="149">
        <v>0</v>
      </c>
      <c r="AV137" s="149">
        <v>0</v>
      </c>
      <c r="AW137" s="149">
        <v>0</v>
      </c>
      <c r="AX137" s="149">
        <v>0</v>
      </c>
      <c r="AY137" s="149">
        <v>0</v>
      </c>
      <c r="AZ137" s="149">
        <v>-2</v>
      </c>
      <c r="BA137" s="149">
        <v>0</v>
      </c>
      <c r="BB137" s="149">
        <v>0</v>
      </c>
      <c r="BC137" s="149">
        <v>0</v>
      </c>
      <c r="BD137" s="149">
        <v>0</v>
      </c>
      <c r="BE137" s="149">
        <v>0</v>
      </c>
      <c r="BF137" s="149">
        <v>0</v>
      </c>
      <c r="BG137" s="149">
        <v>0</v>
      </c>
      <c r="BH137" s="149">
        <v>0</v>
      </c>
      <c r="BI137" s="149">
        <v>0</v>
      </c>
      <c r="BJ137" s="149">
        <v>0</v>
      </c>
      <c r="BK137" s="149">
        <v>0</v>
      </c>
      <c r="BL137" s="149">
        <v>0</v>
      </c>
      <c r="BM137" s="149">
        <v>0</v>
      </c>
      <c r="BN137" s="149">
        <v>0</v>
      </c>
      <c r="BO137" s="149">
        <v>0</v>
      </c>
      <c r="BP137" s="152"/>
      <c r="BQ137" s="152"/>
      <c r="BR137" s="154" t="s">
        <v>359</v>
      </c>
      <c r="BS137" s="136">
        <v>11</v>
      </c>
      <c r="BT137" s="267">
        <f t="shared" si="8"/>
        <v>-2</v>
      </c>
      <c r="BU137" s="267"/>
      <c r="BV137" s="267"/>
      <c r="BW137" s="267"/>
      <c r="BX137" s="267"/>
      <c r="BY137" s="267"/>
      <c r="BZ137" s="267"/>
      <c r="CA137" s="267"/>
      <c r="CB137" s="267"/>
      <c r="CC137" s="267"/>
      <c r="CD137" s="267"/>
      <c r="CE137" s="267"/>
      <c r="CF137" s="267"/>
      <c r="CG137" s="267"/>
      <c r="CH137" s="267"/>
      <c r="CI137" s="267"/>
      <c r="CJ137" s="267"/>
      <c r="CK137" s="267"/>
      <c r="CL137" s="267"/>
      <c r="CM137" s="267"/>
      <c r="CN137" s="101">
        <f t="shared" si="9"/>
        <v>0</v>
      </c>
      <c r="CO137" s="101">
        <f t="shared" si="10"/>
        <v>0</v>
      </c>
    </row>
    <row r="138" spans="1:93" ht="13.9" customHeight="1" x14ac:dyDescent="0.2">
      <c r="A138" s="149">
        <v>7730</v>
      </c>
      <c r="B138" s="150" t="s">
        <v>323</v>
      </c>
      <c r="C138" s="150" t="s">
        <v>661</v>
      </c>
      <c r="D138" s="150" t="s">
        <v>662</v>
      </c>
      <c r="E138" s="150" t="s">
        <v>326</v>
      </c>
      <c r="F138" s="149">
        <v>523735</v>
      </c>
      <c r="G138" s="149">
        <v>175468</v>
      </c>
      <c r="H138" s="150" t="s">
        <v>171</v>
      </c>
      <c r="I138" s="151">
        <v>44809</v>
      </c>
      <c r="J138" s="151">
        <v>45177</v>
      </c>
      <c r="K138" s="149">
        <v>0</v>
      </c>
      <c r="L138" s="149">
        <v>1</v>
      </c>
      <c r="M138" s="149">
        <v>1</v>
      </c>
      <c r="N138" s="149">
        <v>1</v>
      </c>
      <c r="O138" s="149">
        <v>1</v>
      </c>
      <c r="P138" s="152"/>
      <c r="Q138" s="150" t="s">
        <v>663</v>
      </c>
      <c r="R138" s="150" t="s">
        <v>349</v>
      </c>
      <c r="S138" s="151">
        <v>44473</v>
      </c>
      <c r="T138" s="151">
        <v>44615</v>
      </c>
      <c r="U138" s="152"/>
      <c r="V138" s="150" t="s">
        <v>330</v>
      </c>
      <c r="W138" s="151"/>
      <c r="X138" s="150" t="s">
        <v>331</v>
      </c>
      <c r="Y138" s="150" t="s">
        <v>350</v>
      </c>
      <c r="Z138" s="150" t="s">
        <v>334</v>
      </c>
      <c r="AA138" s="150" t="s">
        <v>32</v>
      </c>
      <c r="AB138" s="153">
        <v>6.0000000000000001E-3</v>
      </c>
      <c r="AC138" s="151">
        <v>44809</v>
      </c>
      <c r="AD138" s="150"/>
      <c r="AE138" s="151">
        <v>45177</v>
      </c>
      <c r="AF138" s="150" t="s">
        <v>70</v>
      </c>
      <c r="AG138" s="152" t="s">
        <v>352</v>
      </c>
      <c r="AH138" s="150" t="s">
        <v>326</v>
      </c>
      <c r="AI138" s="99"/>
      <c r="AJ138" s="149"/>
      <c r="AK138" s="99"/>
      <c r="AL138" s="149"/>
      <c r="AM138" s="99"/>
      <c r="AN138" s="149">
        <v>0</v>
      </c>
      <c r="AO138" s="149">
        <v>0</v>
      </c>
      <c r="AP138" s="149">
        <v>1</v>
      </c>
      <c r="AQ138" s="149">
        <v>0</v>
      </c>
      <c r="AR138" s="149">
        <v>0</v>
      </c>
      <c r="AS138" s="149">
        <v>0</v>
      </c>
      <c r="AT138" s="149">
        <v>0</v>
      </c>
      <c r="AU138" s="149">
        <v>0</v>
      </c>
      <c r="AV138" s="149">
        <v>0</v>
      </c>
      <c r="AW138" s="149">
        <v>1</v>
      </c>
      <c r="AX138" s="149">
        <v>0</v>
      </c>
      <c r="AY138" s="149">
        <v>0</v>
      </c>
      <c r="AZ138" s="149">
        <v>0</v>
      </c>
      <c r="BA138" s="149">
        <v>0</v>
      </c>
      <c r="BB138" s="149">
        <v>0</v>
      </c>
      <c r="BC138" s="149">
        <v>0</v>
      </c>
      <c r="BD138" s="149">
        <v>0</v>
      </c>
      <c r="BE138" s="149">
        <v>0</v>
      </c>
      <c r="BF138" s="149">
        <v>0</v>
      </c>
      <c r="BG138" s="149">
        <v>0</v>
      </c>
      <c r="BH138" s="149">
        <v>0</v>
      </c>
      <c r="BI138" s="149">
        <v>0</v>
      </c>
      <c r="BJ138" s="149">
        <v>0</v>
      </c>
      <c r="BK138" s="149">
        <v>0</v>
      </c>
      <c r="BL138" s="149">
        <v>0</v>
      </c>
      <c r="BM138" s="149">
        <v>0</v>
      </c>
      <c r="BN138" s="149">
        <v>0</v>
      </c>
      <c r="BO138" s="149">
        <v>0</v>
      </c>
      <c r="BP138" s="152"/>
      <c r="BQ138" s="152"/>
      <c r="BR138" s="154" t="s">
        <v>359</v>
      </c>
      <c r="BS138" s="136">
        <v>11</v>
      </c>
      <c r="BT138" s="267">
        <f t="shared" si="8"/>
        <v>1</v>
      </c>
      <c r="BU138" s="267"/>
      <c r="BV138" s="267"/>
      <c r="BW138" s="267"/>
      <c r="BX138" s="267"/>
      <c r="BY138" s="267"/>
      <c r="BZ138" s="267"/>
      <c r="CA138" s="267"/>
      <c r="CB138" s="267"/>
      <c r="CC138" s="267"/>
      <c r="CD138" s="267"/>
      <c r="CE138" s="267"/>
      <c r="CF138" s="267"/>
      <c r="CG138" s="267"/>
      <c r="CH138" s="267"/>
      <c r="CI138" s="267"/>
      <c r="CJ138" s="267"/>
      <c r="CK138" s="267"/>
      <c r="CL138" s="267"/>
      <c r="CM138" s="267"/>
      <c r="CN138" s="101">
        <f t="shared" si="9"/>
        <v>0</v>
      </c>
      <c r="CO138" s="101">
        <f t="shared" si="10"/>
        <v>0</v>
      </c>
    </row>
    <row r="139" spans="1:93" ht="13.9" customHeight="1" x14ac:dyDescent="0.2">
      <c r="A139" s="149">
        <v>7781</v>
      </c>
      <c r="B139" s="150" t="s">
        <v>323</v>
      </c>
      <c r="C139" s="150" t="s">
        <v>664</v>
      </c>
      <c r="D139" s="150" t="s">
        <v>665</v>
      </c>
      <c r="E139" s="150" t="s">
        <v>326</v>
      </c>
      <c r="F139" s="149">
        <v>527713</v>
      </c>
      <c r="G139" s="149">
        <v>175549</v>
      </c>
      <c r="H139" s="150" t="s">
        <v>167</v>
      </c>
      <c r="I139" s="151">
        <v>44652</v>
      </c>
      <c r="J139" s="151">
        <v>45024</v>
      </c>
      <c r="K139" s="149">
        <v>1</v>
      </c>
      <c r="L139" s="149">
        <v>4</v>
      </c>
      <c r="M139" s="149">
        <v>3</v>
      </c>
      <c r="N139" s="149">
        <v>4</v>
      </c>
      <c r="O139" s="149">
        <v>3</v>
      </c>
      <c r="P139" s="152"/>
      <c r="Q139" s="150" t="s">
        <v>666</v>
      </c>
      <c r="R139" s="150" t="s">
        <v>349</v>
      </c>
      <c r="S139" s="151">
        <v>44494</v>
      </c>
      <c r="T139" s="151">
        <v>44623</v>
      </c>
      <c r="U139" s="152"/>
      <c r="V139" s="150" t="s">
        <v>330</v>
      </c>
      <c r="W139" s="151"/>
      <c r="X139" s="150" t="s">
        <v>331</v>
      </c>
      <c r="Y139" s="150" t="s">
        <v>398</v>
      </c>
      <c r="Z139" s="150" t="s">
        <v>334</v>
      </c>
      <c r="AA139" s="150" t="s">
        <v>351</v>
      </c>
      <c r="AB139" s="153">
        <v>5.3499999999999997E-3</v>
      </c>
      <c r="AC139" s="151">
        <v>44652</v>
      </c>
      <c r="AD139" s="150"/>
      <c r="AE139" s="151">
        <v>45024</v>
      </c>
      <c r="AF139" s="150" t="s">
        <v>70</v>
      </c>
      <c r="AG139" s="152" t="s">
        <v>352</v>
      </c>
      <c r="AH139" s="150" t="s">
        <v>326</v>
      </c>
      <c r="AI139" s="99"/>
      <c r="AJ139" s="149"/>
      <c r="AK139" s="99"/>
      <c r="AL139" s="149"/>
      <c r="AM139" s="99"/>
      <c r="AN139" s="149">
        <v>0</v>
      </c>
      <c r="AO139" s="149">
        <v>2</v>
      </c>
      <c r="AP139" s="149">
        <v>2</v>
      </c>
      <c r="AQ139" s="149">
        <v>0</v>
      </c>
      <c r="AR139" s="149">
        <v>0</v>
      </c>
      <c r="AS139" s="149">
        <v>-1</v>
      </c>
      <c r="AT139" s="149">
        <v>0</v>
      </c>
      <c r="AU139" s="149">
        <v>0</v>
      </c>
      <c r="AV139" s="149">
        <v>2</v>
      </c>
      <c r="AW139" s="149">
        <v>2</v>
      </c>
      <c r="AX139" s="149">
        <v>0</v>
      </c>
      <c r="AY139" s="149">
        <v>0</v>
      </c>
      <c r="AZ139" s="149">
        <v>-1</v>
      </c>
      <c r="BA139" s="149">
        <v>0</v>
      </c>
      <c r="BB139" s="149">
        <v>0</v>
      </c>
      <c r="BC139" s="149">
        <v>0</v>
      </c>
      <c r="BD139" s="149">
        <v>0</v>
      </c>
      <c r="BE139" s="149">
        <v>0</v>
      </c>
      <c r="BF139" s="149">
        <v>0</v>
      </c>
      <c r="BG139" s="149">
        <v>0</v>
      </c>
      <c r="BH139" s="149">
        <v>0</v>
      </c>
      <c r="BI139" s="149">
        <v>0</v>
      </c>
      <c r="BJ139" s="149">
        <v>0</v>
      </c>
      <c r="BK139" s="149">
        <v>0</v>
      </c>
      <c r="BL139" s="149">
        <v>0</v>
      </c>
      <c r="BM139" s="149">
        <v>0</v>
      </c>
      <c r="BN139" s="149">
        <v>0</v>
      </c>
      <c r="BO139" s="149">
        <v>0</v>
      </c>
      <c r="BP139" s="152" t="s">
        <v>140</v>
      </c>
      <c r="BQ139" s="152"/>
      <c r="BR139" s="154" t="s">
        <v>148</v>
      </c>
      <c r="BS139" s="136">
        <v>11</v>
      </c>
      <c r="BT139" s="267">
        <f t="shared" si="8"/>
        <v>3</v>
      </c>
      <c r="BU139" s="267"/>
      <c r="BV139" s="267"/>
      <c r="BW139" s="267"/>
      <c r="BX139" s="267"/>
      <c r="BY139" s="267"/>
      <c r="BZ139" s="267"/>
      <c r="CA139" s="267"/>
      <c r="CB139" s="267"/>
      <c r="CC139" s="267"/>
      <c r="CD139" s="267"/>
      <c r="CE139" s="267"/>
      <c r="CF139" s="267"/>
      <c r="CG139" s="267"/>
      <c r="CH139" s="267"/>
      <c r="CI139" s="267"/>
      <c r="CJ139" s="267"/>
      <c r="CK139" s="267"/>
      <c r="CL139" s="267"/>
      <c r="CM139" s="267"/>
      <c r="CN139" s="101">
        <f t="shared" si="9"/>
        <v>0</v>
      </c>
      <c r="CO139" s="101">
        <f t="shared" si="10"/>
        <v>0</v>
      </c>
    </row>
    <row r="140" spans="1:93" ht="13.9" customHeight="1" x14ac:dyDescent="0.2">
      <c r="A140" s="149">
        <v>4396</v>
      </c>
      <c r="B140" s="150" t="s">
        <v>323</v>
      </c>
      <c r="C140" s="150" t="s">
        <v>667</v>
      </c>
      <c r="D140" s="150" t="s">
        <v>668</v>
      </c>
      <c r="E140" s="150" t="s">
        <v>326</v>
      </c>
      <c r="F140" s="149">
        <v>525854</v>
      </c>
      <c r="G140" s="149">
        <v>173217</v>
      </c>
      <c r="H140" s="150" t="s">
        <v>175</v>
      </c>
      <c r="I140" s="151">
        <v>44903</v>
      </c>
      <c r="J140" s="151">
        <v>45379</v>
      </c>
      <c r="K140" s="149">
        <v>1</v>
      </c>
      <c r="L140" s="149">
        <v>2</v>
      </c>
      <c r="M140" s="149">
        <v>1</v>
      </c>
      <c r="N140" s="149">
        <v>2</v>
      </c>
      <c r="O140" s="149">
        <v>1</v>
      </c>
      <c r="P140" s="152"/>
      <c r="Q140" s="150" t="s">
        <v>669</v>
      </c>
      <c r="R140" s="150" t="s">
        <v>349</v>
      </c>
      <c r="S140" s="151">
        <v>44508</v>
      </c>
      <c r="T140" s="151">
        <v>44624</v>
      </c>
      <c r="U140" s="152"/>
      <c r="V140" s="150" t="s">
        <v>330</v>
      </c>
      <c r="W140" s="151"/>
      <c r="X140" s="150" t="s">
        <v>331</v>
      </c>
      <c r="Y140" s="150" t="s">
        <v>398</v>
      </c>
      <c r="Z140" s="150" t="s">
        <v>334</v>
      </c>
      <c r="AA140" s="150" t="s">
        <v>413</v>
      </c>
      <c r="AB140" s="153">
        <v>3.0000000000000001E-3</v>
      </c>
      <c r="AC140" s="151">
        <v>44903</v>
      </c>
      <c r="AD140" s="150"/>
      <c r="AE140" s="151">
        <v>45379</v>
      </c>
      <c r="AF140" s="150" t="s">
        <v>70</v>
      </c>
      <c r="AG140" s="152" t="s">
        <v>352</v>
      </c>
      <c r="AH140" s="150" t="s">
        <v>326</v>
      </c>
      <c r="AI140" s="99"/>
      <c r="AJ140" s="149"/>
      <c r="AK140" s="99"/>
      <c r="AL140" s="149"/>
      <c r="AM140" s="99"/>
      <c r="AN140" s="149">
        <v>0</v>
      </c>
      <c r="AO140" s="149">
        <v>2</v>
      </c>
      <c r="AP140" s="149">
        <v>0</v>
      </c>
      <c r="AQ140" s="149">
        <v>-1</v>
      </c>
      <c r="AR140" s="149">
        <v>0</v>
      </c>
      <c r="AS140" s="149">
        <v>0</v>
      </c>
      <c r="AT140" s="149">
        <v>0</v>
      </c>
      <c r="AU140" s="149">
        <v>0</v>
      </c>
      <c r="AV140" s="149">
        <v>2</v>
      </c>
      <c r="AW140" s="149">
        <v>0</v>
      </c>
      <c r="AX140" s="149">
        <v>-1</v>
      </c>
      <c r="AY140" s="149">
        <v>0</v>
      </c>
      <c r="AZ140" s="149">
        <v>0</v>
      </c>
      <c r="BA140" s="149">
        <v>0</v>
      </c>
      <c r="BB140" s="149">
        <v>0</v>
      </c>
      <c r="BC140" s="149">
        <v>0</v>
      </c>
      <c r="BD140" s="149">
        <v>0</v>
      </c>
      <c r="BE140" s="149">
        <v>0</v>
      </c>
      <c r="BF140" s="149">
        <v>0</v>
      </c>
      <c r="BG140" s="149">
        <v>0</v>
      </c>
      <c r="BH140" s="149">
        <v>0</v>
      </c>
      <c r="BI140" s="149">
        <v>0</v>
      </c>
      <c r="BJ140" s="149">
        <v>0</v>
      </c>
      <c r="BK140" s="149">
        <v>0</v>
      </c>
      <c r="BL140" s="149">
        <v>0</v>
      </c>
      <c r="BM140" s="149">
        <v>0</v>
      </c>
      <c r="BN140" s="149">
        <v>0</v>
      </c>
      <c r="BO140" s="149">
        <v>0</v>
      </c>
      <c r="BP140" s="152"/>
      <c r="BQ140" s="152"/>
      <c r="BR140" s="154" t="s">
        <v>151</v>
      </c>
      <c r="BS140" s="136">
        <v>11</v>
      </c>
      <c r="BT140" s="267">
        <f t="shared" si="8"/>
        <v>1</v>
      </c>
      <c r="BU140" s="267"/>
      <c r="BV140" s="267"/>
      <c r="BW140" s="267"/>
      <c r="BX140" s="267"/>
      <c r="BY140" s="267"/>
      <c r="BZ140" s="267"/>
      <c r="CA140" s="267"/>
      <c r="CB140" s="267"/>
      <c r="CC140" s="267"/>
      <c r="CD140" s="267"/>
      <c r="CE140" s="267"/>
      <c r="CF140" s="267"/>
      <c r="CG140" s="267"/>
      <c r="CH140" s="267"/>
      <c r="CI140" s="267"/>
      <c r="CJ140" s="267"/>
      <c r="CK140" s="267"/>
      <c r="CL140" s="267"/>
      <c r="CM140" s="267"/>
      <c r="CN140" s="101">
        <f t="shared" si="9"/>
        <v>0</v>
      </c>
      <c r="CO140" s="101">
        <f t="shared" si="10"/>
        <v>0</v>
      </c>
    </row>
    <row r="141" spans="1:93" ht="13.9" customHeight="1" x14ac:dyDescent="0.2">
      <c r="A141" s="149">
        <v>7593</v>
      </c>
      <c r="B141" s="150" t="s">
        <v>323</v>
      </c>
      <c r="C141" s="150" t="s">
        <v>670</v>
      </c>
      <c r="D141" s="150" t="s">
        <v>671</v>
      </c>
      <c r="E141" s="150" t="s">
        <v>326</v>
      </c>
      <c r="F141" s="149">
        <v>524313</v>
      </c>
      <c r="G141" s="149">
        <v>175351</v>
      </c>
      <c r="H141" s="150" t="s">
        <v>171</v>
      </c>
      <c r="I141" s="151">
        <v>44651</v>
      </c>
      <c r="J141" s="151"/>
      <c r="K141" s="149">
        <v>0</v>
      </c>
      <c r="L141" s="149">
        <v>2</v>
      </c>
      <c r="M141" s="149">
        <v>2</v>
      </c>
      <c r="N141" s="149">
        <v>3</v>
      </c>
      <c r="O141" s="149">
        <v>3</v>
      </c>
      <c r="P141" s="152"/>
      <c r="Q141" s="150" t="s">
        <v>672</v>
      </c>
      <c r="R141" s="150" t="s">
        <v>349</v>
      </c>
      <c r="S141" s="151">
        <v>44474</v>
      </c>
      <c r="T141" s="151">
        <v>44553</v>
      </c>
      <c r="U141" s="152"/>
      <c r="V141" s="150" t="s">
        <v>330</v>
      </c>
      <c r="W141" s="151"/>
      <c r="X141" s="150" t="s">
        <v>331</v>
      </c>
      <c r="Y141" s="150" t="s">
        <v>398</v>
      </c>
      <c r="Z141" s="150" t="s">
        <v>334</v>
      </c>
      <c r="AA141" s="150" t="s">
        <v>26</v>
      </c>
      <c r="AB141" s="153">
        <v>1.7999999999999999E-2</v>
      </c>
      <c r="AC141" s="151">
        <v>44651</v>
      </c>
      <c r="AD141" s="150"/>
      <c r="AE141" s="151">
        <v>45199</v>
      </c>
      <c r="AF141" s="150" t="s">
        <v>70</v>
      </c>
      <c r="AG141" s="152" t="s">
        <v>352</v>
      </c>
      <c r="AH141" s="150" t="s">
        <v>326</v>
      </c>
      <c r="AI141" s="99"/>
      <c r="AJ141" s="149"/>
      <c r="AK141" s="99"/>
      <c r="AL141" s="149"/>
      <c r="AM141" s="99"/>
      <c r="AN141" s="149">
        <v>0</v>
      </c>
      <c r="AO141" s="149">
        <v>0</v>
      </c>
      <c r="AP141" s="149">
        <v>2</v>
      </c>
      <c r="AQ141" s="149">
        <v>0</v>
      </c>
      <c r="AR141" s="149">
        <v>0</v>
      </c>
      <c r="AS141" s="149">
        <v>0</v>
      </c>
      <c r="AT141" s="149">
        <v>0</v>
      </c>
      <c r="AU141" s="149">
        <v>0</v>
      </c>
      <c r="AV141" s="149">
        <v>0</v>
      </c>
      <c r="AW141" s="149">
        <v>2</v>
      </c>
      <c r="AX141" s="149">
        <v>0</v>
      </c>
      <c r="AY141" s="149">
        <v>0</v>
      </c>
      <c r="AZ141" s="149">
        <v>0</v>
      </c>
      <c r="BA141" s="149">
        <v>0</v>
      </c>
      <c r="BB141" s="149">
        <v>0</v>
      </c>
      <c r="BC141" s="149">
        <v>0</v>
      </c>
      <c r="BD141" s="149">
        <v>0</v>
      </c>
      <c r="BE141" s="149">
        <v>0</v>
      </c>
      <c r="BF141" s="149">
        <v>0</v>
      </c>
      <c r="BG141" s="149">
        <v>0</v>
      </c>
      <c r="BH141" s="149">
        <v>0</v>
      </c>
      <c r="BI141" s="149">
        <v>0</v>
      </c>
      <c r="BJ141" s="149">
        <v>0</v>
      </c>
      <c r="BK141" s="149">
        <v>0</v>
      </c>
      <c r="BL141" s="149">
        <v>0</v>
      </c>
      <c r="BM141" s="149">
        <v>0</v>
      </c>
      <c r="BN141" s="149">
        <v>0</v>
      </c>
      <c r="BO141" s="149">
        <v>0</v>
      </c>
      <c r="BP141" s="152"/>
      <c r="BQ141" s="152"/>
      <c r="BR141" s="154" t="s">
        <v>359</v>
      </c>
      <c r="BS141" s="136">
        <v>11</v>
      </c>
      <c r="BT141" s="267">
        <f t="shared" si="8"/>
        <v>2</v>
      </c>
      <c r="BU141" s="267"/>
      <c r="BV141" s="267"/>
      <c r="BW141" s="267"/>
      <c r="BX141" s="267"/>
      <c r="BY141" s="267"/>
      <c r="BZ141" s="267"/>
      <c r="CA141" s="267"/>
      <c r="CB141" s="267"/>
      <c r="CC141" s="267"/>
      <c r="CD141" s="267"/>
      <c r="CE141" s="267"/>
      <c r="CF141" s="267"/>
      <c r="CG141" s="267"/>
      <c r="CH141" s="267"/>
      <c r="CI141" s="267"/>
      <c r="CJ141" s="267"/>
      <c r="CK141" s="267"/>
      <c r="CL141" s="267"/>
      <c r="CM141" s="267"/>
      <c r="CN141" s="101">
        <f t="shared" si="9"/>
        <v>0</v>
      </c>
      <c r="CO141" s="101">
        <f t="shared" si="10"/>
        <v>0</v>
      </c>
    </row>
    <row r="142" spans="1:93" ht="13.9" customHeight="1" x14ac:dyDescent="0.2">
      <c r="A142" s="149">
        <v>7361</v>
      </c>
      <c r="B142" s="150" t="s">
        <v>323</v>
      </c>
      <c r="C142" s="150" t="s">
        <v>673</v>
      </c>
      <c r="D142" s="150" t="s">
        <v>606</v>
      </c>
      <c r="E142" s="150" t="s">
        <v>326</v>
      </c>
      <c r="F142" s="149">
        <v>526027</v>
      </c>
      <c r="G142" s="149">
        <v>175089</v>
      </c>
      <c r="H142" s="150" t="s">
        <v>177</v>
      </c>
      <c r="I142" s="151">
        <v>44757</v>
      </c>
      <c r="J142" s="151">
        <v>45051</v>
      </c>
      <c r="K142" s="149">
        <v>1</v>
      </c>
      <c r="L142" s="149">
        <v>2</v>
      </c>
      <c r="M142" s="149">
        <v>1</v>
      </c>
      <c r="N142" s="149">
        <v>2</v>
      </c>
      <c r="O142" s="149">
        <v>1</v>
      </c>
      <c r="P142" s="152"/>
      <c r="Q142" s="150" t="s">
        <v>674</v>
      </c>
      <c r="R142" s="150" t="s">
        <v>349</v>
      </c>
      <c r="S142" s="151">
        <v>44475</v>
      </c>
      <c r="T142" s="151">
        <v>44684</v>
      </c>
      <c r="U142" s="152"/>
      <c r="V142" s="150" t="s">
        <v>330</v>
      </c>
      <c r="W142" s="151"/>
      <c r="X142" s="150" t="s">
        <v>331</v>
      </c>
      <c r="Y142" s="150" t="s">
        <v>491</v>
      </c>
      <c r="Z142" s="150" t="s">
        <v>334</v>
      </c>
      <c r="AA142" s="150" t="s">
        <v>413</v>
      </c>
      <c r="AB142" s="153">
        <v>3.0000000000000001E-3</v>
      </c>
      <c r="AC142" s="151">
        <v>44757</v>
      </c>
      <c r="AD142" s="150"/>
      <c r="AE142" s="151">
        <v>45051</v>
      </c>
      <c r="AF142" s="150" t="s">
        <v>70</v>
      </c>
      <c r="AG142" s="152" t="s">
        <v>352</v>
      </c>
      <c r="AH142" s="150" t="s">
        <v>326</v>
      </c>
      <c r="AI142" s="99"/>
      <c r="AJ142" s="149"/>
      <c r="AK142" s="99"/>
      <c r="AL142" s="149"/>
      <c r="AM142" s="99"/>
      <c r="AN142" s="149">
        <v>0</v>
      </c>
      <c r="AO142" s="149">
        <v>1</v>
      </c>
      <c r="AP142" s="149">
        <v>0</v>
      </c>
      <c r="AQ142" s="149">
        <v>0</v>
      </c>
      <c r="AR142" s="149">
        <v>0</v>
      </c>
      <c r="AS142" s="149">
        <v>0</v>
      </c>
      <c r="AT142" s="149">
        <v>0</v>
      </c>
      <c r="AU142" s="149">
        <v>0</v>
      </c>
      <c r="AV142" s="149">
        <v>1</v>
      </c>
      <c r="AW142" s="149">
        <v>0</v>
      </c>
      <c r="AX142" s="149">
        <v>0</v>
      </c>
      <c r="AY142" s="149">
        <v>0</v>
      </c>
      <c r="AZ142" s="149">
        <v>0</v>
      </c>
      <c r="BA142" s="149">
        <v>0</v>
      </c>
      <c r="BB142" s="149">
        <v>0</v>
      </c>
      <c r="BC142" s="149">
        <v>0</v>
      </c>
      <c r="BD142" s="149">
        <v>0</v>
      </c>
      <c r="BE142" s="149">
        <v>0</v>
      </c>
      <c r="BF142" s="149">
        <v>0</v>
      </c>
      <c r="BG142" s="149">
        <v>0</v>
      </c>
      <c r="BH142" s="149">
        <v>0</v>
      </c>
      <c r="BI142" s="149">
        <v>0</v>
      </c>
      <c r="BJ142" s="149">
        <v>0</v>
      </c>
      <c r="BK142" s="149">
        <v>0</v>
      </c>
      <c r="BL142" s="149">
        <v>0</v>
      </c>
      <c r="BM142" s="149">
        <v>0</v>
      </c>
      <c r="BN142" s="149">
        <v>0</v>
      </c>
      <c r="BO142" s="149">
        <v>0</v>
      </c>
      <c r="BP142" s="152"/>
      <c r="BQ142" s="152"/>
      <c r="BR142" s="154" t="s">
        <v>463</v>
      </c>
      <c r="BS142" s="136">
        <v>11</v>
      </c>
      <c r="BT142" s="267">
        <f t="shared" si="8"/>
        <v>1</v>
      </c>
      <c r="BU142" s="267"/>
      <c r="BV142" s="267"/>
      <c r="BW142" s="267"/>
      <c r="BX142" s="267"/>
      <c r="BY142" s="267"/>
      <c r="BZ142" s="267"/>
      <c r="CA142" s="267"/>
      <c r="CB142" s="267"/>
      <c r="CC142" s="267"/>
      <c r="CD142" s="267"/>
      <c r="CE142" s="267"/>
      <c r="CF142" s="267"/>
      <c r="CG142" s="267"/>
      <c r="CH142" s="267"/>
      <c r="CI142" s="267"/>
      <c r="CJ142" s="267"/>
      <c r="CK142" s="267"/>
      <c r="CL142" s="267"/>
      <c r="CM142" s="267"/>
      <c r="CN142" s="101">
        <f t="shared" si="9"/>
        <v>0</v>
      </c>
      <c r="CO142" s="101">
        <f t="shared" si="10"/>
        <v>0</v>
      </c>
    </row>
    <row r="143" spans="1:93" ht="13.9" customHeight="1" x14ac:dyDescent="0.2">
      <c r="A143" s="149">
        <v>536</v>
      </c>
      <c r="B143" s="150" t="s">
        <v>323</v>
      </c>
      <c r="C143" s="150" t="s">
        <v>675</v>
      </c>
      <c r="D143" s="150" t="s">
        <v>676</v>
      </c>
      <c r="E143" s="150" t="s">
        <v>326</v>
      </c>
      <c r="F143" s="149">
        <v>525441</v>
      </c>
      <c r="G143" s="149">
        <v>174750</v>
      </c>
      <c r="H143" s="150" t="s">
        <v>177</v>
      </c>
      <c r="I143" s="151">
        <v>44595</v>
      </c>
      <c r="J143" s="151">
        <v>45357</v>
      </c>
      <c r="K143" s="149">
        <v>4</v>
      </c>
      <c r="L143" s="149">
        <v>16</v>
      </c>
      <c r="M143" s="149">
        <v>12</v>
      </c>
      <c r="N143" s="149">
        <v>17</v>
      </c>
      <c r="O143" s="149">
        <v>13</v>
      </c>
      <c r="P143" s="152" t="s">
        <v>327</v>
      </c>
      <c r="Q143" s="150" t="s">
        <v>677</v>
      </c>
      <c r="R143" s="150" t="s">
        <v>381</v>
      </c>
      <c r="S143" s="151">
        <v>44483</v>
      </c>
      <c r="T143" s="151">
        <v>44733</v>
      </c>
      <c r="U143" s="152"/>
      <c r="V143" s="150" t="s">
        <v>330</v>
      </c>
      <c r="W143" s="151"/>
      <c r="X143" s="150" t="s">
        <v>331</v>
      </c>
      <c r="Y143" s="150" t="s">
        <v>343</v>
      </c>
      <c r="Z143" s="150" t="s">
        <v>343</v>
      </c>
      <c r="AA143" s="150" t="s">
        <v>334</v>
      </c>
      <c r="AB143" s="153">
        <v>4.3999999999999997E-2</v>
      </c>
      <c r="AC143" s="151">
        <v>44595</v>
      </c>
      <c r="AD143" s="150"/>
      <c r="AE143" s="151">
        <v>45357</v>
      </c>
      <c r="AF143" s="150" t="s">
        <v>70</v>
      </c>
      <c r="AG143" s="152" t="s">
        <v>352</v>
      </c>
      <c r="AH143" s="150" t="s">
        <v>326</v>
      </c>
      <c r="AI143" s="99"/>
      <c r="AJ143" s="102"/>
      <c r="AK143" s="138">
        <v>15</v>
      </c>
      <c r="AL143" s="102"/>
      <c r="AM143" s="138">
        <v>1</v>
      </c>
      <c r="AN143" s="149">
        <v>2</v>
      </c>
      <c r="AO143" s="149">
        <v>2</v>
      </c>
      <c r="AP143" s="149">
        <v>7</v>
      </c>
      <c r="AQ143" s="149">
        <v>1</v>
      </c>
      <c r="AR143" s="149">
        <v>0</v>
      </c>
      <c r="AS143" s="149">
        <v>0</v>
      </c>
      <c r="AT143" s="149">
        <v>0</v>
      </c>
      <c r="AU143" s="149">
        <v>2</v>
      </c>
      <c r="AV143" s="149">
        <v>2</v>
      </c>
      <c r="AW143" s="149">
        <v>7</v>
      </c>
      <c r="AX143" s="149">
        <v>1</v>
      </c>
      <c r="AY143" s="149">
        <v>0</v>
      </c>
      <c r="AZ143" s="149">
        <v>0</v>
      </c>
      <c r="BA143" s="149">
        <v>0</v>
      </c>
      <c r="BB143" s="149">
        <v>0</v>
      </c>
      <c r="BC143" s="149">
        <v>0</v>
      </c>
      <c r="BD143" s="149">
        <v>0</v>
      </c>
      <c r="BE143" s="149">
        <v>0</v>
      </c>
      <c r="BF143" s="149">
        <v>0</v>
      </c>
      <c r="BG143" s="149">
        <v>0</v>
      </c>
      <c r="BH143" s="149">
        <v>0</v>
      </c>
      <c r="BI143" s="149">
        <v>0</v>
      </c>
      <c r="BJ143" s="149">
        <v>0</v>
      </c>
      <c r="BK143" s="149">
        <v>0</v>
      </c>
      <c r="BL143" s="149">
        <v>0</v>
      </c>
      <c r="BM143" s="149">
        <v>0</v>
      </c>
      <c r="BN143" s="149">
        <v>0</v>
      </c>
      <c r="BO143" s="149">
        <v>0</v>
      </c>
      <c r="BP143" s="152" t="s">
        <v>143</v>
      </c>
      <c r="BQ143" s="152"/>
      <c r="BR143" s="154" t="s">
        <v>463</v>
      </c>
      <c r="BS143" s="136">
        <v>1</v>
      </c>
      <c r="BT143" s="267">
        <f t="shared" si="8"/>
        <v>12</v>
      </c>
      <c r="BU143" s="267"/>
      <c r="BV143" s="267"/>
      <c r="BW143" s="267"/>
      <c r="BX143" s="267"/>
      <c r="BY143" s="267"/>
      <c r="BZ143" s="267"/>
      <c r="CA143" s="267"/>
      <c r="CB143" s="267"/>
      <c r="CC143" s="267"/>
      <c r="CD143" s="267"/>
      <c r="CE143" s="267"/>
      <c r="CF143" s="267"/>
      <c r="CG143" s="267"/>
      <c r="CH143" s="267"/>
      <c r="CI143" s="267"/>
      <c r="CJ143" s="267"/>
      <c r="CK143" s="267"/>
      <c r="CL143" s="267"/>
      <c r="CM143" s="267"/>
      <c r="CN143" s="101">
        <f t="shared" si="9"/>
        <v>0</v>
      </c>
      <c r="CO143" s="101">
        <f t="shared" si="10"/>
        <v>0</v>
      </c>
    </row>
    <row r="144" spans="1:93" ht="13.9" customHeight="1" x14ac:dyDescent="0.2">
      <c r="A144" s="149">
        <v>536</v>
      </c>
      <c r="B144" s="150" t="s">
        <v>323</v>
      </c>
      <c r="C144" s="150" t="s">
        <v>675</v>
      </c>
      <c r="D144" s="150" t="s">
        <v>676</v>
      </c>
      <c r="E144" s="150" t="s">
        <v>678</v>
      </c>
      <c r="F144" s="149">
        <v>525441</v>
      </c>
      <c r="G144" s="149">
        <v>174750</v>
      </c>
      <c r="H144" s="150" t="s">
        <v>177</v>
      </c>
      <c r="I144" s="151">
        <v>44595</v>
      </c>
      <c r="J144" s="151">
        <v>45357</v>
      </c>
      <c r="K144" s="149">
        <v>0</v>
      </c>
      <c r="L144" s="149">
        <v>1</v>
      </c>
      <c r="M144" s="149">
        <v>1</v>
      </c>
      <c r="N144" s="149">
        <v>17</v>
      </c>
      <c r="O144" s="149">
        <v>13</v>
      </c>
      <c r="P144" s="152" t="s">
        <v>327</v>
      </c>
      <c r="Q144" s="150" t="s">
        <v>677</v>
      </c>
      <c r="R144" s="150" t="s">
        <v>381</v>
      </c>
      <c r="S144" s="151">
        <v>44483</v>
      </c>
      <c r="T144" s="151">
        <v>44733</v>
      </c>
      <c r="U144" s="152"/>
      <c r="V144" s="150" t="s">
        <v>330</v>
      </c>
      <c r="W144" s="151"/>
      <c r="X144" s="150" t="s">
        <v>331</v>
      </c>
      <c r="Y144" s="150" t="s">
        <v>343</v>
      </c>
      <c r="Z144" s="150" t="s">
        <v>343</v>
      </c>
      <c r="AA144" s="150" t="s">
        <v>334</v>
      </c>
      <c r="AB144" s="153">
        <v>3.0000000000000001E-3</v>
      </c>
      <c r="AC144" s="151">
        <v>44595</v>
      </c>
      <c r="AD144" s="150"/>
      <c r="AE144" s="151">
        <v>45357</v>
      </c>
      <c r="AF144" s="150" t="s">
        <v>70</v>
      </c>
      <c r="AG144" s="152" t="s">
        <v>352</v>
      </c>
      <c r="AH144" s="150" t="s">
        <v>326</v>
      </c>
      <c r="AI144" s="99"/>
      <c r="AJ144" s="102"/>
      <c r="AK144" s="138">
        <v>1</v>
      </c>
      <c r="AL144" s="102"/>
      <c r="AM144" s="138"/>
      <c r="AN144" s="149">
        <v>0</v>
      </c>
      <c r="AO144" s="149">
        <v>0</v>
      </c>
      <c r="AP144" s="149">
        <v>0</v>
      </c>
      <c r="AQ144" s="149">
        <v>1</v>
      </c>
      <c r="AR144" s="149">
        <v>0</v>
      </c>
      <c r="AS144" s="149">
        <v>0</v>
      </c>
      <c r="AT144" s="149">
        <v>0</v>
      </c>
      <c r="AU144" s="149">
        <v>0</v>
      </c>
      <c r="AV144" s="149">
        <v>0</v>
      </c>
      <c r="AW144" s="149">
        <v>0</v>
      </c>
      <c r="AX144" s="149">
        <v>1</v>
      </c>
      <c r="AY144" s="149">
        <v>0</v>
      </c>
      <c r="AZ144" s="149">
        <v>0</v>
      </c>
      <c r="BA144" s="149">
        <v>0</v>
      </c>
      <c r="BB144" s="149">
        <v>0</v>
      </c>
      <c r="BC144" s="149">
        <v>0</v>
      </c>
      <c r="BD144" s="149">
        <v>0</v>
      </c>
      <c r="BE144" s="149">
        <v>0</v>
      </c>
      <c r="BF144" s="149">
        <v>0</v>
      </c>
      <c r="BG144" s="149">
        <v>0</v>
      </c>
      <c r="BH144" s="149">
        <v>0</v>
      </c>
      <c r="BI144" s="149">
        <v>0</v>
      </c>
      <c r="BJ144" s="149">
        <v>0</v>
      </c>
      <c r="BK144" s="149">
        <v>0</v>
      </c>
      <c r="BL144" s="149">
        <v>0</v>
      </c>
      <c r="BM144" s="149">
        <v>0</v>
      </c>
      <c r="BN144" s="149">
        <v>0</v>
      </c>
      <c r="BO144" s="149">
        <v>0</v>
      </c>
      <c r="BP144" s="152" t="s">
        <v>143</v>
      </c>
      <c r="BQ144" s="152"/>
      <c r="BR144" s="154" t="s">
        <v>463</v>
      </c>
      <c r="BS144" s="136">
        <v>1</v>
      </c>
      <c r="BT144" s="267">
        <f t="shared" si="8"/>
        <v>1</v>
      </c>
      <c r="BU144" s="267"/>
      <c r="BV144" s="267"/>
      <c r="BW144" s="267"/>
      <c r="BX144" s="267"/>
      <c r="BY144" s="267"/>
      <c r="BZ144" s="267"/>
      <c r="CA144" s="267"/>
      <c r="CB144" s="267"/>
      <c r="CC144" s="267"/>
      <c r="CD144" s="267"/>
      <c r="CE144" s="267"/>
      <c r="CF144" s="267"/>
      <c r="CG144" s="267"/>
      <c r="CH144" s="267"/>
      <c r="CI144" s="267"/>
      <c r="CJ144" s="267"/>
      <c r="CK144" s="267"/>
      <c r="CL144" s="267"/>
      <c r="CM144" s="267"/>
      <c r="CN144" s="101">
        <f t="shared" si="9"/>
        <v>0</v>
      </c>
      <c r="CO144" s="101">
        <f t="shared" si="10"/>
        <v>0</v>
      </c>
    </row>
    <row r="145" spans="1:93" ht="13.9" customHeight="1" x14ac:dyDescent="0.2">
      <c r="A145" s="149">
        <v>7689</v>
      </c>
      <c r="B145" s="150" t="s">
        <v>323</v>
      </c>
      <c r="C145" s="150" t="s">
        <v>679</v>
      </c>
      <c r="D145" s="150" t="s">
        <v>680</v>
      </c>
      <c r="E145" s="150" t="s">
        <v>326</v>
      </c>
      <c r="F145" s="149">
        <v>525880</v>
      </c>
      <c r="G145" s="149">
        <v>174953</v>
      </c>
      <c r="H145" s="150" t="s">
        <v>177</v>
      </c>
      <c r="I145" s="151">
        <v>44914</v>
      </c>
      <c r="J145" s="151">
        <v>45343</v>
      </c>
      <c r="K145" s="149">
        <v>1</v>
      </c>
      <c r="L145" s="149">
        <v>3</v>
      </c>
      <c r="M145" s="149">
        <v>2</v>
      </c>
      <c r="N145" s="149">
        <v>3</v>
      </c>
      <c r="O145" s="149">
        <v>2</v>
      </c>
      <c r="P145" s="152"/>
      <c r="Q145" s="150" t="s">
        <v>681</v>
      </c>
      <c r="R145" s="150" t="s">
        <v>349</v>
      </c>
      <c r="S145" s="151">
        <v>44487</v>
      </c>
      <c r="T145" s="151">
        <v>44543</v>
      </c>
      <c r="U145" s="152"/>
      <c r="V145" s="150" t="s">
        <v>330</v>
      </c>
      <c r="W145" s="151"/>
      <c r="X145" s="150" t="s">
        <v>331</v>
      </c>
      <c r="Y145" s="150" t="s">
        <v>332</v>
      </c>
      <c r="Z145" s="150" t="s">
        <v>334</v>
      </c>
      <c r="AA145" s="150" t="s">
        <v>413</v>
      </c>
      <c r="AB145" s="153">
        <v>7.0000000000000001E-3</v>
      </c>
      <c r="AC145" s="151">
        <v>44914</v>
      </c>
      <c r="AD145" s="150"/>
      <c r="AE145" s="151">
        <v>45343</v>
      </c>
      <c r="AF145" s="150" t="s">
        <v>70</v>
      </c>
      <c r="AG145" s="152" t="s">
        <v>352</v>
      </c>
      <c r="AH145" s="150" t="s">
        <v>326</v>
      </c>
      <c r="AI145" s="99"/>
      <c r="AJ145" s="149"/>
      <c r="AK145" s="99"/>
      <c r="AL145" s="149"/>
      <c r="AM145" s="99"/>
      <c r="AN145" s="149">
        <v>0</v>
      </c>
      <c r="AO145" s="149">
        <v>1</v>
      </c>
      <c r="AP145" s="149">
        <v>2</v>
      </c>
      <c r="AQ145" s="149">
        <v>-1</v>
      </c>
      <c r="AR145" s="149">
        <v>0</v>
      </c>
      <c r="AS145" s="149">
        <v>0</v>
      </c>
      <c r="AT145" s="149">
        <v>0</v>
      </c>
      <c r="AU145" s="149">
        <v>0</v>
      </c>
      <c r="AV145" s="149">
        <v>1</v>
      </c>
      <c r="AW145" s="149">
        <v>2</v>
      </c>
      <c r="AX145" s="149">
        <v>0</v>
      </c>
      <c r="AY145" s="149">
        <v>0</v>
      </c>
      <c r="AZ145" s="149">
        <v>0</v>
      </c>
      <c r="BA145" s="149">
        <v>0</v>
      </c>
      <c r="BB145" s="149">
        <v>0</v>
      </c>
      <c r="BC145" s="149">
        <v>0</v>
      </c>
      <c r="BD145" s="149">
        <v>0</v>
      </c>
      <c r="BE145" s="149">
        <v>-1</v>
      </c>
      <c r="BF145" s="149">
        <v>0</v>
      </c>
      <c r="BG145" s="149">
        <v>0</v>
      </c>
      <c r="BH145" s="149">
        <v>0</v>
      </c>
      <c r="BI145" s="149">
        <v>0</v>
      </c>
      <c r="BJ145" s="149">
        <v>0</v>
      </c>
      <c r="BK145" s="149">
        <v>0</v>
      </c>
      <c r="BL145" s="149">
        <v>0</v>
      </c>
      <c r="BM145" s="149">
        <v>0</v>
      </c>
      <c r="BN145" s="149">
        <v>0</v>
      </c>
      <c r="BO145" s="149">
        <v>0</v>
      </c>
      <c r="BP145" s="152"/>
      <c r="BQ145" s="152"/>
      <c r="BR145" s="154" t="s">
        <v>463</v>
      </c>
      <c r="BS145" s="136">
        <v>11</v>
      </c>
      <c r="BT145" s="267">
        <f t="shared" si="8"/>
        <v>2</v>
      </c>
      <c r="BU145" s="267"/>
      <c r="BV145" s="267"/>
      <c r="BW145" s="267"/>
      <c r="BX145" s="267"/>
      <c r="BY145" s="267"/>
      <c r="BZ145" s="267"/>
      <c r="CA145" s="267"/>
      <c r="CB145" s="267"/>
      <c r="CC145" s="267"/>
      <c r="CD145" s="267"/>
      <c r="CE145" s="267"/>
      <c r="CF145" s="267"/>
      <c r="CG145" s="267"/>
      <c r="CH145" s="267"/>
      <c r="CI145" s="267"/>
      <c r="CJ145" s="267"/>
      <c r="CK145" s="267"/>
      <c r="CL145" s="267"/>
      <c r="CM145" s="267"/>
      <c r="CN145" s="101">
        <f t="shared" si="9"/>
        <v>0</v>
      </c>
      <c r="CO145" s="101">
        <f t="shared" si="10"/>
        <v>0</v>
      </c>
    </row>
    <row r="146" spans="1:93" ht="13.9" customHeight="1" x14ac:dyDescent="0.2">
      <c r="A146" s="149">
        <v>7654</v>
      </c>
      <c r="B146" s="150" t="s">
        <v>323</v>
      </c>
      <c r="C146" s="150" t="s">
        <v>682</v>
      </c>
      <c r="D146" s="150" t="s">
        <v>683</v>
      </c>
      <c r="E146" s="150" t="s">
        <v>326</v>
      </c>
      <c r="F146" s="149">
        <v>526105</v>
      </c>
      <c r="G146" s="149">
        <v>172633</v>
      </c>
      <c r="H146" s="150" t="s">
        <v>176</v>
      </c>
      <c r="I146" s="151">
        <v>45016</v>
      </c>
      <c r="J146" s="151">
        <v>45382</v>
      </c>
      <c r="K146" s="149">
        <v>1</v>
      </c>
      <c r="L146" s="149">
        <v>3</v>
      </c>
      <c r="M146" s="149">
        <v>2</v>
      </c>
      <c r="N146" s="149">
        <v>3</v>
      </c>
      <c r="O146" s="149">
        <v>2</v>
      </c>
      <c r="P146" s="152"/>
      <c r="Q146" s="150" t="s">
        <v>684</v>
      </c>
      <c r="R146" s="150" t="s">
        <v>349</v>
      </c>
      <c r="S146" s="151">
        <v>44504</v>
      </c>
      <c r="T146" s="151">
        <v>44560</v>
      </c>
      <c r="U146" s="152"/>
      <c r="V146" s="150" t="s">
        <v>330</v>
      </c>
      <c r="W146" s="151"/>
      <c r="X146" s="150" t="s">
        <v>331</v>
      </c>
      <c r="Y146" s="150" t="s">
        <v>350</v>
      </c>
      <c r="Z146" s="150" t="s">
        <v>334</v>
      </c>
      <c r="AA146" s="150" t="s">
        <v>399</v>
      </c>
      <c r="AB146" s="153">
        <v>3.6075E-3</v>
      </c>
      <c r="AC146" s="151">
        <v>45016</v>
      </c>
      <c r="AD146" s="150"/>
      <c r="AE146" s="151">
        <v>45382</v>
      </c>
      <c r="AF146" s="150" t="s">
        <v>70</v>
      </c>
      <c r="AG146" s="152" t="s">
        <v>352</v>
      </c>
      <c r="AH146" s="150" t="s">
        <v>326</v>
      </c>
      <c r="AI146" s="99"/>
      <c r="AJ146" s="149"/>
      <c r="AK146" s="99"/>
      <c r="AL146" s="149"/>
      <c r="AM146" s="99"/>
      <c r="AN146" s="149">
        <v>0</v>
      </c>
      <c r="AO146" s="149">
        <v>3</v>
      </c>
      <c r="AP146" s="149">
        <v>-1</v>
      </c>
      <c r="AQ146" s="149">
        <v>0</v>
      </c>
      <c r="AR146" s="149">
        <v>0</v>
      </c>
      <c r="AS146" s="149">
        <v>0</v>
      </c>
      <c r="AT146" s="149">
        <v>0</v>
      </c>
      <c r="AU146" s="149">
        <v>0</v>
      </c>
      <c r="AV146" s="149">
        <v>3</v>
      </c>
      <c r="AW146" s="149">
        <v>-1</v>
      </c>
      <c r="AX146" s="149">
        <v>0</v>
      </c>
      <c r="AY146" s="149">
        <v>0</v>
      </c>
      <c r="AZ146" s="149">
        <v>0</v>
      </c>
      <c r="BA146" s="149">
        <v>0</v>
      </c>
      <c r="BB146" s="149">
        <v>0</v>
      </c>
      <c r="BC146" s="149">
        <v>0</v>
      </c>
      <c r="BD146" s="149">
        <v>0</v>
      </c>
      <c r="BE146" s="149">
        <v>0</v>
      </c>
      <c r="BF146" s="149">
        <v>0</v>
      </c>
      <c r="BG146" s="149">
        <v>0</v>
      </c>
      <c r="BH146" s="149">
        <v>0</v>
      </c>
      <c r="BI146" s="149">
        <v>0</v>
      </c>
      <c r="BJ146" s="149">
        <v>0</v>
      </c>
      <c r="BK146" s="149">
        <v>0</v>
      </c>
      <c r="BL146" s="149">
        <v>0</v>
      </c>
      <c r="BM146" s="149">
        <v>0</v>
      </c>
      <c r="BN146" s="149">
        <v>0</v>
      </c>
      <c r="BO146" s="149">
        <v>0</v>
      </c>
      <c r="BP146" s="152"/>
      <c r="BQ146" s="152"/>
      <c r="BR146" s="154" t="s">
        <v>151</v>
      </c>
      <c r="BS146" s="136">
        <v>11</v>
      </c>
      <c r="BT146" s="267">
        <f t="shared" si="8"/>
        <v>2</v>
      </c>
      <c r="BU146" s="267"/>
      <c r="BV146" s="267"/>
      <c r="BW146" s="267"/>
      <c r="BX146" s="267"/>
      <c r="BY146" s="267"/>
      <c r="BZ146" s="267"/>
      <c r="CA146" s="267"/>
      <c r="CB146" s="267"/>
      <c r="CC146" s="267"/>
      <c r="CD146" s="267"/>
      <c r="CE146" s="267"/>
      <c r="CF146" s="267"/>
      <c r="CG146" s="267"/>
      <c r="CH146" s="267"/>
      <c r="CI146" s="267"/>
      <c r="CJ146" s="267"/>
      <c r="CK146" s="267"/>
      <c r="CL146" s="267"/>
      <c r="CM146" s="267"/>
      <c r="CN146" s="101">
        <f t="shared" si="9"/>
        <v>0</v>
      </c>
      <c r="CO146" s="101">
        <f t="shared" si="10"/>
        <v>0</v>
      </c>
    </row>
    <row r="147" spans="1:93" ht="13.9" customHeight="1" x14ac:dyDescent="0.2">
      <c r="A147" s="149">
        <v>7693</v>
      </c>
      <c r="B147" s="150" t="s">
        <v>323</v>
      </c>
      <c r="C147" s="150" t="s">
        <v>685</v>
      </c>
      <c r="D147" s="150" t="s">
        <v>686</v>
      </c>
      <c r="E147" s="150" t="s">
        <v>326</v>
      </c>
      <c r="F147" s="149">
        <v>524931</v>
      </c>
      <c r="G147" s="149">
        <v>174479</v>
      </c>
      <c r="H147" s="150" t="s">
        <v>161</v>
      </c>
      <c r="I147" s="151">
        <v>44651</v>
      </c>
      <c r="J147" s="151">
        <v>45064</v>
      </c>
      <c r="K147" s="149">
        <v>1</v>
      </c>
      <c r="L147" s="149">
        <v>3</v>
      </c>
      <c r="M147" s="149">
        <v>2</v>
      </c>
      <c r="N147" s="149">
        <v>3</v>
      </c>
      <c r="O147" s="149">
        <v>2</v>
      </c>
      <c r="P147" s="152"/>
      <c r="Q147" s="150" t="s">
        <v>687</v>
      </c>
      <c r="R147" s="150" t="s">
        <v>349</v>
      </c>
      <c r="S147" s="151">
        <v>44536</v>
      </c>
      <c r="T147" s="151">
        <v>44592</v>
      </c>
      <c r="U147" s="152"/>
      <c r="V147" s="150" t="s">
        <v>330</v>
      </c>
      <c r="W147" s="151"/>
      <c r="X147" s="150" t="s">
        <v>331</v>
      </c>
      <c r="Y147" s="150" t="s">
        <v>398</v>
      </c>
      <c r="Z147" s="150" t="s">
        <v>334</v>
      </c>
      <c r="AA147" s="150" t="s">
        <v>16</v>
      </c>
      <c r="AB147" s="153">
        <v>5.0000000000000001E-3</v>
      </c>
      <c r="AC147" s="151">
        <v>44651</v>
      </c>
      <c r="AD147" s="150"/>
      <c r="AE147" s="151">
        <v>45064</v>
      </c>
      <c r="AF147" s="150" t="s">
        <v>70</v>
      </c>
      <c r="AG147" s="152" t="s">
        <v>352</v>
      </c>
      <c r="AH147" s="150" t="s">
        <v>326</v>
      </c>
      <c r="AI147" s="99"/>
      <c r="AJ147" s="149"/>
      <c r="AK147" s="99"/>
      <c r="AL147" s="149"/>
      <c r="AM147" s="99"/>
      <c r="AN147" s="149">
        <v>0</v>
      </c>
      <c r="AO147" s="149">
        <v>1</v>
      </c>
      <c r="AP147" s="149">
        <v>0</v>
      </c>
      <c r="AQ147" s="149">
        <v>2</v>
      </c>
      <c r="AR147" s="149">
        <v>0</v>
      </c>
      <c r="AS147" s="149">
        <v>-1</v>
      </c>
      <c r="AT147" s="149">
        <v>0</v>
      </c>
      <c r="AU147" s="149">
        <v>0</v>
      </c>
      <c r="AV147" s="149">
        <v>1</v>
      </c>
      <c r="AW147" s="149">
        <v>0</v>
      </c>
      <c r="AX147" s="149">
        <v>2</v>
      </c>
      <c r="AY147" s="149">
        <v>0</v>
      </c>
      <c r="AZ147" s="149">
        <v>0</v>
      </c>
      <c r="BA147" s="149">
        <v>0</v>
      </c>
      <c r="BB147" s="149">
        <v>0</v>
      </c>
      <c r="BC147" s="149">
        <v>0</v>
      </c>
      <c r="BD147" s="149">
        <v>0</v>
      </c>
      <c r="BE147" s="149">
        <v>0</v>
      </c>
      <c r="BF147" s="149">
        <v>0</v>
      </c>
      <c r="BG147" s="149">
        <v>-1</v>
      </c>
      <c r="BH147" s="149">
        <v>0</v>
      </c>
      <c r="BI147" s="149">
        <v>0</v>
      </c>
      <c r="BJ147" s="149">
        <v>0</v>
      </c>
      <c r="BK147" s="149">
        <v>0</v>
      </c>
      <c r="BL147" s="149">
        <v>0</v>
      </c>
      <c r="BM147" s="149">
        <v>0</v>
      </c>
      <c r="BN147" s="149">
        <v>0</v>
      </c>
      <c r="BO147" s="149">
        <v>0</v>
      </c>
      <c r="BP147" s="152"/>
      <c r="BQ147" s="152"/>
      <c r="BR147" s="154" t="s">
        <v>359</v>
      </c>
      <c r="BS147" s="136">
        <v>11</v>
      </c>
      <c r="BT147" s="267">
        <f t="shared" si="8"/>
        <v>2</v>
      </c>
      <c r="BU147" s="267"/>
      <c r="BV147" s="267"/>
      <c r="BW147" s="267"/>
      <c r="BX147" s="267"/>
      <c r="BY147" s="267"/>
      <c r="BZ147" s="267"/>
      <c r="CA147" s="267"/>
      <c r="CB147" s="267"/>
      <c r="CC147" s="267"/>
      <c r="CD147" s="267"/>
      <c r="CE147" s="267"/>
      <c r="CF147" s="267"/>
      <c r="CG147" s="267"/>
      <c r="CH147" s="267"/>
      <c r="CI147" s="267"/>
      <c r="CJ147" s="267"/>
      <c r="CK147" s="267"/>
      <c r="CL147" s="267"/>
      <c r="CM147" s="267"/>
      <c r="CN147" s="101">
        <f t="shared" si="9"/>
        <v>0</v>
      </c>
      <c r="CO147" s="101">
        <f t="shared" si="10"/>
        <v>0</v>
      </c>
    </row>
    <row r="148" spans="1:93" ht="13.9" customHeight="1" x14ac:dyDescent="0.2">
      <c r="A148" s="149">
        <v>7628</v>
      </c>
      <c r="B148" s="150" t="s">
        <v>323</v>
      </c>
      <c r="C148" s="150" t="s">
        <v>688</v>
      </c>
      <c r="D148" s="150" t="s">
        <v>689</v>
      </c>
      <c r="E148" s="150" t="s">
        <v>326</v>
      </c>
      <c r="F148" s="149">
        <v>523110</v>
      </c>
      <c r="G148" s="149">
        <v>173693</v>
      </c>
      <c r="H148" s="150" t="s">
        <v>179</v>
      </c>
      <c r="I148" s="151">
        <v>45078</v>
      </c>
      <c r="J148" s="151">
        <v>45169</v>
      </c>
      <c r="K148" s="149">
        <v>3</v>
      </c>
      <c r="L148" s="149">
        <v>1</v>
      </c>
      <c r="M148" s="149">
        <v>-2</v>
      </c>
      <c r="N148" s="149">
        <v>1</v>
      </c>
      <c r="O148" s="149">
        <v>-2</v>
      </c>
      <c r="P148" s="152"/>
      <c r="Q148" s="150" t="s">
        <v>690</v>
      </c>
      <c r="R148" s="150" t="s">
        <v>349</v>
      </c>
      <c r="S148" s="151">
        <v>44568</v>
      </c>
      <c r="T148" s="151">
        <v>44635</v>
      </c>
      <c r="U148" s="152"/>
      <c r="V148" s="150" t="s">
        <v>330</v>
      </c>
      <c r="W148" s="151"/>
      <c r="X148" s="150" t="s">
        <v>331</v>
      </c>
      <c r="Y148" s="150" t="s">
        <v>398</v>
      </c>
      <c r="Z148" s="150" t="s">
        <v>334</v>
      </c>
      <c r="AA148" s="150" t="s">
        <v>18</v>
      </c>
      <c r="AB148" s="153">
        <v>1.396E-2</v>
      </c>
      <c r="AC148" s="151">
        <v>45078</v>
      </c>
      <c r="AD148" s="152" t="s">
        <v>327</v>
      </c>
      <c r="AE148" s="151">
        <v>45169</v>
      </c>
      <c r="AF148" s="150" t="s">
        <v>70</v>
      </c>
      <c r="AG148" s="152" t="s">
        <v>352</v>
      </c>
      <c r="AH148" s="150" t="s">
        <v>326</v>
      </c>
      <c r="AI148" s="99"/>
      <c r="AJ148" s="149"/>
      <c r="AK148" s="99"/>
      <c r="AL148" s="149"/>
      <c r="AM148" s="99"/>
      <c r="AN148" s="149">
        <v>0</v>
      </c>
      <c r="AO148" s="149">
        <v>-1</v>
      </c>
      <c r="AP148" s="149">
        <v>-2</v>
      </c>
      <c r="AQ148" s="149">
        <v>0</v>
      </c>
      <c r="AR148" s="149">
        <v>0</v>
      </c>
      <c r="AS148" s="149">
        <v>1</v>
      </c>
      <c r="AT148" s="149">
        <v>0</v>
      </c>
      <c r="AU148" s="149">
        <v>0</v>
      </c>
      <c r="AV148" s="149">
        <v>-1</v>
      </c>
      <c r="AW148" s="149">
        <v>-2</v>
      </c>
      <c r="AX148" s="149">
        <v>0</v>
      </c>
      <c r="AY148" s="149">
        <v>0</v>
      </c>
      <c r="AZ148" s="149">
        <v>0</v>
      </c>
      <c r="BA148" s="149">
        <v>0</v>
      </c>
      <c r="BB148" s="149">
        <v>0</v>
      </c>
      <c r="BC148" s="149">
        <v>0</v>
      </c>
      <c r="BD148" s="149">
        <v>0</v>
      </c>
      <c r="BE148" s="149">
        <v>0</v>
      </c>
      <c r="BF148" s="149">
        <v>0</v>
      </c>
      <c r="BG148" s="149">
        <v>1</v>
      </c>
      <c r="BH148" s="149">
        <v>0</v>
      </c>
      <c r="BI148" s="149">
        <v>0</v>
      </c>
      <c r="BJ148" s="149">
        <v>0</v>
      </c>
      <c r="BK148" s="149">
        <v>0</v>
      </c>
      <c r="BL148" s="149">
        <v>0</v>
      </c>
      <c r="BM148" s="149">
        <v>0</v>
      </c>
      <c r="BN148" s="149">
        <v>0</v>
      </c>
      <c r="BO148" s="149">
        <v>0</v>
      </c>
      <c r="BP148" s="152"/>
      <c r="BQ148" s="152"/>
      <c r="BR148" s="154" t="s">
        <v>359</v>
      </c>
      <c r="BS148" s="136">
        <v>11</v>
      </c>
      <c r="BT148" s="267">
        <f t="shared" si="8"/>
        <v>-2</v>
      </c>
      <c r="BU148" s="267"/>
      <c r="BV148" s="267"/>
      <c r="BW148" s="267"/>
      <c r="BX148" s="267"/>
      <c r="BY148" s="267"/>
      <c r="BZ148" s="267"/>
      <c r="CA148" s="267"/>
      <c r="CB148" s="267"/>
      <c r="CC148" s="267"/>
      <c r="CD148" s="267"/>
      <c r="CE148" s="267"/>
      <c r="CF148" s="267"/>
      <c r="CG148" s="267"/>
      <c r="CH148" s="267"/>
      <c r="CI148" s="267"/>
      <c r="CJ148" s="267"/>
      <c r="CK148" s="267"/>
      <c r="CL148" s="267"/>
      <c r="CM148" s="267"/>
      <c r="CN148" s="101">
        <f t="shared" si="9"/>
        <v>0</v>
      </c>
      <c r="CO148" s="101">
        <f t="shared" si="10"/>
        <v>0</v>
      </c>
    </row>
    <row r="149" spans="1:93" ht="13.9" customHeight="1" x14ac:dyDescent="0.2">
      <c r="A149" s="149">
        <v>7751</v>
      </c>
      <c r="B149" s="150" t="s">
        <v>323</v>
      </c>
      <c r="C149" s="150" t="s">
        <v>691</v>
      </c>
      <c r="D149" s="150" t="s">
        <v>692</v>
      </c>
      <c r="E149" s="150" t="s">
        <v>326</v>
      </c>
      <c r="F149" s="149">
        <v>528291</v>
      </c>
      <c r="G149" s="149">
        <v>172218</v>
      </c>
      <c r="H149" s="150" t="s">
        <v>168</v>
      </c>
      <c r="I149" s="151">
        <v>45016</v>
      </c>
      <c r="J149" s="151">
        <v>45152</v>
      </c>
      <c r="K149" s="149">
        <v>1</v>
      </c>
      <c r="L149" s="149">
        <v>3</v>
      </c>
      <c r="M149" s="149">
        <v>2</v>
      </c>
      <c r="N149" s="149">
        <v>3</v>
      </c>
      <c r="O149" s="149">
        <v>2</v>
      </c>
      <c r="P149" s="152"/>
      <c r="Q149" s="150" t="s">
        <v>693</v>
      </c>
      <c r="R149" s="150" t="s">
        <v>349</v>
      </c>
      <c r="S149" s="151">
        <v>44551</v>
      </c>
      <c r="T149" s="151">
        <v>44607</v>
      </c>
      <c r="U149" s="152"/>
      <c r="V149" s="150" t="s">
        <v>330</v>
      </c>
      <c r="W149" s="151"/>
      <c r="X149" s="150" t="s">
        <v>331</v>
      </c>
      <c r="Y149" s="150" t="s">
        <v>398</v>
      </c>
      <c r="Z149" s="150" t="s">
        <v>334</v>
      </c>
      <c r="AA149" s="150" t="s">
        <v>16</v>
      </c>
      <c r="AB149" s="153">
        <v>6.0000000000000001E-3</v>
      </c>
      <c r="AC149" s="151">
        <v>45016</v>
      </c>
      <c r="AD149" s="150"/>
      <c r="AE149" s="151">
        <v>45152</v>
      </c>
      <c r="AF149" s="150" t="s">
        <v>70</v>
      </c>
      <c r="AG149" s="152" t="s">
        <v>352</v>
      </c>
      <c r="AH149" s="150" t="s">
        <v>326</v>
      </c>
      <c r="AI149" s="99"/>
      <c r="AJ149" s="149"/>
      <c r="AK149" s="99"/>
      <c r="AL149" s="149"/>
      <c r="AM149" s="99"/>
      <c r="AN149" s="149">
        <v>0</v>
      </c>
      <c r="AO149" s="149">
        <v>1</v>
      </c>
      <c r="AP149" s="149">
        <v>1</v>
      </c>
      <c r="AQ149" s="149">
        <v>1</v>
      </c>
      <c r="AR149" s="149">
        <v>0</v>
      </c>
      <c r="AS149" s="149">
        <v>-1</v>
      </c>
      <c r="AT149" s="149">
        <v>0</v>
      </c>
      <c r="AU149" s="149">
        <v>0</v>
      </c>
      <c r="AV149" s="149">
        <v>1</v>
      </c>
      <c r="AW149" s="149">
        <v>1</v>
      </c>
      <c r="AX149" s="149">
        <v>1</v>
      </c>
      <c r="AY149" s="149">
        <v>0</v>
      </c>
      <c r="AZ149" s="149">
        <v>0</v>
      </c>
      <c r="BA149" s="149">
        <v>0</v>
      </c>
      <c r="BB149" s="149">
        <v>0</v>
      </c>
      <c r="BC149" s="149">
        <v>0</v>
      </c>
      <c r="BD149" s="149">
        <v>0</v>
      </c>
      <c r="BE149" s="149">
        <v>0</v>
      </c>
      <c r="BF149" s="149">
        <v>0</v>
      </c>
      <c r="BG149" s="149">
        <v>-1</v>
      </c>
      <c r="BH149" s="149">
        <v>0</v>
      </c>
      <c r="BI149" s="149">
        <v>0</v>
      </c>
      <c r="BJ149" s="149">
        <v>0</v>
      </c>
      <c r="BK149" s="149">
        <v>0</v>
      </c>
      <c r="BL149" s="149">
        <v>0</v>
      </c>
      <c r="BM149" s="149">
        <v>0</v>
      </c>
      <c r="BN149" s="149">
        <v>0</v>
      </c>
      <c r="BO149" s="149">
        <v>0</v>
      </c>
      <c r="BP149" s="152"/>
      <c r="BQ149" s="152"/>
      <c r="BR149" s="154" t="s">
        <v>359</v>
      </c>
      <c r="BS149" s="136">
        <v>11</v>
      </c>
      <c r="BT149" s="267">
        <f t="shared" si="8"/>
        <v>2</v>
      </c>
      <c r="BU149" s="267"/>
      <c r="BV149" s="267"/>
      <c r="BW149" s="267"/>
      <c r="BX149" s="267"/>
      <c r="BY149" s="267"/>
      <c r="BZ149" s="267"/>
      <c r="CA149" s="267"/>
      <c r="CB149" s="267"/>
      <c r="CC149" s="267"/>
      <c r="CD149" s="267"/>
      <c r="CE149" s="267"/>
      <c r="CF149" s="267"/>
      <c r="CG149" s="267"/>
      <c r="CH149" s="267"/>
      <c r="CI149" s="267"/>
      <c r="CJ149" s="267"/>
      <c r="CK149" s="267"/>
      <c r="CL149" s="267"/>
      <c r="CM149" s="267"/>
      <c r="CN149" s="101">
        <f t="shared" si="9"/>
        <v>0</v>
      </c>
      <c r="CO149" s="101">
        <f t="shared" si="10"/>
        <v>0</v>
      </c>
    </row>
    <row r="150" spans="1:93" ht="13.9" customHeight="1" x14ac:dyDescent="0.2">
      <c r="A150" s="149">
        <v>7756</v>
      </c>
      <c r="B150" s="150" t="s">
        <v>323</v>
      </c>
      <c r="C150" s="150" t="s">
        <v>694</v>
      </c>
      <c r="D150" s="150" t="s">
        <v>695</v>
      </c>
      <c r="E150" s="150" t="s">
        <v>326</v>
      </c>
      <c r="F150" s="149">
        <v>528535</v>
      </c>
      <c r="G150" s="149">
        <v>174164</v>
      </c>
      <c r="H150" s="150" t="s">
        <v>139</v>
      </c>
      <c r="I150" s="151">
        <v>45016</v>
      </c>
      <c r="J150" s="151">
        <v>45355</v>
      </c>
      <c r="K150" s="149">
        <v>1</v>
      </c>
      <c r="L150" s="149">
        <v>6</v>
      </c>
      <c r="M150" s="149">
        <v>5</v>
      </c>
      <c r="N150" s="149">
        <v>6</v>
      </c>
      <c r="O150" s="149">
        <v>5</v>
      </c>
      <c r="P150" s="152"/>
      <c r="Q150" s="150" t="s">
        <v>696</v>
      </c>
      <c r="R150" s="150" t="s">
        <v>349</v>
      </c>
      <c r="S150" s="151">
        <v>44552</v>
      </c>
      <c r="T150" s="151">
        <v>44648</v>
      </c>
      <c r="U150" s="152"/>
      <c r="V150" s="150" t="s">
        <v>330</v>
      </c>
      <c r="W150" s="151"/>
      <c r="X150" s="150" t="s">
        <v>331</v>
      </c>
      <c r="Y150" s="150" t="s">
        <v>343</v>
      </c>
      <c r="Z150" s="150" t="s">
        <v>334</v>
      </c>
      <c r="AA150" s="150" t="s">
        <v>363</v>
      </c>
      <c r="AB150" s="153">
        <v>1.439E-2</v>
      </c>
      <c r="AC150" s="151">
        <v>45069</v>
      </c>
      <c r="AD150" s="152" t="s">
        <v>327</v>
      </c>
      <c r="AE150" s="151">
        <v>45355</v>
      </c>
      <c r="AF150" s="150" t="s">
        <v>70</v>
      </c>
      <c r="AG150" s="152" t="s">
        <v>352</v>
      </c>
      <c r="AH150" s="150" t="s">
        <v>326</v>
      </c>
      <c r="AI150" s="99"/>
      <c r="AJ150" s="149"/>
      <c r="AK150" s="99"/>
      <c r="AL150" s="149"/>
      <c r="AM150" s="99"/>
      <c r="AN150" s="149">
        <v>0</v>
      </c>
      <c r="AO150" s="149">
        <v>2</v>
      </c>
      <c r="AP150" s="149">
        <v>2</v>
      </c>
      <c r="AQ150" s="149">
        <v>2</v>
      </c>
      <c r="AR150" s="149">
        <v>-1</v>
      </c>
      <c r="AS150" s="149">
        <v>0</v>
      </c>
      <c r="AT150" s="149">
        <v>0</v>
      </c>
      <c r="AU150" s="149">
        <v>0</v>
      </c>
      <c r="AV150" s="149">
        <v>2</v>
      </c>
      <c r="AW150" s="149">
        <v>2</v>
      </c>
      <c r="AX150" s="149">
        <v>2</v>
      </c>
      <c r="AY150" s="149">
        <v>0</v>
      </c>
      <c r="AZ150" s="149">
        <v>0</v>
      </c>
      <c r="BA150" s="149">
        <v>0</v>
      </c>
      <c r="BB150" s="149">
        <v>0</v>
      </c>
      <c r="BC150" s="149">
        <v>0</v>
      </c>
      <c r="BD150" s="149">
        <v>0</v>
      </c>
      <c r="BE150" s="149">
        <v>0</v>
      </c>
      <c r="BF150" s="149">
        <v>-1</v>
      </c>
      <c r="BG150" s="149">
        <v>0</v>
      </c>
      <c r="BH150" s="149">
        <v>0</v>
      </c>
      <c r="BI150" s="149">
        <v>0</v>
      </c>
      <c r="BJ150" s="149">
        <v>0</v>
      </c>
      <c r="BK150" s="149">
        <v>0</v>
      </c>
      <c r="BL150" s="149">
        <v>0</v>
      </c>
      <c r="BM150" s="149">
        <v>0</v>
      </c>
      <c r="BN150" s="149">
        <v>0</v>
      </c>
      <c r="BO150" s="149">
        <v>0</v>
      </c>
      <c r="BP150" s="152"/>
      <c r="BQ150" s="152"/>
      <c r="BR150" s="154" t="s">
        <v>359</v>
      </c>
      <c r="BS150" s="136">
        <v>1</v>
      </c>
      <c r="BT150" s="267">
        <f t="shared" si="8"/>
        <v>5</v>
      </c>
      <c r="BU150" s="267"/>
      <c r="BV150" s="267"/>
      <c r="BW150" s="267"/>
      <c r="BX150" s="267"/>
      <c r="BY150" s="267"/>
      <c r="BZ150" s="267"/>
      <c r="CA150" s="267"/>
      <c r="CB150" s="267"/>
      <c r="CC150" s="267"/>
      <c r="CD150" s="267"/>
      <c r="CE150" s="267"/>
      <c r="CF150" s="267"/>
      <c r="CG150" s="267"/>
      <c r="CH150" s="267"/>
      <c r="CI150" s="267"/>
      <c r="CJ150" s="267"/>
      <c r="CK150" s="267"/>
      <c r="CL150" s="267"/>
      <c r="CM150" s="267"/>
      <c r="CN150" s="101">
        <f t="shared" si="9"/>
        <v>0</v>
      </c>
      <c r="CO150" s="101">
        <f t="shared" si="10"/>
        <v>0</v>
      </c>
    </row>
    <row r="151" spans="1:93" ht="13.9" customHeight="1" x14ac:dyDescent="0.2">
      <c r="A151" s="149">
        <v>6772</v>
      </c>
      <c r="B151" s="150" t="s">
        <v>323</v>
      </c>
      <c r="C151" s="150" t="s">
        <v>697</v>
      </c>
      <c r="D151" s="150" t="s">
        <v>698</v>
      </c>
      <c r="E151" s="150" t="s">
        <v>326</v>
      </c>
      <c r="F151" s="149">
        <v>522806</v>
      </c>
      <c r="G151" s="149">
        <v>175115</v>
      </c>
      <c r="H151" s="150" t="s">
        <v>179</v>
      </c>
      <c r="I151" s="151">
        <v>44635</v>
      </c>
      <c r="J151" s="151">
        <v>45280</v>
      </c>
      <c r="K151" s="149">
        <v>1</v>
      </c>
      <c r="L151" s="149">
        <v>1</v>
      </c>
      <c r="M151" s="149">
        <v>0</v>
      </c>
      <c r="N151" s="149">
        <v>1</v>
      </c>
      <c r="O151" s="149">
        <v>0</v>
      </c>
      <c r="P151" s="152"/>
      <c r="Q151" s="150" t="s">
        <v>699</v>
      </c>
      <c r="R151" s="150" t="s">
        <v>342</v>
      </c>
      <c r="S151" s="151">
        <v>44568</v>
      </c>
      <c r="T151" s="151">
        <v>44616</v>
      </c>
      <c r="U151" s="152"/>
      <c r="V151" s="150" t="s">
        <v>330</v>
      </c>
      <c r="W151" s="151"/>
      <c r="X151" s="150" t="s">
        <v>331</v>
      </c>
      <c r="Y151" s="150" t="s">
        <v>343</v>
      </c>
      <c r="Z151" s="150" t="s">
        <v>334</v>
      </c>
      <c r="AA151" s="150" t="s">
        <v>363</v>
      </c>
      <c r="AB151" s="153">
        <v>2.7199999999999998E-2</v>
      </c>
      <c r="AC151" s="151">
        <v>44635</v>
      </c>
      <c r="AD151" s="150"/>
      <c r="AE151" s="151">
        <v>45280</v>
      </c>
      <c r="AF151" s="150" t="s">
        <v>70</v>
      </c>
      <c r="AG151" s="152" t="s">
        <v>352</v>
      </c>
      <c r="AH151" s="150" t="s">
        <v>326</v>
      </c>
      <c r="AI151" s="99"/>
      <c r="AJ151" s="149"/>
      <c r="AK151" s="99"/>
      <c r="AL151" s="149"/>
      <c r="AM151" s="99"/>
      <c r="AN151" s="149">
        <v>0</v>
      </c>
      <c r="AO151" s="149">
        <v>0</v>
      </c>
      <c r="AP151" s="149">
        <v>-1</v>
      </c>
      <c r="AQ151" s="149">
        <v>0</v>
      </c>
      <c r="AR151" s="149">
        <v>0</v>
      </c>
      <c r="AS151" s="149">
        <v>1</v>
      </c>
      <c r="AT151" s="149">
        <v>0</v>
      </c>
      <c r="AU151" s="149">
        <v>0</v>
      </c>
      <c r="AV151" s="149">
        <v>0</v>
      </c>
      <c r="AW151" s="149">
        <v>0</v>
      </c>
      <c r="AX151" s="149">
        <v>0</v>
      </c>
      <c r="AY151" s="149">
        <v>0</v>
      </c>
      <c r="AZ151" s="149">
        <v>0</v>
      </c>
      <c r="BA151" s="149">
        <v>0</v>
      </c>
      <c r="BB151" s="149">
        <v>0</v>
      </c>
      <c r="BC151" s="149">
        <v>0</v>
      </c>
      <c r="BD151" s="149">
        <v>-1</v>
      </c>
      <c r="BE151" s="149">
        <v>0</v>
      </c>
      <c r="BF151" s="149">
        <v>0</v>
      </c>
      <c r="BG151" s="149">
        <v>1</v>
      </c>
      <c r="BH151" s="149">
        <v>0</v>
      </c>
      <c r="BI151" s="149">
        <v>0</v>
      </c>
      <c r="BJ151" s="149">
        <v>0</v>
      </c>
      <c r="BK151" s="149">
        <v>0</v>
      </c>
      <c r="BL151" s="149">
        <v>0</v>
      </c>
      <c r="BM151" s="149">
        <v>0</v>
      </c>
      <c r="BN151" s="149">
        <v>0</v>
      </c>
      <c r="BO151" s="149">
        <v>0</v>
      </c>
      <c r="BP151" s="152"/>
      <c r="BQ151" s="152"/>
      <c r="BR151" s="154" t="s">
        <v>359</v>
      </c>
      <c r="BS151" s="136">
        <v>1</v>
      </c>
      <c r="BT151" s="267">
        <f t="shared" si="8"/>
        <v>0</v>
      </c>
      <c r="BU151" s="267"/>
      <c r="BV151" s="267"/>
      <c r="BW151" s="267"/>
      <c r="BX151" s="267"/>
      <c r="BY151" s="267"/>
      <c r="BZ151" s="267"/>
      <c r="CA151" s="267"/>
      <c r="CB151" s="267"/>
      <c r="CC151" s="267"/>
      <c r="CD151" s="267"/>
      <c r="CE151" s="267"/>
      <c r="CF151" s="267"/>
      <c r="CG151" s="267"/>
      <c r="CH151" s="267"/>
      <c r="CI151" s="267"/>
      <c r="CJ151" s="267"/>
      <c r="CK151" s="267"/>
      <c r="CL151" s="267"/>
      <c r="CM151" s="267"/>
      <c r="CN151" s="101">
        <f t="shared" si="9"/>
        <v>0</v>
      </c>
      <c r="CO151" s="101">
        <f t="shared" si="10"/>
        <v>0</v>
      </c>
    </row>
    <row r="152" spans="1:93" ht="13.9" customHeight="1" x14ac:dyDescent="0.2">
      <c r="A152" s="149">
        <v>7794</v>
      </c>
      <c r="B152" s="150" t="s">
        <v>323</v>
      </c>
      <c r="C152" s="150" t="s">
        <v>700</v>
      </c>
      <c r="D152" s="150" t="s">
        <v>701</v>
      </c>
      <c r="E152" s="150" t="s">
        <v>326</v>
      </c>
      <c r="F152" s="149">
        <v>527039</v>
      </c>
      <c r="G152" s="149">
        <v>176160</v>
      </c>
      <c r="H152" s="150" t="s">
        <v>170</v>
      </c>
      <c r="I152" s="151">
        <v>44946</v>
      </c>
      <c r="J152" s="151">
        <v>45382</v>
      </c>
      <c r="K152" s="149">
        <v>1</v>
      </c>
      <c r="L152" s="149">
        <v>2</v>
      </c>
      <c r="M152" s="149">
        <v>1</v>
      </c>
      <c r="N152" s="149">
        <v>2</v>
      </c>
      <c r="O152" s="149">
        <v>1</v>
      </c>
      <c r="P152" s="152"/>
      <c r="Q152" s="150" t="s">
        <v>702</v>
      </c>
      <c r="R152" s="150" t="s">
        <v>349</v>
      </c>
      <c r="S152" s="151">
        <v>44624</v>
      </c>
      <c r="T152" s="151">
        <v>44734</v>
      </c>
      <c r="U152" s="152"/>
      <c r="V152" s="150" t="s">
        <v>330</v>
      </c>
      <c r="W152" s="151"/>
      <c r="X152" s="150" t="s">
        <v>331</v>
      </c>
      <c r="Y152" s="150" t="s">
        <v>398</v>
      </c>
      <c r="Z152" s="150" t="s">
        <v>334</v>
      </c>
      <c r="AA152" s="150" t="s">
        <v>399</v>
      </c>
      <c r="AB152" s="153">
        <v>4.7000000000000002E-3</v>
      </c>
      <c r="AC152" s="151">
        <v>44946</v>
      </c>
      <c r="AD152" s="150"/>
      <c r="AE152" s="151">
        <v>45382</v>
      </c>
      <c r="AF152" s="150" t="s">
        <v>70</v>
      </c>
      <c r="AG152" s="152" t="s">
        <v>352</v>
      </c>
      <c r="AH152" s="150" t="s">
        <v>326</v>
      </c>
      <c r="AI152" s="99"/>
      <c r="AJ152" s="149"/>
      <c r="AK152" s="99"/>
      <c r="AL152" s="149"/>
      <c r="AM152" s="99"/>
      <c r="AN152" s="149">
        <v>0</v>
      </c>
      <c r="AO152" s="149">
        <v>1</v>
      </c>
      <c r="AP152" s="149">
        <v>1</v>
      </c>
      <c r="AQ152" s="149">
        <v>0</v>
      </c>
      <c r="AR152" s="149">
        <v>-1</v>
      </c>
      <c r="AS152" s="149">
        <v>0</v>
      </c>
      <c r="AT152" s="149">
        <v>0</v>
      </c>
      <c r="AU152" s="149">
        <v>0</v>
      </c>
      <c r="AV152" s="149">
        <v>1</v>
      </c>
      <c r="AW152" s="149">
        <v>1</v>
      </c>
      <c r="AX152" s="149">
        <v>0</v>
      </c>
      <c r="AY152" s="149">
        <v>-1</v>
      </c>
      <c r="AZ152" s="149">
        <v>0</v>
      </c>
      <c r="BA152" s="149">
        <v>0</v>
      </c>
      <c r="BB152" s="149">
        <v>0</v>
      </c>
      <c r="BC152" s="149">
        <v>0</v>
      </c>
      <c r="BD152" s="149">
        <v>0</v>
      </c>
      <c r="BE152" s="149">
        <v>0</v>
      </c>
      <c r="BF152" s="149">
        <v>0</v>
      </c>
      <c r="BG152" s="149">
        <v>0</v>
      </c>
      <c r="BH152" s="149">
        <v>0</v>
      </c>
      <c r="BI152" s="149">
        <v>0</v>
      </c>
      <c r="BJ152" s="149">
        <v>0</v>
      </c>
      <c r="BK152" s="149">
        <v>0</v>
      </c>
      <c r="BL152" s="149">
        <v>0</v>
      </c>
      <c r="BM152" s="149">
        <v>0</v>
      </c>
      <c r="BN152" s="149">
        <v>0</v>
      </c>
      <c r="BO152" s="149">
        <v>0</v>
      </c>
      <c r="BP152" s="152"/>
      <c r="BQ152" s="152"/>
      <c r="BR152" s="154" t="s">
        <v>359</v>
      </c>
      <c r="BS152" s="136">
        <v>11</v>
      </c>
      <c r="BT152" s="267">
        <f t="shared" si="8"/>
        <v>1</v>
      </c>
      <c r="BU152" s="267"/>
      <c r="BV152" s="267"/>
      <c r="BW152" s="267"/>
      <c r="BX152" s="267"/>
      <c r="BY152" s="267"/>
      <c r="BZ152" s="267"/>
      <c r="CA152" s="267"/>
      <c r="CB152" s="267"/>
      <c r="CC152" s="267"/>
      <c r="CD152" s="267"/>
      <c r="CE152" s="267"/>
      <c r="CF152" s="267"/>
      <c r="CG152" s="267"/>
      <c r="CH152" s="267"/>
      <c r="CI152" s="267"/>
      <c r="CJ152" s="267"/>
      <c r="CK152" s="267"/>
      <c r="CL152" s="267"/>
      <c r="CM152" s="267"/>
      <c r="CN152" s="101">
        <f t="shared" si="9"/>
        <v>0</v>
      </c>
      <c r="CO152" s="101">
        <f t="shared" si="10"/>
        <v>0</v>
      </c>
    </row>
    <row r="153" spans="1:93" ht="13.9" customHeight="1" x14ac:dyDescent="0.2">
      <c r="A153" s="149">
        <v>7763</v>
      </c>
      <c r="B153" s="150" t="s">
        <v>323</v>
      </c>
      <c r="C153" s="150" t="s">
        <v>703</v>
      </c>
      <c r="D153" s="150" t="s">
        <v>704</v>
      </c>
      <c r="E153" s="150" t="s">
        <v>326</v>
      </c>
      <c r="F153" s="149">
        <v>522433</v>
      </c>
      <c r="G153" s="149">
        <v>173822</v>
      </c>
      <c r="H153" s="150" t="s">
        <v>166</v>
      </c>
      <c r="I153" s="151">
        <v>44697</v>
      </c>
      <c r="J153" s="151">
        <v>45061</v>
      </c>
      <c r="K153" s="149">
        <v>1</v>
      </c>
      <c r="L153" s="149">
        <v>2</v>
      </c>
      <c r="M153" s="149">
        <v>1</v>
      </c>
      <c r="N153" s="149">
        <v>2</v>
      </c>
      <c r="O153" s="149">
        <v>1</v>
      </c>
      <c r="P153" s="152"/>
      <c r="Q153" s="150" t="s">
        <v>705</v>
      </c>
      <c r="R153" s="150" t="s">
        <v>349</v>
      </c>
      <c r="S153" s="151">
        <v>44594</v>
      </c>
      <c r="T153" s="151">
        <v>44649</v>
      </c>
      <c r="U153" s="152"/>
      <c r="V153" s="150" t="s">
        <v>330</v>
      </c>
      <c r="W153" s="151"/>
      <c r="X153" s="150" t="s">
        <v>331</v>
      </c>
      <c r="Y153" s="150" t="s">
        <v>398</v>
      </c>
      <c r="Z153" s="150" t="s">
        <v>334</v>
      </c>
      <c r="AA153" s="150" t="s">
        <v>32</v>
      </c>
      <c r="AB153" s="153">
        <v>8.6999999999999994E-3</v>
      </c>
      <c r="AC153" s="151">
        <v>44697</v>
      </c>
      <c r="AD153" s="150"/>
      <c r="AE153" s="151">
        <v>45061</v>
      </c>
      <c r="AF153" s="150" t="s">
        <v>70</v>
      </c>
      <c r="AG153" s="152" t="s">
        <v>337</v>
      </c>
      <c r="AH153" s="150" t="s">
        <v>326</v>
      </c>
      <c r="AI153" s="99"/>
      <c r="AJ153" s="149"/>
      <c r="AK153" s="99"/>
      <c r="AL153" s="149"/>
      <c r="AM153" s="99"/>
      <c r="AN153" s="149">
        <v>0</v>
      </c>
      <c r="AO153" s="149">
        <v>0</v>
      </c>
      <c r="AP153" s="149">
        <v>1</v>
      </c>
      <c r="AQ153" s="149">
        <v>0</v>
      </c>
      <c r="AR153" s="149">
        <v>0</v>
      </c>
      <c r="AS153" s="149">
        <v>0</v>
      </c>
      <c r="AT153" s="149">
        <v>0</v>
      </c>
      <c r="AU153" s="149">
        <v>0</v>
      </c>
      <c r="AV153" s="149">
        <v>0</v>
      </c>
      <c r="AW153" s="149">
        <v>1</v>
      </c>
      <c r="AX153" s="149">
        <v>0</v>
      </c>
      <c r="AY153" s="149">
        <v>0</v>
      </c>
      <c r="AZ153" s="149">
        <v>0</v>
      </c>
      <c r="BA153" s="149">
        <v>0</v>
      </c>
      <c r="BB153" s="149">
        <v>0</v>
      </c>
      <c r="BC153" s="149">
        <v>0</v>
      </c>
      <c r="BD153" s="149">
        <v>0</v>
      </c>
      <c r="BE153" s="149">
        <v>0</v>
      </c>
      <c r="BF153" s="149">
        <v>0</v>
      </c>
      <c r="BG153" s="149">
        <v>0</v>
      </c>
      <c r="BH153" s="149">
        <v>0</v>
      </c>
      <c r="BI153" s="149">
        <v>0</v>
      </c>
      <c r="BJ153" s="149">
        <v>0</v>
      </c>
      <c r="BK153" s="149">
        <v>0</v>
      </c>
      <c r="BL153" s="149">
        <v>0</v>
      </c>
      <c r="BM153" s="149">
        <v>0</v>
      </c>
      <c r="BN153" s="149">
        <v>0</v>
      </c>
      <c r="BO153" s="149">
        <v>0</v>
      </c>
      <c r="BP153" s="152"/>
      <c r="BQ153" s="152"/>
      <c r="BR153" s="154" t="s">
        <v>150</v>
      </c>
      <c r="BS153" s="136">
        <v>11</v>
      </c>
      <c r="BT153" s="267">
        <f t="shared" si="8"/>
        <v>1</v>
      </c>
      <c r="BU153" s="267"/>
      <c r="BV153" s="267"/>
      <c r="BW153" s="267"/>
      <c r="BX153" s="267"/>
      <c r="BY153" s="267"/>
      <c r="BZ153" s="267"/>
      <c r="CA153" s="267"/>
      <c r="CB153" s="267"/>
      <c r="CC153" s="267"/>
      <c r="CD153" s="267"/>
      <c r="CE153" s="267"/>
      <c r="CF153" s="267"/>
      <c r="CG153" s="267"/>
      <c r="CH153" s="267"/>
      <c r="CI153" s="267"/>
      <c r="CJ153" s="267"/>
      <c r="CK153" s="267"/>
      <c r="CL153" s="267"/>
      <c r="CM153" s="267"/>
      <c r="CN153" s="101">
        <f t="shared" si="9"/>
        <v>0</v>
      </c>
      <c r="CO153" s="101">
        <f t="shared" si="10"/>
        <v>0</v>
      </c>
    </row>
    <row r="154" spans="1:93" ht="13.9" customHeight="1" x14ac:dyDescent="0.2">
      <c r="A154" s="149">
        <v>5680</v>
      </c>
      <c r="B154" s="150" t="s">
        <v>323</v>
      </c>
      <c r="C154" s="150" t="s">
        <v>706</v>
      </c>
      <c r="D154" s="150" t="s">
        <v>707</v>
      </c>
      <c r="E154" s="150" t="s">
        <v>326</v>
      </c>
      <c r="F154" s="149">
        <v>527140</v>
      </c>
      <c r="G154" s="149">
        <v>176148</v>
      </c>
      <c r="H154" s="150" t="s">
        <v>162</v>
      </c>
      <c r="I154" s="151">
        <v>45016</v>
      </c>
      <c r="J154" s="151">
        <v>45113</v>
      </c>
      <c r="K154" s="149">
        <v>1</v>
      </c>
      <c r="L154" s="149">
        <v>2</v>
      </c>
      <c r="M154" s="149">
        <v>1</v>
      </c>
      <c r="N154" s="149">
        <v>2</v>
      </c>
      <c r="O154" s="149">
        <v>1</v>
      </c>
      <c r="P154" s="152"/>
      <c r="Q154" s="150" t="s">
        <v>708</v>
      </c>
      <c r="R154" s="150" t="s">
        <v>349</v>
      </c>
      <c r="S154" s="151">
        <v>44613</v>
      </c>
      <c r="T154" s="151">
        <v>44755</v>
      </c>
      <c r="U154" s="152"/>
      <c r="V154" s="150" t="s">
        <v>330</v>
      </c>
      <c r="W154" s="151"/>
      <c r="X154" s="150" t="s">
        <v>331</v>
      </c>
      <c r="Y154" s="150" t="s">
        <v>398</v>
      </c>
      <c r="Z154" s="150" t="s">
        <v>334</v>
      </c>
      <c r="AA154" s="150" t="s">
        <v>413</v>
      </c>
      <c r="AB154" s="153">
        <v>6.0000000000000001E-3</v>
      </c>
      <c r="AC154" s="151">
        <v>45016</v>
      </c>
      <c r="AD154" s="150"/>
      <c r="AE154" s="151">
        <v>45113</v>
      </c>
      <c r="AF154" s="150" t="s">
        <v>70</v>
      </c>
      <c r="AG154" s="152" t="s">
        <v>337</v>
      </c>
      <c r="AH154" s="150" t="s">
        <v>326</v>
      </c>
      <c r="AI154" s="99"/>
      <c r="AJ154" s="149"/>
      <c r="AK154" s="99"/>
      <c r="AL154" s="149"/>
      <c r="AM154" s="99"/>
      <c r="AN154" s="149">
        <v>1</v>
      </c>
      <c r="AO154" s="149">
        <v>1</v>
      </c>
      <c r="AP154" s="149">
        <v>-1</v>
      </c>
      <c r="AQ154" s="149">
        <v>0</v>
      </c>
      <c r="AR154" s="149">
        <v>0</v>
      </c>
      <c r="AS154" s="149">
        <v>0</v>
      </c>
      <c r="AT154" s="149">
        <v>0</v>
      </c>
      <c r="AU154" s="149">
        <v>1</v>
      </c>
      <c r="AV154" s="149">
        <v>1</v>
      </c>
      <c r="AW154" s="149">
        <v>-1</v>
      </c>
      <c r="AX154" s="149">
        <v>0</v>
      </c>
      <c r="AY154" s="149">
        <v>0</v>
      </c>
      <c r="AZ154" s="149">
        <v>0</v>
      </c>
      <c r="BA154" s="149">
        <v>0</v>
      </c>
      <c r="BB154" s="149">
        <v>0</v>
      </c>
      <c r="BC154" s="149">
        <v>0</v>
      </c>
      <c r="BD154" s="149">
        <v>0</v>
      </c>
      <c r="BE154" s="149">
        <v>0</v>
      </c>
      <c r="BF154" s="149">
        <v>0</v>
      </c>
      <c r="BG154" s="149">
        <v>0</v>
      </c>
      <c r="BH154" s="149">
        <v>0</v>
      </c>
      <c r="BI154" s="149">
        <v>0</v>
      </c>
      <c r="BJ154" s="149">
        <v>0</v>
      </c>
      <c r="BK154" s="149">
        <v>0</v>
      </c>
      <c r="BL154" s="149">
        <v>0</v>
      </c>
      <c r="BM154" s="149">
        <v>0</v>
      </c>
      <c r="BN154" s="149">
        <v>0</v>
      </c>
      <c r="BO154" s="149">
        <v>0</v>
      </c>
      <c r="BP154" s="152"/>
      <c r="BQ154" s="152"/>
      <c r="BR154" s="154" t="s">
        <v>359</v>
      </c>
      <c r="BS154" s="136">
        <v>11</v>
      </c>
      <c r="BT154" s="267">
        <f t="shared" si="8"/>
        <v>1</v>
      </c>
      <c r="BU154" s="267"/>
      <c r="BV154" s="267"/>
      <c r="BW154" s="267"/>
      <c r="BX154" s="267"/>
      <c r="BY154" s="267"/>
      <c r="BZ154" s="267"/>
      <c r="CA154" s="267"/>
      <c r="CB154" s="267"/>
      <c r="CC154" s="267"/>
      <c r="CD154" s="267"/>
      <c r="CE154" s="267"/>
      <c r="CF154" s="267"/>
      <c r="CG154" s="267"/>
      <c r="CH154" s="267"/>
      <c r="CI154" s="267"/>
      <c r="CJ154" s="267"/>
      <c r="CK154" s="267"/>
      <c r="CL154" s="267"/>
      <c r="CM154" s="267"/>
      <c r="CN154" s="101">
        <f t="shared" si="9"/>
        <v>0</v>
      </c>
      <c r="CO154" s="101">
        <f t="shared" si="10"/>
        <v>0</v>
      </c>
    </row>
    <row r="155" spans="1:93" ht="13.9" customHeight="1" x14ac:dyDescent="0.2">
      <c r="A155" s="149">
        <v>3240</v>
      </c>
      <c r="B155" s="150" t="s">
        <v>323</v>
      </c>
      <c r="C155" s="150" t="s">
        <v>709</v>
      </c>
      <c r="D155" s="150" t="s">
        <v>710</v>
      </c>
      <c r="E155" s="150" t="s">
        <v>326</v>
      </c>
      <c r="F155" s="149">
        <v>527072</v>
      </c>
      <c r="G155" s="149">
        <v>176221</v>
      </c>
      <c r="H155" s="150" t="s">
        <v>170</v>
      </c>
      <c r="I155" s="151">
        <v>45016</v>
      </c>
      <c r="J155" s="151">
        <v>45329</v>
      </c>
      <c r="K155" s="149">
        <v>0</v>
      </c>
      <c r="L155" s="149">
        <v>1</v>
      </c>
      <c r="M155" s="149">
        <v>1</v>
      </c>
      <c r="N155" s="149">
        <v>1</v>
      </c>
      <c r="O155" s="149">
        <v>1</v>
      </c>
      <c r="P155" s="152"/>
      <c r="Q155" s="150" t="s">
        <v>711</v>
      </c>
      <c r="R155" s="150" t="s">
        <v>349</v>
      </c>
      <c r="S155" s="151">
        <v>44616</v>
      </c>
      <c r="T155" s="151">
        <v>44672</v>
      </c>
      <c r="U155" s="152"/>
      <c r="V155" s="150" t="s">
        <v>330</v>
      </c>
      <c r="W155" s="151"/>
      <c r="X155" s="150" t="s">
        <v>331</v>
      </c>
      <c r="Y155" s="150" t="s">
        <v>350</v>
      </c>
      <c r="Z155" s="150" t="s">
        <v>334</v>
      </c>
      <c r="AA155" s="150" t="s">
        <v>26</v>
      </c>
      <c r="AB155" s="153">
        <v>5.0000000000000001E-3</v>
      </c>
      <c r="AC155" s="151">
        <v>45016</v>
      </c>
      <c r="AD155" s="150"/>
      <c r="AE155" s="151">
        <v>45329</v>
      </c>
      <c r="AF155" s="150" t="s">
        <v>70</v>
      </c>
      <c r="AG155" s="152" t="s">
        <v>352</v>
      </c>
      <c r="AH155" s="150" t="s">
        <v>326</v>
      </c>
      <c r="AI155" s="99"/>
      <c r="AJ155" s="149"/>
      <c r="AK155" s="99"/>
      <c r="AL155" s="149"/>
      <c r="AM155" s="99"/>
      <c r="AN155" s="149">
        <v>0</v>
      </c>
      <c r="AO155" s="149">
        <v>1</v>
      </c>
      <c r="AP155" s="149">
        <v>0</v>
      </c>
      <c r="AQ155" s="149">
        <v>0</v>
      </c>
      <c r="AR155" s="149">
        <v>0</v>
      </c>
      <c r="AS155" s="149">
        <v>0</v>
      </c>
      <c r="AT155" s="149">
        <v>0</v>
      </c>
      <c r="AU155" s="149">
        <v>0</v>
      </c>
      <c r="AV155" s="149">
        <v>1</v>
      </c>
      <c r="AW155" s="149">
        <v>0</v>
      </c>
      <c r="AX155" s="149">
        <v>0</v>
      </c>
      <c r="AY155" s="149">
        <v>0</v>
      </c>
      <c r="AZ155" s="149">
        <v>0</v>
      </c>
      <c r="BA155" s="149">
        <v>0</v>
      </c>
      <c r="BB155" s="149">
        <v>0</v>
      </c>
      <c r="BC155" s="149">
        <v>0</v>
      </c>
      <c r="BD155" s="149">
        <v>0</v>
      </c>
      <c r="BE155" s="149">
        <v>0</v>
      </c>
      <c r="BF155" s="149">
        <v>0</v>
      </c>
      <c r="BG155" s="149">
        <v>0</v>
      </c>
      <c r="BH155" s="149">
        <v>0</v>
      </c>
      <c r="BI155" s="149">
        <v>0</v>
      </c>
      <c r="BJ155" s="149">
        <v>0</v>
      </c>
      <c r="BK155" s="149">
        <v>0</v>
      </c>
      <c r="BL155" s="149">
        <v>0</v>
      </c>
      <c r="BM155" s="149">
        <v>0</v>
      </c>
      <c r="BN155" s="149">
        <v>0</v>
      </c>
      <c r="BO155" s="149">
        <v>0</v>
      </c>
      <c r="BP155" s="152"/>
      <c r="BQ155" s="152"/>
      <c r="BR155" s="154" t="s">
        <v>359</v>
      </c>
      <c r="BS155" s="136">
        <v>11</v>
      </c>
      <c r="BT155" s="267">
        <f t="shared" si="8"/>
        <v>1</v>
      </c>
      <c r="BU155" s="267"/>
      <c r="BV155" s="267"/>
      <c r="BW155" s="267"/>
      <c r="BX155" s="267"/>
      <c r="BY155" s="267"/>
      <c r="BZ155" s="267"/>
      <c r="CA155" s="267"/>
      <c r="CB155" s="267"/>
      <c r="CC155" s="267"/>
      <c r="CD155" s="267"/>
      <c r="CE155" s="267"/>
      <c r="CF155" s="267"/>
      <c r="CG155" s="267"/>
      <c r="CH155" s="267"/>
      <c r="CI155" s="267"/>
      <c r="CJ155" s="267"/>
      <c r="CK155" s="267"/>
      <c r="CL155" s="267"/>
      <c r="CM155" s="267"/>
      <c r="CN155" s="101">
        <f t="shared" si="9"/>
        <v>0</v>
      </c>
      <c r="CO155" s="101">
        <f t="shared" si="10"/>
        <v>0</v>
      </c>
    </row>
    <row r="156" spans="1:93" ht="13.9" customHeight="1" x14ac:dyDescent="0.2">
      <c r="A156" s="149">
        <v>7799</v>
      </c>
      <c r="B156" s="150" t="s">
        <v>323</v>
      </c>
      <c r="C156" s="150" t="s">
        <v>712</v>
      </c>
      <c r="D156" s="150" t="s">
        <v>713</v>
      </c>
      <c r="E156" s="150" t="s">
        <v>326</v>
      </c>
      <c r="F156" s="149">
        <v>526281</v>
      </c>
      <c r="G156" s="149">
        <v>173564</v>
      </c>
      <c r="H156" s="150" t="s">
        <v>175</v>
      </c>
      <c r="I156" s="151">
        <v>44773</v>
      </c>
      <c r="J156" s="151">
        <v>45280</v>
      </c>
      <c r="K156" s="149">
        <v>1</v>
      </c>
      <c r="L156" s="149">
        <v>4</v>
      </c>
      <c r="M156" s="149">
        <v>3</v>
      </c>
      <c r="N156" s="149">
        <v>4</v>
      </c>
      <c r="O156" s="149">
        <v>3</v>
      </c>
      <c r="P156" s="152"/>
      <c r="Q156" s="150" t="s">
        <v>714</v>
      </c>
      <c r="R156" s="150" t="s">
        <v>349</v>
      </c>
      <c r="S156" s="151">
        <v>44622</v>
      </c>
      <c r="T156" s="151">
        <v>44686</v>
      </c>
      <c r="U156" s="152"/>
      <c r="V156" s="150" t="s">
        <v>330</v>
      </c>
      <c r="W156" s="151"/>
      <c r="X156" s="150" t="s">
        <v>331</v>
      </c>
      <c r="Y156" s="150" t="s">
        <v>350</v>
      </c>
      <c r="Z156" s="150" t="s">
        <v>334</v>
      </c>
      <c r="AA156" s="150" t="s">
        <v>16</v>
      </c>
      <c r="AB156" s="153">
        <v>8.2749999999999994E-3</v>
      </c>
      <c r="AC156" s="151">
        <v>44773</v>
      </c>
      <c r="AD156" s="150"/>
      <c r="AE156" s="151">
        <v>45280</v>
      </c>
      <c r="AF156" s="150" t="s">
        <v>70</v>
      </c>
      <c r="AG156" s="152" t="s">
        <v>352</v>
      </c>
      <c r="AH156" s="150" t="s">
        <v>326</v>
      </c>
      <c r="AI156" s="99"/>
      <c r="AJ156" s="149"/>
      <c r="AK156" s="99"/>
      <c r="AL156" s="149"/>
      <c r="AM156" s="99"/>
      <c r="AN156" s="149">
        <v>0</v>
      </c>
      <c r="AO156" s="149">
        <v>1</v>
      </c>
      <c r="AP156" s="149">
        <v>1</v>
      </c>
      <c r="AQ156" s="149">
        <v>2</v>
      </c>
      <c r="AR156" s="149">
        <v>0</v>
      </c>
      <c r="AS156" s="149">
        <v>-1</v>
      </c>
      <c r="AT156" s="149">
        <v>0</v>
      </c>
      <c r="AU156" s="149">
        <v>0</v>
      </c>
      <c r="AV156" s="149">
        <v>1</v>
      </c>
      <c r="AW156" s="149">
        <v>1</v>
      </c>
      <c r="AX156" s="149">
        <v>2</v>
      </c>
      <c r="AY156" s="149">
        <v>0</v>
      </c>
      <c r="AZ156" s="149">
        <v>0</v>
      </c>
      <c r="BA156" s="149">
        <v>0</v>
      </c>
      <c r="BB156" s="149">
        <v>0</v>
      </c>
      <c r="BC156" s="149">
        <v>0</v>
      </c>
      <c r="BD156" s="149">
        <v>0</v>
      </c>
      <c r="BE156" s="149">
        <v>0</v>
      </c>
      <c r="BF156" s="149">
        <v>0</v>
      </c>
      <c r="BG156" s="149">
        <v>-1</v>
      </c>
      <c r="BH156" s="149">
        <v>0</v>
      </c>
      <c r="BI156" s="149">
        <v>0</v>
      </c>
      <c r="BJ156" s="149">
        <v>0</v>
      </c>
      <c r="BK156" s="149">
        <v>0</v>
      </c>
      <c r="BL156" s="149">
        <v>0</v>
      </c>
      <c r="BM156" s="149">
        <v>0</v>
      </c>
      <c r="BN156" s="149">
        <v>0</v>
      </c>
      <c r="BO156" s="149">
        <v>0</v>
      </c>
      <c r="BP156" s="152"/>
      <c r="BQ156" s="152"/>
      <c r="BR156" s="154" t="s">
        <v>359</v>
      </c>
      <c r="BS156" s="136">
        <v>11</v>
      </c>
      <c r="BT156" s="267">
        <f t="shared" si="8"/>
        <v>3</v>
      </c>
      <c r="BU156" s="267"/>
      <c r="BV156" s="267"/>
      <c r="BW156" s="267"/>
      <c r="BX156" s="267"/>
      <c r="BY156" s="267"/>
      <c r="BZ156" s="267"/>
      <c r="CA156" s="267"/>
      <c r="CB156" s="267"/>
      <c r="CC156" s="267"/>
      <c r="CD156" s="267"/>
      <c r="CE156" s="267"/>
      <c r="CF156" s="267"/>
      <c r="CG156" s="267"/>
      <c r="CH156" s="267"/>
      <c r="CI156" s="267"/>
      <c r="CJ156" s="267"/>
      <c r="CK156" s="267"/>
      <c r="CL156" s="267"/>
      <c r="CM156" s="267"/>
      <c r="CN156" s="101">
        <f t="shared" si="9"/>
        <v>0</v>
      </c>
      <c r="CO156" s="101">
        <f t="shared" si="10"/>
        <v>0</v>
      </c>
    </row>
    <row r="157" spans="1:93" ht="13.9" customHeight="1" x14ac:dyDescent="0.2">
      <c r="A157" s="149">
        <v>7841</v>
      </c>
      <c r="B157" s="150" t="s">
        <v>323</v>
      </c>
      <c r="C157" s="150" t="s">
        <v>715</v>
      </c>
      <c r="D157" s="150" t="s">
        <v>716</v>
      </c>
      <c r="E157" s="150" t="s">
        <v>326</v>
      </c>
      <c r="F157" s="149">
        <v>523247</v>
      </c>
      <c r="G157" s="149">
        <v>175077</v>
      </c>
      <c r="H157" s="150" t="s">
        <v>179</v>
      </c>
      <c r="I157" s="151">
        <v>44956</v>
      </c>
      <c r="J157" s="151">
        <v>45328</v>
      </c>
      <c r="K157" s="149">
        <v>1</v>
      </c>
      <c r="L157" s="149">
        <v>1</v>
      </c>
      <c r="M157" s="149">
        <v>0</v>
      </c>
      <c r="N157" s="149">
        <v>1</v>
      </c>
      <c r="O157" s="149">
        <v>0</v>
      </c>
      <c r="P157" s="152"/>
      <c r="Q157" s="150" t="s">
        <v>717</v>
      </c>
      <c r="R157" s="150" t="s">
        <v>349</v>
      </c>
      <c r="S157" s="151">
        <v>44706</v>
      </c>
      <c r="T157" s="151">
        <v>44783</v>
      </c>
      <c r="U157" s="152"/>
      <c r="V157" s="150" t="s">
        <v>330</v>
      </c>
      <c r="W157" s="151"/>
      <c r="X157" s="150" t="s">
        <v>331</v>
      </c>
      <c r="Y157" s="150" t="s">
        <v>350</v>
      </c>
      <c r="Z157" s="150" t="s">
        <v>334</v>
      </c>
      <c r="AA157" s="150" t="s">
        <v>18</v>
      </c>
      <c r="AB157" s="153">
        <v>7.0000000000000001E-3</v>
      </c>
      <c r="AC157" s="151">
        <v>44956</v>
      </c>
      <c r="AD157" s="150"/>
      <c r="AE157" s="151">
        <v>45328</v>
      </c>
      <c r="AF157" s="150" t="s">
        <v>70</v>
      </c>
      <c r="AG157" s="152" t="s">
        <v>352</v>
      </c>
      <c r="AH157" s="150" t="s">
        <v>326</v>
      </c>
      <c r="AI157" s="99"/>
      <c r="AJ157" s="149"/>
      <c r="AK157" s="99"/>
      <c r="AL157" s="149"/>
      <c r="AM157" s="99"/>
      <c r="AN157" s="149">
        <v>0</v>
      </c>
      <c r="AO157" s="149">
        <v>0</v>
      </c>
      <c r="AP157" s="149">
        <v>-1</v>
      </c>
      <c r="AQ157" s="149">
        <v>0</v>
      </c>
      <c r="AR157" s="149">
        <v>1</v>
      </c>
      <c r="AS157" s="149">
        <v>0</v>
      </c>
      <c r="AT157" s="149">
        <v>0</v>
      </c>
      <c r="AU157" s="149">
        <v>0</v>
      </c>
      <c r="AV157" s="149">
        <v>0</v>
      </c>
      <c r="AW157" s="149">
        <v>-1</v>
      </c>
      <c r="AX157" s="149">
        <v>0</v>
      </c>
      <c r="AY157" s="149">
        <v>0</v>
      </c>
      <c r="AZ157" s="149">
        <v>0</v>
      </c>
      <c r="BA157" s="149">
        <v>0</v>
      </c>
      <c r="BB157" s="149">
        <v>0</v>
      </c>
      <c r="BC157" s="149">
        <v>0</v>
      </c>
      <c r="BD157" s="149">
        <v>0</v>
      </c>
      <c r="BE157" s="149">
        <v>0</v>
      </c>
      <c r="BF157" s="149">
        <v>1</v>
      </c>
      <c r="BG157" s="149">
        <v>0</v>
      </c>
      <c r="BH157" s="149">
        <v>0</v>
      </c>
      <c r="BI157" s="149">
        <v>0</v>
      </c>
      <c r="BJ157" s="149">
        <v>0</v>
      </c>
      <c r="BK157" s="149">
        <v>0</v>
      </c>
      <c r="BL157" s="149">
        <v>0</v>
      </c>
      <c r="BM157" s="149">
        <v>0</v>
      </c>
      <c r="BN157" s="149">
        <v>0</v>
      </c>
      <c r="BO157" s="149">
        <v>0</v>
      </c>
      <c r="BP157" s="152"/>
      <c r="BQ157" s="152"/>
      <c r="BR157" s="154" t="s">
        <v>359</v>
      </c>
      <c r="BS157" s="136">
        <v>11</v>
      </c>
      <c r="BT157" s="267">
        <f t="shared" si="8"/>
        <v>0</v>
      </c>
      <c r="BU157" s="267"/>
      <c r="BV157" s="267"/>
      <c r="BW157" s="267"/>
      <c r="BX157" s="267"/>
      <c r="BY157" s="267"/>
      <c r="BZ157" s="267"/>
      <c r="CA157" s="267"/>
      <c r="CB157" s="267"/>
      <c r="CC157" s="267"/>
      <c r="CD157" s="267"/>
      <c r="CE157" s="267"/>
      <c r="CF157" s="267"/>
      <c r="CG157" s="267"/>
      <c r="CH157" s="267"/>
      <c r="CI157" s="267"/>
      <c r="CJ157" s="267"/>
      <c r="CK157" s="267"/>
      <c r="CL157" s="267"/>
      <c r="CM157" s="267"/>
      <c r="CN157" s="101">
        <f t="shared" si="9"/>
        <v>0</v>
      </c>
      <c r="CO157" s="101">
        <f t="shared" si="10"/>
        <v>0</v>
      </c>
    </row>
    <row r="158" spans="1:93" ht="13.9" customHeight="1" x14ac:dyDescent="0.2">
      <c r="A158" s="149">
        <v>7871</v>
      </c>
      <c r="B158" s="150" t="s">
        <v>323</v>
      </c>
      <c r="C158" s="150" t="s">
        <v>718</v>
      </c>
      <c r="D158" s="150" t="s">
        <v>719</v>
      </c>
      <c r="E158" s="150" t="s">
        <v>326</v>
      </c>
      <c r="F158" s="149">
        <v>527933</v>
      </c>
      <c r="G158" s="149">
        <v>172591</v>
      </c>
      <c r="H158" s="150" t="s">
        <v>174</v>
      </c>
      <c r="I158" s="151">
        <v>45017</v>
      </c>
      <c r="J158" s="151">
        <v>45017</v>
      </c>
      <c r="K158" s="149">
        <v>0</v>
      </c>
      <c r="L158" s="149">
        <v>1</v>
      </c>
      <c r="M158" s="149">
        <v>1</v>
      </c>
      <c r="N158" s="149">
        <v>1</v>
      </c>
      <c r="O158" s="149">
        <v>1</v>
      </c>
      <c r="P158" s="152"/>
      <c r="Q158" s="150" t="s">
        <v>720</v>
      </c>
      <c r="R158" s="150" t="s">
        <v>427</v>
      </c>
      <c r="S158" s="151">
        <v>44753</v>
      </c>
      <c r="T158" s="151">
        <v>44805</v>
      </c>
      <c r="U158" s="152"/>
      <c r="V158" s="150" t="s">
        <v>330</v>
      </c>
      <c r="W158" s="151"/>
      <c r="X158" s="150" t="s">
        <v>331</v>
      </c>
      <c r="Y158" s="150" t="s">
        <v>332</v>
      </c>
      <c r="Z158" s="150" t="s">
        <v>334</v>
      </c>
      <c r="AA158" s="150" t="s">
        <v>32</v>
      </c>
      <c r="AB158" s="153">
        <v>7.7000000000000002E-3</v>
      </c>
      <c r="AC158" s="151">
        <v>45017</v>
      </c>
      <c r="AD158" s="152" t="s">
        <v>327</v>
      </c>
      <c r="AE158" s="151">
        <v>45017</v>
      </c>
      <c r="AF158" s="150" t="s">
        <v>70</v>
      </c>
      <c r="AG158" s="152" t="s">
        <v>352</v>
      </c>
      <c r="AH158" s="150" t="s">
        <v>326</v>
      </c>
      <c r="AI158" s="99"/>
      <c r="AJ158" s="149"/>
      <c r="AK158" s="99"/>
      <c r="AL158" s="149"/>
      <c r="AM158" s="99"/>
      <c r="AN158" s="149">
        <v>0</v>
      </c>
      <c r="AO158" s="149">
        <v>0</v>
      </c>
      <c r="AP158" s="149">
        <v>1</v>
      </c>
      <c r="AQ158" s="149">
        <v>0</v>
      </c>
      <c r="AR158" s="149">
        <v>0</v>
      </c>
      <c r="AS158" s="149">
        <v>0</v>
      </c>
      <c r="AT158" s="149">
        <v>0</v>
      </c>
      <c r="AU158" s="149">
        <v>0</v>
      </c>
      <c r="AV158" s="149">
        <v>0</v>
      </c>
      <c r="AW158" s="149">
        <v>1</v>
      </c>
      <c r="AX158" s="149">
        <v>0</v>
      </c>
      <c r="AY158" s="149">
        <v>0</v>
      </c>
      <c r="AZ158" s="149">
        <v>0</v>
      </c>
      <c r="BA158" s="149">
        <v>0</v>
      </c>
      <c r="BB158" s="149">
        <v>0</v>
      </c>
      <c r="BC158" s="149">
        <v>0</v>
      </c>
      <c r="BD158" s="149">
        <v>0</v>
      </c>
      <c r="BE158" s="149">
        <v>0</v>
      </c>
      <c r="BF158" s="149">
        <v>0</v>
      </c>
      <c r="BG158" s="149">
        <v>0</v>
      </c>
      <c r="BH158" s="149">
        <v>0</v>
      </c>
      <c r="BI158" s="149">
        <v>0</v>
      </c>
      <c r="BJ158" s="149">
        <v>0</v>
      </c>
      <c r="BK158" s="149">
        <v>0</v>
      </c>
      <c r="BL158" s="149">
        <v>0</v>
      </c>
      <c r="BM158" s="149">
        <v>0</v>
      </c>
      <c r="BN158" s="149">
        <v>0</v>
      </c>
      <c r="BO158" s="149">
        <v>0</v>
      </c>
      <c r="BP158" s="152"/>
      <c r="BQ158" s="152"/>
      <c r="BR158" s="154" t="s">
        <v>359</v>
      </c>
      <c r="BS158" s="136">
        <v>11</v>
      </c>
      <c r="BT158" s="267">
        <f t="shared" si="8"/>
        <v>1</v>
      </c>
      <c r="BU158" s="267"/>
      <c r="BV158" s="267"/>
      <c r="BW158" s="267"/>
      <c r="BX158" s="267"/>
      <c r="BY158" s="267"/>
      <c r="BZ158" s="267"/>
      <c r="CA158" s="267"/>
      <c r="CB158" s="267"/>
      <c r="CC158" s="267"/>
      <c r="CD158" s="267"/>
      <c r="CE158" s="267"/>
      <c r="CF158" s="267"/>
      <c r="CG158" s="267"/>
      <c r="CH158" s="267"/>
      <c r="CI158" s="267"/>
      <c r="CJ158" s="267"/>
      <c r="CK158" s="267"/>
      <c r="CL158" s="267"/>
      <c r="CM158" s="267"/>
      <c r="CN158" s="101">
        <f t="shared" si="9"/>
        <v>0</v>
      </c>
      <c r="CO158" s="101">
        <f t="shared" si="10"/>
        <v>0</v>
      </c>
    </row>
    <row r="159" spans="1:93" ht="13.9" customHeight="1" x14ac:dyDescent="0.2">
      <c r="A159" s="149">
        <v>7874</v>
      </c>
      <c r="B159" s="150" t="s">
        <v>323</v>
      </c>
      <c r="C159" s="150" t="s">
        <v>721</v>
      </c>
      <c r="D159" s="150" t="s">
        <v>722</v>
      </c>
      <c r="E159" s="150" t="s">
        <v>326</v>
      </c>
      <c r="F159" s="149">
        <v>529175</v>
      </c>
      <c r="G159" s="149">
        <v>172575</v>
      </c>
      <c r="H159" s="150" t="s">
        <v>168</v>
      </c>
      <c r="I159" s="151">
        <v>45017</v>
      </c>
      <c r="J159" s="151">
        <v>45264</v>
      </c>
      <c r="K159" s="149">
        <v>3</v>
      </c>
      <c r="L159" s="149">
        <v>1</v>
      </c>
      <c r="M159" s="149">
        <v>-2</v>
      </c>
      <c r="N159" s="149">
        <v>1</v>
      </c>
      <c r="O159" s="149">
        <v>-2</v>
      </c>
      <c r="P159" s="152"/>
      <c r="Q159" s="150" t="s">
        <v>723</v>
      </c>
      <c r="R159" s="150" t="s">
        <v>349</v>
      </c>
      <c r="S159" s="151">
        <v>44762</v>
      </c>
      <c r="T159" s="151">
        <v>44818</v>
      </c>
      <c r="U159" s="152"/>
      <c r="V159" s="150" t="s">
        <v>330</v>
      </c>
      <c r="W159" s="151"/>
      <c r="X159" s="150" t="s">
        <v>331</v>
      </c>
      <c r="Y159" s="150" t="s">
        <v>350</v>
      </c>
      <c r="Z159" s="150" t="s">
        <v>334</v>
      </c>
      <c r="AA159" s="150" t="s">
        <v>18</v>
      </c>
      <c r="AB159" s="153">
        <v>6.1000000000000004E-3</v>
      </c>
      <c r="AC159" s="151">
        <v>45017</v>
      </c>
      <c r="AD159" s="152" t="s">
        <v>327</v>
      </c>
      <c r="AE159" s="151">
        <v>45264</v>
      </c>
      <c r="AF159" s="150" t="s">
        <v>70</v>
      </c>
      <c r="AG159" s="152" t="s">
        <v>352</v>
      </c>
      <c r="AH159" s="150" t="s">
        <v>326</v>
      </c>
      <c r="AI159" s="99"/>
      <c r="AJ159" s="149"/>
      <c r="AK159" s="99"/>
      <c r="AL159" s="149"/>
      <c r="AM159" s="99"/>
      <c r="AN159" s="149">
        <v>0</v>
      </c>
      <c r="AO159" s="149">
        <v>-1</v>
      </c>
      <c r="AP159" s="149">
        <v>-2</v>
      </c>
      <c r="AQ159" s="149">
        <v>0</v>
      </c>
      <c r="AR159" s="149">
        <v>0</v>
      </c>
      <c r="AS159" s="149">
        <v>1</v>
      </c>
      <c r="AT159" s="149">
        <v>0</v>
      </c>
      <c r="AU159" s="149">
        <v>0</v>
      </c>
      <c r="AV159" s="149">
        <v>-1</v>
      </c>
      <c r="AW159" s="149">
        <v>-2</v>
      </c>
      <c r="AX159" s="149">
        <v>0</v>
      </c>
      <c r="AY159" s="149">
        <v>0</v>
      </c>
      <c r="AZ159" s="149">
        <v>0</v>
      </c>
      <c r="BA159" s="149">
        <v>0</v>
      </c>
      <c r="BB159" s="149">
        <v>0</v>
      </c>
      <c r="BC159" s="149">
        <v>0</v>
      </c>
      <c r="BD159" s="149">
        <v>0</v>
      </c>
      <c r="BE159" s="149">
        <v>0</v>
      </c>
      <c r="BF159" s="149">
        <v>0</v>
      </c>
      <c r="BG159" s="149">
        <v>1</v>
      </c>
      <c r="BH159" s="149">
        <v>0</v>
      </c>
      <c r="BI159" s="149">
        <v>0</v>
      </c>
      <c r="BJ159" s="149">
        <v>0</v>
      </c>
      <c r="BK159" s="149">
        <v>0</v>
      </c>
      <c r="BL159" s="149">
        <v>0</v>
      </c>
      <c r="BM159" s="149">
        <v>0</v>
      </c>
      <c r="BN159" s="149">
        <v>0</v>
      </c>
      <c r="BO159" s="149">
        <v>0</v>
      </c>
      <c r="BP159" s="152"/>
      <c r="BQ159" s="152"/>
      <c r="BR159" s="154" t="s">
        <v>359</v>
      </c>
      <c r="BS159" s="136">
        <v>11</v>
      </c>
      <c r="BT159" s="267">
        <f t="shared" si="8"/>
        <v>-2</v>
      </c>
      <c r="BU159" s="267"/>
      <c r="BV159" s="267"/>
      <c r="BW159" s="267"/>
      <c r="BX159" s="267"/>
      <c r="BY159" s="267"/>
      <c r="BZ159" s="267"/>
      <c r="CA159" s="267"/>
      <c r="CB159" s="267"/>
      <c r="CC159" s="267"/>
      <c r="CD159" s="267"/>
      <c r="CE159" s="267"/>
      <c r="CF159" s="267"/>
      <c r="CG159" s="267"/>
      <c r="CH159" s="267"/>
      <c r="CI159" s="267"/>
      <c r="CJ159" s="267"/>
      <c r="CK159" s="267"/>
      <c r="CL159" s="267"/>
      <c r="CM159" s="267"/>
      <c r="CN159" s="101">
        <f t="shared" si="9"/>
        <v>0</v>
      </c>
      <c r="CO159" s="101">
        <f t="shared" si="10"/>
        <v>0</v>
      </c>
    </row>
    <row r="160" spans="1:93" ht="13.9" customHeight="1" x14ac:dyDescent="0.2">
      <c r="A160" s="149">
        <v>177</v>
      </c>
      <c r="B160" s="150" t="s">
        <v>323</v>
      </c>
      <c r="C160" s="150" t="s">
        <v>724</v>
      </c>
      <c r="D160" s="150" t="s">
        <v>725</v>
      </c>
      <c r="E160" s="150" t="s">
        <v>326</v>
      </c>
      <c r="F160" s="149">
        <v>527351</v>
      </c>
      <c r="G160" s="149">
        <v>177209</v>
      </c>
      <c r="H160" s="150" t="s">
        <v>160</v>
      </c>
      <c r="I160" s="151">
        <v>45017</v>
      </c>
      <c r="J160" s="151">
        <v>45236</v>
      </c>
      <c r="K160" s="149">
        <v>0</v>
      </c>
      <c r="L160" s="149">
        <v>2</v>
      </c>
      <c r="M160" s="149">
        <v>2</v>
      </c>
      <c r="N160" s="149">
        <v>2</v>
      </c>
      <c r="O160" s="149">
        <v>2</v>
      </c>
      <c r="P160" s="152"/>
      <c r="Q160" s="150" t="s">
        <v>726</v>
      </c>
      <c r="R160" s="150" t="s">
        <v>349</v>
      </c>
      <c r="S160" s="151">
        <v>44798</v>
      </c>
      <c r="T160" s="151">
        <v>44865</v>
      </c>
      <c r="U160" s="152"/>
      <c r="V160" s="150" t="s">
        <v>330</v>
      </c>
      <c r="W160" s="151"/>
      <c r="X160" s="150" t="s">
        <v>331</v>
      </c>
      <c r="Y160" s="150" t="s">
        <v>332</v>
      </c>
      <c r="Z160" s="150" t="s">
        <v>334</v>
      </c>
      <c r="AA160" s="150" t="s">
        <v>29</v>
      </c>
      <c r="AB160" s="153">
        <v>3.2599999999999997E-2</v>
      </c>
      <c r="AC160" s="151">
        <v>45017</v>
      </c>
      <c r="AD160" s="152" t="s">
        <v>327</v>
      </c>
      <c r="AE160" s="151">
        <v>45236</v>
      </c>
      <c r="AF160" s="150" t="s">
        <v>70</v>
      </c>
      <c r="AG160" s="152" t="s">
        <v>352</v>
      </c>
      <c r="AH160" s="150" t="s">
        <v>326</v>
      </c>
      <c r="AI160" s="99"/>
      <c r="AJ160" s="149"/>
      <c r="AK160" s="99"/>
      <c r="AL160" s="149"/>
      <c r="AM160" s="99"/>
      <c r="AN160" s="149">
        <v>0</v>
      </c>
      <c r="AO160" s="149">
        <v>0</v>
      </c>
      <c r="AP160" s="149">
        <v>0</v>
      </c>
      <c r="AQ160" s="149">
        <v>2</v>
      </c>
      <c r="AR160" s="149">
        <v>0</v>
      </c>
      <c r="AS160" s="149">
        <v>0</v>
      </c>
      <c r="AT160" s="149">
        <v>0</v>
      </c>
      <c r="AU160" s="149">
        <v>0</v>
      </c>
      <c r="AV160" s="149">
        <v>0</v>
      </c>
      <c r="AW160" s="149">
        <v>0</v>
      </c>
      <c r="AX160" s="149">
        <v>2</v>
      </c>
      <c r="AY160" s="149">
        <v>0</v>
      </c>
      <c r="AZ160" s="149">
        <v>0</v>
      </c>
      <c r="BA160" s="149">
        <v>0</v>
      </c>
      <c r="BB160" s="149">
        <v>0</v>
      </c>
      <c r="BC160" s="149">
        <v>0</v>
      </c>
      <c r="BD160" s="149">
        <v>0</v>
      </c>
      <c r="BE160" s="149">
        <v>0</v>
      </c>
      <c r="BF160" s="149">
        <v>0</v>
      </c>
      <c r="BG160" s="149">
        <v>0</v>
      </c>
      <c r="BH160" s="149">
        <v>0</v>
      </c>
      <c r="BI160" s="149">
        <v>0</v>
      </c>
      <c r="BJ160" s="149">
        <v>0</v>
      </c>
      <c r="BK160" s="149">
        <v>0</v>
      </c>
      <c r="BL160" s="149">
        <v>0</v>
      </c>
      <c r="BM160" s="149">
        <v>0</v>
      </c>
      <c r="BN160" s="149">
        <v>0</v>
      </c>
      <c r="BO160" s="149">
        <v>0</v>
      </c>
      <c r="BP160" s="152"/>
      <c r="BQ160" s="152"/>
      <c r="BR160" s="154" t="s">
        <v>408</v>
      </c>
      <c r="BS160" s="136">
        <v>11</v>
      </c>
      <c r="BT160" s="267">
        <f t="shared" si="8"/>
        <v>2</v>
      </c>
      <c r="BU160" s="267"/>
      <c r="BV160" s="267"/>
      <c r="BW160" s="267"/>
      <c r="BX160" s="267"/>
      <c r="BY160" s="267"/>
      <c r="BZ160" s="267"/>
      <c r="CA160" s="267"/>
      <c r="CB160" s="267"/>
      <c r="CC160" s="267"/>
      <c r="CD160" s="267"/>
      <c r="CE160" s="267"/>
      <c r="CF160" s="267"/>
      <c r="CG160" s="267"/>
      <c r="CH160" s="267"/>
      <c r="CI160" s="267"/>
      <c r="CJ160" s="267"/>
      <c r="CK160" s="267"/>
      <c r="CL160" s="267"/>
      <c r="CM160" s="267"/>
      <c r="CN160" s="101">
        <f t="shared" si="9"/>
        <v>0</v>
      </c>
      <c r="CO160" s="101">
        <f t="shared" si="10"/>
        <v>0</v>
      </c>
    </row>
    <row r="161" spans="1:93" ht="13.9" customHeight="1" x14ac:dyDescent="0.2">
      <c r="A161" s="149">
        <v>7876</v>
      </c>
      <c r="B161" s="150" t="s">
        <v>323</v>
      </c>
      <c r="C161" s="150" t="s">
        <v>727</v>
      </c>
      <c r="D161" s="150" t="s">
        <v>728</v>
      </c>
      <c r="E161" s="150" t="s">
        <v>326</v>
      </c>
      <c r="F161" s="149">
        <v>524744</v>
      </c>
      <c r="G161" s="149">
        <v>173640</v>
      </c>
      <c r="H161" s="150" t="s">
        <v>169</v>
      </c>
      <c r="I161" s="151">
        <v>45382</v>
      </c>
      <c r="J161" s="151">
        <v>45382</v>
      </c>
      <c r="K161" s="149">
        <v>2</v>
      </c>
      <c r="L161" s="149">
        <v>1</v>
      </c>
      <c r="M161" s="149">
        <v>-1</v>
      </c>
      <c r="N161" s="149">
        <v>1</v>
      </c>
      <c r="O161" s="149">
        <v>-1</v>
      </c>
      <c r="P161" s="152"/>
      <c r="Q161" s="150" t="s">
        <v>729</v>
      </c>
      <c r="R161" s="150" t="s">
        <v>349</v>
      </c>
      <c r="S161" s="151">
        <v>44790</v>
      </c>
      <c r="T161" s="151">
        <v>44855</v>
      </c>
      <c r="U161" s="152"/>
      <c r="V161" s="150" t="s">
        <v>330</v>
      </c>
      <c r="W161" s="151"/>
      <c r="X161" s="150" t="s">
        <v>331</v>
      </c>
      <c r="Y161" s="150" t="s">
        <v>350</v>
      </c>
      <c r="Z161" s="150" t="s">
        <v>334</v>
      </c>
      <c r="AA161" s="150" t="s">
        <v>18</v>
      </c>
      <c r="AB161" s="153">
        <v>5.566667E-3</v>
      </c>
      <c r="AC161" s="151">
        <v>45382</v>
      </c>
      <c r="AD161" s="152" t="s">
        <v>327</v>
      </c>
      <c r="AE161" s="151">
        <v>45382</v>
      </c>
      <c r="AF161" s="150" t="s">
        <v>70</v>
      </c>
      <c r="AG161" s="152" t="s">
        <v>352</v>
      </c>
      <c r="AH161" s="150" t="s">
        <v>326</v>
      </c>
      <c r="AI161" s="99"/>
      <c r="AJ161" s="149"/>
      <c r="AK161" s="99"/>
      <c r="AL161" s="149"/>
      <c r="AM161" s="99"/>
      <c r="AN161" s="149">
        <v>0</v>
      </c>
      <c r="AO161" s="149">
        <v>0</v>
      </c>
      <c r="AP161" s="149">
        <v>-2</v>
      </c>
      <c r="AQ161" s="149">
        <v>0</v>
      </c>
      <c r="AR161" s="149">
        <v>0</v>
      </c>
      <c r="AS161" s="149">
        <v>1</v>
      </c>
      <c r="AT161" s="149">
        <v>0</v>
      </c>
      <c r="AU161" s="149">
        <v>0</v>
      </c>
      <c r="AV161" s="149">
        <v>0</v>
      </c>
      <c r="AW161" s="149">
        <v>-2</v>
      </c>
      <c r="AX161" s="149">
        <v>0</v>
      </c>
      <c r="AY161" s="149">
        <v>0</v>
      </c>
      <c r="AZ161" s="149">
        <v>0</v>
      </c>
      <c r="BA161" s="149">
        <v>0</v>
      </c>
      <c r="BB161" s="149">
        <v>0</v>
      </c>
      <c r="BC161" s="149">
        <v>0</v>
      </c>
      <c r="BD161" s="149">
        <v>0</v>
      </c>
      <c r="BE161" s="149">
        <v>0</v>
      </c>
      <c r="BF161" s="149">
        <v>0</v>
      </c>
      <c r="BG161" s="149">
        <v>1</v>
      </c>
      <c r="BH161" s="149">
        <v>0</v>
      </c>
      <c r="BI161" s="149">
        <v>0</v>
      </c>
      <c r="BJ161" s="149">
        <v>0</v>
      </c>
      <c r="BK161" s="149">
        <v>0</v>
      </c>
      <c r="BL161" s="149">
        <v>0</v>
      </c>
      <c r="BM161" s="149">
        <v>0</v>
      </c>
      <c r="BN161" s="149">
        <v>0</v>
      </c>
      <c r="BO161" s="149">
        <v>0</v>
      </c>
      <c r="BP161" s="152"/>
      <c r="BQ161" s="152"/>
      <c r="BR161" s="154" t="s">
        <v>359</v>
      </c>
      <c r="BS161" s="136">
        <v>11</v>
      </c>
      <c r="BT161" s="267">
        <f t="shared" si="8"/>
        <v>-1</v>
      </c>
      <c r="BU161" s="267"/>
      <c r="BV161" s="267"/>
      <c r="BW161" s="267"/>
      <c r="BX161" s="267"/>
      <c r="BY161" s="267"/>
      <c r="BZ161" s="267"/>
      <c r="CA161" s="267"/>
      <c r="CB161" s="267"/>
      <c r="CC161" s="267"/>
      <c r="CD161" s="267"/>
      <c r="CE161" s="267"/>
      <c r="CF161" s="267"/>
      <c r="CG161" s="267"/>
      <c r="CH161" s="267"/>
      <c r="CI161" s="267"/>
      <c r="CJ161" s="267"/>
      <c r="CK161" s="267"/>
      <c r="CL161" s="267"/>
      <c r="CM161" s="267"/>
      <c r="CN161" s="101">
        <f t="shared" si="9"/>
        <v>0</v>
      </c>
      <c r="CO161" s="101">
        <f t="shared" si="10"/>
        <v>0</v>
      </c>
    </row>
    <row r="162" spans="1:93" ht="13.9" customHeight="1" x14ac:dyDescent="0.2">
      <c r="A162" s="149">
        <v>6805</v>
      </c>
      <c r="B162" s="150" t="s">
        <v>323</v>
      </c>
      <c r="C162" s="150" t="s">
        <v>730</v>
      </c>
      <c r="D162" s="150" t="s">
        <v>548</v>
      </c>
      <c r="E162" s="150" t="s">
        <v>326</v>
      </c>
      <c r="F162" s="149">
        <v>524490</v>
      </c>
      <c r="G162" s="149">
        <v>175266</v>
      </c>
      <c r="H162" s="150" t="s">
        <v>171</v>
      </c>
      <c r="I162" s="151">
        <v>45099</v>
      </c>
      <c r="J162" s="151">
        <v>45343</v>
      </c>
      <c r="K162" s="149">
        <v>0</v>
      </c>
      <c r="L162" s="149">
        <v>3</v>
      </c>
      <c r="M162" s="149">
        <v>3</v>
      </c>
      <c r="N162" s="149">
        <v>3</v>
      </c>
      <c r="O162" s="149">
        <v>3</v>
      </c>
      <c r="P162" s="152"/>
      <c r="Q162" s="150" t="s">
        <v>731</v>
      </c>
      <c r="R162" s="150" t="s">
        <v>329</v>
      </c>
      <c r="S162" s="151">
        <v>44867</v>
      </c>
      <c r="T162" s="151">
        <v>45238</v>
      </c>
      <c r="U162" s="152" t="s">
        <v>327</v>
      </c>
      <c r="V162" s="150" t="s">
        <v>330</v>
      </c>
      <c r="W162" s="151"/>
      <c r="X162" s="150" t="s">
        <v>331</v>
      </c>
      <c r="Y162" s="150" t="s">
        <v>350</v>
      </c>
      <c r="Z162" s="150" t="s">
        <v>334</v>
      </c>
      <c r="AA162" s="150" t="s">
        <v>32</v>
      </c>
      <c r="AB162" s="153">
        <v>1.8200000000000001E-2</v>
      </c>
      <c r="AC162" s="151">
        <v>45099</v>
      </c>
      <c r="AD162" s="152" t="s">
        <v>327</v>
      </c>
      <c r="AE162" s="151">
        <v>45343</v>
      </c>
      <c r="AF162" s="150" t="s">
        <v>70</v>
      </c>
      <c r="AG162" s="152" t="s">
        <v>352</v>
      </c>
      <c r="AH162" s="150" t="s">
        <v>326</v>
      </c>
      <c r="AI162" s="99"/>
      <c r="AJ162" s="149"/>
      <c r="AK162" s="99"/>
      <c r="AL162" s="149"/>
      <c r="AM162" s="99"/>
      <c r="AN162" s="149">
        <v>0</v>
      </c>
      <c r="AO162" s="149">
        <v>2</v>
      </c>
      <c r="AP162" s="149">
        <v>1</v>
      </c>
      <c r="AQ162" s="149">
        <v>0</v>
      </c>
      <c r="AR162" s="149">
        <v>0</v>
      </c>
      <c r="AS162" s="149">
        <v>0</v>
      </c>
      <c r="AT162" s="149">
        <v>0</v>
      </c>
      <c r="AU162" s="149">
        <v>0</v>
      </c>
      <c r="AV162" s="149">
        <v>2</v>
      </c>
      <c r="AW162" s="149">
        <v>1</v>
      </c>
      <c r="AX162" s="149">
        <v>0</v>
      </c>
      <c r="AY162" s="149">
        <v>0</v>
      </c>
      <c r="AZ162" s="149">
        <v>0</v>
      </c>
      <c r="BA162" s="149">
        <v>0</v>
      </c>
      <c r="BB162" s="149">
        <v>0</v>
      </c>
      <c r="BC162" s="149">
        <v>0</v>
      </c>
      <c r="BD162" s="149">
        <v>0</v>
      </c>
      <c r="BE162" s="149">
        <v>0</v>
      </c>
      <c r="BF162" s="149">
        <v>0</v>
      </c>
      <c r="BG162" s="149">
        <v>0</v>
      </c>
      <c r="BH162" s="149">
        <v>0</v>
      </c>
      <c r="BI162" s="149">
        <v>0</v>
      </c>
      <c r="BJ162" s="149">
        <v>0</v>
      </c>
      <c r="BK162" s="149">
        <v>0</v>
      </c>
      <c r="BL162" s="149">
        <v>0</v>
      </c>
      <c r="BM162" s="149">
        <v>0</v>
      </c>
      <c r="BN162" s="149">
        <v>0</v>
      </c>
      <c r="BO162" s="149">
        <v>0</v>
      </c>
      <c r="BP162" s="152"/>
      <c r="BQ162" s="152"/>
      <c r="BR162" s="154" t="s">
        <v>359</v>
      </c>
      <c r="BS162" s="136">
        <v>11</v>
      </c>
      <c r="BT162" s="267">
        <f t="shared" ref="BT162:BT177" si="11">M162</f>
        <v>3</v>
      </c>
      <c r="BU162" s="267"/>
      <c r="BV162" s="267"/>
      <c r="BW162" s="267"/>
      <c r="BX162" s="267"/>
      <c r="BY162" s="267"/>
      <c r="BZ162" s="267"/>
      <c r="CA162" s="267"/>
      <c r="CB162" s="267"/>
      <c r="CC162" s="267"/>
      <c r="CD162" s="267"/>
      <c r="CE162" s="267"/>
      <c r="CF162" s="267"/>
      <c r="CG162" s="267"/>
      <c r="CH162" s="267"/>
      <c r="CI162" s="267"/>
      <c r="CJ162" s="267"/>
      <c r="CK162" s="267"/>
      <c r="CL162" s="267"/>
      <c r="CM162" s="267"/>
      <c r="CN162" s="101">
        <f t="shared" si="9"/>
        <v>0</v>
      </c>
      <c r="CO162" s="101">
        <f t="shared" si="10"/>
        <v>0</v>
      </c>
    </row>
    <row r="163" spans="1:93" ht="13.9" customHeight="1" x14ac:dyDescent="0.2">
      <c r="A163" s="149">
        <v>4705</v>
      </c>
      <c r="B163" s="150" t="s">
        <v>323</v>
      </c>
      <c r="C163" s="150" t="s">
        <v>732</v>
      </c>
      <c r="D163" s="150" t="s">
        <v>733</v>
      </c>
      <c r="E163" s="150" t="s">
        <v>326</v>
      </c>
      <c r="F163" s="149">
        <v>527104</v>
      </c>
      <c r="G163" s="149">
        <v>174977</v>
      </c>
      <c r="H163" s="150" t="s">
        <v>164</v>
      </c>
      <c r="I163" s="151">
        <v>45017</v>
      </c>
      <c r="J163" s="151">
        <v>45382</v>
      </c>
      <c r="K163" s="149">
        <v>0</v>
      </c>
      <c r="L163" s="149">
        <v>1</v>
      </c>
      <c r="M163" s="149">
        <v>1</v>
      </c>
      <c r="N163" s="149">
        <v>1</v>
      </c>
      <c r="O163" s="149">
        <v>1</v>
      </c>
      <c r="P163" s="152"/>
      <c r="Q163" s="150" t="s">
        <v>734</v>
      </c>
      <c r="R163" s="150" t="s">
        <v>427</v>
      </c>
      <c r="S163" s="151">
        <v>44817</v>
      </c>
      <c r="T163" s="151">
        <v>44869</v>
      </c>
      <c r="U163" s="152"/>
      <c r="V163" s="150" t="s">
        <v>330</v>
      </c>
      <c r="W163" s="151"/>
      <c r="X163" s="150" t="s">
        <v>331</v>
      </c>
      <c r="Y163" s="150" t="s">
        <v>332</v>
      </c>
      <c r="Z163" s="150" t="s">
        <v>334</v>
      </c>
      <c r="AA163" s="150" t="s">
        <v>29</v>
      </c>
      <c r="AB163" s="153">
        <v>4.3E-3</v>
      </c>
      <c r="AC163" s="151">
        <v>45017</v>
      </c>
      <c r="AD163" s="152" t="s">
        <v>327</v>
      </c>
      <c r="AE163" s="151">
        <v>45382</v>
      </c>
      <c r="AF163" s="150" t="s">
        <v>70</v>
      </c>
      <c r="AG163" s="152" t="s">
        <v>352</v>
      </c>
      <c r="AH163" s="150" t="s">
        <v>326</v>
      </c>
      <c r="AI163" s="99"/>
      <c r="AJ163" s="149"/>
      <c r="AK163" s="99"/>
      <c r="AL163" s="149"/>
      <c r="AM163" s="99"/>
      <c r="AN163" s="149">
        <v>1</v>
      </c>
      <c r="AO163" s="149">
        <v>0</v>
      </c>
      <c r="AP163" s="149">
        <v>0</v>
      </c>
      <c r="AQ163" s="149">
        <v>0</v>
      </c>
      <c r="AR163" s="149">
        <v>0</v>
      </c>
      <c r="AS163" s="149">
        <v>0</v>
      </c>
      <c r="AT163" s="149">
        <v>0</v>
      </c>
      <c r="AU163" s="149">
        <v>1</v>
      </c>
      <c r="AV163" s="149">
        <v>0</v>
      </c>
      <c r="AW163" s="149">
        <v>0</v>
      </c>
      <c r="AX163" s="149">
        <v>0</v>
      </c>
      <c r="AY163" s="149">
        <v>0</v>
      </c>
      <c r="AZ163" s="149">
        <v>0</v>
      </c>
      <c r="BA163" s="149">
        <v>0</v>
      </c>
      <c r="BB163" s="149">
        <v>0</v>
      </c>
      <c r="BC163" s="149">
        <v>0</v>
      </c>
      <c r="BD163" s="149">
        <v>0</v>
      </c>
      <c r="BE163" s="149">
        <v>0</v>
      </c>
      <c r="BF163" s="149">
        <v>0</v>
      </c>
      <c r="BG163" s="149">
        <v>0</v>
      </c>
      <c r="BH163" s="149">
        <v>0</v>
      </c>
      <c r="BI163" s="149">
        <v>0</v>
      </c>
      <c r="BJ163" s="149">
        <v>0</v>
      </c>
      <c r="BK163" s="149">
        <v>0</v>
      </c>
      <c r="BL163" s="149">
        <v>0</v>
      </c>
      <c r="BM163" s="149">
        <v>0</v>
      </c>
      <c r="BN163" s="149">
        <v>0</v>
      </c>
      <c r="BO163" s="149">
        <v>0</v>
      </c>
      <c r="BP163" s="152"/>
      <c r="BQ163" s="152"/>
      <c r="BR163" s="154" t="s">
        <v>359</v>
      </c>
      <c r="BS163" s="136">
        <v>11</v>
      </c>
      <c r="BT163" s="267">
        <f t="shared" si="11"/>
        <v>1</v>
      </c>
      <c r="BU163" s="267"/>
      <c r="BV163" s="267"/>
      <c r="BW163" s="267"/>
      <c r="BX163" s="267"/>
      <c r="BY163" s="267"/>
      <c r="BZ163" s="267"/>
      <c r="CA163" s="267"/>
      <c r="CB163" s="267"/>
      <c r="CC163" s="267"/>
      <c r="CD163" s="267"/>
      <c r="CE163" s="267"/>
      <c r="CF163" s="267"/>
      <c r="CG163" s="267"/>
      <c r="CH163" s="267"/>
      <c r="CI163" s="267"/>
      <c r="CJ163" s="267"/>
      <c r="CK163" s="267"/>
      <c r="CL163" s="267"/>
      <c r="CM163" s="267"/>
      <c r="CN163" s="101">
        <f t="shared" si="9"/>
        <v>0</v>
      </c>
      <c r="CO163" s="101">
        <f t="shared" si="10"/>
        <v>0</v>
      </c>
    </row>
    <row r="164" spans="1:93" ht="13.9" customHeight="1" x14ac:dyDescent="0.2">
      <c r="A164" s="149">
        <v>7848</v>
      </c>
      <c r="B164" s="150" t="s">
        <v>323</v>
      </c>
      <c r="C164" s="150" t="s">
        <v>735</v>
      </c>
      <c r="D164" s="150" t="s">
        <v>736</v>
      </c>
      <c r="E164" s="150" t="s">
        <v>326</v>
      </c>
      <c r="F164" s="149">
        <v>527025</v>
      </c>
      <c r="G164" s="149">
        <v>173893</v>
      </c>
      <c r="H164" s="150" t="s">
        <v>176</v>
      </c>
      <c r="I164" s="151">
        <v>45016</v>
      </c>
      <c r="J164" s="151">
        <v>45271</v>
      </c>
      <c r="K164" s="149">
        <v>3</v>
      </c>
      <c r="L164" s="149">
        <v>1</v>
      </c>
      <c r="M164" s="149">
        <v>-2</v>
      </c>
      <c r="N164" s="149">
        <v>1</v>
      </c>
      <c r="O164" s="149">
        <v>-2</v>
      </c>
      <c r="P164" s="152"/>
      <c r="Q164" s="150" t="s">
        <v>737</v>
      </c>
      <c r="R164" s="150" t="s">
        <v>349</v>
      </c>
      <c r="S164" s="151">
        <v>44842</v>
      </c>
      <c r="T164" s="151">
        <v>44896</v>
      </c>
      <c r="U164" s="152"/>
      <c r="V164" s="150" t="s">
        <v>330</v>
      </c>
      <c r="W164" s="151"/>
      <c r="X164" s="150" t="s">
        <v>331</v>
      </c>
      <c r="Y164" s="150" t="s">
        <v>350</v>
      </c>
      <c r="Z164" s="150" t="s">
        <v>334</v>
      </c>
      <c r="AA164" s="150" t="s">
        <v>18</v>
      </c>
      <c r="AB164" s="153">
        <v>6.8999999999999999E-3</v>
      </c>
      <c r="AC164" s="151">
        <v>45016</v>
      </c>
      <c r="AD164" s="150"/>
      <c r="AE164" s="151">
        <v>45271</v>
      </c>
      <c r="AF164" s="150" t="s">
        <v>70</v>
      </c>
      <c r="AG164" s="152" t="s">
        <v>352</v>
      </c>
      <c r="AH164" s="150" t="s">
        <v>326</v>
      </c>
      <c r="AI164" s="99"/>
      <c r="AJ164" s="149"/>
      <c r="AK164" s="99"/>
      <c r="AL164" s="149"/>
      <c r="AM164" s="99"/>
      <c r="AN164" s="149">
        <v>0</v>
      </c>
      <c r="AO164" s="149">
        <v>-3</v>
      </c>
      <c r="AP164" s="149">
        <v>0</v>
      </c>
      <c r="AQ164" s="149">
        <v>0</v>
      </c>
      <c r="AR164" s="149">
        <v>1</v>
      </c>
      <c r="AS164" s="149">
        <v>0</v>
      </c>
      <c r="AT164" s="149">
        <v>0</v>
      </c>
      <c r="AU164" s="149">
        <v>0</v>
      </c>
      <c r="AV164" s="149">
        <v>-3</v>
      </c>
      <c r="AW164" s="149">
        <v>0</v>
      </c>
      <c r="AX164" s="149">
        <v>0</v>
      </c>
      <c r="AY164" s="149">
        <v>0</v>
      </c>
      <c r="AZ164" s="149">
        <v>0</v>
      </c>
      <c r="BA164" s="149">
        <v>0</v>
      </c>
      <c r="BB164" s="149">
        <v>0</v>
      </c>
      <c r="BC164" s="149">
        <v>0</v>
      </c>
      <c r="BD164" s="149">
        <v>0</v>
      </c>
      <c r="BE164" s="149">
        <v>0</v>
      </c>
      <c r="BF164" s="149">
        <v>1</v>
      </c>
      <c r="BG164" s="149">
        <v>0</v>
      </c>
      <c r="BH164" s="149">
        <v>0</v>
      </c>
      <c r="BI164" s="149">
        <v>0</v>
      </c>
      <c r="BJ164" s="149">
        <v>0</v>
      </c>
      <c r="BK164" s="149">
        <v>0</v>
      </c>
      <c r="BL164" s="149">
        <v>0</v>
      </c>
      <c r="BM164" s="149">
        <v>0</v>
      </c>
      <c r="BN164" s="149">
        <v>0</v>
      </c>
      <c r="BO164" s="149">
        <v>0</v>
      </c>
      <c r="BP164" s="152"/>
      <c r="BQ164" s="152"/>
      <c r="BR164" s="154" t="s">
        <v>359</v>
      </c>
      <c r="BS164" s="136">
        <v>11</v>
      </c>
      <c r="BT164" s="267">
        <f t="shared" si="11"/>
        <v>-2</v>
      </c>
      <c r="BU164" s="267"/>
      <c r="BV164" s="267"/>
      <c r="BW164" s="267"/>
      <c r="BX164" s="267"/>
      <c r="BY164" s="267"/>
      <c r="BZ164" s="267"/>
      <c r="CA164" s="267"/>
      <c r="CB164" s="267"/>
      <c r="CC164" s="267"/>
      <c r="CD164" s="267"/>
      <c r="CE164" s="267"/>
      <c r="CF164" s="267"/>
      <c r="CG164" s="267"/>
      <c r="CH164" s="267"/>
      <c r="CI164" s="267"/>
      <c r="CJ164" s="267"/>
      <c r="CK164" s="267"/>
      <c r="CL164" s="267"/>
      <c r="CM164" s="267"/>
      <c r="CN164" s="101">
        <f t="shared" si="9"/>
        <v>0</v>
      </c>
      <c r="CO164" s="101">
        <f t="shared" si="10"/>
        <v>0</v>
      </c>
    </row>
    <row r="165" spans="1:93" ht="13.9" customHeight="1" x14ac:dyDescent="0.2">
      <c r="A165" s="149">
        <v>7908</v>
      </c>
      <c r="B165" s="150" t="s">
        <v>323</v>
      </c>
      <c r="C165" s="150" t="s">
        <v>738</v>
      </c>
      <c r="D165" s="150" t="s">
        <v>739</v>
      </c>
      <c r="E165" s="150" t="s">
        <v>326</v>
      </c>
      <c r="F165" s="149">
        <v>529032</v>
      </c>
      <c r="G165" s="149">
        <v>173104</v>
      </c>
      <c r="H165" s="150" t="s">
        <v>139</v>
      </c>
      <c r="I165" s="151">
        <v>45017</v>
      </c>
      <c r="J165" s="151">
        <v>45323</v>
      </c>
      <c r="K165" s="149">
        <v>2</v>
      </c>
      <c r="L165" s="149">
        <v>3</v>
      </c>
      <c r="M165" s="149">
        <v>1</v>
      </c>
      <c r="N165" s="149">
        <v>3</v>
      </c>
      <c r="O165" s="149">
        <v>1</v>
      </c>
      <c r="P165" s="152"/>
      <c r="Q165" s="150" t="s">
        <v>740</v>
      </c>
      <c r="R165" s="150" t="s">
        <v>349</v>
      </c>
      <c r="S165" s="151">
        <v>44848</v>
      </c>
      <c r="T165" s="151">
        <v>44929</v>
      </c>
      <c r="U165" s="152"/>
      <c r="V165" s="150" t="s">
        <v>330</v>
      </c>
      <c r="W165" s="151"/>
      <c r="X165" s="150" t="s">
        <v>331</v>
      </c>
      <c r="Y165" s="150" t="s">
        <v>350</v>
      </c>
      <c r="Z165" s="150" t="s">
        <v>334</v>
      </c>
      <c r="AA165" s="150" t="s">
        <v>413</v>
      </c>
      <c r="AB165" s="153">
        <v>7.566667E-3</v>
      </c>
      <c r="AC165" s="151">
        <v>45017</v>
      </c>
      <c r="AD165" s="152" t="s">
        <v>327</v>
      </c>
      <c r="AE165" s="151">
        <v>45323</v>
      </c>
      <c r="AF165" s="150" t="s">
        <v>70</v>
      </c>
      <c r="AG165" s="152" t="s">
        <v>352</v>
      </c>
      <c r="AH165" s="150" t="s">
        <v>326</v>
      </c>
      <c r="AI165" s="99"/>
      <c r="AJ165" s="149"/>
      <c r="AK165" s="99"/>
      <c r="AL165" s="149"/>
      <c r="AM165" s="99"/>
      <c r="AN165" s="149">
        <v>0</v>
      </c>
      <c r="AO165" s="149">
        <v>0</v>
      </c>
      <c r="AP165" s="149">
        <v>0</v>
      </c>
      <c r="AQ165" s="149">
        <v>1</v>
      </c>
      <c r="AR165" s="149">
        <v>0</v>
      </c>
      <c r="AS165" s="149">
        <v>0</v>
      </c>
      <c r="AT165" s="149">
        <v>0</v>
      </c>
      <c r="AU165" s="149">
        <v>0</v>
      </c>
      <c r="AV165" s="149">
        <v>0</v>
      </c>
      <c r="AW165" s="149">
        <v>0</v>
      </c>
      <c r="AX165" s="149">
        <v>1</v>
      </c>
      <c r="AY165" s="149">
        <v>0</v>
      </c>
      <c r="AZ165" s="149">
        <v>0</v>
      </c>
      <c r="BA165" s="149">
        <v>0</v>
      </c>
      <c r="BB165" s="149">
        <v>0</v>
      </c>
      <c r="BC165" s="149">
        <v>0</v>
      </c>
      <c r="BD165" s="149">
        <v>0</v>
      </c>
      <c r="BE165" s="149">
        <v>0</v>
      </c>
      <c r="BF165" s="149">
        <v>0</v>
      </c>
      <c r="BG165" s="149">
        <v>0</v>
      </c>
      <c r="BH165" s="149">
        <v>0</v>
      </c>
      <c r="BI165" s="149">
        <v>0</v>
      </c>
      <c r="BJ165" s="149">
        <v>0</v>
      </c>
      <c r="BK165" s="149">
        <v>0</v>
      </c>
      <c r="BL165" s="149">
        <v>0</v>
      </c>
      <c r="BM165" s="149">
        <v>0</v>
      </c>
      <c r="BN165" s="149">
        <v>0</v>
      </c>
      <c r="BO165" s="149">
        <v>0</v>
      </c>
      <c r="BP165" s="152"/>
      <c r="BQ165" s="152"/>
      <c r="BR165" s="154" t="s">
        <v>359</v>
      </c>
      <c r="BS165" s="136">
        <v>11</v>
      </c>
      <c r="BT165" s="267">
        <f t="shared" si="11"/>
        <v>1</v>
      </c>
      <c r="BU165" s="267"/>
      <c r="BV165" s="267"/>
      <c r="BW165" s="267"/>
      <c r="BX165" s="267"/>
      <c r="BY165" s="267"/>
      <c r="BZ165" s="267"/>
      <c r="CA165" s="267"/>
      <c r="CB165" s="267"/>
      <c r="CC165" s="267"/>
      <c r="CD165" s="267"/>
      <c r="CE165" s="267"/>
      <c r="CF165" s="267"/>
      <c r="CG165" s="267"/>
      <c r="CH165" s="267"/>
      <c r="CI165" s="267"/>
      <c r="CJ165" s="267"/>
      <c r="CK165" s="267"/>
      <c r="CL165" s="267"/>
      <c r="CM165" s="267"/>
      <c r="CN165" s="101">
        <f t="shared" si="9"/>
        <v>0</v>
      </c>
      <c r="CO165" s="101">
        <f t="shared" si="10"/>
        <v>0</v>
      </c>
    </row>
    <row r="166" spans="1:93" ht="13.9" customHeight="1" x14ac:dyDescent="0.2">
      <c r="A166" s="149">
        <v>7640</v>
      </c>
      <c r="B166" s="150" t="s">
        <v>323</v>
      </c>
      <c r="C166" s="150" t="s">
        <v>741</v>
      </c>
      <c r="D166" s="150" t="s">
        <v>742</v>
      </c>
      <c r="E166" s="150" t="s">
        <v>326</v>
      </c>
      <c r="F166" s="149">
        <v>527216</v>
      </c>
      <c r="G166" s="149">
        <v>171096</v>
      </c>
      <c r="H166" s="150" t="s">
        <v>173</v>
      </c>
      <c r="I166" s="151">
        <v>44996</v>
      </c>
      <c r="J166" s="151">
        <v>45382</v>
      </c>
      <c r="K166" s="149">
        <v>0</v>
      </c>
      <c r="L166" s="149">
        <v>3</v>
      </c>
      <c r="M166" s="149">
        <v>3</v>
      </c>
      <c r="N166" s="149">
        <v>3</v>
      </c>
      <c r="O166" s="149">
        <v>3</v>
      </c>
      <c r="P166" s="152"/>
      <c r="Q166" s="150" t="s">
        <v>743</v>
      </c>
      <c r="R166" s="150" t="s">
        <v>349</v>
      </c>
      <c r="S166" s="151">
        <v>44865</v>
      </c>
      <c r="T166" s="151">
        <v>44950</v>
      </c>
      <c r="U166" s="152"/>
      <c r="V166" s="150" t="s">
        <v>330</v>
      </c>
      <c r="W166" s="151"/>
      <c r="X166" s="150" t="s">
        <v>331</v>
      </c>
      <c r="Y166" s="150" t="s">
        <v>398</v>
      </c>
      <c r="Z166" s="150" t="s">
        <v>334</v>
      </c>
      <c r="AA166" s="150" t="s">
        <v>413</v>
      </c>
      <c r="AB166" s="153">
        <v>5.3666670000000003E-3</v>
      </c>
      <c r="AC166" s="151">
        <v>45090</v>
      </c>
      <c r="AD166" s="152" t="s">
        <v>327</v>
      </c>
      <c r="AE166" s="151">
        <v>45382</v>
      </c>
      <c r="AF166" s="150" t="s">
        <v>70</v>
      </c>
      <c r="AG166" s="152" t="s">
        <v>337</v>
      </c>
      <c r="AH166" s="150" t="s">
        <v>326</v>
      </c>
      <c r="AI166" s="99"/>
      <c r="AJ166" s="149"/>
      <c r="AK166" s="99"/>
      <c r="AL166" s="149"/>
      <c r="AM166" s="99"/>
      <c r="AN166" s="149">
        <v>1</v>
      </c>
      <c r="AO166" s="149">
        <v>2</v>
      </c>
      <c r="AP166" s="149">
        <v>0</v>
      </c>
      <c r="AQ166" s="149">
        <v>0</v>
      </c>
      <c r="AR166" s="149">
        <v>0</v>
      </c>
      <c r="AS166" s="149">
        <v>0</v>
      </c>
      <c r="AT166" s="149">
        <v>0</v>
      </c>
      <c r="AU166" s="149">
        <v>1</v>
      </c>
      <c r="AV166" s="149">
        <v>2</v>
      </c>
      <c r="AW166" s="149">
        <v>0</v>
      </c>
      <c r="AX166" s="149">
        <v>0</v>
      </c>
      <c r="AY166" s="149">
        <v>0</v>
      </c>
      <c r="AZ166" s="149">
        <v>0</v>
      </c>
      <c r="BA166" s="149">
        <v>0</v>
      </c>
      <c r="BB166" s="149">
        <v>0</v>
      </c>
      <c r="BC166" s="149">
        <v>0</v>
      </c>
      <c r="BD166" s="149">
        <v>0</v>
      </c>
      <c r="BE166" s="149">
        <v>0</v>
      </c>
      <c r="BF166" s="149">
        <v>0</v>
      </c>
      <c r="BG166" s="149">
        <v>0</v>
      </c>
      <c r="BH166" s="149">
        <v>0</v>
      </c>
      <c r="BI166" s="149">
        <v>0</v>
      </c>
      <c r="BJ166" s="149">
        <v>0</v>
      </c>
      <c r="BK166" s="149">
        <v>0</v>
      </c>
      <c r="BL166" s="149">
        <v>0</v>
      </c>
      <c r="BM166" s="149">
        <v>0</v>
      </c>
      <c r="BN166" s="149">
        <v>0</v>
      </c>
      <c r="BO166" s="149">
        <v>0</v>
      </c>
      <c r="BP166" s="152"/>
      <c r="BQ166" s="152"/>
      <c r="BR166" s="154" t="s">
        <v>142</v>
      </c>
      <c r="BS166" s="136">
        <v>11</v>
      </c>
      <c r="BT166" s="267">
        <f t="shared" si="11"/>
        <v>3</v>
      </c>
      <c r="BU166" s="267"/>
      <c r="BV166" s="267"/>
      <c r="BW166" s="267"/>
      <c r="BX166" s="267"/>
      <c r="BY166" s="267"/>
      <c r="BZ166" s="267"/>
      <c r="CA166" s="267"/>
      <c r="CB166" s="267"/>
      <c r="CC166" s="267"/>
      <c r="CD166" s="267"/>
      <c r="CE166" s="267"/>
      <c r="CF166" s="267"/>
      <c r="CG166" s="267"/>
      <c r="CH166" s="267"/>
      <c r="CI166" s="267"/>
      <c r="CJ166" s="267"/>
      <c r="CK166" s="267"/>
      <c r="CL166" s="267"/>
      <c r="CM166" s="267"/>
      <c r="CN166" s="101">
        <f t="shared" si="9"/>
        <v>0</v>
      </c>
      <c r="CO166" s="101">
        <f t="shared" si="10"/>
        <v>0</v>
      </c>
    </row>
    <row r="167" spans="1:93" ht="13.9" customHeight="1" x14ac:dyDescent="0.2">
      <c r="A167" s="149">
        <v>1469</v>
      </c>
      <c r="B167" s="150" t="s">
        <v>323</v>
      </c>
      <c r="C167" s="150" t="s">
        <v>744</v>
      </c>
      <c r="D167" s="150" t="s">
        <v>745</v>
      </c>
      <c r="E167" s="150" t="s">
        <v>326</v>
      </c>
      <c r="F167" s="149">
        <v>525271</v>
      </c>
      <c r="G167" s="149">
        <v>174673</v>
      </c>
      <c r="H167" s="150" t="s">
        <v>161</v>
      </c>
      <c r="I167" s="151">
        <v>45084</v>
      </c>
      <c r="J167" s="151">
        <v>45303</v>
      </c>
      <c r="K167" s="149">
        <v>0</v>
      </c>
      <c r="L167" s="149">
        <v>1</v>
      </c>
      <c r="M167" s="149">
        <v>1</v>
      </c>
      <c r="N167" s="149">
        <v>1</v>
      </c>
      <c r="O167" s="149">
        <v>1</v>
      </c>
      <c r="P167" s="152"/>
      <c r="Q167" s="150" t="s">
        <v>746</v>
      </c>
      <c r="R167" s="150" t="s">
        <v>349</v>
      </c>
      <c r="S167" s="151">
        <v>44900</v>
      </c>
      <c r="T167" s="151">
        <v>44984</v>
      </c>
      <c r="U167" s="152"/>
      <c r="V167" s="150" t="s">
        <v>330</v>
      </c>
      <c r="W167" s="151"/>
      <c r="X167" s="150" t="s">
        <v>331</v>
      </c>
      <c r="Y167" s="150" t="s">
        <v>332</v>
      </c>
      <c r="Z167" s="150" t="s">
        <v>334</v>
      </c>
      <c r="AA167" s="150" t="s">
        <v>26</v>
      </c>
      <c r="AB167" s="153">
        <v>4.1999999999999997E-3</v>
      </c>
      <c r="AC167" s="151">
        <v>45113</v>
      </c>
      <c r="AD167" s="152" t="s">
        <v>327</v>
      </c>
      <c r="AE167" s="151">
        <v>45303</v>
      </c>
      <c r="AF167" s="150" t="s">
        <v>70</v>
      </c>
      <c r="AG167" s="152" t="s">
        <v>337</v>
      </c>
      <c r="AH167" s="150" t="s">
        <v>326</v>
      </c>
      <c r="AI167" s="99"/>
      <c r="AJ167" s="149"/>
      <c r="AK167" s="99"/>
      <c r="AL167" s="149"/>
      <c r="AM167" s="99"/>
      <c r="AN167" s="149">
        <v>1</v>
      </c>
      <c r="AO167" s="149">
        <v>0</v>
      </c>
      <c r="AP167" s="149">
        <v>0</v>
      </c>
      <c r="AQ167" s="149">
        <v>0</v>
      </c>
      <c r="AR167" s="149">
        <v>0</v>
      </c>
      <c r="AS167" s="149">
        <v>0</v>
      </c>
      <c r="AT167" s="149">
        <v>0</v>
      </c>
      <c r="AU167" s="149">
        <v>1</v>
      </c>
      <c r="AV167" s="149">
        <v>0</v>
      </c>
      <c r="AW167" s="149">
        <v>0</v>
      </c>
      <c r="AX167" s="149">
        <v>0</v>
      </c>
      <c r="AY167" s="149">
        <v>0</v>
      </c>
      <c r="AZ167" s="149">
        <v>0</v>
      </c>
      <c r="BA167" s="149">
        <v>0</v>
      </c>
      <c r="BB167" s="149">
        <v>0</v>
      </c>
      <c r="BC167" s="149">
        <v>0</v>
      </c>
      <c r="BD167" s="149">
        <v>0</v>
      </c>
      <c r="BE167" s="149">
        <v>0</v>
      </c>
      <c r="BF167" s="149">
        <v>0</v>
      </c>
      <c r="BG167" s="149">
        <v>0</v>
      </c>
      <c r="BH167" s="149">
        <v>0</v>
      </c>
      <c r="BI167" s="149">
        <v>0</v>
      </c>
      <c r="BJ167" s="149">
        <v>0</v>
      </c>
      <c r="BK167" s="149">
        <v>0</v>
      </c>
      <c r="BL167" s="149">
        <v>0</v>
      </c>
      <c r="BM167" s="149">
        <v>0</v>
      </c>
      <c r="BN167" s="149">
        <v>0</v>
      </c>
      <c r="BO167" s="149">
        <v>0</v>
      </c>
      <c r="BP167" s="152"/>
      <c r="BQ167" s="152"/>
      <c r="BR167" s="154" t="s">
        <v>463</v>
      </c>
      <c r="BS167" s="136">
        <v>11</v>
      </c>
      <c r="BT167" s="267">
        <f t="shared" si="11"/>
        <v>1</v>
      </c>
      <c r="BU167" s="267"/>
      <c r="BV167" s="267"/>
      <c r="BW167" s="267"/>
      <c r="BX167" s="267"/>
      <c r="BY167" s="267"/>
      <c r="BZ167" s="267"/>
      <c r="CA167" s="267"/>
      <c r="CB167" s="267"/>
      <c r="CC167" s="267"/>
      <c r="CD167" s="267"/>
      <c r="CE167" s="267"/>
      <c r="CF167" s="267"/>
      <c r="CG167" s="267"/>
      <c r="CH167" s="267"/>
      <c r="CI167" s="267"/>
      <c r="CJ167" s="267"/>
      <c r="CK167" s="267"/>
      <c r="CL167" s="267"/>
      <c r="CM167" s="267"/>
      <c r="CN167" s="101">
        <f t="shared" si="9"/>
        <v>0</v>
      </c>
      <c r="CO167" s="101">
        <f t="shared" si="10"/>
        <v>0</v>
      </c>
    </row>
    <row r="168" spans="1:93" ht="13.9" customHeight="1" x14ac:dyDescent="0.2">
      <c r="A168" s="149">
        <v>6728</v>
      </c>
      <c r="B168" s="150" t="s">
        <v>323</v>
      </c>
      <c r="C168" s="150" t="s">
        <v>747</v>
      </c>
      <c r="D168" s="150" t="s">
        <v>748</v>
      </c>
      <c r="E168" s="150" t="s">
        <v>326</v>
      </c>
      <c r="F168" s="149">
        <v>529035</v>
      </c>
      <c r="G168" s="149">
        <v>170671</v>
      </c>
      <c r="H168" s="150" t="s">
        <v>163</v>
      </c>
      <c r="I168" s="151">
        <v>44950</v>
      </c>
      <c r="J168" s="151">
        <v>45017</v>
      </c>
      <c r="K168" s="149">
        <v>1</v>
      </c>
      <c r="L168" s="149">
        <v>2</v>
      </c>
      <c r="M168" s="149">
        <v>1</v>
      </c>
      <c r="N168" s="149">
        <v>2</v>
      </c>
      <c r="O168" s="149">
        <v>1</v>
      </c>
      <c r="P168" s="152"/>
      <c r="Q168" s="150" t="s">
        <v>749</v>
      </c>
      <c r="R168" s="150" t="s">
        <v>349</v>
      </c>
      <c r="S168" s="151">
        <v>44894</v>
      </c>
      <c r="T168" s="151">
        <v>44950</v>
      </c>
      <c r="U168" s="152"/>
      <c r="V168" s="150" t="s">
        <v>330</v>
      </c>
      <c r="W168" s="151"/>
      <c r="X168" s="150" t="s">
        <v>331</v>
      </c>
      <c r="Y168" s="150" t="s">
        <v>398</v>
      </c>
      <c r="Z168" s="150" t="s">
        <v>334</v>
      </c>
      <c r="AA168" s="150" t="s">
        <v>16</v>
      </c>
      <c r="AB168" s="153">
        <v>6.0000000000000001E-3</v>
      </c>
      <c r="AC168" s="151">
        <v>44950</v>
      </c>
      <c r="AD168" s="150"/>
      <c r="AE168" s="151">
        <v>45017</v>
      </c>
      <c r="AF168" s="150" t="s">
        <v>70</v>
      </c>
      <c r="AG168" s="152" t="s">
        <v>352</v>
      </c>
      <c r="AH168" s="150" t="s">
        <v>326</v>
      </c>
      <c r="AI168" s="99"/>
      <c r="AJ168" s="149"/>
      <c r="AK168" s="99"/>
      <c r="AL168" s="149"/>
      <c r="AM168" s="99"/>
      <c r="AN168" s="149">
        <v>0</v>
      </c>
      <c r="AO168" s="149">
        <v>0</v>
      </c>
      <c r="AP168" s="149">
        <v>0</v>
      </c>
      <c r="AQ168" s="149">
        <v>1</v>
      </c>
      <c r="AR168" s="149">
        <v>0</v>
      </c>
      <c r="AS168" s="149">
        <v>0</v>
      </c>
      <c r="AT168" s="149">
        <v>0</v>
      </c>
      <c r="AU168" s="149">
        <v>0</v>
      </c>
      <c r="AV168" s="149">
        <v>0</v>
      </c>
      <c r="AW168" s="149">
        <v>0</v>
      </c>
      <c r="AX168" s="149">
        <v>1</v>
      </c>
      <c r="AY168" s="149">
        <v>1</v>
      </c>
      <c r="AZ168" s="149">
        <v>0</v>
      </c>
      <c r="BA168" s="149">
        <v>0</v>
      </c>
      <c r="BB168" s="149">
        <v>0</v>
      </c>
      <c r="BC168" s="149">
        <v>0</v>
      </c>
      <c r="BD168" s="149">
        <v>0</v>
      </c>
      <c r="BE168" s="149">
        <v>0</v>
      </c>
      <c r="BF168" s="149">
        <v>-1</v>
      </c>
      <c r="BG168" s="149">
        <v>0</v>
      </c>
      <c r="BH168" s="149">
        <v>0</v>
      </c>
      <c r="BI168" s="149">
        <v>0</v>
      </c>
      <c r="BJ168" s="149">
        <v>0</v>
      </c>
      <c r="BK168" s="149">
        <v>0</v>
      </c>
      <c r="BL168" s="149">
        <v>0</v>
      </c>
      <c r="BM168" s="149">
        <v>0</v>
      </c>
      <c r="BN168" s="149">
        <v>0</v>
      </c>
      <c r="BO168" s="149">
        <v>0</v>
      </c>
      <c r="BP168" s="152"/>
      <c r="BQ168" s="152"/>
      <c r="BR168" s="154" t="s">
        <v>359</v>
      </c>
      <c r="BS168" s="136">
        <v>11</v>
      </c>
      <c r="BT168" s="267">
        <f t="shared" si="11"/>
        <v>1</v>
      </c>
      <c r="BU168" s="267"/>
      <c r="BV168" s="267"/>
      <c r="BW168" s="267"/>
      <c r="BX168" s="267"/>
      <c r="BY168" s="267"/>
      <c r="BZ168" s="267"/>
      <c r="CA168" s="267"/>
      <c r="CB168" s="267"/>
      <c r="CC168" s="267"/>
      <c r="CD168" s="267"/>
      <c r="CE168" s="267"/>
      <c r="CF168" s="267"/>
      <c r="CG168" s="267"/>
      <c r="CH168" s="267"/>
      <c r="CI168" s="267"/>
      <c r="CJ168" s="267"/>
      <c r="CK168" s="267"/>
      <c r="CL168" s="267"/>
      <c r="CM168" s="267"/>
      <c r="CN168" s="101">
        <f t="shared" si="9"/>
        <v>0</v>
      </c>
      <c r="CO168" s="101">
        <f t="shared" si="10"/>
        <v>0</v>
      </c>
    </row>
    <row r="169" spans="1:93" ht="13.9" customHeight="1" x14ac:dyDescent="0.2">
      <c r="A169" s="149">
        <v>7305</v>
      </c>
      <c r="B169" s="150" t="s">
        <v>323</v>
      </c>
      <c r="C169" s="150" t="s">
        <v>750</v>
      </c>
      <c r="D169" s="150" t="s">
        <v>751</v>
      </c>
      <c r="E169" s="150" t="s">
        <v>326</v>
      </c>
      <c r="F169" s="149">
        <v>529000</v>
      </c>
      <c r="G169" s="149">
        <v>173317</v>
      </c>
      <c r="H169" s="150" t="s">
        <v>139</v>
      </c>
      <c r="I169" s="151">
        <v>45041</v>
      </c>
      <c r="J169" s="151">
        <v>45355</v>
      </c>
      <c r="K169" s="149">
        <v>0</v>
      </c>
      <c r="L169" s="149">
        <v>1</v>
      </c>
      <c r="M169" s="149">
        <v>1</v>
      </c>
      <c r="N169" s="149">
        <v>1</v>
      </c>
      <c r="O169" s="149">
        <v>1</v>
      </c>
      <c r="P169" s="152"/>
      <c r="Q169" s="150" t="s">
        <v>752</v>
      </c>
      <c r="R169" s="150" t="s">
        <v>349</v>
      </c>
      <c r="S169" s="151">
        <v>44888</v>
      </c>
      <c r="T169" s="151">
        <v>44959</v>
      </c>
      <c r="U169" s="152"/>
      <c r="V169" s="150" t="s">
        <v>330</v>
      </c>
      <c r="W169" s="151"/>
      <c r="X169" s="150" t="s">
        <v>331</v>
      </c>
      <c r="Y169" s="150" t="s">
        <v>350</v>
      </c>
      <c r="Z169" s="150" t="s">
        <v>334</v>
      </c>
      <c r="AA169" s="150" t="s">
        <v>29</v>
      </c>
      <c r="AB169" s="153">
        <v>6.6000000000000003E-2</v>
      </c>
      <c r="AC169" s="151">
        <v>45041</v>
      </c>
      <c r="AD169" s="152" t="s">
        <v>327</v>
      </c>
      <c r="AE169" s="151">
        <v>45355</v>
      </c>
      <c r="AF169" s="150" t="s">
        <v>70</v>
      </c>
      <c r="AG169" s="152" t="s">
        <v>352</v>
      </c>
      <c r="AH169" s="150" t="s">
        <v>326</v>
      </c>
      <c r="AI169" s="99"/>
      <c r="AJ169" s="149"/>
      <c r="AK169" s="99"/>
      <c r="AL169" s="149"/>
      <c r="AM169" s="99"/>
      <c r="AN169" s="149">
        <v>0</v>
      </c>
      <c r="AO169" s="149">
        <v>0</v>
      </c>
      <c r="AP169" s="149">
        <v>1</v>
      </c>
      <c r="AQ169" s="149">
        <v>0</v>
      </c>
      <c r="AR169" s="149">
        <v>0</v>
      </c>
      <c r="AS169" s="149">
        <v>0</v>
      </c>
      <c r="AT169" s="149">
        <v>0</v>
      </c>
      <c r="AU169" s="149">
        <v>0</v>
      </c>
      <c r="AV169" s="149">
        <v>0</v>
      </c>
      <c r="AW169" s="149">
        <v>1</v>
      </c>
      <c r="AX169" s="149">
        <v>0</v>
      </c>
      <c r="AY169" s="149">
        <v>0</v>
      </c>
      <c r="AZ169" s="149">
        <v>0</v>
      </c>
      <c r="BA169" s="149">
        <v>0</v>
      </c>
      <c r="BB169" s="149">
        <v>0</v>
      </c>
      <c r="BC169" s="149">
        <v>0</v>
      </c>
      <c r="BD169" s="149">
        <v>0</v>
      </c>
      <c r="BE169" s="149">
        <v>0</v>
      </c>
      <c r="BF169" s="149">
        <v>0</v>
      </c>
      <c r="BG169" s="149">
        <v>0</v>
      </c>
      <c r="BH169" s="149">
        <v>0</v>
      </c>
      <c r="BI169" s="149">
        <v>0</v>
      </c>
      <c r="BJ169" s="149">
        <v>0</v>
      </c>
      <c r="BK169" s="149">
        <v>0</v>
      </c>
      <c r="BL169" s="149">
        <v>0</v>
      </c>
      <c r="BM169" s="149">
        <v>0</v>
      </c>
      <c r="BN169" s="149">
        <v>0</v>
      </c>
      <c r="BO169" s="149">
        <v>0</v>
      </c>
      <c r="BP169" s="152"/>
      <c r="BQ169" s="152"/>
      <c r="BR169" s="154" t="s">
        <v>359</v>
      </c>
      <c r="BS169" s="136">
        <v>11</v>
      </c>
      <c r="BT169" s="267">
        <f t="shared" si="11"/>
        <v>1</v>
      </c>
      <c r="BU169" s="267"/>
      <c r="BV169" s="267"/>
      <c r="BW169" s="267"/>
      <c r="BX169" s="267"/>
      <c r="BY169" s="267"/>
      <c r="BZ169" s="267"/>
      <c r="CA169" s="267"/>
      <c r="CB169" s="267"/>
      <c r="CC169" s="267"/>
      <c r="CD169" s="267"/>
      <c r="CE169" s="267"/>
      <c r="CF169" s="267"/>
      <c r="CG169" s="267"/>
      <c r="CH169" s="267"/>
      <c r="CI169" s="267"/>
      <c r="CJ169" s="267"/>
      <c r="CK169" s="267"/>
      <c r="CL169" s="267"/>
      <c r="CM169" s="267"/>
      <c r="CN169" s="101">
        <f t="shared" si="9"/>
        <v>0</v>
      </c>
      <c r="CO169" s="101">
        <f t="shared" si="10"/>
        <v>0</v>
      </c>
    </row>
    <row r="170" spans="1:93" ht="13.9" customHeight="1" x14ac:dyDescent="0.2">
      <c r="A170" s="149">
        <v>7725</v>
      </c>
      <c r="B170" s="150" t="s">
        <v>323</v>
      </c>
      <c r="C170" s="150" t="s">
        <v>753</v>
      </c>
      <c r="D170" s="150" t="s">
        <v>754</v>
      </c>
      <c r="E170" s="150" t="s">
        <v>326</v>
      </c>
      <c r="F170" s="149">
        <v>523495</v>
      </c>
      <c r="G170" s="149">
        <v>175369</v>
      </c>
      <c r="H170" s="150" t="s">
        <v>171</v>
      </c>
      <c r="I170" s="151">
        <v>45029</v>
      </c>
      <c r="J170" s="151">
        <v>45382</v>
      </c>
      <c r="K170" s="149">
        <v>1</v>
      </c>
      <c r="L170" s="149">
        <v>1</v>
      </c>
      <c r="M170" s="149">
        <v>0</v>
      </c>
      <c r="N170" s="149">
        <v>1</v>
      </c>
      <c r="O170" s="149">
        <v>0</v>
      </c>
      <c r="P170" s="152"/>
      <c r="Q170" s="150" t="s">
        <v>755</v>
      </c>
      <c r="R170" s="150" t="s">
        <v>349</v>
      </c>
      <c r="S170" s="151">
        <v>44911</v>
      </c>
      <c r="T170" s="151">
        <v>44992</v>
      </c>
      <c r="U170" s="152"/>
      <c r="V170" s="150" t="s">
        <v>330</v>
      </c>
      <c r="W170" s="151"/>
      <c r="X170" s="150" t="s">
        <v>331</v>
      </c>
      <c r="Y170" s="150" t="s">
        <v>350</v>
      </c>
      <c r="Z170" s="150" t="s">
        <v>334</v>
      </c>
      <c r="AA170" s="150" t="s">
        <v>32</v>
      </c>
      <c r="AB170" s="153">
        <v>3.3000000000000002E-2</v>
      </c>
      <c r="AC170" s="151">
        <v>45029</v>
      </c>
      <c r="AD170" s="152" t="s">
        <v>327</v>
      </c>
      <c r="AE170" s="151">
        <v>45382</v>
      </c>
      <c r="AF170" s="150" t="s">
        <v>70</v>
      </c>
      <c r="AG170" s="152" t="s">
        <v>352</v>
      </c>
      <c r="AH170" s="150" t="s">
        <v>326</v>
      </c>
      <c r="AI170" s="99"/>
      <c r="AJ170" s="149"/>
      <c r="AK170" s="99"/>
      <c r="AL170" s="149"/>
      <c r="AM170" s="99"/>
      <c r="AN170" s="149">
        <v>0</v>
      </c>
      <c r="AO170" s="149">
        <v>0</v>
      </c>
      <c r="AP170" s="149">
        <v>0</v>
      </c>
      <c r="AQ170" s="149">
        <v>1</v>
      </c>
      <c r="AR170" s="149">
        <v>0</v>
      </c>
      <c r="AS170" s="149">
        <v>-1</v>
      </c>
      <c r="AT170" s="149">
        <v>0</v>
      </c>
      <c r="AU170" s="149">
        <v>0</v>
      </c>
      <c r="AV170" s="149">
        <v>0</v>
      </c>
      <c r="AW170" s="149">
        <v>0</v>
      </c>
      <c r="AX170" s="149">
        <v>0</v>
      </c>
      <c r="AY170" s="149">
        <v>0</v>
      </c>
      <c r="AZ170" s="149">
        <v>0</v>
      </c>
      <c r="BA170" s="149">
        <v>0</v>
      </c>
      <c r="BB170" s="149">
        <v>0</v>
      </c>
      <c r="BC170" s="149">
        <v>0</v>
      </c>
      <c r="BD170" s="149">
        <v>0</v>
      </c>
      <c r="BE170" s="149">
        <v>1</v>
      </c>
      <c r="BF170" s="149">
        <v>0</v>
      </c>
      <c r="BG170" s="149">
        <v>-1</v>
      </c>
      <c r="BH170" s="149">
        <v>0</v>
      </c>
      <c r="BI170" s="149">
        <v>0</v>
      </c>
      <c r="BJ170" s="149">
        <v>0</v>
      </c>
      <c r="BK170" s="149">
        <v>0</v>
      </c>
      <c r="BL170" s="149">
        <v>0</v>
      </c>
      <c r="BM170" s="149">
        <v>0</v>
      </c>
      <c r="BN170" s="149">
        <v>0</v>
      </c>
      <c r="BO170" s="149">
        <v>0</v>
      </c>
      <c r="BP170" s="152"/>
      <c r="BQ170" s="152"/>
      <c r="BR170" s="154" t="s">
        <v>359</v>
      </c>
      <c r="BS170" s="136">
        <v>11</v>
      </c>
      <c r="BT170" s="267">
        <f t="shared" si="11"/>
        <v>0</v>
      </c>
      <c r="BU170" s="267"/>
      <c r="BV170" s="267"/>
      <c r="BW170" s="267"/>
      <c r="BX170" s="267"/>
      <c r="BY170" s="267"/>
      <c r="BZ170" s="267"/>
      <c r="CA170" s="267"/>
      <c r="CB170" s="267"/>
      <c r="CC170" s="267"/>
      <c r="CD170" s="267"/>
      <c r="CE170" s="267"/>
      <c r="CF170" s="267"/>
      <c r="CG170" s="267"/>
      <c r="CH170" s="267"/>
      <c r="CI170" s="267"/>
      <c r="CJ170" s="267"/>
      <c r="CK170" s="267"/>
      <c r="CL170" s="267"/>
      <c r="CM170" s="267"/>
      <c r="CN170" s="101">
        <f t="shared" si="9"/>
        <v>0</v>
      </c>
      <c r="CO170" s="101">
        <f t="shared" si="10"/>
        <v>0</v>
      </c>
    </row>
    <row r="171" spans="1:93" ht="13.9" customHeight="1" x14ac:dyDescent="0.2">
      <c r="A171" s="149">
        <v>7930</v>
      </c>
      <c r="B171" s="150" t="s">
        <v>323</v>
      </c>
      <c r="C171" s="150" t="s">
        <v>756</v>
      </c>
      <c r="D171" s="150" t="s">
        <v>757</v>
      </c>
      <c r="E171" s="150" t="s">
        <v>326</v>
      </c>
      <c r="F171" s="149">
        <v>528073</v>
      </c>
      <c r="G171" s="149">
        <v>170895</v>
      </c>
      <c r="H171" s="150" t="s">
        <v>163</v>
      </c>
      <c r="I171" s="151">
        <v>45016</v>
      </c>
      <c r="J171" s="151">
        <v>45309</v>
      </c>
      <c r="K171" s="149">
        <v>0</v>
      </c>
      <c r="L171" s="149">
        <v>1</v>
      </c>
      <c r="M171" s="149">
        <v>1</v>
      </c>
      <c r="N171" s="149">
        <v>1</v>
      </c>
      <c r="O171" s="149">
        <v>1</v>
      </c>
      <c r="P171" s="152"/>
      <c r="Q171" s="150" t="s">
        <v>758</v>
      </c>
      <c r="R171" s="150" t="s">
        <v>349</v>
      </c>
      <c r="S171" s="151">
        <v>44910</v>
      </c>
      <c r="T171" s="151">
        <v>44973</v>
      </c>
      <c r="U171" s="152"/>
      <c r="V171" s="150" t="s">
        <v>330</v>
      </c>
      <c r="W171" s="151"/>
      <c r="X171" s="150" t="s">
        <v>331</v>
      </c>
      <c r="Y171" s="150" t="s">
        <v>491</v>
      </c>
      <c r="Z171" s="150" t="s">
        <v>334</v>
      </c>
      <c r="AA171" s="150" t="s">
        <v>413</v>
      </c>
      <c r="AB171" s="153">
        <v>3.8999999999999998E-3</v>
      </c>
      <c r="AC171" s="151">
        <v>45016</v>
      </c>
      <c r="AD171" s="150"/>
      <c r="AE171" s="151">
        <v>45309</v>
      </c>
      <c r="AF171" s="150" t="s">
        <v>70</v>
      </c>
      <c r="AG171" s="152" t="s">
        <v>352</v>
      </c>
      <c r="AH171" s="150" t="s">
        <v>326</v>
      </c>
      <c r="AI171" s="99"/>
      <c r="AJ171" s="149"/>
      <c r="AK171" s="99"/>
      <c r="AL171" s="149"/>
      <c r="AM171" s="99"/>
      <c r="AN171" s="149">
        <v>0</v>
      </c>
      <c r="AO171" s="149">
        <v>1</v>
      </c>
      <c r="AP171" s="149">
        <v>0</v>
      </c>
      <c r="AQ171" s="149">
        <v>0</v>
      </c>
      <c r="AR171" s="149">
        <v>0</v>
      </c>
      <c r="AS171" s="149">
        <v>0</v>
      </c>
      <c r="AT171" s="149">
        <v>0</v>
      </c>
      <c r="AU171" s="149">
        <v>0</v>
      </c>
      <c r="AV171" s="149">
        <v>1</v>
      </c>
      <c r="AW171" s="149">
        <v>0</v>
      </c>
      <c r="AX171" s="149">
        <v>0</v>
      </c>
      <c r="AY171" s="149">
        <v>0</v>
      </c>
      <c r="AZ171" s="149">
        <v>0</v>
      </c>
      <c r="BA171" s="149">
        <v>0</v>
      </c>
      <c r="BB171" s="149">
        <v>0</v>
      </c>
      <c r="BC171" s="149">
        <v>0</v>
      </c>
      <c r="BD171" s="149">
        <v>0</v>
      </c>
      <c r="BE171" s="149">
        <v>0</v>
      </c>
      <c r="BF171" s="149">
        <v>0</v>
      </c>
      <c r="BG171" s="149">
        <v>0</v>
      </c>
      <c r="BH171" s="149">
        <v>0</v>
      </c>
      <c r="BI171" s="149">
        <v>0</v>
      </c>
      <c r="BJ171" s="149">
        <v>0</v>
      </c>
      <c r="BK171" s="149">
        <v>0</v>
      </c>
      <c r="BL171" s="149">
        <v>0</v>
      </c>
      <c r="BM171" s="149">
        <v>0</v>
      </c>
      <c r="BN171" s="149">
        <v>0</v>
      </c>
      <c r="BO171" s="149">
        <v>0</v>
      </c>
      <c r="BP171" s="152"/>
      <c r="BQ171" s="152"/>
      <c r="BR171" s="154" t="s">
        <v>359</v>
      </c>
      <c r="BS171" s="136">
        <v>11</v>
      </c>
      <c r="BT171" s="267">
        <f t="shared" si="11"/>
        <v>1</v>
      </c>
      <c r="BU171" s="267"/>
      <c r="BV171" s="267"/>
      <c r="BW171" s="267"/>
      <c r="BX171" s="267"/>
      <c r="BY171" s="267"/>
      <c r="BZ171" s="267"/>
      <c r="CA171" s="267"/>
      <c r="CB171" s="267"/>
      <c r="CC171" s="267"/>
      <c r="CD171" s="267"/>
      <c r="CE171" s="267"/>
      <c r="CF171" s="267"/>
      <c r="CG171" s="267"/>
      <c r="CH171" s="267"/>
      <c r="CI171" s="267"/>
      <c r="CJ171" s="267"/>
      <c r="CK171" s="267"/>
      <c r="CL171" s="267"/>
      <c r="CM171" s="267"/>
      <c r="CN171" s="101">
        <f t="shared" si="9"/>
        <v>0</v>
      </c>
      <c r="CO171" s="101">
        <f t="shared" si="10"/>
        <v>0</v>
      </c>
    </row>
    <row r="172" spans="1:93" ht="13.9" customHeight="1" x14ac:dyDescent="0.2">
      <c r="A172" s="149">
        <v>7955</v>
      </c>
      <c r="B172" s="150" t="s">
        <v>323</v>
      </c>
      <c r="C172" s="150" t="s">
        <v>759</v>
      </c>
      <c r="D172" s="150" t="s">
        <v>760</v>
      </c>
      <c r="E172" s="150" t="s">
        <v>326</v>
      </c>
      <c r="F172" s="149">
        <v>526135</v>
      </c>
      <c r="G172" s="149">
        <v>172709</v>
      </c>
      <c r="H172" s="150" t="s">
        <v>176</v>
      </c>
      <c r="I172" s="151">
        <v>45061</v>
      </c>
      <c r="J172" s="151">
        <v>45382</v>
      </c>
      <c r="K172" s="149">
        <v>1</v>
      </c>
      <c r="L172" s="149">
        <v>3</v>
      </c>
      <c r="M172" s="149">
        <v>2</v>
      </c>
      <c r="N172" s="149">
        <v>3</v>
      </c>
      <c r="O172" s="149">
        <v>2</v>
      </c>
      <c r="P172" s="152"/>
      <c r="Q172" s="150" t="s">
        <v>761</v>
      </c>
      <c r="R172" s="150" t="s">
        <v>349</v>
      </c>
      <c r="S172" s="151">
        <v>44972</v>
      </c>
      <c r="T172" s="151">
        <v>45061</v>
      </c>
      <c r="U172" s="152" t="s">
        <v>327</v>
      </c>
      <c r="V172" s="150" t="s">
        <v>330</v>
      </c>
      <c r="W172" s="151"/>
      <c r="X172" s="150" t="s">
        <v>331</v>
      </c>
      <c r="Y172" s="150" t="s">
        <v>350</v>
      </c>
      <c r="Z172" s="150" t="s">
        <v>334</v>
      </c>
      <c r="AA172" s="150" t="s">
        <v>399</v>
      </c>
      <c r="AB172" s="153">
        <v>5.9665999999999999E-3</v>
      </c>
      <c r="AC172" s="151">
        <v>45061</v>
      </c>
      <c r="AD172" s="152" t="s">
        <v>327</v>
      </c>
      <c r="AE172" s="151">
        <v>45382</v>
      </c>
      <c r="AF172" s="150" t="s">
        <v>70</v>
      </c>
      <c r="AG172" s="152" t="s">
        <v>352</v>
      </c>
      <c r="AH172" s="150" t="s">
        <v>326</v>
      </c>
      <c r="AI172" s="99"/>
      <c r="AJ172" s="149"/>
      <c r="AK172" s="99"/>
      <c r="AL172" s="149"/>
      <c r="AM172" s="99"/>
      <c r="AN172" s="149">
        <v>1</v>
      </c>
      <c r="AO172" s="149">
        <v>2</v>
      </c>
      <c r="AP172" s="149">
        <v>0</v>
      </c>
      <c r="AQ172" s="149">
        <v>0</v>
      </c>
      <c r="AR172" s="149">
        <v>-1</v>
      </c>
      <c r="AS172" s="149">
        <v>0</v>
      </c>
      <c r="AT172" s="149">
        <v>0</v>
      </c>
      <c r="AU172" s="149">
        <v>1</v>
      </c>
      <c r="AV172" s="149">
        <v>2</v>
      </c>
      <c r="AW172" s="149">
        <v>0</v>
      </c>
      <c r="AX172" s="149">
        <v>0</v>
      </c>
      <c r="AY172" s="149">
        <v>-1</v>
      </c>
      <c r="AZ172" s="149">
        <v>0</v>
      </c>
      <c r="BA172" s="149">
        <v>0</v>
      </c>
      <c r="BB172" s="149">
        <v>0</v>
      </c>
      <c r="BC172" s="149">
        <v>0</v>
      </c>
      <c r="BD172" s="149">
        <v>0</v>
      </c>
      <c r="BE172" s="149">
        <v>0</v>
      </c>
      <c r="BF172" s="149">
        <v>0</v>
      </c>
      <c r="BG172" s="149">
        <v>0</v>
      </c>
      <c r="BH172" s="149">
        <v>0</v>
      </c>
      <c r="BI172" s="149">
        <v>0</v>
      </c>
      <c r="BJ172" s="149">
        <v>0</v>
      </c>
      <c r="BK172" s="149">
        <v>0</v>
      </c>
      <c r="BL172" s="149">
        <v>0</v>
      </c>
      <c r="BM172" s="149">
        <v>0</v>
      </c>
      <c r="BN172" s="149">
        <v>0</v>
      </c>
      <c r="BO172" s="149">
        <v>0</v>
      </c>
      <c r="BP172" s="152"/>
      <c r="BQ172" s="152"/>
      <c r="BR172" s="154" t="s">
        <v>151</v>
      </c>
      <c r="BS172" s="136">
        <v>11</v>
      </c>
      <c r="BT172" s="267">
        <f t="shared" si="11"/>
        <v>2</v>
      </c>
      <c r="BU172" s="267"/>
      <c r="BV172" s="267"/>
      <c r="BW172" s="267"/>
      <c r="BX172" s="267"/>
      <c r="BY172" s="267"/>
      <c r="BZ172" s="267"/>
      <c r="CA172" s="267"/>
      <c r="CB172" s="267"/>
      <c r="CC172" s="267"/>
      <c r="CD172" s="267"/>
      <c r="CE172" s="267"/>
      <c r="CF172" s="267"/>
      <c r="CG172" s="267"/>
      <c r="CH172" s="267"/>
      <c r="CI172" s="267"/>
      <c r="CJ172" s="267"/>
      <c r="CK172" s="267"/>
      <c r="CL172" s="267"/>
      <c r="CM172" s="267"/>
      <c r="CN172" s="101">
        <f t="shared" si="9"/>
        <v>0</v>
      </c>
      <c r="CO172" s="101">
        <f t="shared" si="10"/>
        <v>0</v>
      </c>
    </row>
    <row r="173" spans="1:93" ht="13.9" customHeight="1" x14ac:dyDescent="0.2">
      <c r="A173" s="149">
        <v>3033</v>
      </c>
      <c r="B173" s="150" t="s">
        <v>323</v>
      </c>
      <c r="C173" s="150" t="s">
        <v>762</v>
      </c>
      <c r="D173" s="150" t="s">
        <v>763</v>
      </c>
      <c r="E173" s="150" t="s">
        <v>326</v>
      </c>
      <c r="F173" s="149">
        <v>523403</v>
      </c>
      <c r="G173" s="149">
        <v>175458</v>
      </c>
      <c r="H173" s="150" t="s">
        <v>171</v>
      </c>
      <c r="I173" s="151">
        <v>45044</v>
      </c>
      <c r="J173" s="151">
        <v>45044</v>
      </c>
      <c r="K173" s="149">
        <v>0</v>
      </c>
      <c r="L173" s="149">
        <v>1</v>
      </c>
      <c r="M173" s="149">
        <v>1</v>
      </c>
      <c r="N173" s="149">
        <v>1</v>
      </c>
      <c r="O173" s="149">
        <v>1</v>
      </c>
      <c r="P173" s="152"/>
      <c r="Q173" s="150" t="s">
        <v>764</v>
      </c>
      <c r="R173" s="150" t="s">
        <v>765</v>
      </c>
      <c r="S173" s="151">
        <v>44988</v>
      </c>
      <c r="T173" s="151">
        <v>45044</v>
      </c>
      <c r="U173" s="152" t="s">
        <v>327</v>
      </c>
      <c r="V173" s="150" t="s">
        <v>330</v>
      </c>
      <c r="W173" s="151"/>
      <c r="X173" s="150" t="s">
        <v>331</v>
      </c>
      <c r="Y173" s="150" t="s">
        <v>766</v>
      </c>
      <c r="Z173" s="150" t="s">
        <v>334</v>
      </c>
      <c r="AA173" s="150" t="s">
        <v>32</v>
      </c>
      <c r="AB173" s="153">
        <v>5.0000000000000001E-3</v>
      </c>
      <c r="AC173" s="151">
        <v>45044</v>
      </c>
      <c r="AD173" s="152" t="s">
        <v>327</v>
      </c>
      <c r="AE173" s="151">
        <v>45044</v>
      </c>
      <c r="AF173" s="150" t="s">
        <v>70</v>
      </c>
      <c r="AG173" s="152" t="s">
        <v>352</v>
      </c>
      <c r="AH173" s="150" t="s">
        <v>326</v>
      </c>
      <c r="AI173" s="99"/>
      <c r="AJ173" s="149"/>
      <c r="AK173" s="99"/>
      <c r="AL173" s="149"/>
      <c r="AM173" s="99"/>
      <c r="AN173" s="149">
        <v>0</v>
      </c>
      <c r="AO173" s="149">
        <v>1</v>
      </c>
      <c r="AP173" s="149">
        <v>0</v>
      </c>
      <c r="AQ173" s="149">
        <v>0</v>
      </c>
      <c r="AR173" s="149">
        <v>0</v>
      </c>
      <c r="AS173" s="149">
        <v>0</v>
      </c>
      <c r="AT173" s="149">
        <v>0</v>
      </c>
      <c r="AU173" s="149">
        <v>0</v>
      </c>
      <c r="AV173" s="149">
        <v>1</v>
      </c>
      <c r="AW173" s="149">
        <v>0</v>
      </c>
      <c r="AX173" s="149">
        <v>0</v>
      </c>
      <c r="AY173" s="149">
        <v>0</v>
      </c>
      <c r="AZ173" s="149">
        <v>0</v>
      </c>
      <c r="BA173" s="149">
        <v>0</v>
      </c>
      <c r="BB173" s="149">
        <v>0</v>
      </c>
      <c r="BC173" s="149">
        <v>0</v>
      </c>
      <c r="BD173" s="149">
        <v>0</v>
      </c>
      <c r="BE173" s="149">
        <v>0</v>
      </c>
      <c r="BF173" s="149">
        <v>0</v>
      </c>
      <c r="BG173" s="149">
        <v>0</v>
      </c>
      <c r="BH173" s="149">
        <v>0</v>
      </c>
      <c r="BI173" s="149">
        <v>0</v>
      </c>
      <c r="BJ173" s="149">
        <v>0</v>
      </c>
      <c r="BK173" s="149">
        <v>0</v>
      </c>
      <c r="BL173" s="149">
        <v>0</v>
      </c>
      <c r="BM173" s="149">
        <v>0</v>
      </c>
      <c r="BN173" s="149">
        <v>0</v>
      </c>
      <c r="BO173" s="149">
        <v>0</v>
      </c>
      <c r="BP173" s="152"/>
      <c r="BQ173" s="152"/>
      <c r="BR173" s="154" t="s">
        <v>359</v>
      </c>
      <c r="BS173" s="136">
        <v>11</v>
      </c>
      <c r="BT173" s="267">
        <f t="shared" si="11"/>
        <v>1</v>
      </c>
      <c r="BU173" s="267"/>
      <c r="BV173" s="267"/>
      <c r="BW173" s="267"/>
      <c r="BX173" s="267"/>
      <c r="BY173" s="267"/>
      <c r="BZ173" s="267"/>
      <c r="CA173" s="267"/>
      <c r="CB173" s="267"/>
      <c r="CC173" s="267"/>
      <c r="CD173" s="267"/>
      <c r="CE173" s="267"/>
      <c r="CF173" s="267"/>
      <c r="CG173" s="267"/>
      <c r="CH173" s="267"/>
      <c r="CI173" s="267"/>
      <c r="CJ173" s="267"/>
      <c r="CK173" s="267"/>
      <c r="CL173" s="267"/>
      <c r="CM173" s="267"/>
      <c r="CN173" s="101">
        <f t="shared" si="9"/>
        <v>0</v>
      </c>
      <c r="CO173" s="101">
        <f t="shared" si="10"/>
        <v>0</v>
      </c>
    </row>
    <row r="174" spans="1:93" ht="13.9" customHeight="1" x14ac:dyDescent="0.2">
      <c r="A174" s="149">
        <v>7972</v>
      </c>
      <c r="B174" s="150" t="s">
        <v>323</v>
      </c>
      <c r="C174" s="150" t="s">
        <v>767</v>
      </c>
      <c r="D174" s="150" t="s">
        <v>768</v>
      </c>
      <c r="E174" s="150" t="s">
        <v>326</v>
      </c>
      <c r="F174" s="149">
        <v>527349</v>
      </c>
      <c r="G174" s="149">
        <v>171670</v>
      </c>
      <c r="H174" s="150" t="s">
        <v>173</v>
      </c>
      <c r="I174" s="151">
        <v>45062</v>
      </c>
      <c r="J174" s="151">
        <v>45062</v>
      </c>
      <c r="K174" s="149">
        <v>1</v>
      </c>
      <c r="L174" s="149">
        <v>2</v>
      </c>
      <c r="M174" s="149">
        <v>1</v>
      </c>
      <c r="N174" s="149">
        <v>2</v>
      </c>
      <c r="O174" s="149">
        <v>1</v>
      </c>
      <c r="P174" s="152"/>
      <c r="Q174" s="150" t="s">
        <v>769</v>
      </c>
      <c r="R174" s="150" t="s">
        <v>765</v>
      </c>
      <c r="S174" s="151">
        <v>45006</v>
      </c>
      <c r="T174" s="151">
        <v>45062</v>
      </c>
      <c r="U174" s="152" t="s">
        <v>327</v>
      </c>
      <c r="V174" s="150" t="s">
        <v>330</v>
      </c>
      <c r="W174" s="151"/>
      <c r="X174" s="150" t="s">
        <v>331</v>
      </c>
      <c r="Y174" s="150" t="s">
        <v>350</v>
      </c>
      <c r="Z174" s="150" t="s">
        <v>334</v>
      </c>
      <c r="AA174" s="150" t="s">
        <v>16</v>
      </c>
      <c r="AB174" s="153">
        <v>5.4999999999999997E-3</v>
      </c>
      <c r="AC174" s="151">
        <v>45062</v>
      </c>
      <c r="AD174" s="152" t="s">
        <v>327</v>
      </c>
      <c r="AE174" s="151">
        <v>45062</v>
      </c>
      <c r="AF174" s="150" t="s">
        <v>70</v>
      </c>
      <c r="AG174" s="152" t="s">
        <v>352</v>
      </c>
      <c r="AH174" s="150" t="s">
        <v>326</v>
      </c>
      <c r="AI174" s="99"/>
      <c r="AJ174" s="149"/>
      <c r="AK174" s="99"/>
      <c r="AL174" s="149"/>
      <c r="AM174" s="99"/>
      <c r="AN174" s="149">
        <v>0</v>
      </c>
      <c r="AO174" s="149">
        <v>1</v>
      </c>
      <c r="AP174" s="149">
        <v>1</v>
      </c>
      <c r="AQ174" s="149">
        <v>-1</v>
      </c>
      <c r="AR174" s="149">
        <v>0</v>
      </c>
      <c r="AS174" s="149">
        <v>0</v>
      </c>
      <c r="AT174" s="149">
        <v>0</v>
      </c>
      <c r="AU174" s="149">
        <v>0</v>
      </c>
      <c r="AV174" s="149">
        <v>1</v>
      </c>
      <c r="AW174" s="149">
        <v>1</v>
      </c>
      <c r="AX174" s="149">
        <v>0</v>
      </c>
      <c r="AY174" s="149">
        <v>0</v>
      </c>
      <c r="AZ174" s="149">
        <v>0</v>
      </c>
      <c r="BA174" s="149">
        <v>0</v>
      </c>
      <c r="BB174" s="149">
        <v>0</v>
      </c>
      <c r="BC174" s="149">
        <v>0</v>
      </c>
      <c r="BD174" s="149">
        <v>0</v>
      </c>
      <c r="BE174" s="149">
        <v>-1</v>
      </c>
      <c r="BF174" s="149">
        <v>0</v>
      </c>
      <c r="BG174" s="149">
        <v>0</v>
      </c>
      <c r="BH174" s="149">
        <v>0</v>
      </c>
      <c r="BI174" s="149">
        <v>0</v>
      </c>
      <c r="BJ174" s="149">
        <v>0</v>
      </c>
      <c r="BK174" s="149">
        <v>0</v>
      </c>
      <c r="BL174" s="149">
        <v>0</v>
      </c>
      <c r="BM174" s="149">
        <v>0</v>
      </c>
      <c r="BN174" s="149">
        <v>0</v>
      </c>
      <c r="BO174" s="149">
        <v>0</v>
      </c>
      <c r="BP174" s="152"/>
      <c r="BQ174" s="152"/>
      <c r="BR174" s="154" t="s">
        <v>359</v>
      </c>
      <c r="BS174" s="136">
        <v>11</v>
      </c>
      <c r="BT174" s="267">
        <f t="shared" si="11"/>
        <v>1</v>
      </c>
      <c r="BU174" s="267"/>
      <c r="BV174" s="267"/>
      <c r="BW174" s="267"/>
      <c r="BX174" s="267"/>
      <c r="BY174" s="267"/>
      <c r="BZ174" s="267"/>
      <c r="CA174" s="267"/>
      <c r="CB174" s="267"/>
      <c r="CC174" s="267"/>
      <c r="CD174" s="267"/>
      <c r="CE174" s="267"/>
      <c r="CF174" s="267"/>
      <c r="CG174" s="267"/>
      <c r="CH174" s="267"/>
      <c r="CI174" s="267"/>
      <c r="CJ174" s="267"/>
      <c r="CK174" s="267"/>
      <c r="CL174" s="267"/>
      <c r="CM174" s="267"/>
      <c r="CN174" s="101">
        <f t="shared" si="9"/>
        <v>0</v>
      </c>
      <c r="CO174" s="101">
        <f t="shared" si="10"/>
        <v>0</v>
      </c>
    </row>
    <row r="175" spans="1:93" ht="13.9" customHeight="1" x14ac:dyDescent="0.2">
      <c r="A175" s="149">
        <v>7906</v>
      </c>
      <c r="B175" s="150" t="s">
        <v>323</v>
      </c>
      <c r="C175" s="150" t="s">
        <v>770</v>
      </c>
      <c r="D175" s="150" t="s">
        <v>771</v>
      </c>
      <c r="E175" s="150" t="s">
        <v>326</v>
      </c>
      <c r="F175" s="149">
        <v>528720</v>
      </c>
      <c r="G175" s="149">
        <v>173041</v>
      </c>
      <c r="H175" s="150" t="s">
        <v>168</v>
      </c>
      <c r="I175" s="151">
        <v>45016</v>
      </c>
      <c r="J175" s="151">
        <v>45250</v>
      </c>
      <c r="K175" s="149">
        <v>2</v>
      </c>
      <c r="L175" s="149">
        <v>3</v>
      </c>
      <c r="M175" s="149">
        <v>1</v>
      </c>
      <c r="N175" s="149">
        <v>3</v>
      </c>
      <c r="O175" s="149">
        <v>1</v>
      </c>
      <c r="P175" s="152"/>
      <c r="Q175" s="150" t="s">
        <v>772</v>
      </c>
      <c r="R175" s="150" t="s">
        <v>349</v>
      </c>
      <c r="S175" s="151">
        <v>45063</v>
      </c>
      <c r="T175" s="151">
        <v>45245</v>
      </c>
      <c r="U175" s="152" t="s">
        <v>327</v>
      </c>
      <c r="V175" s="150" t="s">
        <v>330</v>
      </c>
      <c r="W175" s="151"/>
      <c r="X175" s="150" t="s">
        <v>331</v>
      </c>
      <c r="Y175" s="150" t="s">
        <v>398</v>
      </c>
      <c r="Z175" s="150" t="s">
        <v>334</v>
      </c>
      <c r="AA175" s="150" t="s">
        <v>26</v>
      </c>
      <c r="AB175" s="153">
        <v>5.8966670000000004E-3</v>
      </c>
      <c r="AC175" s="151">
        <v>45016</v>
      </c>
      <c r="AD175" s="150"/>
      <c r="AE175" s="151">
        <v>45250</v>
      </c>
      <c r="AF175" s="150" t="s">
        <v>70</v>
      </c>
      <c r="AG175" s="152" t="s">
        <v>352</v>
      </c>
      <c r="AH175" s="150" t="s">
        <v>326</v>
      </c>
      <c r="AI175" s="99"/>
      <c r="AJ175" s="149"/>
      <c r="AK175" s="99"/>
      <c r="AL175" s="149"/>
      <c r="AM175" s="99"/>
      <c r="AN175" s="149">
        <v>-1</v>
      </c>
      <c r="AO175" s="149">
        <v>2</v>
      </c>
      <c r="AP175" s="149">
        <v>1</v>
      </c>
      <c r="AQ175" s="149">
        <v>-1</v>
      </c>
      <c r="AR175" s="149">
        <v>0</v>
      </c>
      <c r="AS175" s="149">
        <v>0</v>
      </c>
      <c r="AT175" s="149">
        <v>0</v>
      </c>
      <c r="AU175" s="149">
        <v>-1</v>
      </c>
      <c r="AV175" s="149">
        <v>2</v>
      </c>
      <c r="AW175" s="149">
        <v>1</v>
      </c>
      <c r="AX175" s="149">
        <v>-1</v>
      </c>
      <c r="AY175" s="149">
        <v>0</v>
      </c>
      <c r="AZ175" s="149">
        <v>0</v>
      </c>
      <c r="BA175" s="149">
        <v>0</v>
      </c>
      <c r="BB175" s="149">
        <v>0</v>
      </c>
      <c r="BC175" s="149">
        <v>0</v>
      </c>
      <c r="BD175" s="149">
        <v>0</v>
      </c>
      <c r="BE175" s="149">
        <v>0</v>
      </c>
      <c r="BF175" s="149">
        <v>0</v>
      </c>
      <c r="BG175" s="149">
        <v>0</v>
      </c>
      <c r="BH175" s="149">
        <v>0</v>
      </c>
      <c r="BI175" s="149">
        <v>0</v>
      </c>
      <c r="BJ175" s="149">
        <v>0</v>
      </c>
      <c r="BK175" s="149">
        <v>0</v>
      </c>
      <c r="BL175" s="149">
        <v>0</v>
      </c>
      <c r="BM175" s="149">
        <v>0</v>
      </c>
      <c r="BN175" s="149">
        <v>0</v>
      </c>
      <c r="BO175" s="149">
        <v>0</v>
      </c>
      <c r="BP175" s="152"/>
      <c r="BQ175" s="152"/>
      <c r="BR175" s="154" t="s">
        <v>359</v>
      </c>
      <c r="BS175" s="136">
        <v>11</v>
      </c>
      <c r="BT175" s="267">
        <f t="shared" si="11"/>
        <v>1</v>
      </c>
      <c r="BU175" s="267"/>
      <c r="BV175" s="267"/>
      <c r="BW175" s="267"/>
      <c r="BX175" s="267"/>
      <c r="BY175" s="267"/>
      <c r="BZ175" s="267"/>
      <c r="CA175" s="267"/>
      <c r="CB175" s="267"/>
      <c r="CC175" s="267"/>
      <c r="CD175" s="267"/>
      <c r="CE175" s="267"/>
      <c r="CF175" s="267"/>
      <c r="CG175" s="267"/>
      <c r="CH175" s="267"/>
      <c r="CI175" s="267"/>
      <c r="CJ175" s="267"/>
      <c r="CK175" s="267"/>
      <c r="CL175" s="267"/>
      <c r="CM175" s="267"/>
      <c r="CN175" s="101">
        <f t="shared" si="9"/>
        <v>0</v>
      </c>
      <c r="CO175" s="101">
        <f t="shared" si="10"/>
        <v>0</v>
      </c>
    </row>
    <row r="176" spans="1:93" ht="13.9" customHeight="1" x14ac:dyDescent="0.2">
      <c r="A176" s="149">
        <v>7973</v>
      </c>
      <c r="B176" s="150" t="s">
        <v>323</v>
      </c>
      <c r="C176" s="150" t="s">
        <v>773</v>
      </c>
      <c r="D176" s="150" t="s">
        <v>774</v>
      </c>
      <c r="E176" s="150" t="s">
        <v>326</v>
      </c>
      <c r="F176" s="149">
        <v>527811</v>
      </c>
      <c r="G176" s="149">
        <v>171019</v>
      </c>
      <c r="H176" s="150" t="s">
        <v>173</v>
      </c>
      <c r="I176" s="151">
        <v>45083</v>
      </c>
      <c r="J176" s="151">
        <v>45253</v>
      </c>
      <c r="K176" s="149">
        <v>0</v>
      </c>
      <c r="L176" s="149">
        <v>1</v>
      </c>
      <c r="M176" s="149">
        <v>1</v>
      </c>
      <c r="N176" s="149">
        <v>1</v>
      </c>
      <c r="O176" s="149">
        <v>1</v>
      </c>
      <c r="P176" s="152"/>
      <c r="Q176" s="150" t="s">
        <v>775</v>
      </c>
      <c r="R176" s="150" t="s">
        <v>427</v>
      </c>
      <c r="S176" s="151">
        <v>45014</v>
      </c>
      <c r="T176" s="151">
        <v>45065</v>
      </c>
      <c r="U176" s="152" t="s">
        <v>327</v>
      </c>
      <c r="V176" s="150" t="s">
        <v>330</v>
      </c>
      <c r="W176" s="151"/>
      <c r="X176" s="150" t="s">
        <v>331</v>
      </c>
      <c r="Y176" s="150" t="s">
        <v>332</v>
      </c>
      <c r="Z176" s="150" t="s">
        <v>334</v>
      </c>
      <c r="AA176" s="150" t="s">
        <v>26</v>
      </c>
      <c r="AB176" s="153">
        <v>1.7700000000000001E-3</v>
      </c>
      <c r="AC176" s="151">
        <v>45083</v>
      </c>
      <c r="AD176" s="152" t="s">
        <v>327</v>
      </c>
      <c r="AE176" s="151">
        <v>45253</v>
      </c>
      <c r="AF176" s="150" t="s">
        <v>70</v>
      </c>
      <c r="AG176" s="152" t="s">
        <v>352</v>
      </c>
      <c r="AH176" s="150" t="s">
        <v>326</v>
      </c>
      <c r="AI176" s="99"/>
      <c r="AJ176" s="149"/>
      <c r="AK176" s="99"/>
      <c r="AL176" s="149"/>
      <c r="AM176" s="99"/>
      <c r="AN176" s="149">
        <v>1</v>
      </c>
      <c r="AO176" s="149">
        <v>0</v>
      </c>
      <c r="AP176" s="149">
        <v>0</v>
      </c>
      <c r="AQ176" s="149">
        <v>0</v>
      </c>
      <c r="AR176" s="149">
        <v>0</v>
      </c>
      <c r="AS176" s="149">
        <v>0</v>
      </c>
      <c r="AT176" s="149">
        <v>0</v>
      </c>
      <c r="AU176" s="149">
        <v>1</v>
      </c>
      <c r="AV176" s="149">
        <v>0</v>
      </c>
      <c r="AW176" s="149">
        <v>0</v>
      </c>
      <c r="AX176" s="149">
        <v>0</v>
      </c>
      <c r="AY176" s="149">
        <v>0</v>
      </c>
      <c r="AZ176" s="149">
        <v>0</v>
      </c>
      <c r="BA176" s="149">
        <v>0</v>
      </c>
      <c r="BB176" s="149">
        <v>0</v>
      </c>
      <c r="BC176" s="149">
        <v>0</v>
      </c>
      <c r="BD176" s="149">
        <v>0</v>
      </c>
      <c r="BE176" s="149">
        <v>0</v>
      </c>
      <c r="BF176" s="149">
        <v>0</v>
      </c>
      <c r="BG176" s="149">
        <v>0</v>
      </c>
      <c r="BH176" s="149">
        <v>0</v>
      </c>
      <c r="BI176" s="149">
        <v>0</v>
      </c>
      <c r="BJ176" s="149">
        <v>0</v>
      </c>
      <c r="BK176" s="149">
        <v>0</v>
      </c>
      <c r="BL176" s="149">
        <v>0</v>
      </c>
      <c r="BM176" s="149">
        <v>0</v>
      </c>
      <c r="BN176" s="149">
        <v>0</v>
      </c>
      <c r="BO176" s="149">
        <v>0</v>
      </c>
      <c r="BP176" s="152"/>
      <c r="BQ176" s="152"/>
      <c r="BR176" s="154" t="s">
        <v>142</v>
      </c>
      <c r="BS176" s="136">
        <v>11</v>
      </c>
      <c r="BT176" s="267">
        <f t="shared" si="11"/>
        <v>1</v>
      </c>
      <c r="BU176" s="267"/>
      <c r="BV176" s="267"/>
      <c r="BW176" s="267"/>
      <c r="BX176" s="267"/>
      <c r="BY176" s="267"/>
      <c r="BZ176" s="267"/>
      <c r="CA176" s="267"/>
      <c r="CB176" s="267"/>
      <c r="CC176" s="267"/>
      <c r="CD176" s="267"/>
      <c r="CE176" s="267"/>
      <c r="CF176" s="267"/>
      <c r="CG176" s="267"/>
      <c r="CH176" s="267"/>
      <c r="CI176" s="267"/>
      <c r="CJ176" s="267"/>
      <c r="CK176" s="267"/>
      <c r="CL176" s="267"/>
      <c r="CM176" s="267"/>
      <c r="CN176" s="101">
        <f t="shared" si="9"/>
        <v>0</v>
      </c>
      <c r="CO176" s="101">
        <f t="shared" si="10"/>
        <v>0</v>
      </c>
    </row>
    <row r="177" spans="1:93" ht="13.9" customHeight="1" x14ac:dyDescent="0.2">
      <c r="A177" s="149">
        <v>7964</v>
      </c>
      <c r="B177" s="150" t="s">
        <v>323</v>
      </c>
      <c r="C177" s="150" t="s">
        <v>776</v>
      </c>
      <c r="D177" s="150" t="s">
        <v>777</v>
      </c>
      <c r="E177" s="150" t="s">
        <v>326</v>
      </c>
      <c r="F177" s="149">
        <v>526926</v>
      </c>
      <c r="G177" s="149">
        <v>171727</v>
      </c>
      <c r="H177" s="150" t="s">
        <v>173</v>
      </c>
      <c r="I177" s="151">
        <v>45069</v>
      </c>
      <c r="J177" s="151">
        <v>45069</v>
      </c>
      <c r="K177" s="149">
        <v>1</v>
      </c>
      <c r="L177" s="149">
        <v>2</v>
      </c>
      <c r="M177" s="149">
        <v>1</v>
      </c>
      <c r="N177" s="149">
        <v>2</v>
      </c>
      <c r="O177" s="149">
        <v>1</v>
      </c>
      <c r="P177" s="152"/>
      <c r="Q177" s="150" t="s">
        <v>778</v>
      </c>
      <c r="R177" s="150" t="s">
        <v>779</v>
      </c>
      <c r="S177" s="151">
        <v>45016</v>
      </c>
      <c r="T177" s="151">
        <v>45069</v>
      </c>
      <c r="U177" s="152" t="s">
        <v>327</v>
      </c>
      <c r="V177" s="150" t="s">
        <v>330</v>
      </c>
      <c r="W177" s="151"/>
      <c r="X177" s="150" t="s">
        <v>331</v>
      </c>
      <c r="Y177" s="150" t="s">
        <v>350</v>
      </c>
      <c r="Z177" s="150" t="s">
        <v>334</v>
      </c>
      <c r="AA177" s="150" t="s">
        <v>16</v>
      </c>
      <c r="AB177" s="153">
        <v>5.3E-3</v>
      </c>
      <c r="AC177" s="151">
        <v>45069</v>
      </c>
      <c r="AD177" s="152" t="s">
        <v>327</v>
      </c>
      <c r="AE177" s="151">
        <v>45069</v>
      </c>
      <c r="AF177" s="150" t="s">
        <v>70</v>
      </c>
      <c r="AG177" s="152" t="s">
        <v>352</v>
      </c>
      <c r="AH177" s="150" t="s">
        <v>326</v>
      </c>
      <c r="AI177" s="99"/>
      <c r="AJ177" s="149"/>
      <c r="AK177" s="99"/>
      <c r="AL177" s="149"/>
      <c r="AM177" s="99"/>
      <c r="AN177" s="149">
        <v>0</v>
      </c>
      <c r="AO177" s="149">
        <v>1</v>
      </c>
      <c r="AP177" s="149">
        <v>1</v>
      </c>
      <c r="AQ177" s="149">
        <v>-1</v>
      </c>
      <c r="AR177" s="149">
        <v>0</v>
      </c>
      <c r="AS177" s="149">
        <v>0</v>
      </c>
      <c r="AT177" s="149">
        <v>0</v>
      </c>
      <c r="AU177" s="149">
        <v>0</v>
      </c>
      <c r="AV177" s="149">
        <v>1</v>
      </c>
      <c r="AW177" s="149">
        <v>1</v>
      </c>
      <c r="AX177" s="149">
        <v>0</v>
      </c>
      <c r="AY177" s="149">
        <v>0</v>
      </c>
      <c r="AZ177" s="149">
        <v>0</v>
      </c>
      <c r="BA177" s="149">
        <v>0</v>
      </c>
      <c r="BB177" s="149">
        <v>0</v>
      </c>
      <c r="BC177" s="149">
        <v>0</v>
      </c>
      <c r="BD177" s="149">
        <v>0</v>
      </c>
      <c r="BE177" s="149">
        <v>-1</v>
      </c>
      <c r="BF177" s="149">
        <v>0</v>
      </c>
      <c r="BG177" s="149">
        <v>0</v>
      </c>
      <c r="BH177" s="149">
        <v>0</v>
      </c>
      <c r="BI177" s="149">
        <v>0</v>
      </c>
      <c r="BJ177" s="149">
        <v>0</v>
      </c>
      <c r="BK177" s="149">
        <v>0</v>
      </c>
      <c r="BL177" s="149">
        <v>0</v>
      </c>
      <c r="BM177" s="149">
        <v>0</v>
      </c>
      <c r="BN177" s="149">
        <v>0</v>
      </c>
      <c r="BO177" s="149">
        <v>0</v>
      </c>
      <c r="BP177" s="152"/>
      <c r="BQ177" s="152"/>
      <c r="BR177" s="154" t="s">
        <v>359</v>
      </c>
      <c r="BS177" s="136">
        <v>11</v>
      </c>
      <c r="BT177" s="267">
        <f t="shared" si="11"/>
        <v>1</v>
      </c>
      <c r="BU177" s="267"/>
      <c r="BV177" s="267"/>
      <c r="BW177" s="267"/>
      <c r="BX177" s="267"/>
      <c r="BY177" s="267"/>
      <c r="BZ177" s="267"/>
      <c r="CA177" s="267"/>
      <c r="CB177" s="267"/>
      <c r="CC177" s="267"/>
      <c r="CD177" s="267"/>
      <c r="CE177" s="267"/>
      <c r="CF177" s="267"/>
      <c r="CG177" s="267"/>
      <c r="CH177" s="267"/>
      <c r="CI177" s="267"/>
      <c r="CJ177" s="267"/>
      <c r="CK177" s="267"/>
      <c r="CL177" s="267"/>
      <c r="CM177" s="267"/>
      <c r="CN177" s="101">
        <f t="shared" si="9"/>
        <v>0</v>
      </c>
      <c r="CO177" s="101">
        <f t="shared" si="10"/>
        <v>0</v>
      </c>
    </row>
    <row r="178" spans="1:93" ht="13.9" customHeight="1" x14ac:dyDescent="0.2">
      <c r="A178" s="149">
        <v>322</v>
      </c>
      <c r="B178" s="150" t="s">
        <v>323</v>
      </c>
      <c r="C178" s="150" t="s">
        <v>780</v>
      </c>
      <c r="D178" s="150" t="s">
        <v>781</v>
      </c>
      <c r="E178" s="150" t="s">
        <v>782</v>
      </c>
      <c r="F178" s="149">
        <v>527020</v>
      </c>
      <c r="G178" s="149">
        <v>176330</v>
      </c>
      <c r="H178" s="150" t="s">
        <v>170</v>
      </c>
      <c r="I178" s="151">
        <v>45111</v>
      </c>
      <c r="J178" s="151">
        <v>45111</v>
      </c>
      <c r="K178" s="149">
        <v>63</v>
      </c>
      <c r="L178" s="149">
        <v>68</v>
      </c>
      <c r="M178" s="149">
        <v>5</v>
      </c>
      <c r="N178" s="149">
        <v>71</v>
      </c>
      <c r="O178" s="149">
        <v>0</v>
      </c>
      <c r="P178" s="152" t="s">
        <v>327</v>
      </c>
      <c r="Q178" s="150" t="s">
        <v>783</v>
      </c>
      <c r="R178" s="150" t="s">
        <v>388</v>
      </c>
      <c r="S178" s="151">
        <v>45020</v>
      </c>
      <c r="T178" s="151">
        <v>45111</v>
      </c>
      <c r="U178" s="152" t="s">
        <v>327</v>
      </c>
      <c r="V178" s="150" t="s">
        <v>330</v>
      </c>
      <c r="W178" s="151"/>
      <c r="X178" s="150" t="s">
        <v>331</v>
      </c>
      <c r="Y178" s="150" t="s">
        <v>343</v>
      </c>
      <c r="Z178" s="150" t="s">
        <v>343</v>
      </c>
      <c r="AA178" s="150" t="s">
        <v>334</v>
      </c>
      <c r="AB178" s="153">
        <v>0.27500000000000002</v>
      </c>
      <c r="AC178" s="151">
        <v>45111</v>
      </c>
      <c r="AD178" s="152" t="s">
        <v>327</v>
      </c>
      <c r="AE178" s="151">
        <v>45111</v>
      </c>
      <c r="AF178" s="150" t="s">
        <v>49</v>
      </c>
      <c r="AG178" s="152" t="s">
        <v>481</v>
      </c>
      <c r="AH178" s="150" t="s">
        <v>326</v>
      </c>
      <c r="AI178" s="99"/>
      <c r="AJ178" s="149"/>
      <c r="AK178" s="99"/>
      <c r="AL178" s="149"/>
      <c r="AM178" s="99"/>
      <c r="AN178" s="149">
        <v>0</v>
      </c>
      <c r="AO178" s="149">
        <v>15</v>
      </c>
      <c r="AP178" s="149">
        <v>37</v>
      </c>
      <c r="AQ178" s="149">
        <v>8</v>
      </c>
      <c r="AR178" s="149">
        <v>8</v>
      </c>
      <c r="AS178" s="149">
        <v>0</v>
      </c>
      <c r="AT178" s="149">
        <v>-63</v>
      </c>
      <c r="AU178" s="149">
        <v>0</v>
      </c>
      <c r="AV178" s="149">
        <v>15</v>
      </c>
      <c r="AW178" s="149">
        <v>37</v>
      </c>
      <c r="AX178" s="149">
        <v>8</v>
      </c>
      <c r="AY178" s="149">
        <v>8</v>
      </c>
      <c r="AZ178" s="149">
        <v>0</v>
      </c>
      <c r="BA178" s="149">
        <v>-63</v>
      </c>
      <c r="BB178" s="149">
        <v>0</v>
      </c>
      <c r="BC178" s="149">
        <v>0</v>
      </c>
      <c r="BD178" s="149">
        <v>0</v>
      </c>
      <c r="BE178" s="149">
        <v>0</v>
      </c>
      <c r="BF178" s="149">
        <v>0</v>
      </c>
      <c r="BG178" s="149">
        <v>0</v>
      </c>
      <c r="BH178" s="149">
        <v>0</v>
      </c>
      <c r="BI178" s="149">
        <v>0</v>
      </c>
      <c r="BJ178" s="149">
        <v>0</v>
      </c>
      <c r="BK178" s="149">
        <v>0</v>
      </c>
      <c r="BL178" s="149">
        <v>0</v>
      </c>
      <c r="BM178" s="149">
        <v>0</v>
      </c>
      <c r="BN178" s="149">
        <v>0</v>
      </c>
      <c r="BO178" s="149">
        <v>0</v>
      </c>
      <c r="BP178" s="152"/>
      <c r="BQ178" s="152"/>
      <c r="BR178" s="154" t="s">
        <v>359</v>
      </c>
      <c r="BS178" s="136">
        <v>1</v>
      </c>
      <c r="BT178" s="267">
        <f t="shared" ref="BT178:BT201" si="12">M178</f>
        <v>5</v>
      </c>
      <c r="BU178" s="267"/>
      <c r="BV178" s="267"/>
      <c r="BW178" s="267"/>
      <c r="BX178" s="267"/>
      <c r="BY178" s="267"/>
      <c r="BZ178" s="267"/>
      <c r="CA178" s="267"/>
      <c r="CB178" s="267"/>
      <c r="CC178" s="267"/>
      <c r="CD178" s="267"/>
      <c r="CE178" s="267"/>
      <c r="CF178" s="267"/>
      <c r="CG178" s="267"/>
      <c r="CH178" s="267"/>
      <c r="CI178" s="267"/>
      <c r="CJ178" s="267"/>
      <c r="CK178" s="267"/>
      <c r="CL178" s="267"/>
      <c r="CM178" s="267"/>
      <c r="CN178" s="101">
        <f t="shared" ref="CN178:CN209" si="13">SUM(BU178:BY178)</f>
        <v>0</v>
      </c>
      <c r="CO178" s="101">
        <f t="shared" ref="CO178:CO209" si="14">SUM(BU178:CD178)</f>
        <v>0</v>
      </c>
    </row>
    <row r="179" spans="1:93" ht="13.9" customHeight="1" x14ac:dyDescent="0.2">
      <c r="A179" s="149">
        <v>322</v>
      </c>
      <c r="B179" s="150" t="s">
        <v>323</v>
      </c>
      <c r="C179" s="150" t="s">
        <v>780</v>
      </c>
      <c r="D179" s="150" t="s">
        <v>781</v>
      </c>
      <c r="E179" s="150" t="s">
        <v>784</v>
      </c>
      <c r="F179" s="149">
        <v>527020</v>
      </c>
      <c r="G179" s="149">
        <v>176330</v>
      </c>
      <c r="H179" s="150" t="s">
        <v>170</v>
      </c>
      <c r="I179" s="151">
        <v>45111</v>
      </c>
      <c r="J179" s="151">
        <v>45111</v>
      </c>
      <c r="K179" s="149">
        <v>8</v>
      </c>
      <c r="L179" s="149">
        <v>3</v>
      </c>
      <c r="M179" s="149">
        <v>-5</v>
      </c>
      <c r="N179" s="149">
        <v>71</v>
      </c>
      <c r="O179" s="149">
        <v>0</v>
      </c>
      <c r="P179" s="152" t="s">
        <v>327</v>
      </c>
      <c r="Q179" s="150" t="s">
        <v>783</v>
      </c>
      <c r="R179" s="150" t="s">
        <v>388</v>
      </c>
      <c r="S179" s="151">
        <v>45020</v>
      </c>
      <c r="T179" s="151">
        <v>45111</v>
      </c>
      <c r="U179" s="152" t="s">
        <v>327</v>
      </c>
      <c r="V179" s="150" t="s">
        <v>330</v>
      </c>
      <c r="W179" s="151"/>
      <c r="X179" s="150" t="s">
        <v>331</v>
      </c>
      <c r="Y179" s="150" t="s">
        <v>343</v>
      </c>
      <c r="Z179" s="150" t="s">
        <v>343</v>
      </c>
      <c r="AA179" s="150" t="s">
        <v>334</v>
      </c>
      <c r="AB179" s="153">
        <v>1.2E-2</v>
      </c>
      <c r="AC179" s="151">
        <v>45111</v>
      </c>
      <c r="AD179" s="152" t="s">
        <v>327</v>
      </c>
      <c r="AE179" s="151">
        <v>45111</v>
      </c>
      <c r="AF179" s="150" t="s">
        <v>48</v>
      </c>
      <c r="AG179" s="152" t="s">
        <v>785</v>
      </c>
      <c r="AH179" s="150" t="s">
        <v>326</v>
      </c>
      <c r="AI179" s="99"/>
      <c r="AJ179" s="149"/>
      <c r="AK179" s="99"/>
      <c r="AL179" s="149"/>
      <c r="AM179" s="99"/>
      <c r="AN179" s="149">
        <v>0</v>
      </c>
      <c r="AO179" s="149">
        <v>0</v>
      </c>
      <c r="AP179" s="149">
        <v>2</v>
      </c>
      <c r="AQ179" s="149">
        <v>1</v>
      </c>
      <c r="AR179" s="149">
        <v>0</v>
      </c>
      <c r="AS179" s="149">
        <v>0</v>
      </c>
      <c r="AT179" s="149">
        <v>-8</v>
      </c>
      <c r="AU179" s="149">
        <v>0</v>
      </c>
      <c r="AV179" s="149">
        <v>0</v>
      </c>
      <c r="AW179" s="149">
        <v>2</v>
      </c>
      <c r="AX179" s="149">
        <v>1</v>
      </c>
      <c r="AY179" s="149">
        <v>0</v>
      </c>
      <c r="AZ179" s="149">
        <v>0</v>
      </c>
      <c r="BA179" s="149">
        <v>-8</v>
      </c>
      <c r="BB179" s="149">
        <v>0</v>
      </c>
      <c r="BC179" s="149">
        <v>0</v>
      </c>
      <c r="BD179" s="149">
        <v>0</v>
      </c>
      <c r="BE179" s="149">
        <v>0</v>
      </c>
      <c r="BF179" s="149">
        <v>0</v>
      </c>
      <c r="BG179" s="149">
        <v>0</v>
      </c>
      <c r="BH179" s="149">
        <v>0</v>
      </c>
      <c r="BI179" s="149">
        <v>0</v>
      </c>
      <c r="BJ179" s="149">
        <v>0</v>
      </c>
      <c r="BK179" s="149">
        <v>0</v>
      </c>
      <c r="BL179" s="149">
        <v>0</v>
      </c>
      <c r="BM179" s="149">
        <v>0</v>
      </c>
      <c r="BN179" s="149">
        <v>0</v>
      </c>
      <c r="BO179" s="149">
        <v>0</v>
      </c>
      <c r="BP179" s="152"/>
      <c r="BQ179" s="152"/>
      <c r="BR179" s="154" t="s">
        <v>359</v>
      </c>
      <c r="BS179" s="136">
        <v>1</v>
      </c>
      <c r="BT179" s="267">
        <f t="shared" si="12"/>
        <v>-5</v>
      </c>
      <c r="BU179" s="267"/>
      <c r="BV179" s="267"/>
      <c r="BW179" s="267"/>
      <c r="BX179" s="267"/>
      <c r="BY179" s="267"/>
      <c r="BZ179" s="267"/>
      <c r="CA179" s="267"/>
      <c r="CB179" s="267"/>
      <c r="CC179" s="267"/>
      <c r="CD179" s="267"/>
      <c r="CE179" s="267"/>
      <c r="CF179" s="267"/>
      <c r="CG179" s="267"/>
      <c r="CH179" s="267"/>
      <c r="CI179" s="267"/>
      <c r="CJ179" s="267"/>
      <c r="CK179" s="267"/>
      <c r="CL179" s="267"/>
      <c r="CM179" s="267"/>
      <c r="CN179" s="101">
        <f t="shared" si="13"/>
        <v>0</v>
      </c>
      <c r="CO179" s="101">
        <f t="shared" si="14"/>
        <v>0</v>
      </c>
    </row>
    <row r="180" spans="1:93" ht="13.9" customHeight="1" x14ac:dyDescent="0.2">
      <c r="A180" s="149">
        <v>7976</v>
      </c>
      <c r="B180" s="150" t="s">
        <v>323</v>
      </c>
      <c r="C180" s="150" t="s">
        <v>786</v>
      </c>
      <c r="D180" s="150" t="s">
        <v>787</v>
      </c>
      <c r="E180" s="150" t="s">
        <v>326</v>
      </c>
      <c r="F180" s="149">
        <v>526142</v>
      </c>
      <c r="G180" s="149">
        <v>172566</v>
      </c>
      <c r="H180" s="150" t="s">
        <v>176</v>
      </c>
      <c r="I180" s="151">
        <v>45089</v>
      </c>
      <c r="J180" s="151">
        <v>45089</v>
      </c>
      <c r="K180" s="149">
        <v>0</v>
      </c>
      <c r="L180" s="149">
        <v>1</v>
      </c>
      <c r="M180" s="149">
        <v>1</v>
      </c>
      <c r="N180" s="149">
        <v>1</v>
      </c>
      <c r="O180" s="149">
        <v>1</v>
      </c>
      <c r="P180" s="152"/>
      <c r="Q180" s="150" t="s">
        <v>788</v>
      </c>
      <c r="R180" s="150" t="s">
        <v>349</v>
      </c>
      <c r="S180" s="151">
        <v>45033</v>
      </c>
      <c r="T180" s="151">
        <v>45089</v>
      </c>
      <c r="U180" s="152" t="s">
        <v>327</v>
      </c>
      <c r="V180" s="150" t="s">
        <v>330</v>
      </c>
      <c r="W180" s="151"/>
      <c r="X180" s="150" t="s">
        <v>331</v>
      </c>
      <c r="Y180" s="150" t="s">
        <v>343</v>
      </c>
      <c r="Z180" s="150" t="s">
        <v>334</v>
      </c>
      <c r="AA180" s="150" t="s">
        <v>363</v>
      </c>
      <c r="AB180" s="153">
        <v>3.3E-3</v>
      </c>
      <c r="AC180" s="151">
        <v>45089</v>
      </c>
      <c r="AD180" s="152" t="s">
        <v>327</v>
      </c>
      <c r="AE180" s="151">
        <v>45089</v>
      </c>
      <c r="AF180" s="150" t="s">
        <v>70</v>
      </c>
      <c r="AG180" s="152" t="s">
        <v>352</v>
      </c>
      <c r="AH180" s="150" t="s">
        <v>326</v>
      </c>
      <c r="AI180" s="99"/>
      <c r="AJ180" s="149"/>
      <c r="AK180" s="99"/>
      <c r="AL180" s="149"/>
      <c r="AM180" s="99"/>
      <c r="AN180" s="149">
        <v>0</v>
      </c>
      <c r="AO180" s="149">
        <v>1</v>
      </c>
      <c r="AP180" s="149">
        <v>0</v>
      </c>
      <c r="AQ180" s="149">
        <v>0</v>
      </c>
      <c r="AR180" s="149">
        <v>0</v>
      </c>
      <c r="AS180" s="149">
        <v>0</v>
      </c>
      <c r="AT180" s="149">
        <v>0</v>
      </c>
      <c r="AU180" s="149">
        <v>0</v>
      </c>
      <c r="AV180" s="149">
        <v>0</v>
      </c>
      <c r="AW180" s="149">
        <v>0</v>
      </c>
      <c r="AX180" s="149">
        <v>0</v>
      </c>
      <c r="AY180" s="149">
        <v>0</v>
      </c>
      <c r="AZ180" s="149">
        <v>0</v>
      </c>
      <c r="BA180" s="149">
        <v>0</v>
      </c>
      <c r="BB180" s="149">
        <v>0</v>
      </c>
      <c r="BC180" s="149">
        <v>1</v>
      </c>
      <c r="BD180" s="149">
        <v>0</v>
      </c>
      <c r="BE180" s="149">
        <v>0</v>
      </c>
      <c r="BF180" s="149">
        <v>0</v>
      </c>
      <c r="BG180" s="149">
        <v>0</v>
      </c>
      <c r="BH180" s="149">
        <v>0</v>
      </c>
      <c r="BI180" s="149">
        <v>0</v>
      </c>
      <c r="BJ180" s="149">
        <v>0</v>
      </c>
      <c r="BK180" s="149">
        <v>0</v>
      </c>
      <c r="BL180" s="149">
        <v>0</v>
      </c>
      <c r="BM180" s="149">
        <v>0</v>
      </c>
      <c r="BN180" s="149">
        <v>0</v>
      </c>
      <c r="BO180" s="149">
        <v>0</v>
      </c>
      <c r="BP180" s="152"/>
      <c r="BQ180" s="152"/>
      <c r="BR180" s="154" t="s">
        <v>151</v>
      </c>
      <c r="BS180" s="136">
        <v>1</v>
      </c>
      <c r="BT180" s="267">
        <f t="shared" si="12"/>
        <v>1</v>
      </c>
      <c r="BU180" s="267"/>
      <c r="BV180" s="267"/>
      <c r="BW180" s="267"/>
      <c r="BX180" s="267"/>
      <c r="BY180" s="267"/>
      <c r="BZ180" s="267"/>
      <c r="CA180" s="267"/>
      <c r="CB180" s="267"/>
      <c r="CC180" s="267"/>
      <c r="CD180" s="267"/>
      <c r="CE180" s="267"/>
      <c r="CF180" s="267"/>
      <c r="CG180" s="267"/>
      <c r="CH180" s="267"/>
      <c r="CI180" s="267"/>
      <c r="CJ180" s="267"/>
      <c r="CK180" s="267"/>
      <c r="CL180" s="267"/>
      <c r="CM180" s="267"/>
      <c r="CN180" s="101">
        <f t="shared" si="13"/>
        <v>0</v>
      </c>
      <c r="CO180" s="101">
        <f t="shared" si="14"/>
        <v>0</v>
      </c>
    </row>
    <row r="181" spans="1:93" ht="13.9" customHeight="1" x14ac:dyDescent="0.2">
      <c r="A181" s="149">
        <v>4538</v>
      </c>
      <c r="B181" s="150" t="s">
        <v>323</v>
      </c>
      <c r="C181" s="150" t="s">
        <v>789</v>
      </c>
      <c r="D181" s="150" t="s">
        <v>790</v>
      </c>
      <c r="E181" s="150" t="s">
        <v>326</v>
      </c>
      <c r="F181" s="149">
        <v>526439</v>
      </c>
      <c r="G181" s="149">
        <v>175756</v>
      </c>
      <c r="H181" s="150" t="s">
        <v>170</v>
      </c>
      <c r="I181" s="151">
        <v>45105</v>
      </c>
      <c r="J181" s="151">
        <v>45105</v>
      </c>
      <c r="K181" s="149">
        <v>1</v>
      </c>
      <c r="L181" s="149">
        <v>1</v>
      </c>
      <c r="M181" s="149">
        <v>0</v>
      </c>
      <c r="N181" s="149">
        <v>1</v>
      </c>
      <c r="O181" s="149">
        <v>0</v>
      </c>
      <c r="P181" s="152"/>
      <c r="Q181" s="150" t="s">
        <v>791</v>
      </c>
      <c r="R181" s="150" t="s">
        <v>765</v>
      </c>
      <c r="S181" s="151">
        <v>45035</v>
      </c>
      <c r="T181" s="151">
        <v>45105</v>
      </c>
      <c r="U181" s="152" t="s">
        <v>327</v>
      </c>
      <c r="V181" s="150" t="s">
        <v>330</v>
      </c>
      <c r="W181" s="151"/>
      <c r="X181" s="150" t="s">
        <v>331</v>
      </c>
      <c r="Y181" s="150" t="s">
        <v>350</v>
      </c>
      <c r="Z181" s="150" t="s">
        <v>334</v>
      </c>
      <c r="AA181" s="150" t="s">
        <v>32</v>
      </c>
      <c r="AB181" s="153">
        <v>1.1900000000000001E-2</v>
      </c>
      <c r="AC181" s="151">
        <v>45105</v>
      </c>
      <c r="AD181" s="152" t="s">
        <v>327</v>
      </c>
      <c r="AE181" s="151">
        <v>45105</v>
      </c>
      <c r="AF181" s="150" t="s">
        <v>70</v>
      </c>
      <c r="AG181" s="152" t="s">
        <v>352</v>
      </c>
      <c r="AH181" s="150" t="s">
        <v>792</v>
      </c>
      <c r="AI181" s="99"/>
      <c r="AJ181" s="149"/>
      <c r="AK181" s="99"/>
      <c r="AL181" s="149"/>
      <c r="AM181" s="99"/>
      <c r="AN181" s="149">
        <v>0</v>
      </c>
      <c r="AO181" s="149">
        <v>0</v>
      </c>
      <c r="AP181" s="149">
        <v>0</v>
      </c>
      <c r="AQ181" s="149">
        <v>0</v>
      </c>
      <c r="AR181" s="149">
        <v>0</v>
      </c>
      <c r="AS181" s="149">
        <v>1</v>
      </c>
      <c r="AT181" s="149">
        <v>-1</v>
      </c>
      <c r="AU181" s="149">
        <v>0</v>
      </c>
      <c r="AV181" s="149">
        <v>0</v>
      </c>
      <c r="AW181" s="149">
        <v>0</v>
      </c>
      <c r="AX181" s="149">
        <v>0</v>
      </c>
      <c r="AY181" s="149">
        <v>0</v>
      </c>
      <c r="AZ181" s="149">
        <v>0</v>
      </c>
      <c r="BA181" s="149">
        <v>0</v>
      </c>
      <c r="BB181" s="149">
        <v>0</v>
      </c>
      <c r="BC181" s="149">
        <v>0</v>
      </c>
      <c r="BD181" s="149">
        <v>0</v>
      </c>
      <c r="BE181" s="149">
        <v>0</v>
      </c>
      <c r="BF181" s="149">
        <v>0</v>
      </c>
      <c r="BG181" s="149">
        <v>1</v>
      </c>
      <c r="BH181" s="149">
        <v>0</v>
      </c>
      <c r="BI181" s="149">
        <v>0</v>
      </c>
      <c r="BJ181" s="149">
        <v>0</v>
      </c>
      <c r="BK181" s="149">
        <v>0</v>
      </c>
      <c r="BL181" s="149">
        <v>0</v>
      </c>
      <c r="BM181" s="149">
        <v>0</v>
      </c>
      <c r="BN181" s="149">
        <v>0</v>
      </c>
      <c r="BO181" s="149">
        <v>-1</v>
      </c>
      <c r="BP181" s="152"/>
      <c r="BQ181" s="152"/>
      <c r="BR181" s="154" t="s">
        <v>408</v>
      </c>
      <c r="BS181" s="136">
        <v>11</v>
      </c>
      <c r="BT181" s="267">
        <f t="shared" si="12"/>
        <v>0</v>
      </c>
      <c r="BU181" s="267"/>
      <c r="BV181" s="267"/>
      <c r="BW181" s="267"/>
      <c r="BX181" s="267"/>
      <c r="BY181" s="267"/>
      <c r="BZ181" s="267"/>
      <c r="CA181" s="267"/>
      <c r="CB181" s="267"/>
      <c r="CC181" s="267"/>
      <c r="CD181" s="267"/>
      <c r="CE181" s="267"/>
      <c r="CF181" s="267"/>
      <c r="CG181" s="267"/>
      <c r="CH181" s="267"/>
      <c r="CI181" s="267"/>
      <c r="CJ181" s="267"/>
      <c r="CK181" s="267"/>
      <c r="CL181" s="267"/>
      <c r="CM181" s="267"/>
      <c r="CN181" s="101">
        <f t="shared" si="13"/>
        <v>0</v>
      </c>
      <c r="CO181" s="101">
        <f t="shared" si="14"/>
        <v>0</v>
      </c>
    </row>
    <row r="182" spans="1:93" ht="13.9" customHeight="1" x14ac:dyDescent="0.2">
      <c r="A182" s="149">
        <v>786</v>
      </c>
      <c r="B182" s="150" t="s">
        <v>323</v>
      </c>
      <c r="C182" s="150" t="s">
        <v>793</v>
      </c>
      <c r="D182" s="150" t="s">
        <v>794</v>
      </c>
      <c r="E182" s="150" t="s">
        <v>326</v>
      </c>
      <c r="F182" s="149">
        <v>529441</v>
      </c>
      <c r="G182" s="149">
        <v>171210</v>
      </c>
      <c r="H182" s="150" t="s">
        <v>163</v>
      </c>
      <c r="I182" s="151">
        <v>45092</v>
      </c>
      <c r="J182" s="151">
        <v>45092</v>
      </c>
      <c r="K182" s="149">
        <v>0</v>
      </c>
      <c r="L182" s="149">
        <v>1</v>
      </c>
      <c r="M182" s="149">
        <v>1</v>
      </c>
      <c r="N182" s="149">
        <v>1</v>
      </c>
      <c r="O182" s="149">
        <v>1</v>
      </c>
      <c r="P182" s="152"/>
      <c r="Q182" s="150" t="s">
        <v>795</v>
      </c>
      <c r="R182" s="150" t="s">
        <v>765</v>
      </c>
      <c r="S182" s="151">
        <v>45037</v>
      </c>
      <c r="T182" s="151">
        <v>45092</v>
      </c>
      <c r="U182" s="152" t="s">
        <v>327</v>
      </c>
      <c r="V182" s="150" t="s">
        <v>330</v>
      </c>
      <c r="W182" s="151"/>
      <c r="X182" s="150" t="s">
        <v>331</v>
      </c>
      <c r="Y182" s="150" t="s">
        <v>491</v>
      </c>
      <c r="Z182" s="150" t="s">
        <v>334</v>
      </c>
      <c r="AA182" s="150" t="s">
        <v>413</v>
      </c>
      <c r="AB182" s="153">
        <v>3.3999999999999998E-3</v>
      </c>
      <c r="AC182" s="151">
        <v>45092</v>
      </c>
      <c r="AD182" s="152" t="s">
        <v>327</v>
      </c>
      <c r="AE182" s="151">
        <v>45092</v>
      </c>
      <c r="AF182" s="150" t="s">
        <v>70</v>
      </c>
      <c r="AG182" s="152" t="s">
        <v>352</v>
      </c>
      <c r="AH182" s="150" t="s">
        <v>326</v>
      </c>
      <c r="AI182" s="99"/>
      <c r="AJ182" s="149"/>
      <c r="AK182" s="99"/>
      <c r="AL182" s="149"/>
      <c r="AM182" s="99"/>
      <c r="AN182" s="149">
        <v>1</v>
      </c>
      <c r="AO182" s="149">
        <v>0</v>
      </c>
      <c r="AP182" s="149">
        <v>0</v>
      </c>
      <c r="AQ182" s="149">
        <v>0</v>
      </c>
      <c r="AR182" s="149">
        <v>0</v>
      </c>
      <c r="AS182" s="149">
        <v>0</v>
      </c>
      <c r="AT182" s="149">
        <v>0</v>
      </c>
      <c r="AU182" s="149">
        <v>1</v>
      </c>
      <c r="AV182" s="149">
        <v>0</v>
      </c>
      <c r="AW182" s="149">
        <v>0</v>
      </c>
      <c r="AX182" s="149">
        <v>0</v>
      </c>
      <c r="AY182" s="149">
        <v>0</v>
      </c>
      <c r="AZ182" s="149">
        <v>0</v>
      </c>
      <c r="BA182" s="149">
        <v>0</v>
      </c>
      <c r="BB182" s="149">
        <v>0</v>
      </c>
      <c r="BC182" s="149">
        <v>0</v>
      </c>
      <c r="BD182" s="149">
        <v>0</v>
      </c>
      <c r="BE182" s="149">
        <v>0</v>
      </c>
      <c r="BF182" s="149">
        <v>0</v>
      </c>
      <c r="BG182" s="149">
        <v>0</v>
      </c>
      <c r="BH182" s="149">
        <v>0</v>
      </c>
      <c r="BI182" s="149">
        <v>0</v>
      </c>
      <c r="BJ182" s="149">
        <v>0</v>
      </c>
      <c r="BK182" s="149">
        <v>0</v>
      </c>
      <c r="BL182" s="149">
        <v>0</v>
      </c>
      <c r="BM182" s="149">
        <v>0</v>
      </c>
      <c r="BN182" s="149">
        <v>0</v>
      </c>
      <c r="BO182" s="149">
        <v>0</v>
      </c>
      <c r="BP182" s="152"/>
      <c r="BQ182" s="152"/>
      <c r="BR182" s="154" t="s">
        <v>359</v>
      </c>
      <c r="BS182" s="136">
        <v>11</v>
      </c>
      <c r="BT182" s="267">
        <f t="shared" si="12"/>
        <v>1</v>
      </c>
      <c r="BU182" s="267"/>
      <c r="BV182" s="267"/>
      <c r="BW182" s="267"/>
      <c r="BX182" s="267"/>
      <c r="BY182" s="267"/>
      <c r="BZ182" s="267"/>
      <c r="CA182" s="267"/>
      <c r="CB182" s="267"/>
      <c r="CC182" s="267"/>
      <c r="CD182" s="267"/>
      <c r="CE182" s="267"/>
      <c r="CF182" s="267"/>
      <c r="CG182" s="267"/>
      <c r="CH182" s="267"/>
      <c r="CI182" s="267"/>
      <c r="CJ182" s="267"/>
      <c r="CK182" s="267"/>
      <c r="CL182" s="267"/>
      <c r="CM182" s="267"/>
      <c r="CN182" s="101">
        <f t="shared" si="13"/>
        <v>0</v>
      </c>
      <c r="CO182" s="101">
        <f t="shared" si="14"/>
        <v>0</v>
      </c>
    </row>
    <row r="183" spans="1:93" ht="13.9" customHeight="1" x14ac:dyDescent="0.2">
      <c r="A183" s="149">
        <v>7977</v>
      </c>
      <c r="B183" s="150" t="s">
        <v>323</v>
      </c>
      <c r="C183" s="150" t="s">
        <v>796</v>
      </c>
      <c r="D183" s="150" t="s">
        <v>797</v>
      </c>
      <c r="E183" s="150" t="s">
        <v>326</v>
      </c>
      <c r="F183" s="149">
        <v>523507</v>
      </c>
      <c r="G183" s="149">
        <v>176038</v>
      </c>
      <c r="H183" s="150" t="s">
        <v>171</v>
      </c>
      <c r="I183" s="151">
        <v>45119</v>
      </c>
      <c r="J183" s="151">
        <v>45119</v>
      </c>
      <c r="K183" s="149">
        <v>1</v>
      </c>
      <c r="L183" s="149">
        <v>2</v>
      </c>
      <c r="M183" s="149">
        <v>1</v>
      </c>
      <c r="N183" s="149">
        <v>2</v>
      </c>
      <c r="O183" s="149">
        <v>1</v>
      </c>
      <c r="P183" s="152"/>
      <c r="Q183" s="150" t="s">
        <v>798</v>
      </c>
      <c r="R183" s="150" t="s">
        <v>765</v>
      </c>
      <c r="S183" s="151">
        <v>45044</v>
      </c>
      <c r="T183" s="151">
        <v>45119</v>
      </c>
      <c r="U183" s="152" t="s">
        <v>327</v>
      </c>
      <c r="V183" s="150" t="s">
        <v>330</v>
      </c>
      <c r="W183" s="151"/>
      <c r="X183" s="150" t="s">
        <v>331</v>
      </c>
      <c r="Y183" s="150" t="s">
        <v>350</v>
      </c>
      <c r="Z183" s="150" t="s">
        <v>334</v>
      </c>
      <c r="AA183" s="150" t="s">
        <v>16</v>
      </c>
      <c r="AB183" s="153">
        <v>6.45E-3</v>
      </c>
      <c r="AC183" s="151">
        <v>45119</v>
      </c>
      <c r="AD183" s="152" t="s">
        <v>327</v>
      </c>
      <c r="AE183" s="151">
        <v>45119</v>
      </c>
      <c r="AF183" s="150" t="s">
        <v>70</v>
      </c>
      <c r="AG183" s="152" t="s">
        <v>337</v>
      </c>
      <c r="AH183" s="150" t="s">
        <v>326</v>
      </c>
      <c r="AI183" s="99"/>
      <c r="AJ183" s="149"/>
      <c r="AK183" s="99"/>
      <c r="AL183" s="149"/>
      <c r="AM183" s="99"/>
      <c r="AN183" s="149">
        <v>0</v>
      </c>
      <c r="AO183" s="149">
        <v>0</v>
      </c>
      <c r="AP183" s="149">
        <v>1</v>
      </c>
      <c r="AQ183" s="149">
        <v>1</v>
      </c>
      <c r="AR183" s="149">
        <v>-1</v>
      </c>
      <c r="AS183" s="149">
        <v>0</v>
      </c>
      <c r="AT183" s="149">
        <v>0</v>
      </c>
      <c r="AU183" s="149">
        <v>0</v>
      </c>
      <c r="AV183" s="149">
        <v>0</v>
      </c>
      <c r="AW183" s="149">
        <v>1</v>
      </c>
      <c r="AX183" s="149">
        <v>1</v>
      </c>
      <c r="AY183" s="149">
        <v>0</v>
      </c>
      <c r="AZ183" s="149">
        <v>0</v>
      </c>
      <c r="BA183" s="149">
        <v>0</v>
      </c>
      <c r="BB183" s="149">
        <v>0</v>
      </c>
      <c r="BC183" s="149">
        <v>0</v>
      </c>
      <c r="BD183" s="149">
        <v>0</v>
      </c>
      <c r="BE183" s="149">
        <v>0</v>
      </c>
      <c r="BF183" s="149">
        <v>-1</v>
      </c>
      <c r="BG183" s="149">
        <v>0</v>
      </c>
      <c r="BH183" s="149">
        <v>0</v>
      </c>
      <c r="BI183" s="149">
        <v>0</v>
      </c>
      <c r="BJ183" s="149">
        <v>0</v>
      </c>
      <c r="BK183" s="149">
        <v>0</v>
      </c>
      <c r="BL183" s="149">
        <v>0</v>
      </c>
      <c r="BM183" s="149">
        <v>0</v>
      </c>
      <c r="BN183" s="149">
        <v>0</v>
      </c>
      <c r="BO183" s="149">
        <v>0</v>
      </c>
      <c r="BP183" s="152"/>
      <c r="BQ183" s="152"/>
      <c r="BR183" s="154" t="s">
        <v>408</v>
      </c>
      <c r="BS183" s="136">
        <v>11</v>
      </c>
      <c r="BT183" s="267">
        <f t="shared" si="12"/>
        <v>1</v>
      </c>
      <c r="BU183" s="267"/>
      <c r="BV183" s="267"/>
      <c r="BW183" s="267"/>
      <c r="BX183" s="267"/>
      <c r="BY183" s="267"/>
      <c r="BZ183" s="267"/>
      <c r="CA183" s="267"/>
      <c r="CB183" s="267"/>
      <c r="CC183" s="267"/>
      <c r="CD183" s="267"/>
      <c r="CE183" s="267"/>
      <c r="CF183" s="267"/>
      <c r="CG183" s="267"/>
      <c r="CH183" s="267"/>
      <c r="CI183" s="267"/>
      <c r="CJ183" s="267"/>
      <c r="CK183" s="267"/>
      <c r="CL183" s="267"/>
      <c r="CM183" s="267"/>
      <c r="CN183" s="101">
        <f t="shared" si="13"/>
        <v>0</v>
      </c>
      <c r="CO183" s="101">
        <f t="shared" si="14"/>
        <v>0</v>
      </c>
    </row>
    <row r="184" spans="1:93" ht="13.9" customHeight="1" x14ac:dyDescent="0.2">
      <c r="A184" s="149">
        <v>7988</v>
      </c>
      <c r="B184" s="150" t="s">
        <v>323</v>
      </c>
      <c r="C184" s="150" t="s">
        <v>799</v>
      </c>
      <c r="D184" s="150" t="s">
        <v>800</v>
      </c>
      <c r="E184" s="150" t="s">
        <v>326</v>
      </c>
      <c r="F184" s="149">
        <v>525016</v>
      </c>
      <c r="G184" s="149">
        <v>173968</v>
      </c>
      <c r="H184" s="150" t="s">
        <v>161</v>
      </c>
      <c r="I184" s="151">
        <v>45162</v>
      </c>
      <c r="J184" s="151">
        <v>45260</v>
      </c>
      <c r="K184" s="149">
        <v>2</v>
      </c>
      <c r="L184" s="149">
        <v>1</v>
      </c>
      <c r="M184" s="149">
        <v>-1</v>
      </c>
      <c r="N184" s="149">
        <v>1</v>
      </c>
      <c r="O184" s="149">
        <v>-1</v>
      </c>
      <c r="P184" s="152"/>
      <c r="Q184" s="150" t="s">
        <v>801</v>
      </c>
      <c r="R184" s="150" t="s">
        <v>349</v>
      </c>
      <c r="S184" s="151">
        <v>45058</v>
      </c>
      <c r="T184" s="151">
        <v>45162</v>
      </c>
      <c r="U184" s="152" t="s">
        <v>327</v>
      </c>
      <c r="V184" s="150" t="s">
        <v>330</v>
      </c>
      <c r="W184" s="151"/>
      <c r="X184" s="150" t="s">
        <v>331</v>
      </c>
      <c r="Y184" s="150" t="s">
        <v>350</v>
      </c>
      <c r="Z184" s="150" t="s">
        <v>334</v>
      </c>
      <c r="AA184" s="150" t="s">
        <v>18</v>
      </c>
      <c r="AB184" s="153">
        <v>0.01</v>
      </c>
      <c r="AC184" s="151">
        <v>45162</v>
      </c>
      <c r="AD184" s="152" t="s">
        <v>327</v>
      </c>
      <c r="AE184" s="151">
        <v>45260</v>
      </c>
      <c r="AF184" s="150" t="s">
        <v>70</v>
      </c>
      <c r="AG184" s="152" t="s">
        <v>352</v>
      </c>
      <c r="AH184" s="150" t="s">
        <v>326</v>
      </c>
      <c r="AI184" s="99"/>
      <c r="AJ184" s="149"/>
      <c r="AK184" s="99"/>
      <c r="AL184" s="149"/>
      <c r="AM184" s="99"/>
      <c r="AN184" s="149">
        <v>0</v>
      </c>
      <c r="AO184" s="149">
        <v>-1</v>
      </c>
      <c r="AP184" s="149">
        <v>-1</v>
      </c>
      <c r="AQ184" s="149">
        <v>1</v>
      </c>
      <c r="AR184" s="149">
        <v>0</v>
      </c>
      <c r="AS184" s="149">
        <v>0</v>
      </c>
      <c r="AT184" s="149">
        <v>0</v>
      </c>
      <c r="AU184" s="149">
        <v>0</v>
      </c>
      <c r="AV184" s="149">
        <v>0</v>
      </c>
      <c r="AW184" s="149">
        <v>0</v>
      </c>
      <c r="AX184" s="149">
        <v>0</v>
      </c>
      <c r="AY184" s="149">
        <v>0</v>
      </c>
      <c r="AZ184" s="149">
        <v>0</v>
      </c>
      <c r="BA184" s="149">
        <v>0</v>
      </c>
      <c r="BB184" s="149">
        <v>0</v>
      </c>
      <c r="BC184" s="149">
        <v>-1</v>
      </c>
      <c r="BD184" s="149">
        <v>-1</v>
      </c>
      <c r="BE184" s="149">
        <v>1</v>
      </c>
      <c r="BF184" s="149">
        <v>0</v>
      </c>
      <c r="BG184" s="149">
        <v>0</v>
      </c>
      <c r="BH184" s="149">
        <v>0</v>
      </c>
      <c r="BI184" s="149">
        <v>0</v>
      </c>
      <c r="BJ184" s="149">
        <v>0</v>
      </c>
      <c r="BK184" s="149">
        <v>0</v>
      </c>
      <c r="BL184" s="149">
        <v>0</v>
      </c>
      <c r="BM184" s="149">
        <v>0</v>
      </c>
      <c r="BN184" s="149">
        <v>0</v>
      </c>
      <c r="BO184" s="149">
        <v>0</v>
      </c>
      <c r="BP184" s="152"/>
      <c r="BQ184" s="152"/>
      <c r="BR184" s="154" t="s">
        <v>359</v>
      </c>
      <c r="BS184" s="136">
        <v>11</v>
      </c>
      <c r="BT184" s="267">
        <f t="shared" si="12"/>
        <v>-1</v>
      </c>
      <c r="BU184" s="267"/>
      <c r="BV184" s="267"/>
      <c r="BW184" s="267"/>
      <c r="BX184" s="267"/>
      <c r="BY184" s="267"/>
      <c r="BZ184" s="267"/>
      <c r="CA184" s="267"/>
      <c r="CB184" s="267"/>
      <c r="CC184" s="267"/>
      <c r="CD184" s="267"/>
      <c r="CE184" s="267"/>
      <c r="CF184" s="267"/>
      <c r="CG184" s="267"/>
      <c r="CH184" s="267"/>
      <c r="CI184" s="267"/>
      <c r="CJ184" s="267"/>
      <c r="CK184" s="267"/>
      <c r="CL184" s="267"/>
      <c r="CM184" s="267"/>
      <c r="CN184" s="101">
        <f t="shared" si="13"/>
        <v>0</v>
      </c>
      <c r="CO184" s="101">
        <f t="shared" si="14"/>
        <v>0</v>
      </c>
    </row>
    <row r="185" spans="1:93" ht="13.9" customHeight="1" x14ac:dyDescent="0.2">
      <c r="A185" s="149">
        <v>7995</v>
      </c>
      <c r="B185" s="150" t="s">
        <v>323</v>
      </c>
      <c r="C185" s="150" t="s">
        <v>802</v>
      </c>
      <c r="D185" s="150" t="s">
        <v>803</v>
      </c>
      <c r="E185" s="150" t="s">
        <v>326</v>
      </c>
      <c r="F185" s="149">
        <v>527837</v>
      </c>
      <c r="G185" s="149">
        <v>174319</v>
      </c>
      <c r="H185" s="150" t="s">
        <v>165</v>
      </c>
      <c r="I185" s="151">
        <v>45142</v>
      </c>
      <c r="J185" s="151">
        <v>45142</v>
      </c>
      <c r="K185" s="149">
        <v>1</v>
      </c>
      <c r="L185" s="149">
        <v>1</v>
      </c>
      <c r="M185" s="149">
        <v>0</v>
      </c>
      <c r="N185" s="149">
        <v>1</v>
      </c>
      <c r="O185" s="149">
        <v>0</v>
      </c>
      <c r="P185" s="152"/>
      <c r="Q185" s="150" t="s">
        <v>804</v>
      </c>
      <c r="R185" s="150" t="s">
        <v>358</v>
      </c>
      <c r="S185" s="151">
        <v>45086</v>
      </c>
      <c r="T185" s="151">
        <v>45142</v>
      </c>
      <c r="U185" s="152" t="s">
        <v>327</v>
      </c>
      <c r="V185" s="150" t="s">
        <v>330</v>
      </c>
      <c r="W185" s="151"/>
      <c r="X185" s="150" t="s">
        <v>331</v>
      </c>
      <c r="Y185" s="150" t="s">
        <v>350</v>
      </c>
      <c r="Z185" s="150" t="s">
        <v>334</v>
      </c>
      <c r="AA185" s="150" t="s">
        <v>351</v>
      </c>
      <c r="AB185" s="153">
        <v>8.9999999999999993E-3</v>
      </c>
      <c r="AC185" s="151">
        <v>45142</v>
      </c>
      <c r="AD185" s="152" t="s">
        <v>327</v>
      </c>
      <c r="AE185" s="151">
        <v>45142</v>
      </c>
      <c r="AF185" s="150" t="s">
        <v>70</v>
      </c>
      <c r="AG185" s="152" t="s">
        <v>352</v>
      </c>
      <c r="AH185" s="150" t="s">
        <v>326</v>
      </c>
      <c r="AI185" s="99"/>
      <c r="AJ185" s="149"/>
      <c r="AK185" s="99"/>
      <c r="AL185" s="149"/>
      <c r="AM185" s="99"/>
      <c r="AN185" s="149">
        <v>0</v>
      </c>
      <c r="AO185" s="149">
        <v>0</v>
      </c>
      <c r="AP185" s="149">
        <v>0</v>
      </c>
      <c r="AQ185" s="149">
        <v>0</v>
      </c>
      <c r="AR185" s="149">
        <v>1</v>
      </c>
      <c r="AS185" s="149">
        <v>-1</v>
      </c>
      <c r="AT185" s="149">
        <v>0</v>
      </c>
      <c r="AU185" s="149">
        <v>0</v>
      </c>
      <c r="AV185" s="149">
        <v>0</v>
      </c>
      <c r="AW185" s="149">
        <v>0</v>
      </c>
      <c r="AX185" s="149">
        <v>0</v>
      </c>
      <c r="AY185" s="149">
        <v>0</v>
      </c>
      <c r="AZ185" s="149">
        <v>0</v>
      </c>
      <c r="BA185" s="149">
        <v>0</v>
      </c>
      <c r="BB185" s="149">
        <v>0</v>
      </c>
      <c r="BC185" s="149">
        <v>0</v>
      </c>
      <c r="BD185" s="149">
        <v>0</v>
      </c>
      <c r="BE185" s="149">
        <v>0</v>
      </c>
      <c r="BF185" s="149">
        <v>1</v>
      </c>
      <c r="BG185" s="149">
        <v>-1</v>
      </c>
      <c r="BH185" s="149">
        <v>0</v>
      </c>
      <c r="BI185" s="149">
        <v>0</v>
      </c>
      <c r="BJ185" s="149">
        <v>0</v>
      </c>
      <c r="BK185" s="149">
        <v>0</v>
      </c>
      <c r="BL185" s="149">
        <v>0</v>
      </c>
      <c r="BM185" s="149">
        <v>0</v>
      </c>
      <c r="BN185" s="149">
        <v>0</v>
      </c>
      <c r="BO185" s="149">
        <v>0</v>
      </c>
      <c r="BP185" s="152"/>
      <c r="BQ185" s="152"/>
      <c r="BR185" s="154" t="s">
        <v>359</v>
      </c>
      <c r="BS185" s="136">
        <v>11</v>
      </c>
      <c r="BT185" s="267">
        <f t="shared" si="12"/>
        <v>0</v>
      </c>
      <c r="BU185" s="267"/>
      <c r="BV185" s="267"/>
      <c r="BW185" s="267"/>
      <c r="BX185" s="267"/>
      <c r="BY185" s="267"/>
      <c r="BZ185" s="267"/>
      <c r="CA185" s="267"/>
      <c r="CB185" s="267"/>
      <c r="CC185" s="267"/>
      <c r="CD185" s="267"/>
      <c r="CE185" s="267"/>
      <c r="CF185" s="267"/>
      <c r="CG185" s="267"/>
      <c r="CH185" s="267"/>
      <c r="CI185" s="267"/>
      <c r="CJ185" s="267"/>
      <c r="CK185" s="267"/>
      <c r="CL185" s="267"/>
      <c r="CM185" s="267"/>
      <c r="CN185" s="101">
        <f t="shared" si="13"/>
        <v>0</v>
      </c>
      <c r="CO185" s="101">
        <f t="shared" si="14"/>
        <v>0</v>
      </c>
    </row>
    <row r="186" spans="1:93" ht="13.9" customHeight="1" x14ac:dyDescent="0.2">
      <c r="A186" s="149">
        <v>7951</v>
      </c>
      <c r="B186" s="150" t="s">
        <v>323</v>
      </c>
      <c r="C186" s="150" t="s">
        <v>805</v>
      </c>
      <c r="D186" s="150" t="s">
        <v>806</v>
      </c>
      <c r="E186" s="150" t="s">
        <v>326</v>
      </c>
      <c r="F186" s="149">
        <v>528323</v>
      </c>
      <c r="G186" s="149">
        <v>175738</v>
      </c>
      <c r="H186" s="150" t="s">
        <v>167</v>
      </c>
      <c r="I186" s="151">
        <v>45149</v>
      </c>
      <c r="J186" s="151">
        <v>45149</v>
      </c>
      <c r="K186" s="149">
        <v>0</v>
      </c>
      <c r="L186" s="149">
        <v>1</v>
      </c>
      <c r="M186" s="149">
        <v>1</v>
      </c>
      <c r="N186" s="149">
        <v>1</v>
      </c>
      <c r="O186" s="149">
        <v>1</v>
      </c>
      <c r="P186" s="152"/>
      <c r="Q186" s="150" t="s">
        <v>807</v>
      </c>
      <c r="R186" s="150" t="s">
        <v>765</v>
      </c>
      <c r="S186" s="151">
        <v>45096</v>
      </c>
      <c r="T186" s="151">
        <v>45149</v>
      </c>
      <c r="U186" s="152" t="s">
        <v>327</v>
      </c>
      <c r="V186" s="150" t="s">
        <v>330</v>
      </c>
      <c r="W186" s="151"/>
      <c r="X186" s="150" t="s">
        <v>331</v>
      </c>
      <c r="Y186" s="150" t="s">
        <v>350</v>
      </c>
      <c r="Z186" s="150" t="s">
        <v>334</v>
      </c>
      <c r="AA186" s="150" t="s">
        <v>29</v>
      </c>
      <c r="AB186" s="153">
        <v>7.0000000000000001E-3</v>
      </c>
      <c r="AC186" s="151">
        <v>45149</v>
      </c>
      <c r="AD186" s="152" t="s">
        <v>327</v>
      </c>
      <c r="AE186" s="151">
        <v>45149</v>
      </c>
      <c r="AF186" s="150" t="s">
        <v>70</v>
      </c>
      <c r="AG186" s="152" t="s">
        <v>337</v>
      </c>
      <c r="AH186" s="150" t="s">
        <v>326</v>
      </c>
      <c r="AI186" s="99"/>
      <c r="AJ186" s="149"/>
      <c r="AK186" s="99"/>
      <c r="AL186" s="149"/>
      <c r="AM186" s="99"/>
      <c r="AN186" s="149">
        <v>0</v>
      </c>
      <c r="AO186" s="149">
        <v>1</v>
      </c>
      <c r="AP186" s="149">
        <v>0</v>
      </c>
      <c r="AQ186" s="149">
        <v>0</v>
      </c>
      <c r="AR186" s="149">
        <v>0</v>
      </c>
      <c r="AS186" s="149">
        <v>0</v>
      </c>
      <c r="AT186" s="149">
        <v>0</v>
      </c>
      <c r="AU186" s="149">
        <v>0</v>
      </c>
      <c r="AV186" s="149">
        <v>1</v>
      </c>
      <c r="AW186" s="149">
        <v>0</v>
      </c>
      <c r="AX186" s="149">
        <v>0</v>
      </c>
      <c r="AY186" s="149">
        <v>0</v>
      </c>
      <c r="AZ186" s="149">
        <v>0</v>
      </c>
      <c r="BA186" s="149">
        <v>0</v>
      </c>
      <c r="BB186" s="149">
        <v>0</v>
      </c>
      <c r="BC186" s="149">
        <v>0</v>
      </c>
      <c r="BD186" s="149">
        <v>0</v>
      </c>
      <c r="BE186" s="149">
        <v>0</v>
      </c>
      <c r="BF186" s="149">
        <v>0</v>
      </c>
      <c r="BG186" s="149">
        <v>0</v>
      </c>
      <c r="BH186" s="149">
        <v>0</v>
      </c>
      <c r="BI186" s="149">
        <v>0</v>
      </c>
      <c r="BJ186" s="149">
        <v>0</v>
      </c>
      <c r="BK186" s="149">
        <v>0</v>
      </c>
      <c r="BL186" s="149">
        <v>0</v>
      </c>
      <c r="BM186" s="149">
        <v>0</v>
      </c>
      <c r="BN186" s="149">
        <v>0</v>
      </c>
      <c r="BO186" s="149">
        <v>0</v>
      </c>
      <c r="BP186" s="152"/>
      <c r="BQ186" s="152"/>
      <c r="BR186" s="154" t="s">
        <v>359</v>
      </c>
      <c r="BS186" s="136">
        <v>11</v>
      </c>
      <c r="BT186" s="267">
        <f t="shared" si="12"/>
        <v>1</v>
      </c>
      <c r="BU186" s="267"/>
      <c r="BV186" s="267"/>
      <c r="BW186" s="267"/>
      <c r="BX186" s="267"/>
      <c r="BY186" s="267"/>
      <c r="BZ186" s="267"/>
      <c r="CA186" s="267"/>
      <c r="CB186" s="267"/>
      <c r="CC186" s="267"/>
      <c r="CD186" s="267"/>
      <c r="CE186" s="267"/>
      <c r="CF186" s="267"/>
      <c r="CG186" s="267"/>
      <c r="CH186" s="267"/>
      <c r="CI186" s="267"/>
      <c r="CJ186" s="267"/>
      <c r="CK186" s="267"/>
      <c r="CL186" s="267"/>
      <c r="CM186" s="267"/>
      <c r="CN186" s="101">
        <f t="shared" si="13"/>
        <v>0</v>
      </c>
      <c r="CO186" s="101">
        <f t="shared" si="14"/>
        <v>0</v>
      </c>
    </row>
    <row r="187" spans="1:93" ht="13.9" customHeight="1" x14ac:dyDescent="0.2">
      <c r="A187" s="149">
        <v>7941</v>
      </c>
      <c r="B187" s="150" t="s">
        <v>323</v>
      </c>
      <c r="C187" s="150" t="s">
        <v>808</v>
      </c>
      <c r="D187" s="150" t="s">
        <v>809</v>
      </c>
      <c r="E187" s="150" t="s">
        <v>326</v>
      </c>
      <c r="F187" s="149">
        <v>524686</v>
      </c>
      <c r="G187" s="149">
        <v>173123</v>
      </c>
      <c r="H187" s="150" t="s">
        <v>178</v>
      </c>
      <c r="I187" s="151">
        <v>45224</v>
      </c>
      <c r="J187" s="151">
        <v>45340</v>
      </c>
      <c r="K187" s="149">
        <v>2</v>
      </c>
      <c r="L187" s="149">
        <v>1</v>
      </c>
      <c r="M187" s="149">
        <v>-1</v>
      </c>
      <c r="N187" s="149">
        <v>1</v>
      </c>
      <c r="O187" s="149">
        <v>-1</v>
      </c>
      <c r="P187" s="152"/>
      <c r="Q187" s="150" t="s">
        <v>810</v>
      </c>
      <c r="R187" s="150" t="s">
        <v>349</v>
      </c>
      <c r="S187" s="151">
        <v>45113</v>
      </c>
      <c r="T187" s="151">
        <v>45224</v>
      </c>
      <c r="U187" s="152" t="s">
        <v>327</v>
      </c>
      <c r="V187" s="150" t="s">
        <v>330</v>
      </c>
      <c r="W187" s="151"/>
      <c r="X187" s="150" t="s">
        <v>331</v>
      </c>
      <c r="Y187" s="150" t="s">
        <v>350</v>
      </c>
      <c r="Z187" s="150" t="s">
        <v>334</v>
      </c>
      <c r="AA187" s="150" t="s">
        <v>18</v>
      </c>
      <c r="AB187" s="153">
        <v>6.7999999999999996E-3</v>
      </c>
      <c r="AC187" s="151">
        <v>45224</v>
      </c>
      <c r="AD187" s="152" t="s">
        <v>327</v>
      </c>
      <c r="AE187" s="151">
        <v>45340</v>
      </c>
      <c r="AF187" s="150" t="s">
        <v>70</v>
      </c>
      <c r="AG187" s="152" t="s">
        <v>352</v>
      </c>
      <c r="AH187" s="150" t="s">
        <v>326</v>
      </c>
      <c r="AI187" s="99"/>
      <c r="AJ187" s="149"/>
      <c r="AK187" s="99"/>
      <c r="AL187" s="149"/>
      <c r="AM187" s="99"/>
      <c r="AN187" s="149">
        <v>0</v>
      </c>
      <c r="AO187" s="149">
        <v>-1</v>
      </c>
      <c r="AP187" s="149">
        <v>-1</v>
      </c>
      <c r="AQ187" s="149">
        <v>0</v>
      </c>
      <c r="AR187" s="149">
        <v>1</v>
      </c>
      <c r="AS187" s="149">
        <v>0</v>
      </c>
      <c r="AT187" s="149">
        <v>0</v>
      </c>
      <c r="AU187" s="149">
        <v>0</v>
      </c>
      <c r="AV187" s="149">
        <v>-1</v>
      </c>
      <c r="AW187" s="149">
        <v>-1</v>
      </c>
      <c r="AX187" s="149">
        <v>0</v>
      </c>
      <c r="AY187" s="149">
        <v>0</v>
      </c>
      <c r="AZ187" s="149">
        <v>0</v>
      </c>
      <c r="BA187" s="149">
        <v>0</v>
      </c>
      <c r="BB187" s="149">
        <v>0</v>
      </c>
      <c r="BC187" s="149">
        <v>0</v>
      </c>
      <c r="BD187" s="149">
        <v>0</v>
      </c>
      <c r="BE187" s="149">
        <v>0</v>
      </c>
      <c r="BF187" s="149">
        <v>1</v>
      </c>
      <c r="BG187" s="149">
        <v>0</v>
      </c>
      <c r="BH187" s="149">
        <v>0</v>
      </c>
      <c r="BI187" s="149">
        <v>0</v>
      </c>
      <c r="BJ187" s="149">
        <v>0</v>
      </c>
      <c r="BK187" s="149">
        <v>0</v>
      </c>
      <c r="BL187" s="149">
        <v>0</v>
      </c>
      <c r="BM187" s="149">
        <v>0</v>
      </c>
      <c r="BN187" s="149">
        <v>0</v>
      </c>
      <c r="BO187" s="149">
        <v>0</v>
      </c>
      <c r="BP187" s="152"/>
      <c r="BQ187" s="152"/>
      <c r="BR187" s="154" t="s">
        <v>359</v>
      </c>
      <c r="BS187" s="136">
        <v>11</v>
      </c>
      <c r="BT187" s="267">
        <f t="shared" si="12"/>
        <v>-1</v>
      </c>
      <c r="BU187" s="267"/>
      <c r="BV187" s="267"/>
      <c r="BW187" s="267"/>
      <c r="BX187" s="267"/>
      <c r="BY187" s="267"/>
      <c r="BZ187" s="267"/>
      <c r="CA187" s="267"/>
      <c r="CB187" s="267"/>
      <c r="CC187" s="267"/>
      <c r="CD187" s="267"/>
      <c r="CE187" s="267"/>
      <c r="CF187" s="267"/>
      <c r="CG187" s="267"/>
      <c r="CH187" s="267"/>
      <c r="CI187" s="267"/>
      <c r="CJ187" s="267"/>
      <c r="CK187" s="267"/>
      <c r="CL187" s="267"/>
      <c r="CM187" s="267"/>
      <c r="CN187" s="101">
        <f t="shared" si="13"/>
        <v>0</v>
      </c>
      <c r="CO187" s="101">
        <f t="shared" si="14"/>
        <v>0</v>
      </c>
    </row>
    <row r="188" spans="1:93" ht="13.9" customHeight="1" x14ac:dyDescent="0.2">
      <c r="A188" s="149">
        <v>8014</v>
      </c>
      <c r="B188" s="150" t="s">
        <v>323</v>
      </c>
      <c r="C188" s="150" t="s">
        <v>811</v>
      </c>
      <c r="D188" s="150" t="s">
        <v>812</v>
      </c>
      <c r="E188" s="150" t="s">
        <v>326</v>
      </c>
      <c r="F188" s="149">
        <v>526480</v>
      </c>
      <c r="G188" s="149">
        <v>175808</v>
      </c>
      <c r="H188" s="150" t="s">
        <v>170</v>
      </c>
      <c r="I188" s="151">
        <v>45187</v>
      </c>
      <c r="J188" s="151">
        <v>45187</v>
      </c>
      <c r="K188" s="149">
        <v>1</v>
      </c>
      <c r="L188" s="149">
        <v>1</v>
      </c>
      <c r="M188" s="149">
        <v>0</v>
      </c>
      <c r="N188" s="149">
        <v>1</v>
      </c>
      <c r="O188" s="149">
        <v>0</v>
      </c>
      <c r="P188" s="152"/>
      <c r="Q188" s="150" t="s">
        <v>813</v>
      </c>
      <c r="R188" s="150" t="s">
        <v>349</v>
      </c>
      <c r="S188" s="151">
        <v>45131</v>
      </c>
      <c r="T188" s="151">
        <v>45187</v>
      </c>
      <c r="U188" s="152" t="s">
        <v>327</v>
      </c>
      <c r="V188" s="150" t="s">
        <v>330</v>
      </c>
      <c r="W188" s="151"/>
      <c r="X188" s="150" t="s">
        <v>331</v>
      </c>
      <c r="Y188" s="150" t="s">
        <v>398</v>
      </c>
      <c r="Z188" s="150" t="s">
        <v>334</v>
      </c>
      <c r="AA188" s="150" t="s">
        <v>29</v>
      </c>
      <c r="AB188" s="153">
        <v>0.01</v>
      </c>
      <c r="AC188" s="151">
        <v>45187</v>
      </c>
      <c r="AD188" s="152" t="s">
        <v>327</v>
      </c>
      <c r="AE188" s="151">
        <v>45187</v>
      </c>
      <c r="AF188" s="150" t="s">
        <v>70</v>
      </c>
      <c r="AG188" s="152" t="s">
        <v>352</v>
      </c>
      <c r="AH188" s="150" t="s">
        <v>326</v>
      </c>
      <c r="AI188" s="99"/>
      <c r="AJ188" s="149"/>
      <c r="AK188" s="99"/>
      <c r="AL188" s="149"/>
      <c r="AM188" s="99"/>
      <c r="AN188" s="149">
        <v>0</v>
      </c>
      <c r="AO188" s="149">
        <v>0</v>
      </c>
      <c r="AP188" s="149">
        <v>-1</v>
      </c>
      <c r="AQ188" s="149">
        <v>0</v>
      </c>
      <c r="AR188" s="149">
        <v>1</v>
      </c>
      <c r="AS188" s="149">
        <v>0</v>
      </c>
      <c r="AT188" s="149">
        <v>0</v>
      </c>
      <c r="AU188" s="149">
        <v>0</v>
      </c>
      <c r="AV188" s="149">
        <v>0</v>
      </c>
      <c r="AW188" s="149">
        <v>-1</v>
      </c>
      <c r="AX188" s="149">
        <v>0</v>
      </c>
      <c r="AY188" s="149">
        <v>0</v>
      </c>
      <c r="AZ188" s="149">
        <v>0</v>
      </c>
      <c r="BA188" s="149">
        <v>0</v>
      </c>
      <c r="BB188" s="149">
        <v>0</v>
      </c>
      <c r="BC188" s="149">
        <v>0</v>
      </c>
      <c r="BD188" s="149">
        <v>0</v>
      </c>
      <c r="BE188" s="149">
        <v>0</v>
      </c>
      <c r="BF188" s="149">
        <v>1</v>
      </c>
      <c r="BG188" s="149">
        <v>0</v>
      </c>
      <c r="BH188" s="149">
        <v>0</v>
      </c>
      <c r="BI188" s="149">
        <v>0</v>
      </c>
      <c r="BJ188" s="149">
        <v>0</v>
      </c>
      <c r="BK188" s="149">
        <v>0</v>
      </c>
      <c r="BL188" s="149">
        <v>0</v>
      </c>
      <c r="BM188" s="149">
        <v>0</v>
      </c>
      <c r="BN188" s="149">
        <v>0</v>
      </c>
      <c r="BO188" s="149">
        <v>0</v>
      </c>
      <c r="BP188" s="152"/>
      <c r="BQ188" s="152"/>
      <c r="BR188" s="154" t="s">
        <v>408</v>
      </c>
      <c r="BS188" s="136">
        <v>11</v>
      </c>
      <c r="BT188" s="267">
        <f t="shared" si="12"/>
        <v>0</v>
      </c>
      <c r="BU188" s="267"/>
      <c r="BV188" s="267"/>
      <c r="BW188" s="267"/>
      <c r="BX188" s="267"/>
      <c r="BY188" s="267"/>
      <c r="BZ188" s="267"/>
      <c r="CA188" s="267"/>
      <c r="CB188" s="267"/>
      <c r="CC188" s="267"/>
      <c r="CD188" s="267"/>
      <c r="CE188" s="267"/>
      <c r="CF188" s="267"/>
      <c r="CG188" s="267"/>
      <c r="CH188" s="267"/>
      <c r="CI188" s="267"/>
      <c r="CJ188" s="267"/>
      <c r="CK188" s="267"/>
      <c r="CL188" s="267"/>
      <c r="CM188" s="267"/>
      <c r="CN188" s="101">
        <f t="shared" si="13"/>
        <v>0</v>
      </c>
      <c r="CO188" s="101">
        <f t="shared" si="14"/>
        <v>0</v>
      </c>
    </row>
    <row r="189" spans="1:93" ht="13.9" customHeight="1" x14ac:dyDescent="0.2">
      <c r="A189" s="149">
        <v>7120</v>
      </c>
      <c r="B189" s="150" t="s">
        <v>323</v>
      </c>
      <c r="C189" s="150" t="s">
        <v>814</v>
      </c>
      <c r="D189" s="150" t="s">
        <v>815</v>
      </c>
      <c r="E189" s="150" t="s">
        <v>326</v>
      </c>
      <c r="F189" s="149">
        <v>527464</v>
      </c>
      <c r="G189" s="149">
        <v>176353</v>
      </c>
      <c r="H189" s="150" t="s">
        <v>170</v>
      </c>
      <c r="I189" s="151">
        <v>45264</v>
      </c>
      <c r="J189" s="151">
        <v>45264</v>
      </c>
      <c r="K189" s="149">
        <v>2</v>
      </c>
      <c r="L189" s="149">
        <v>4</v>
      </c>
      <c r="M189" s="149">
        <v>2</v>
      </c>
      <c r="N189" s="149">
        <v>4</v>
      </c>
      <c r="O189" s="149">
        <v>2</v>
      </c>
      <c r="P189" s="152"/>
      <c r="Q189" s="150" t="s">
        <v>816</v>
      </c>
      <c r="R189" s="150" t="s">
        <v>349</v>
      </c>
      <c r="S189" s="151">
        <v>45202</v>
      </c>
      <c r="T189" s="151">
        <v>45264</v>
      </c>
      <c r="U189" s="152" t="s">
        <v>327</v>
      </c>
      <c r="V189" s="150" t="s">
        <v>330</v>
      </c>
      <c r="W189" s="151"/>
      <c r="X189" s="150" t="s">
        <v>331</v>
      </c>
      <c r="Y189" s="150" t="s">
        <v>350</v>
      </c>
      <c r="Z189" s="150" t="s">
        <v>334</v>
      </c>
      <c r="AA189" s="150" t="s">
        <v>399</v>
      </c>
      <c r="AB189" s="153">
        <v>8.5699999999999995E-3</v>
      </c>
      <c r="AC189" s="151">
        <v>45264</v>
      </c>
      <c r="AD189" s="152" t="s">
        <v>327</v>
      </c>
      <c r="AE189" s="151">
        <v>45264</v>
      </c>
      <c r="AF189" s="150" t="s">
        <v>70</v>
      </c>
      <c r="AG189" s="152" t="s">
        <v>352</v>
      </c>
      <c r="AH189" s="150" t="s">
        <v>326</v>
      </c>
      <c r="AI189" s="99"/>
      <c r="AJ189" s="149"/>
      <c r="AK189" s="99"/>
      <c r="AL189" s="149"/>
      <c r="AM189" s="99"/>
      <c r="AN189" s="149">
        <v>0</v>
      </c>
      <c r="AO189" s="149">
        <v>1</v>
      </c>
      <c r="AP189" s="149">
        <v>1</v>
      </c>
      <c r="AQ189" s="149">
        <v>0</v>
      </c>
      <c r="AR189" s="149">
        <v>0</v>
      </c>
      <c r="AS189" s="149">
        <v>0</v>
      </c>
      <c r="AT189" s="149">
        <v>0</v>
      </c>
      <c r="AU189" s="149">
        <v>0</v>
      </c>
      <c r="AV189" s="149">
        <v>1</v>
      </c>
      <c r="AW189" s="149">
        <v>1</v>
      </c>
      <c r="AX189" s="149">
        <v>0</v>
      </c>
      <c r="AY189" s="149">
        <v>0</v>
      </c>
      <c r="AZ189" s="149">
        <v>0</v>
      </c>
      <c r="BA189" s="149">
        <v>0</v>
      </c>
      <c r="BB189" s="149">
        <v>0</v>
      </c>
      <c r="BC189" s="149">
        <v>0</v>
      </c>
      <c r="BD189" s="149">
        <v>0</v>
      </c>
      <c r="BE189" s="149">
        <v>0</v>
      </c>
      <c r="BF189" s="149">
        <v>0</v>
      </c>
      <c r="BG189" s="149">
        <v>0</v>
      </c>
      <c r="BH189" s="149">
        <v>0</v>
      </c>
      <c r="BI189" s="149">
        <v>0</v>
      </c>
      <c r="BJ189" s="149">
        <v>0</v>
      </c>
      <c r="BK189" s="149">
        <v>0</v>
      </c>
      <c r="BL189" s="149">
        <v>0</v>
      </c>
      <c r="BM189" s="149">
        <v>0</v>
      </c>
      <c r="BN189" s="149">
        <v>0</v>
      </c>
      <c r="BO189" s="149">
        <v>0</v>
      </c>
      <c r="BP189" s="152"/>
      <c r="BQ189" s="152"/>
      <c r="BR189" s="154" t="s">
        <v>359</v>
      </c>
      <c r="BS189" s="136">
        <v>11</v>
      </c>
      <c r="BT189" s="267">
        <f t="shared" si="12"/>
        <v>2</v>
      </c>
      <c r="BU189" s="267"/>
      <c r="BV189" s="267"/>
      <c r="BW189" s="267"/>
      <c r="BX189" s="267"/>
      <c r="BY189" s="267"/>
      <c r="BZ189" s="267"/>
      <c r="CA189" s="267"/>
      <c r="CB189" s="267"/>
      <c r="CC189" s="267"/>
      <c r="CD189" s="267"/>
      <c r="CE189" s="267"/>
      <c r="CF189" s="267"/>
      <c r="CG189" s="267"/>
      <c r="CH189" s="267"/>
      <c r="CI189" s="267"/>
      <c r="CJ189" s="267"/>
      <c r="CK189" s="267"/>
      <c r="CL189" s="267"/>
      <c r="CM189" s="267"/>
      <c r="CN189" s="101">
        <f t="shared" si="13"/>
        <v>0</v>
      </c>
      <c r="CO189" s="101">
        <f t="shared" si="14"/>
        <v>0</v>
      </c>
    </row>
    <row r="190" spans="1:93" ht="13.9" customHeight="1" x14ac:dyDescent="0.2">
      <c r="A190" s="149">
        <v>8032</v>
      </c>
      <c r="B190" s="150" t="s">
        <v>323</v>
      </c>
      <c r="C190" s="150" t="s">
        <v>817</v>
      </c>
      <c r="D190" s="150" t="s">
        <v>818</v>
      </c>
      <c r="E190" s="150" t="s">
        <v>326</v>
      </c>
      <c r="F190" s="149">
        <v>528261</v>
      </c>
      <c r="G190" s="149">
        <v>173519</v>
      </c>
      <c r="H190" s="150" t="s">
        <v>139</v>
      </c>
      <c r="I190" s="151">
        <v>45219</v>
      </c>
      <c r="J190" s="151">
        <v>45219</v>
      </c>
      <c r="K190" s="149">
        <v>1</v>
      </c>
      <c r="L190" s="149">
        <v>2</v>
      </c>
      <c r="M190" s="149">
        <v>1</v>
      </c>
      <c r="N190" s="149">
        <v>2</v>
      </c>
      <c r="O190" s="149">
        <v>1</v>
      </c>
      <c r="P190" s="152"/>
      <c r="Q190" s="150" t="s">
        <v>819</v>
      </c>
      <c r="R190" s="150" t="s">
        <v>765</v>
      </c>
      <c r="S190" s="151">
        <v>45159</v>
      </c>
      <c r="T190" s="151">
        <v>45219</v>
      </c>
      <c r="U190" s="152" t="s">
        <v>327</v>
      </c>
      <c r="V190" s="150" t="s">
        <v>330</v>
      </c>
      <c r="W190" s="151"/>
      <c r="X190" s="150" t="s">
        <v>331</v>
      </c>
      <c r="Y190" s="150" t="s">
        <v>350</v>
      </c>
      <c r="Z190" s="150" t="s">
        <v>334</v>
      </c>
      <c r="AA190" s="150" t="s">
        <v>399</v>
      </c>
      <c r="AB190" s="153">
        <v>6.6604999999999998E-3</v>
      </c>
      <c r="AC190" s="151">
        <v>45219</v>
      </c>
      <c r="AD190" s="152" t="s">
        <v>327</v>
      </c>
      <c r="AE190" s="151">
        <v>45219</v>
      </c>
      <c r="AF190" s="150" t="s">
        <v>70</v>
      </c>
      <c r="AG190" s="152" t="s">
        <v>337</v>
      </c>
      <c r="AH190" s="150" t="s">
        <v>326</v>
      </c>
      <c r="AI190" s="99"/>
      <c r="AJ190" s="149"/>
      <c r="AK190" s="99"/>
      <c r="AL190" s="149"/>
      <c r="AM190" s="99"/>
      <c r="AN190" s="149">
        <v>2</v>
      </c>
      <c r="AO190" s="149">
        <v>-1</v>
      </c>
      <c r="AP190" s="149">
        <v>0</v>
      </c>
      <c r="AQ190" s="149">
        <v>0</v>
      </c>
      <c r="AR190" s="149">
        <v>0</v>
      </c>
      <c r="AS190" s="149">
        <v>0</v>
      </c>
      <c r="AT190" s="149">
        <v>0</v>
      </c>
      <c r="AU190" s="149">
        <v>2</v>
      </c>
      <c r="AV190" s="149">
        <v>-1</v>
      </c>
      <c r="AW190" s="149">
        <v>0</v>
      </c>
      <c r="AX190" s="149">
        <v>0</v>
      </c>
      <c r="AY190" s="149">
        <v>0</v>
      </c>
      <c r="AZ190" s="149">
        <v>0</v>
      </c>
      <c r="BA190" s="149">
        <v>0</v>
      </c>
      <c r="BB190" s="149">
        <v>0</v>
      </c>
      <c r="BC190" s="149">
        <v>0</v>
      </c>
      <c r="BD190" s="149">
        <v>0</v>
      </c>
      <c r="BE190" s="149">
        <v>0</v>
      </c>
      <c r="BF190" s="149">
        <v>0</v>
      </c>
      <c r="BG190" s="149">
        <v>0</v>
      </c>
      <c r="BH190" s="149">
        <v>0</v>
      </c>
      <c r="BI190" s="149">
        <v>0</v>
      </c>
      <c r="BJ190" s="149">
        <v>0</v>
      </c>
      <c r="BK190" s="149">
        <v>0</v>
      </c>
      <c r="BL190" s="149">
        <v>0</v>
      </c>
      <c r="BM190" s="149">
        <v>0</v>
      </c>
      <c r="BN190" s="149">
        <v>0</v>
      </c>
      <c r="BO190" s="149">
        <v>0</v>
      </c>
      <c r="BP190" s="152"/>
      <c r="BQ190" s="152"/>
      <c r="BR190" s="154" t="s">
        <v>359</v>
      </c>
      <c r="BS190" s="136">
        <v>11</v>
      </c>
      <c r="BT190" s="267">
        <f t="shared" si="12"/>
        <v>1</v>
      </c>
      <c r="BU190" s="267"/>
      <c r="BV190" s="267"/>
      <c r="BW190" s="267"/>
      <c r="BX190" s="267"/>
      <c r="BY190" s="267"/>
      <c r="BZ190" s="267"/>
      <c r="CA190" s="267"/>
      <c r="CB190" s="267"/>
      <c r="CC190" s="267"/>
      <c r="CD190" s="267"/>
      <c r="CE190" s="267"/>
      <c r="CF190" s="267"/>
      <c r="CG190" s="267"/>
      <c r="CH190" s="267"/>
      <c r="CI190" s="267"/>
      <c r="CJ190" s="267"/>
      <c r="CK190" s="267"/>
      <c r="CL190" s="267"/>
      <c r="CM190" s="267"/>
      <c r="CN190" s="101">
        <f t="shared" si="13"/>
        <v>0</v>
      </c>
      <c r="CO190" s="101">
        <f t="shared" si="14"/>
        <v>0</v>
      </c>
    </row>
    <row r="191" spans="1:93" ht="13.9" customHeight="1" x14ac:dyDescent="0.2">
      <c r="A191" s="149">
        <v>7816</v>
      </c>
      <c r="B191" s="150" t="s">
        <v>323</v>
      </c>
      <c r="C191" s="150" t="s">
        <v>820</v>
      </c>
      <c r="D191" s="150" t="s">
        <v>821</v>
      </c>
      <c r="E191" s="150" t="s">
        <v>326</v>
      </c>
      <c r="F191" s="149">
        <v>528747</v>
      </c>
      <c r="G191" s="149">
        <v>176619</v>
      </c>
      <c r="H191" s="150" t="s">
        <v>167</v>
      </c>
      <c r="I191" s="151">
        <v>45252</v>
      </c>
      <c r="J191" s="151">
        <v>45252</v>
      </c>
      <c r="K191" s="149">
        <v>1</v>
      </c>
      <c r="L191" s="149">
        <v>2</v>
      </c>
      <c r="M191" s="149">
        <v>1</v>
      </c>
      <c r="N191" s="149">
        <v>2</v>
      </c>
      <c r="O191" s="149">
        <v>1</v>
      </c>
      <c r="P191" s="152"/>
      <c r="Q191" s="150" t="s">
        <v>822</v>
      </c>
      <c r="R191" s="150" t="s">
        <v>765</v>
      </c>
      <c r="S191" s="151">
        <v>45188</v>
      </c>
      <c r="T191" s="151">
        <v>45252</v>
      </c>
      <c r="U191" s="152" t="s">
        <v>327</v>
      </c>
      <c r="V191" s="150" t="s">
        <v>330</v>
      </c>
      <c r="W191" s="151"/>
      <c r="X191" s="150" t="s">
        <v>331</v>
      </c>
      <c r="Y191" s="150" t="s">
        <v>332</v>
      </c>
      <c r="Z191" s="150" t="s">
        <v>334</v>
      </c>
      <c r="AA191" s="150" t="s">
        <v>399</v>
      </c>
      <c r="AB191" s="153">
        <v>1.1599999999999999E-2</v>
      </c>
      <c r="AC191" s="151">
        <v>45252</v>
      </c>
      <c r="AD191" s="152" t="s">
        <v>327</v>
      </c>
      <c r="AE191" s="151">
        <v>45252</v>
      </c>
      <c r="AF191" s="150" t="s">
        <v>70</v>
      </c>
      <c r="AG191" s="152" t="s">
        <v>352</v>
      </c>
      <c r="AH191" s="150" t="s">
        <v>326</v>
      </c>
      <c r="AI191" s="99"/>
      <c r="AJ191" s="149"/>
      <c r="AK191" s="99"/>
      <c r="AL191" s="149"/>
      <c r="AM191" s="99"/>
      <c r="AN191" s="149">
        <v>0</v>
      </c>
      <c r="AO191" s="149">
        <v>1</v>
      </c>
      <c r="AP191" s="149">
        <v>0</v>
      </c>
      <c r="AQ191" s="149">
        <v>0</v>
      </c>
      <c r="AR191" s="149">
        <v>0</v>
      </c>
      <c r="AS191" s="149">
        <v>0</v>
      </c>
      <c r="AT191" s="149">
        <v>0</v>
      </c>
      <c r="AU191" s="149">
        <v>0</v>
      </c>
      <c r="AV191" s="149">
        <v>1</v>
      </c>
      <c r="AW191" s="149">
        <v>0</v>
      </c>
      <c r="AX191" s="149">
        <v>0</v>
      </c>
      <c r="AY191" s="149">
        <v>0</v>
      </c>
      <c r="AZ191" s="149">
        <v>0</v>
      </c>
      <c r="BA191" s="149">
        <v>0</v>
      </c>
      <c r="BB191" s="149">
        <v>0</v>
      </c>
      <c r="BC191" s="149">
        <v>0</v>
      </c>
      <c r="BD191" s="149">
        <v>0</v>
      </c>
      <c r="BE191" s="149">
        <v>0</v>
      </c>
      <c r="BF191" s="149">
        <v>0</v>
      </c>
      <c r="BG191" s="149">
        <v>0</v>
      </c>
      <c r="BH191" s="149">
        <v>0</v>
      </c>
      <c r="BI191" s="149">
        <v>0</v>
      </c>
      <c r="BJ191" s="149">
        <v>0</v>
      </c>
      <c r="BK191" s="149">
        <v>0</v>
      </c>
      <c r="BL191" s="149">
        <v>0</v>
      </c>
      <c r="BM191" s="149">
        <v>0</v>
      </c>
      <c r="BN191" s="149">
        <v>0</v>
      </c>
      <c r="BO191" s="149">
        <v>0</v>
      </c>
      <c r="BP191" s="152"/>
      <c r="BQ191" s="152" t="s">
        <v>327</v>
      </c>
      <c r="BR191" s="154" t="s">
        <v>149</v>
      </c>
      <c r="BS191" s="136">
        <v>11</v>
      </c>
      <c r="BT191" s="267">
        <f t="shared" si="12"/>
        <v>1</v>
      </c>
      <c r="BU191" s="267"/>
      <c r="BV191" s="267"/>
      <c r="BW191" s="267"/>
      <c r="BX191" s="267"/>
      <c r="BY191" s="267"/>
      <c r="BZ191" s="267"/>
      <c r="CA191" s="267"/>
      <c r="CB191" s="267"/>
      <c r="CC191" s="267"/>
      <c r="CD191" s="267"/>
      <c r="CE191" s="267"/>
      <c r="CF191" s="267"/>
      <c r="CG191" s="267"/>
      <c r="CH191" s="267"/>
      <c r="CI191" s="267"/>
      <c r="CJ191" s="267"/>
      <c r="CK191" s="267"/>
      <c r="CL191" s="267"/>
      <c r="CM191" s="267"/>
      <c r="CN191" s="101">
        <f t="shared" si="13"/>
        <v>0</v>
      </c>
      <c r="CO191" s="101">
        <f t="shared" si="14"/>
        <v>0</v>
      </c>
    </row>
    <row r="192" spans="1:93" ht="13.9" customHeight="1" x14ac:dyDescent="0.2">
      <c r="A192" s="149">
        <v>8005</v>
      </c>
      <c r="B192" s="150" t="s">
        <v>323</v>
      </c>
      <c r="C192" s="150" t="s">
        <v>823</v>
      </c>
      <c r="D192" s="150" t="s">
        <v>824</v>
      </c>
      <c r="E192" s="150" t="s">
        <v>326</v>
      </c>
      <c r="F192" s="149">
        <v>527468</v>
      </c>
      <c r="G192" s="149">
        <v>176394</v>
      </c>
      <c r="H192" s="150" t="s">
        <v>170</v>
      </c>
      <c r="I192" s="151">
        <v>45268</v>
      </c>
      <c r="J192" s="151">
        <v>45268</v>
      </c>
      <c r="K192" s="149">
        <v>0</v>
      </c>
      <c r="L192" s="149">
        <v>1</v>
      </c>
      <c r="M192" s="149">
        <v>1</v>
      </c>
      <c r="N192" s="149">
        <v>1</v>
      </c>
      <c r="O192" s="149">
        <v>1</v>
      </c>
      <c r="P192" s="152"/>
      <c r="Q192" s="150" t="s">
        <v>825</v>
      </c>
      <c r="R192" s="150" t="s">
        <v>765</v>
      </c>
      <c r="S192" s="151">
        <v>45212</v>
      </c>
      <c r="T192" s="151">
        <v>45268</v>
      </c>
      <c r="U192" s="152" t="s">
        <v>327</v>
      </c>
      <c r="V192" s="150" t="s">
        <v>330</v>
      </c>
      <c r="W192" s="151"/>
      <c r="X192" s="150" t="s">
        <v>331</v>
      </c>
      <c r="Y192" s="150" t="s">
        <v>332</v>
      </c>
      <c r="Z192" s="150" t="s">
        <v>334</v>
      </c>
      <c r="AA192" s="150" t="s">
        <v>26</v>
      </c>
      <c r="AB192" s="153">
        <v>5.0000000000000001E-3</v>
      </c>
      <c r="AC192" s="151">
        <v>45268</v>
      </c>
      <c r="AD192" s="152" t="s">
        <v>327</v>
      </c>
      <c r="AE192" s="151">
        <v>45268</v>
      </c>
      <c r="AF192" s="150" t="s">
        <v>70</v>
      </c>
      <c r="AG192" s="152" t="s">
        <v>352</v>
      </c>
      <c r="AH192" s="150" t="s">
        <v>326</v>
      </c>
      <c r="AI192" s="99"/>
      <c r="AJ192" s="149"/>
      <c r="AK192" s="99"/>
      <c r="AL192" s="149"/>
      <c r="AM192" s="99"/>
      <c r="AN192" s="149">
        <v>0</v>
      </c>
      <c r="AO192" s="149">
        <v>1</v>
      </c>
      <c r="AP192" s="149">
        <v>0</v>
      </c>
      <c r="AQ192" s="149">
        <v>0</v>
      </c>
      <c r="AR192" s="149">
        <v>0</v>
      </c>
      <c r="AS192" s="149">
        <v>0</v>
      </c>
      <c r="AT192" s="149">
        <v>0</v>
      </c>
      <c r="AU192" s="149">
        <v>0</v>
      </c>
      <c r="AV192" s="149">
        <v>1</v>
      </c>
      <c r="AW192" s="149">
        <v>0</v>
      </c>
      <c r="AX192" s="149">
        <v>0</v>
      </c>
      <c r="AY192" s="149">
        <v>0</v>
      </c>
      <c r="AZ192" s="149">
        <v>0</v>
      </c>
      <c r="BA192" s="149">
        <v>0</v>
      </c>
      <c r="BB192" s="149">
        <v>0</v>
      </c>
      <c r="BC192" s="149">
        <v>0</v>
      </c>
      <c r="BD192" s="149">
        <v>0</v>
      </c>
      <c r="BE192" s="149">
        <v>0</v>
      </c>
      <c r="BF192" s="149">
        <v>0</v>
      </c>
      <c r="BG192" s="149">
        <v>0</v>
      </c>
      <c r="BH192" s="149">
        <v>0</v>
      </c>
      <c r="BI192" s="149">
        <v>0</v>
      </c>
      <c r="BJ192" s="149">
        <v>0</v>
      </c>
      <c r="BK192" s="149">
        <v>0</v>
      </c>
      <c r="BL192" s="149">
        <v>0</v>
      </c>
      <c r="BM192" s="149">
        <v>0</v>
      </c>
      <c r="BN192" s="149">
        <v>0</v>
      </c>
      <c r="BO192" s="149">
        <v>0</v>
      </c>
      <c r="BP192" s="152"/>
      <c r="BQ192" s="152"/>
      <c r="BR192" s="154" t="s">
        <v>359</v>
      </c>
      <c r="BS192" s="136">
        <v>11</v>
      </c>
      <c r="BT192" s="267">
        <f t="shared" si="12"/>
        <v>1</v>
      </c>
      <c r="BU192" s="267"/>
      <c r="BV192" s="267"/>
      <c r="BW192" s="267"/>
      <c r="BX192" s="267"/>
      <c r="BY192" s="267"/>
      <c r="BZ192" s="267"/>
      <c r="CA192" s="267"/>
      <c r="CB192" s="267"/>
      <c r="CC192" s="267"/>
      <c r="CD192" s="267"/>
      <c r="CE192" s="267"/>
      <c r="CF192" s="267"/>
      <c r="CG192" s="267"/>
      <c r="CH192" s="267"/>
      <c r="CI192" s="267"/>
      <c r="CJ192" s="267"/>
      <c r="CK192" s="267"/>
      <c r="CL192" s="267"/>
      <c r="CM192" s="267"/>
      <c r="CN192" s="101">
        <f t="shared" si="13"/>
        <v>0</v>
      </c>
      <c r="CO192" s="101">
        <f t="shared" si="14"/>
        <v>0</v>
      </c>
    </row>
    <row r="193" spans="1:93" ht="13.9" customHeight="1" x14ac:dyDescent="0.2">
      <c r="A193" s="149">
        <v>6569</v>
      </c>
      <c r="B193" s="150" t="s">
        <v>323</v>
      </c>
      <c r="C193" s="150" t="s">
        <v>826</v>
      </c>
      <c r="D193" s="150" t="s">
        <v>827</v>
      </c>
      <c r="E193" s="150" t="s">
        <v>326</v>
      </c>
      <c r="F193" s="149">
        <v>527371</v>
      </c>
      <c r="G193" s="149">
        <v>176315</v>
      </c>
      <c r="H193" s="150" t="s">
        <v>170</v>
      </c>
      <c r="I193" s="151">
        <v>45267</v>
      </c>
      <c r="J193" s="151">
        <v>45267</v>
      </c>
      <c r="K193" s="149">
        <v>0</v>
      </c>
      <c r="L193" s="149">
        <v>1</v>
      </c>
      <c r="M193" s="149">
        <v>1</v>
      </c>
      <c r="N193" s="149">
        <v>1</v>
      </c>
      <c r="O193" s="149">
        <v>1</v>
      </c>
      <c r="P193" s="152"/>
      <c r="Q193" s="150" t="s">
        <v>828</v>
      </c>
      <c r="R193" s="150" t="s">
        <v>765</v>
      </c>
      <c r="S193" s="151">
        <v>45212</v>
      </c>
      <c r="T193" s="151">
        <v>45267</v>
      </c>
      <c r="U193" s="152" t="s">
        <v>327</v>
      </c>
      <c r="V193" s="150" t="s">
        <v>330</v>
      </c>
      <c r="W193" s="151"/>
      <c r="X193" s="150" t="s">
        <v>331</v>
      </c>
      <c r="Y193" s="150" t="s">
        <v>332</v>
      </c>
      <c r="Z193" s="150" t="s">
        <v>334</v>
      </c>
      <c r="AA193" s="150" t="s">
        <v>26</v>
      </c>
      <c r="AB193" s="153">
        <v>1.5E-3</v>
      </c>
      <c r="AC193" s="151">
        <v>45267</v>
      </c>
      <c r="AD193" s="152" t="s">
        <v>327</v>
      </c>
      <c r="AE193" s="151">
        <v>45267</v>
      </c>
      <c r="AF193" s="150" t="s">
        <v>70</v>
      </c>
      <c r="AG193" s="152" t="s">
        <v>352</v>
      </c>
      <c r="AH193" s="150" t="s">
        <v>326</v>
      </c>
      <c r="AI193" s="99"/>
      <c r="AJ193" s="149"/>
      <c r="AK193" s="99"/>
      <c r="AL193" s="149"/>
      <c r="AM193" s="99"/>
      <c r="AN193" s="149">
        <v>0</v>
      </c>
      <c r="AO193" s="149">
        <v>1</v>
      </c>
      <c r="AP193" s="149">
        <v>0</v>
      </c>
      <c r="AQ193" s="149">
        <v>0</v>
      </c>
      <c r="AR193" s="149">
        <v>0</v>
      </c>
      <c r="AS193" s="149">
        <v>0</v>
      </c>
      <c r="AT193" s="149">
        <v>0</v>
      </c>
      <c r="AU193" s="149">
        <v>0</v>
      </c>
      <c r="AV193" s="149">
        <v>1</v>
      </c>
      <c r="AW193" s="149">
        <v>0</v>
      </c>
      <c r="AX193" s="149">
        <v>0</v>
      </c>
      <c r="AY193" s="149">
        <v>0</v>
      </c>
      <c r="AZ193" s="149">
        <v>0</v>
      </c>
      <c r="BA193" s="149">
        <v>0</v>
      </c>
      <c r="BB193" s="149">
        <v>0</v>
      </c>
      <c r="BC193" s="149">
        <v>0</v>
      </c>
      <c r="BD193" s="149">
        <v>0</v>
      </c>
      <c r="BE193" s="149">
        <v>0</v>
      </c>
      <c r="BF193" s="149">
        <v>0</v>
      </c>
      <c r="BG193" s="149">
        <v>0</v>
      </c>
      <c r="BH193" s="149">
        <v>0</v>
      </c>
      <c r="BI193" s="149">
        <v>0</v>
      </c>
      <c r="BJ193" s="149">
        <v>0</v>
      </c>
      <c r="BK193" s="149">
        <v>0</v>
      </c>
      <c r="BL193" s="149">
        <v>0</v>
      </c>
      <c r="BM193" s="149">
        <v>0</v>
      </c>
      <c r="BN193" s="149">
        <v>0</v>
      </c>
      <c r="BO193" s="149">
        <v>0</v>
      </c>
      <c r="BP193" s="152"/>
      <c r="BQ193" s="152"/>
      <c r="BR193" s="154" t="s">
        <v>359</v>
      </c>
      <c r="BS193" s="136">
        <v>11</v>
      </c>
      <c r="BT193" s="267">
        <f t="shared" si="12"/>
        <v>1</v>
      </c>
      <c r="BU193" s="267"/>
      <c r="BV193" s="267"/>
      <c r="BW193" s="267"/>
      <c r="BX193" s="267"/>
      <c r="BY193" s="267"/>
      <c r="BZ193" s="267"/>
      <c r="CA193" s="267"/>
      <c r="CB193" s="267"/>
      <c r="CC193" s="267"/>
      <c r="CD193" s="267"/>
      <c r="CE193" s="267"/>
      <c r="CF193" s="267"/>
      <c r="CG193" s="267"/>
      <c r="CH193" s="267"/>
      <c r="CI193" s="267"/>
      <c r="CJ193" s="267"/>
      <c r="CK193" s="267"/>
      <c r="CL193" s="267"/>
      <c r="CM193" s="267"/>
      <c r="CN193" s="101">
        <f t="shared" si="13"/>
        <v>0</v>
      </c>
      <c r="CO193" s="101">
        <f t="shared" si="14"/>
        <v>0</v>
      </c>
    </row>
    <row r="194" spans="1:93" ht="13.9" customHeight="1" x14ac:dyDescent="0.2">
      <c r="A194" s="149">
        <v>8063</v>
      </c>
      <c r="B194" s="150" t="s">
        <v>323</v>
      </c>
      <c r="C194" s="150" t="s">
        <v>829</v>
      </c>
      <c r="D194" s="150" t="s">
        <v>830</v>
      </c>
      <c r="E194" s="150" t="s">
        <v>326</v>
      </c>
      <c r="F194" s="149">
        <v>526445</v>
      </c>
      <c r="G194" s="149">
        <v>174223</v>
      </c>
      <c r="H194" s="150" t="s">
        <v>175</v>
      </c>
      <c r="I194" s="151">
        <v>45308</v>
      </c>
      <c r="J194" s="151">
        <v>45308</v>
      </c>
      <c r="K194" s="149">
        <v>1</v>
      </c>
      <c r="L194" s="149">
        <v>1</v>
      </c>
      <c r="M194" s="149">
        <v>0</v>
      </c>
      <c r="N194" s="149">
        <v>1</v>
      </c>
      <c r="O194" s="149">
        <v>0</v>
      </c>
      <c r="P194" s="152"/>
      <c r="Q194" s="150" t="s">
        <v>831</v>
      </c>
      <c r="R194" s="150" t="s">
        <v>349</v>
      </c>
      <c r="S194" s="151">
        <v>45219</v>
      </c>
      <c r="T194" s="151">
        <v>45308</v>
      </c>
      <c r="U194" s="152" t="s">
        <v>327</v>
      </c>
      <c r="V194" s="150" t="s">
        <v>330</v>
      </c>
      <c r="W194" s="151"/>
      <c r="X194" s="150" t="s">
        <v>331</v>
      </c>
      <c r="Y194" s="150" t="s">
        <v>343</v>
      </c>
      <c r="Z194" s="150" t="s">
        <v>334</v>
      </c>
      <c r="AA194" s="150" t="s">
        <v>363</v>
      </c>
      <c r="AB194" s="153">
        <v>7.0107000000000003E-2</v>
      </c>
      <c r="AC194" s="151">
        <v>45308</v>
      </c>
      <c r="AD194" s="152" t="s">
        <v>327</v>
      </c>
      <c r="AE194" s="151">
        <v>45308</v>
      </c>
      <c r="AF194" s="150" t="s">
        <v>70</v>
      </c>
      <c r="AG194" s="152" t="s">
        <v>352</v>
      </c>
      <c r="AH194" s="150" t="s">
        <v>326</v>
      </c>
      <c r="AI194" s="99"/>
      <c r="AJ194" s="149"/>
      <c r="AK194" s="99"/>
      <c r="AL194" s="149"/>
      <c r="AM194" s="99"/>
      <c r="AN194" s="149">
        <v>0</v>
      </c>
      <c r="AO194" s="149">
        <v>0</v>
      </c>
      <c r="AP194" s="149">
        <v>0</v>
      </c>
      <c r="AQ194" s="149">
        <v>0</v>
      </c>
      <c r="AR194" s="149">
        <v>0</v>
      </c>
      <c r="AS194" s="149">
        <v>0</v>
      </c>
      <c r="AT194" s="149">
        <v>0</v>
      </c>
      <c r="AU194" s="149">
        <v>0</v>
      </c>
      <c r="AV194" s="149">
        <v>0</v>
      </c>
      <c r="AW194" s="149">
        <v>0</v>
      </c>
      <c r="AX194" s="149">
        <v>0</v>
      </c>
      <c r="AY194" s="149">
        <v>0</v>
      </c>
      <c r="AZ194" s="149">
        <v>0</v>
      </c>
      <c r="BA194" s="149">
        <v>0</v>
      </c>
      <c r="BB194" s="149">
        <v>0</v>
      </c>
      <c r="BC194" s="149">
        <v>0</v>
      </c>
      <c r="BD194" s="149">
        <v>0</v>
      </c>
      <c r="BE194" s="149">
        <v>0</v>
      </c>
      <c r="BF194" s="149">
        <v>0</v>
      </c>
      <c r="BG194" s="149">
        <v>0</v>
      </c>
      <c r="BH194" s="149">
        <v>0</v>
      </c>
      <c r="BI194" s="149">
        <v>0</v>
      </c>
      <c r="BJ194" s="149">
        <v>0</v>
      </c>
      <c r="BK194" s="149">
        <v>0</v>
      </c>
      <c r="BL194" s="149">
        <v>0</v>
      </c>
      <c r="BM194" s="149">
        <v>0</v>
      </c>
      <c r="BN194" s="149">
        <v>0</v>
      </c>
      <c r="BO194" s="149">
        <v>0</v>
      </c>
      <c r="BP194" s="152"/>
      <c r="BQ194" s="152"/>
      <c r="BR194" s="154" t="s">
        <v>359</v>
      </c>
      <c r="BS194" s="136">
        <v>1</v>
      </c>
      <c r="BT194" s="267">
        <f t="shared" si="12"/>
        <v>0</v>
      </c>
      <c r="BU194" s="267"/>
      <c r="BV194" s="267"/>
      <c r="BW194" s="267"/>
      <c r="BX194" s="267"/>
      <c r="BY194" s="267"/>
      <c r="BZ194" s="267"/>
      <c r="CA194" s="267"/>
      <c r="CB194" s="267"/>
      <c r="CC194" s="267"/>
      <c r="CD194" s="267"/>
      <c r="CE194" s="267"/>
      <c r="CF194" s="267"/>
      <c r="CG194" s="267"/>
      <c r="CH194" s="267"/>
      <c r="CI194" s="267"/>
      <c r="CJ194" s="267"/>
      <c r="CK194" s="267"/>
      <c r="CL194" s="267"/>
      <c r="CM194" s="267"/>
      <c r="CN194" s="101">
        <f t="shared" si="13"/>
        <v>0</v>
      </c>
      <c r="CO194" s="101">
        <f t="shared" si="14"/>
        <v>0</v>
      </c>
    </row>
    <row r="195" spans="1:93" ht="13.9" customHeight="1" x14ac:dyDescent="0.2">
      <c r="A195" s="149">
        <v>5423</v>
      </c>
      <c r="B195" s="150" t="s">
        <v>323</v>
      </c>
      <c r="C195" s="150" t="s">
        <v>832</v>
      </c>
      <c r="D195" s="150" t="s">
        <v>833</v>
      </c>
      <c r="E195" s="150" t="s">
        <v>326</v>
      </c>
      <c r="F195" s="149">
        <v>525984</v>
      </c>
      <c r="G195" s="149">
        <v>173043</v>
      </c>
      <c r="H195" s="150" t="s">
        <v>175</v>
      </c>
      <c r="I195" s="151">
        <v>45017</v>
      </c>
      <c r="J195" s="151">
        <v>45382</v>
      </c>
      <c r="K195" s="149">
        <v>0</v>
      </c>
      <c r="L195" s="149">
        <v>1</v>
      </c>
      <c r="M195" s="149">
        <v>1</v>
      </c>
      <c r="N195" s="149">
        <v>1</v>
      </c>
      <c r="O195" s="149">
        <v>1</v>
      </c>
      <c r="P195" s="152"/>
      <c r="Q195" s="150" t="s">
        <v>834</v>
      </c>
      <c r="R195" s="150" t="s">
        <v>407</v>
      </c>
      <c r="S195" s="151">
        <v>45274</v>
      </c>
      <c r="T195" s="151">
        <v>45323</v>
      </c>
      <c r="U195" s="152" t="s">
        <v>327</v>
      </c>
      <c r="V195" s="150" t="s">
        <v>330</v>
      </c>
      <c r="W195" s="151"/>
      <c r="X195" s="150" t="s">
        <v>331</v>
      </c>
      <c r="Y195" s="150" t="s">
        <v>332</v>
      </c>
      <c r="Z195" s="150" t="s">
        <v>334</v>
      </c>
      <c r="AA195" s="150" t="s">
        <v>29</v>
      </c>
      <c r="AB195" s="153">
        <v>5.0000000000000001E-3</v>
      </c>
      <c r="AC195" s="151">
        <v>45017</v>
      </c>
      <c r="AD195" s="152" t="s">
        <v>327</v>
      </c>
      <c r="AE195" s="151">
        <v>45382</v>
      </c>
      <c r="AF195" s="150" t="s">
        <v>70</v>
      </c>
      <c r="AG195" s="152" t="s">
        <v>352</v>
      </c>
      <c r="AH195" s="150" t="s">
        <v>326</v>
      </c>
      <c r="AI195" s="99"/>
      <c r="AJ195" s="149"/>
      <c r="AK195" s="99"/>
      <c r="AL195" s="149"/>
      <c r="AM195" s="99"/>
      <c r="AN195" s="149">
        <v>0</v>
      </c>
      <c r="AO195" s="149">
        <v>0</v>
      </c>
      <c r="AP195" s="149">
        <v>1</v>
      </c>
      <c r="AQ195" s="149">
        <v>0</v>
      </c>
      <c r="AR195" s="149">
        <v>0</v>
      </c>
      <c r="AS195" s="149">
        <v>0</v>
      </c>
      <c r="AT195" s="149">
        <v>0</v>
      </c>
      <c r="AU195" s="149">
        <v>0</v>
      </c>
      <c r="AV195" s="149">
        <v>0</v>
      </c>
      <c r="AW195" s="149">
        <v>1</v>
      </c>
      <c r="AX195" s="149">
        <v>0</v>
      </c>
      <c r="AY195" s="149">
        <v>0</v>
      </c>
      <c r="AZ195" s="149">
        <v>0</v>
      </c>
      <c r="BA195" s="149">
        <v>0</v>
      </c>
      <c r="BB195" s="149">
        <v>0</v>
      </c>
      <c r="BC195" s="149">
        <v>0</v>
      </c>
      <c r="BD195" s="149">
        <v>0</v>
      </c>
      <c r="BE195" s="149">
        <v>0</v>
      </c>
      <c r="BF195" s="149">
        <v>0</v>
      </c>
      <c r="BG195" s="149">
        <v>0</v>
      </c>
      <c r="BH195" s="149">
        <v>0</v>
      </c>
      <c r="BI195" s="149">
        <v>0</v>
      </c>
      <c r="BJ195" s="149">
        <v>0</v>
      </c>
      <c r="BK195" s="149">
        <v>0</v>
      </c>
      <c r="BL195" s="149">
        <v>0</v>
      </c>
      <c r="BM195" s="149">
        <v>0</v>
      </c>
      <c r="BN195" s="149">
        <v>0</v>
      </c>
      <c r="BO195" s="149">
        <v>0</v>
      </c>
      <c r="BP195" s="152"/>
      <c r="BQ195" s="152"/>
      <c r="BR195" s="154" t="s">
        <v>151</v>
      </c>
      <c r="BS195" s="136">
        <v>11</v>
      </c>
      <c r="BT195" s="267">
        <f t="shared" si="12"/>
        <v>1</v>
      </c>
      <c r="BU195" s="267"/>
      <c r="BV195" s="267"/>
      <c r="BW195" s="267"/>
      <c r="BX195" s="267"/>
      <c r="BY195" s="267"/>
      <c r="BZ195" s="267"/>
      <c r="CA195" s="267"/>
      <c r="CB195" s="267"/>
      <c r="CC195" s="267"/>
      <c r="CD195" s="267"/>
      <c r="CE195" s="267"/>
      <c r="CF195" s="267"/>
      <c r="CG195" s="267"/>
      <c r="CH195" s="267"/>
      <c r="CI195" s="267"/>
      <c r="CJ195" s="267"/>
      <c r="CK195" s="267"/>
      <c r="CL195" s="267"/>
      <c r="CM195" s="267"/>
      <c r="CN195" s="101">
        <f t="shared" si="13"/>
        <v>0</v>
      </c>
      <c r="CO195" s="101">
        <f t="shared" si="14"/>
        <v>0</v>
      </c>
    </row>
    <row r="196" spans="1:93" ht="13.9" customHeight="1" x14ac:dyDescent="0.2">
      <c r="A196" s="149">
        <v>8083</v>
      </c>
      <c r="B196" s="150" t="s">
        <v>323</v>
      </c>
      <c r="C196" s="150" t="s">
        <v>835</v>
      </c>
      <c r="D196" s="150" t="s">
        <v>836</v>
      </c>
      <c r="E196" s="150" t="s">
        <v>326</v>
      </c>
      <c r="F196" s="149">
        <v>524447</v>
      </c>
      <c r="G196" s="149">
        <v>175272</v>
      </c>
      <c r="H196" s="150" t="s">
        <v>171</v>
      </c>
      <c r="I196" s="151">
        <v>45345</v>
      </c>
      <c r="J196" s="151">
        <v>45345</v>
      </c>
      <c r="K196" s="149">
        <v>1</v>
      </c>
      <c r="L196" s="149">
        <v>1</v>
      </c>
      <c r="M196" s="149">
        <v>0</v>
      </c>
      <c r="N196" s="149">
        <v>1</v>
      </c>
      <c r="O196" s="149">
        <v>0</v>
      </c>
      <c r="P196" s="152"/>
      <c r="Q196" s="150" t="s">
        <v>837</v>
      </c>
      <c r="R196" s="150" t="s">
        <v>765</v>
      </c>
      <c r="S196" s="151">
        <v>45279</v>
      </c>
      <c r="T196" s="151">
        <v>45345</v>
      </c>
      <c r="U196" s="152" t="s">
        <v>327</v>
      </c>
      <c r="V196" s="150" t="s">
        <v>330</v>
      </c>
      <c r="W196" s="151"/>
      <c r="X196" s="150" t="s">
        <v>331</v>
      </c>
      <c r="Y196" s="150" t="s">
        <v>332</v>
      </c>
      <c r="Z196" s="150" t="s">
        <v>334</v>
      </c>
      <c r="AA196" s="150" t="s">
        <v>29</v>
      </c>
      <c r="AB196" s="153">
        <v>5.0000000000000001E-3</v>
      </c>
      <c r="AC196" s="151">
        <v>45345</v>
      </c>
      <c r="AD196" s="152" t="s">
        <v>327</v>
      </c>
      <c r="AE196" s="151">
        <v>45345</v>
      </c>
      <c r="AF196" s="150" t="s">
        <v>70</v>
      </c>
      <c r="AG196" s="152" t="s">
        <v>352</v>
      </c>
      <c r="AH196" s="150" t="s">
        <v>326</v>
      </c>
      <c r="AI196" s="99"/>
      <c r="AJ196" s="149"/>
      <c r="AK196" s="99"/>
      <c r="AL196" s="149"/>
      <c r="AM196" s="99"/>
      <c r="AN196" s="149">
        <v>0</v>
      </c>
      <c r="AO196" s="149">
        <v>0</v>
      </c>
      <c r="AP196" s="149">
        <v>0</v>
      </c>
      <c r="AQ196" s="149">
        <v>0</v>
      </c>
      <c r="AR196" s="149">
        <v>0</v>
      </c>
      <c r="AS196" s="149">
        <v>0</v>
      </c>
      <c r="AT196" s="149">
        <v>0</v>
      </c>
      <c r="AU196" s="149">
        <v>0</v>
      </c>
      <c r="AV196" s="149">
        <v>0</v>
      </c>
      <c r="AW196" s="149">
        <v>0</v>
      </c>
      <c r="AX196" s="149">
        <v>0</v>
      </c>
      <c r="AY196" s="149">
        <v>0</v>
      </c>
      <c r="AZ196" s="149">
        <v>0</v>
      </c>
      <c r="BA196" s="149">
        <v>0</v>
      </c>
      <c r="BB196" s="149">
        <v>0</v>
      </c>
      <c r="BC196" s="149">
        <v>0</v>
      </c>
      <c r="BD196" s="149">
        <v>0</v>
      </c>
      <c r="BE196" s="149">
        <v>1</v>
      </c>
      <c r="BF196" s="149">
        <v>0</v>
      </c>
      <c r="BG196" s="149">
        <v>0</v>
      </c>
      <c r="BH196" s="149">
        <v>0</v>
      </c>
      <c r="BI196" s="149">
        <v>0</v>
      </c>
      <c r="BJ196" s="149">
        <v>0</v>
      </c>
      <c r="BK196" s="149">
        <v>0</v>
      </c>
      <c r="BL196" s="149">
        <v>-1</v>
      </c>
      <c r="BM196" s="149">
        <v>0</v>
      </c>
      <c r="BN196" s="149">
        <v>0</v>
      </c>
      <c r="BO196" s="149">
        <v>0</v>
      </c>
      <c r="BP196" s="152"/>
      <c r="BQ196" s="152"/>
      <c r="BR196" s="154" t="s">
        <v>359</v>
      </c>
      <c r="BS196" s="136">
        <v>11</v>
      </c>
      <c r="BT196" s="267">
        <f t="shared" si="12"/>
        <v>0</v>
      </c>
      <c r="BU196" s="267"/>
      <c r="BV196" s="267"/>
      <c r="BW196" s="267"/>
      <c r="BX196" s="267"/>
      <c r="BY196" s="267"/>
      <c r="BZ196" s="267"/>
      <c r="CA196" s="267"/>
      <c r="CB196" s="267"/>
      <c r="CC196" s="267"/>
      <c r="CD196" s="267"/>
      <c r="CE196" s="267"/>
      <c r="CF196" s="267"/>
      <c r="CG196" s="267"/>
      <c r="CH196" s="267"/>
      <c r="CI196" s="267"/>
      <c r="CJ196" s="267"/>
      <c r="CK196" s="267"/>
      <c r="CL196" s="267"/>
      <c r="CM196" s="267"/>
      <c r="CN196" s="101">
        <f t="shared" si="13"/>
        <v>0</v>
      </c>
      <c r="CO196" s="101">
        <f t="shared" si="14"/>
        <v>0</v>
      </c>
    </row>
    <row r="197" spans="1:93" ht="13.9" customHeight="1" x14ac:dyDescent="0.2">
      <c r="A197" s="149">
        <v>7809</v>
      </c>
      <c r="B197" s="150" t="s">
        <v>323</v>
      </c>
      <c r="C197" s="150" t="s">
        <v>838</v>
      </c>
      <c r="D197" s="150" t="s">
        <v>839</v>
      </c>
      <c r="E197" s="150" t="s">
        <v>326</v>
      </c>
      <c r="F197" s="149">
        <v>523600</v>
      </c>
      <c r="G197" s="149">
        <v>174996</v>
      </c>
      <c r="H197" s="150" t="s">
        <v>179</v>
      </c>
      <c r="I197" s="151">
        <v>45336</v>
      </c>
      <c r="J197" s="151">
        <v>45336</v>
      </c>
      <c r="K197" s="149">
        <v>3</v>
      </c>
      <c r="L197" s="149">
        <v>1</v>
      </c>
      <c r="M197" s="149">
        <v>-2</v>
      </c>
      <c r="N197" s="149">
        <v>1</v>
      </c>
      <c r="O197" s="149">
        <v>-2</v>
      </c>
      <c r="P197" s="152"/>
      <c r="Q197" s="150" t="s">
        <v>840</v>
      </c>
      <c r="R197" s="150" t="s">
        <v>765</v>
      </c>
      <c r="S197" s="151">
        <v>45280</v>
      </c>
      <c r="T197" s="151">
        <v>45336</v>
      </c>
      <c r="U197" s="152" t="s">
        <v>327</v>
      </c>
      <c r="V197" s="150" t="s">
        <v>330</v>
      </c>
      <c r="W197" s="151"/>
      <c r="X197" s="150" t="s">
        <v>331</v>
      </c>
      <c r="Y197" s="150" t="s">
        <v>350</v>
      </c>
      <c r="Z197" s="150" t="s">
        <v>334</v>
      </c>
      <c r="AA197" s="150" t="s">
        <v>18</v>
      </c>
      <c r="AB197" s="153">
        <v>0</v>
      </c>
      <c r="AC197" s="151">
        <v>45336</v>
      </c>
      <c r="AD197" s="152" t="s">
        <v>327</v>
      </c>
      <c r="AE197" s="151">
        <v>45336</v>
      </c>
      <c r="AF197" s="150" t="s">
        <v>70</v>
      </c>
      <c r="AG197" s="152" t="s">
        <v>352</v>
      </c>
      <c r="AH197" s="150" t="s">
        <v>326</v>
      </c>
      <c r="AI197" s="99"/>
      <c r="AJ197" s="149"/>
      <c r="AK197" s="99"/>
      <c r="AL197" s="149"/>
      <c r="AM197" s="99"/>
      <c r="AN197" s="149">
        <v>0</v>
      </c>
      <c r="AO197" s="149">
        <v>-1</v>
      </c>
      <c r="AP197" s="149">
        <v>-2</v>
      </c>
      <c r="AQ197" s="149">
        <v>0</v>
      </c>
      <c r="AR197" s="149">
        <v>1</v>
      </c>
      <c r="AS197" s="149">
        <v>0</v>
      </c>
      <c r="AT197" s="149">
        <v>0</v>
      </c>
      <c r="AU197" s="149">
        <v>0</v>
      </c>
      <c r="AV197" s="149">
        <v>-1</v>
      </c>
      <c r="AW197" s="149">
        <v>-2</v>
      </c>
      <c r="AX197" s="149">
        <v>0</v>
      </c>
      <c r="AY197" s="149">
        <v>0</v>
      </c>
      <c r="AZ197" s="149">
        <v>0</v>
      </c>
      <c r="BA197" s="149">
        <v>0</v>
      </c>
      <c r="BB197" s="149">
        <v>0</v>
      </c>
      <c r="BC197" s="149">
        <v>0</v>
      </c>
      <c r="BD197" s="149">
        <v>0</v>
      </c>
      <c r="BE197" s="149">
        <v>0</v>
      </c>
      <c r="BF197" s="149">
        <v>1</v>
      </c>
      <c r="BG197" s="149">
        <v>0</v>
      </c>
      <c r="BH197" s="149">
        <v>0</v>
      </c>
      <c r="BI197" s="149">
        <v>0</v>
      </c>
      <c r="BJ197" s="149">
        <v>0</v>
      </c>
      <c r="BK197" s="149">
        <v>0</v>
      </c>
      <c r="BL197" s="149">
        <v>0</v>
      </c>
      <c r="BM197" s="149">
        <v>0</v>
      </c>
      <c r="BN197" s="149">
        <v>0</v>
      </c>
      <c r="BO197" s="149">
        <v>0</v>
      </c>
      <c r="BP197" s="152"/>
      <c r="BQ197" s="152"/>
      <c r="BR197" s="154" t="s">
        <v>359</v>
      </c>
      <c r="BS197" s="136">
        <v>11</v>
      </c>
      <c r="BT197" s="267">
        <f t="shared" si="12"/>
        <v>-2</v>
      </c>
      <c r="BU197" s="267"/>
      <c r="BV197" s="267"/>
      <c r="BW197" s="267"/>
      <c r="BX197" s="267"/>
      <c r="BY197" s="267"/>
      <c r="BZ197" s="267"/>
      <c r="CA197" s="267"/>
      <c r="CB197" s="267"/>
      <c r="CC197" s="267"/>
      <c r="CD197" s="267"/>
      <c r="CE197" s="267"/>
      <c r="CF197" s="267"/>
      <c r="CG197" s="267"/>
      <c r="CH197" s="267"/>
      <c r="CI197" s="267"/>
      <c r="CJ197" s="267"/>
      <c r="CK197" s="267"/>
      <c r="CL197" s="267"/>
      <c r="CM197" s="267"/>
      <c r="CN197" s="101">
        <f t="shared" si="13"/>
        <v>0</v>
      </c>
      <c r="CO197" s="101">
        <f t="shared" si="14"/>
        <v>0</v>
      </c>
    </row>
    <row r="198" spans="1:93" ht="13.9" customHeight="1" x14ac:dyDescent="0.2">
      <c r="A198" s="149">
        <v>8086</v>
      </c>
      <c r="B198" s="150" t="s">
        <v>323</v>
      </c>
      <c r="C198" s="150" t="s">
        <v>841</v>
      </c>
      <c r="D198" s="150" t="s">
        <v>842</v>
      </c>
      <c r="E198" s="150" t="s">
        <v>326</v>
      </c>
      <c r="F198" s="149">
        <v>527273</v>
      </c>
      <c r="G198" s="149">
        <v>173831</v>
      </c>
      <c r="H198" s="150" t="s">
        <v>176</v>
      </c>
      <c r="I198" s="151">
        <v>45359</v>
      </c>
      <c r="J198" s="151">
        <v>45359</v>
      </c>
      <c r="K198" s="149">
        <v>1</v>
      </c>
      <c r="L198" s="149">
        <v>1</v>
      </c>
      <c r="M198" s="149">
        <v>0</v>
      </c>
      <c r="N198" s="149">
        <v>1</v>
      </c>
      <c r="O198" s="149">
        <v>0</v>
      </c>
      <c r="P198" s="152"/>
      <c r="Q198" s="150" t="s">
        <v>804</v>
      </c>
      <c r="R198" s="150" t="s">
        <v>358</v>
      </c>
      <c r="S198" s="151">
        <v>45294</v>
      </c>
      <c r="T198" s="151">
        <v>45359</v>
      </c>
      <c r="U198" s="152" t="s">
        <v>327</v>
      </c>
      <c r="V198" s="150" t="s">
        <v>330</v>
      </c>
      <c r="W198" s="151"/>
      <c r="X198" s="150" t="s">
        <v>331</v>
      </c>
      <c r="Y198" s="150" t="s">
        <v>332</v>
      </c>
      <c r="Z198" s="150" t="s">
        <v>334</v>
      </c>
      <c r="AA198" s="150" t="s">
        <v>18</v>
      </c>
      <c r="AB198" s="153">
        <v>3.8351000000000003E-2</v>
      </c>
      <c r="AC198" s="151">
        <v>45359</v>
      </c>
      <c r="AD198" s="152" t="s">
        <v>327</v>
      </c>
      <c r="AE198" s="151">
        <v>45359</v>
      </c>
      <c r="AF198" s="150" t="s">
        <v>70</v>
      </c>
      <c r="AG198" s="152" t="s">
        <v>352</v>
      </c>
      <c r="AH198" s="150" t="s">
        <v>326</v>
      </c>
      <c r="AI198" s="99"/>
      <c r="AJ198" s="149"/>
      <c r="AK198" s="99"/>
      <c r="AL198" s="149"/>
      <c r="AM198" s="99"/>
      <c r="AN198" s="149">
        <v>0</v>
      </c>
      <c r="AO198" s="149">
        <v>0</v>
      </c>
      <c r="AP198" s="149">
        <v>0</v>
      </c>
      <c r="AQ198" s="149">
        <v>0</v>
      </c>
      <c r="AR198" s="149">
        <v>0</v>
      </c>
      <c r="AS198" s="149">
        <v>0</v>
      </c>
      <c r="AT198" s="149">
        <v>0</v>
      </c>
      <c r="AU198" s="149">
        <v>0</v>
      </c>
      <c r="AV198" s="149">
        <v>0</v>
      </c>
      <c r="AW198" s="149">
        <v>0</v>
      </c>
      <c r="AX198" s="149">
        <v>0</v>
      </c>
      <c r="AY198" s="149">
        <v>0</v>
      </c>
      <c r="AZ198" s="149">
        <v>0</v>
      </c>
      <c r="BA198" s="149">
        <v>0</v>
      </c>
      <c r="BB198" s="149">
        <v>0</v>
      </c>
      <c r="BC198" s="149">
        <v>0</v>
      </c>
      <c r="BD198" s="149">
        <v>0</v>
      </c>
      <c r="BE198" s="149">
        <v>0</v>
      </c>
      <c r="BF198" s="149">
        <v>0</v>
      </c>
      <c r="BG198" s="149">
        <v>0</v>
      </c>
      <c r="BH198" s="149">
        <v>0</v>
      </c>
      <c r="BI198" s="149">
        <v>0</v>
      </c>
      <c r="BJ198" s="149">
        <v>0</v>
      </c>
      <c r="BK198" s="149">
        <v>0</v>
      </c>
      <c r="BL198" s="149">
        <v>0</v>
      </c>
      <c r="BM198" s="149">
        <v>0</v>
      </c>
      <c r="BN198" s="149">
        <v>0</v>
      </c>
      <c r="BO198" s="149">
        <v>0</v>
      </c>
      <c r="BP198" s="152"/>
      <c r="BQ198" s="152"/>
      <c r="BR198" s="154" t="s">
        <v>359</v>
      </c>
      <c r="BS198" s="136">
        <v>11</v>
      </c>
      <c r="BT198" s="267">
        <f t="shared" si="12"/>
        <v>0</v>
      </c>
      <c r="BU198" s="267"/>
      <c r="BV198" s="267"/>
      <c r="BW198" s="267"/>
      <c r="BX198" s="267"/>
      <c r="BY198" s="267"/>
      <c r="BZ198" s="267"/>
      <c r="CA198" s="267"/>
      <c r="CB198" s="267"/>
      <c r="CC198" s="267"/>
      <c r="CD198" s="267"/>
      <c r="CE198" s="267"/>
      <c r="CF198" s="267"/>
      <c r="CG198" s="267"/>
      <c r="CH198" s="267"/>
      <c r="CI198" s="267"/>
      <c r="CJ198" s="267"/>
      <c r="CK198" s="267"/>
      <c r="CL198" s="267"/>
      <c r="CM198" s="267"/>
      <c r="CN198" s="101">
        <f t="shared" si="13"/>
        <v>0</v>
      </c>
      <c r="CO198" s="101">
        <f t="shared" si="14"/>
        <v>0</v>
      </c>
    </row>
    <row r="199" spans="1:93" ht="13.9" customHeight="1" x14ac:dyDescent="0.2">
      <c r="A199" s="149">
        <v>8110</v>
      </c>
      <c r="B199" s="150" t="s">
        <v>323</v>
      </c>
      <c r="C199" s="150" t="s">
        <v>843</v>
      </c>
      <c r="D199" s="150" t="s">
        <v>844</v>
      </c>
      <c r="E199" s="150" t="s">
        <v>326</v>
      </c>
      <c r="F199" s="149">
        <v>526413</v>
      </c>
      <c r="G199" s="149">
        <v>175739</v>
      </c>
      <c r="H199" s="150" t="s">
        <v>170</v>
      </c>
      <c r="I199" s="151">
        <v>45373</v>
      </c>
      <c r="J199" s="151">
        <v>45373</v>
      </c>
      <c r="K199" s="149">
        <v>1</v>
      </c>
      <c r="L199" s="149">
        <v>1</v>
      </c>
      <c r="M199" s="149">
        <v>0</v>
      </c>
      <c r="N199" s="149">
        <v>1</v>
      </c>
      <c r="O199" s="149">
        <v>0</v>
      </c>
      <c r="P199" s="152"/>
      <c r="Q199" s="150" t="s">
        <v>845</v>
      </c>
      <c r="R199" s="150" t="s">
        <v>765</v>
      </c>
      <c r="S199" s="151">
        <v>45320</v>
      </c>
      <c r="T199" s="151">
        <v>45373</v>
      </c>
      <c r="U199" s="152" t="s">
        <v>327</v>
      </c>
      <c r="V199" s="150" t="s">
        <v>330</v>
      </c>
      <c r="W199" s="151"/>
      <c r="X199" s="150" t="s">
        <v>331</v>
      </c>
      <c r="Y199" s="150" t="s">
        <v>350</v>
      </c>
      <c r="Z199" s="150" t="s">
        <v>334</v>
      </c>
      <c r="AA199" s="150" t="s">
        <v>32</v>
      </c>
      <c r="AB199" s="153">
        <v>1.0992E-2</v>
      </c>
      <c r="AC199" s="151">
        <v>45373</v>
      </c>
      <c r="AD199" s="152" t="s">
        <v>327</v>
      </c>
      <c r="AE199" s="151">
        <v>45373</v>
      </c>
      <c r="AF199" s="150" t="s">
        <v>70</v>
      </c>
      <c r="AG199" s="152" t="s">
        <v>352</v>
      </c>
      <c r="AH199" s="150" t="s">
        <v>326</v>
      </c>
      <c r="AI199" s="99"/>
      <c r="AJ199" s="149"/>
      <c r="AK199" s="99"/>
      <c r="AL199" s="149"/>
      <c r="AM199" s="99"/>
      <c r="AN199" s="149">
        <v>0</v>
      </c>
      <c r="AO199" s="149">
        <v>0</v>
      </c>
      <c r="AP199" s="149">
        <v>0</v>
      </c>
      <c r="AQ199" s="149">
        <v>0</v>
      </c>
      <c r="AR199" s="149">
        <v>1</v>
      </c>
      <c r="AS199" s="149">
        <v>-1</v>
      </c>
      <c r="AT199" s="149">
        <v>0</v>
      </c>
      <c r="AU199" s="149">
        <v>0</v>
      </c>
      <c r="AV199" s="149">
        <v>0</v>
      </c>
      <c r="AW199" s="149">
        <v>0</v>
      </c>
      <c r="AX199" s="149">
        <v>0</v>
      </c>
      <c r="AY199" s="149">
        <v>0</v>
      </c>
      <c r="AZ199" s="149">
        <v>0</v>
      </c>
      <c r="BA199" s="149">
        <v>0</v>
      </c>
      <c r="BB199" s="149">
        <v>0</v>
      </c>
      <c r="BC199" s="149">
        <v>0</v>
      </c>
      <c r="BD199" s="149">
        <v>0</v>
      </c>
      <c r="BE199" s="149">
        <v>0</v>
      </c>
      <c r="BF199" s="149">
        <v>1</v>
      </c>
      <c r="BG199" s="149">
        <v>0</v>
      </c>
      <c r="BH199" s="149">
        <v>0</v>
      </c>
      <c r="BI199" s="149">
        <v>0</v>
      </c>
      <c r="BJ199" s="149">
        <v>0</v>
      </c>
      <c r="BK199" s="149">
        <v>0</v>
      </c>
      <c r="BL199" s="149">
        <v>0</v>
      </c>
      <c r="BM199" s="149">
        <v>0</v>
      </c>
      <c r="BN199" s="149">
        <v>-1</v>
      </c>
      <c r="BO199" s="149">
        <v>0</v>
      </c>
      <c r="BP199" s="152"/>
      <c r="BQ199" s="152"/>
      <c r="BR199" s="154" t="s">
        <v>408</v>
      </c>
      <c r="BS199" s="136">
        <v>11</v>
      </c>
      <c r="BT199" s="267">
        <f t="shared" si="12"/>
        <v>0</v>
      </c>
      <c r="BU199" s="267"/>
      <c r="BV199" s="267"/>
      <c r="BW199" s="267"/>
      <c r="BX199" s="267"/>
      <c r="BY199" s="267"/>
      <c r="BZ199" s="267"/>
      <c r="CA199" s="267"/>
      <c r="CB199" s="267"/>
      <c r="CC199" s="267"/>
      <c r="CD199" s="267"/>
      <c r="CE199" s="267"/>
      <c r="CF199" s="267"/>
      <c r="CG199" s="267"/>
      <c r="CH199" s="267"/>
      <c r="CI199" s="267"/>
      <c r="CJ199" s="267"/>
      <c r="CK199" s="267"/>
      <c r="CL199" s="267"/>
      <c r="CM199" s="267"/>
      <c r="CN199" s="101">
        <f t="shared" si="13"/>
        <v>0</v>
      </c>
      <c r="CO199" s="101">
        <f t="shared" si="14"/>
        <v>0</v>
      </c>
    </row>
    <row r="200" spans="1:93" ht="13.9" customHeight="1" x14ac:dyDescent="0.2">
      <c r="A200" s="156">
        <v>3961</v>
      </c>
      <c r="B200" s="157" t="s">
        <v>323</v>
      </c>
      <c r="C200" s="157" t="s">
        <v>846</v>
      </c>
      <c r="D200" s="157" t="s">
        <v>847</v>
      </c>
      <c r="E200" s="157" t="s">
        <v>326</v>
      </c>
      <c r="F200" s="156">
        <v>527645</v>
      </c>
      <c r="G200" s="156">
        <v>171873</v>
      </c>
      <c r="H200" s="157" t="s">
        <v>172</v>
      </c>
      <c r="I200" s="156" t="s">
        <v>848</v>
      </c>
      <c r="J200" s="156" t="s">
        <v>848</v>
      </c>
      <c r="K200" s="156">
        <v>32</v>
      </c>
      <c r="L200" s="156">
        <v>0</v>
      </c>
      <c r="M200" s="156">
        <v>-32</v>
      </c>
      <c r="N200" s="156">
        <v>0</v>
      </c>
      <c r="O200" s="156">
        <v>0</v>
      </c>
      <c r="P200" s="168" t="s">
        <v>327</v>
      </c>
      <c r="Q200" s="157" t="s">
        <v>849</v>
      </c>
      <c r="R200" s="157" t="s">
        <v>850</v>
      </c>
      <c r="S200" s="156" t="s">
        <v>851</v>
      </c>
      <c r="T200" s="156" t="s">
        <v>848</v>
      </c>
      <c r="U200" s="157"/>
      <c r="V200" s="157" t="s">
        <v>330</v>
      </c>
      <c r="W200" s="156" t="s">
        <v>326</v>
      </c>
      <c r="X200" s="157" t="s">
        <v>331</v>
      </c>
      <c r="Y200" s="157" t="s">
        <v>350</v>
      </c>
      <c r="Z200" s="157" t="s">
        <v>852</v>
      </c>
      <c r="AA200" s="157" t="s">
        <v>334</v>
      </c>
      <c r="AB200" s="158">
        <v>0.14599999999999999</v>
      </c>
      <c r="AC200" s="156" t="s">
        <v>848</v>
      </c>
      <c r="AD200" s="157"/>
      <c r="AE200" s="156" t="s">
        <v>848</v>
      </c>
      <c r="AF200" s="157" t="s">
        <v>70</v>
      </c>
      <c r="AG200" s="157" t="s">
        <v>337</v>
      </c>
      <c r="AH200" s="157" t="s">
        <v>853</v>
      </c>
      <c r="AI200" s="99"/>
      <c r="AJ200" s="156">
        <v>0</v>
      </c>
      <c r="AK200" s="99"/>
      <c r="AL200" s="156">
        <v>0</v>
      </c>
      <c r="AM200" s="99"/>
      <c r="AN200" s="156">
        <v>0</v>
      </c>
      <c r="AO200" s="156">
        <v>-7</v>
      </c>
      <c r="AP200" s="156">
        <v>-22</v>
      </c>
      <c r="AQ200" s="156">
        <v>-3</v>
      </c>
      <c r="AR200" s="156">
        <v>0</v>
      </c>
      <c r="AS200" s="156">
        <v>0</v>
      </c>
      <c r="AT200" s="156">
        <v>0</v>
      </c>
      <c r="AU200" s="156">
        <v>0</v>
      </c>
      <c r="AV200" s="156">
        <v>-7</v>
      </c>
      <c r="AW200" s="156">
        <v>-22</v>
      </c>
      <c r="AX200" s="156">
        <v>-3</v>
      </c>
      <c r="AY200" s="156">
        <v>0</v>
      </c>
      <c r="AZ200" s="156">
        <v>0</v>
      </c>
      <c r="BA200" s="156">
        <v>0</v>
      </c>
      <c r="BB200" s="156">
        <v>0</v>
      </c>
      <c r="BC200" s="156">
        <v>0</v>
      </c>
      <c r="BD200" s="156">
        <v>0</v>
      </c>
      <c r="BE200" s="156">
        <v>0</v>
      </c>
      <c r="BF200" s="156">
        <v>0</v>
      </c>
      <c r="BG200" s="156">
        <v>0</v>
      </c>
      <c r="BH200" s="156">
        <v>0</v>
      </c>
      <c r="BI200" s="156">
        <v>0</v>
      </c>
      <c r="BJ200" s="156">
        <v>0</v>
      </c>
      <c r="BK200" s="156">
        <v>0</v>
      </c>
      <c r="BL200" s="156">
        <v>0</v>
      </c>
      <c r="BM200" s="156">
        <v>0</v>
      </c>
      <c r="BN200" s="156">
        <v>0</v>
      </c>
      <c r="BO200" s="156">
        <v>0</v>
      </c>
      <c r="BP200" s="152" t="s">
        <v>142</v>
      </c>
      <c r="BQ200" s="152"/>
      <c r="BR200" s="154" t="s">
        <v>142</v>
      </c>
      <c r="BS200" s="136">
        <v>23</v>
      </c>
      <c r="BT200" s="267">
        <f t="shared" si="12"/>
        <v>-32</v>
      </c>
      <c r="BU200" s="267"/>
      <c r="BV200" s="267"/>
      <c r="BW200" s="267"/>
      <c r="BX200" s="267"/>
      <c r="BY200" s="267"/>
      <c r="BZ200" s="267"/>
      <c r="CA200" s="267"/>
      <c r="CB200" s="267"/>
      <c r="CC200" s="267"/>
      <c r="CD200" s="267"/>
      <c r="CE200" s="267"/>
      <c r="CF200" s="267"/>
      <c r="CG200" s="267"/>
      <c r="CH200" s="267"/>
      <c r="CI200" s="267"/>
      <c r="CJ200" s="267"/>
      <c r="CK200" s="267"/>
      <c r="CL200" s="267"/>
      <c r="CM200" s="267"/>
      <c r="CN200" s="101">
        <f t="shared" si="13"/>
        <v>0</v>
      </c>
      <c r="CO200" s="101">
        <f t="shared" si="14"/>
        <v>0</v>
      </c>
    </row>
    <row r="201" spans="1:93" ht="13.9" customHeight="1" x14ac:dyDescent="0.2">
      <c r="A201" s="156">
        <v>3961</v>
      </c>
      <c r="B201" s="157" t="s">
        <v>323</v>
      </c>
      <c r="C201" s="157" t="s">
        <v>846</v>
      </c>
      <c r="D201" s="157" t="s">
        <v>847</v>
      </c>
      <c r="E201" s="157" t="s">
        <v>326</v>
      </c>
      <c r="F201" s="156">
        <v>527645</v>
      </c>
      <c r="G201" s="156">
        <v>171873</v>
      </c>
      <c r="H201" s="157" t="s">
        <v>172</v>
      </c>
      <c r="I201" s="156" t="s">
        <v>848</v>
      </c>
      <c r="J201" s="156" t="s">
        <v>848</v>
      </c>
      <c r="K201" s="156">
        <v>9</v>
      </c>
      <c r="L201" s="156">
        <v>0</v>
      </c>
      <c r="M201" s="156">
        <v>-9</v>
      </c>
      <c r="N201" s="156">
        <v>0</v>
      </c>
      <c r="O201" s="156">
        <v>0</v>
      </c>
      <c r="P201" s="168" t="s">
        <v>327</v>
      </c>
      <c r="Q201" s="157" t="s">
        <v>849</v>
      </c>
      <c r="R201" s="157" t="s">
        <v>850</v>
      </c>
      <c r="S201" s="156" t="s">
        <v>851</v>
      </c>
      <c r="T201" s="156" t="s">
        <v>848</v>
      </c>
      <c r="U201" s="157"/>
      <c r="V201" s="157" t="s">
        <v>330</v>
      </c>
      <c r="W201" s="156" t="s">
        <v>326</v>
      </c>
      <c r="X201" s="157" t="s">
        <v>331</v>
      </c>
      <c r="Y201" s="157" t="s">
        <v>350</v>
      </c>
      <c r="Z201" s="157" t="s">
        <v>852</v>
      </c>
      <c r="AA201" s="157" t="s">
        <v>334</v>
      </c>
      <c r="AB201" s="158">
        <v>0.06</v>
      </c>
      <c r="AC201" s="156" t="s">
        <v>848</v>
      </c>
      <c r="AD201" s="157"/>
      <c r="AE201" s="156" t="s">
        <v>848</v>
      </c>
      <c r="AF201" s="157" t="s">
        <v>70</v>
      </c>
      <c r="AG201" s="157" t="s">
        <v>337</v>
      </c>
      <c r="AH201" s="157" t="s">
        <v>853</v>
      </c>
      <c r="AI201" s="99"/>
      <c r="AJ201" s="156">
        <v>0</v>
      </c>
      <c r="AK201" s="99"/>
      <c r="AL201" s="156">
        <v>0</v>
      </c>
      <c r="AM201" s="99"/>
      <c r="AN201" s="156">
        <v>0</v>
      </c>
      <c r="AO201" s="156">
        <v>-2</v>
      </c>
      <c r="AP201" s="156">
        <v>-6</v>
      </c>
      <c r="AQ201" s="156">
        <v>-1</v>
      </c>
      <c r="AR201" s="156">
        <v>0</v>
      </c>
      <c r="AS201" s="156">
        <v>0</v>
      </c>
      <c r="AT201" s="156">
        <v>0</v>
      </c>
      <c r="AU201" s="156">
        <v>0</v>
      </c>
      <c r="AV201" s="156">
        <v>-2</v>
      </c>
      <c r="AW201" s="156">
        <v>-6</v>
      </c>
      <c r="AX201" s="156">
        <v>-1</v>
      </c>
      <c r="AY201" s="156">
        <v>0</v>
      </c>
      <c r="AZ201" s="156">
        <v>0</v>
      </c>
      <c r="BA201" s="156">
        <v>0</v>
      </c>
      <c r="BB201" s="156">
        <v>0</v>
      </c>
      <c r="BC201" s="156">
        <v>0</v>
      </c>
      <c r="BD201" s="156">
        <v>0</v>
      </c>
      <c r="BE201" s="156">
        <v>0</v>
      </c>
      <c r="BF201" s="156">
        <v>0</v>
      </c>
      <c r="BG201" s="156">
        <v>0</v>
      </c>
      <c r="BH201" s="156">
        <v>0</v>
      </c>
      <c r="BI201" s="156">
        <v>0</v>
      </c>
      <c r="BJ201" s="156">
        <v>0</v>
      </c>
      <c r="BK201" s="156">
        <v>0</v>
      </c>
      <c r="BL201" s="156">
        <v>0</v>
      </c>
      <c r="BM201" s="156">
        <v>0</v>
      </c>
      <c r="BN201" s="156">
        <v>0</v>
      </c>
      <c r="BO201" s="156">
        <v>0</v>
      </c>
      <c r="BP201" s="152" t="s">
        <v>142</v>
      </c>
      <c r="BQ201" s="152"/>
      <c r="BR201" s="154" t="s">
        <v>142</v>
      </c>
      <c r="BS201" s="136">
        <v>23</v>
      </c>
      <c r="BT201" s="267">
        <f t="shared" si="12"/>
        <v>-9</v>
      </c>
      <c r="BU201" s="267"/>
      <c r="BV201" s="267"/>
      <c r="BW201" s="267"/>
      <c r="BX201" s="267"/>
      <c r="BY201" s="267"/>
      <c r="BZ201" s="267"/>
      <c r="CA201" s="267"/>
      <c r="CB201" s="267"/>
      <c r="CC201" s="267"/>
      <c r="CD201" s="267"/>
      <c r="CE201" s="267"/>
      <c r="CF201" s="267"/>
      <c r="CG201" s="267"/>
      <c r="CH201" s="267"/>
      <c r="CI201" s="267"/>
      <c r="CJ201" s="267"/>
      <c r="CK201" s="267"/>
      <c r="CL201" s="267"/>
      <c r="CM201" s="267"/>
      <c r="CN201" s="101">
        <f t="shared" si="13"/>
        <v>0</v>
      </c>
      <c r="CO201" s="101">
        <f t="shared" si="14"/>
        <v>0</v>
      </c>
    </row>
    <row r="202" spans="1:93" ht="13.9" customHeight="1" x14ac:dyDescent="0.2">
      <c r="A202" s="149">
        <v>378</v>
      </c>
      <c r="B202" s="150" t="s">
        <v>854</v>
      </c>
      <c r="C202" s="150" t="s">
        <v>855</v>
      </c>
      <c r="D202" s="150" t="s">
        <v>856</v>
      </c>
      <c r="E202" s="150" t="s">
        <v>326</v>
      </c>
      <c r="F202" s="149">
        <v>527913</v>
      </c>
      <c r="G202" s="149">
        <v>170958</v>
      </c>
      <c r="H202" s="150" t="s">
        <v>173</v>
      </c>
      <c r="I202" s="151">
        <v>45154</v>
      </c>
      <c r="J202" s="151"/>
      <c r="K202" s="149">
        <v>0</v>
      </c>
      <c r="L202" s="149">
        <v>21</v>
      </c>
      <c r="M202" s="149">
        <v>21</v>
      </c>
      <c r="N202" s="149">
        <v>21</v>
      </c>
      <c r="O202" s="149">
        <v>21</v>
      </c>
      <c r="P202" s="152" t="s">
        <v>327</v>
      </c>
      <c r="Q202" s="150" t="s">
        <v>857</v>
      </c>
      <c r="R202" s="150" t="s">
        <v>329</v>
      </c>
      <c r="S202" s="151">
        <v>44820</v>
      </c>
      <c r="T202" s="151">
        <v>45016</v>
      </c>
      <c r="U202" s="152"/>
      <c r="V202" s="150" t="s">
        <v>330</v>
      </c>
      <c r="W202" s="151"/>
      <c r="X202" s="150" t="s">
        <v>331</v>
      </c>
      <c r="Y202" s="150" t="s">
        <v>343</v>
      </c>
      <c r="Z202" s="150" t="s">
        <v>343</v>
      </c>
      <c r="AA202" s="150" t="s">
        <v>334</v>
      </c>
      <c r="AB202" s="153">
        <v>4.5874999999999999E-2</v>
      </c>
      <c r="AC202" s="151">
        <v>45154</v>
      </c>
      <c r="AD202" s="152" t="s">
        <v>327</v>
      </c>
      <c r="AE202" s="151"/>
      <c r="AF202" s="150" t="s">
        <v>70</v>
      </c>
      <c r="AG202" s="152" t="s">
        <v>352</v>
      </c>
      <c r="AH202" s="150" t="s">
        <v>326</v>
      </c>
      <c r="AI202" s="99"/>
      <c r="AJ202" s="149"/>
      <c r="AK202" s="138">
        <v>19</v>
      </c>
      <c r="AL202" s="149"/>
      <c r="AM202" s="138">
        <v>2</v>
      </c>
      <c r="AN202" s="149">
        <v>1</v>
      </c>
      <c r="AO202" s="149">
        <v>4</v>
      </c>
      <c r="AP202" s="149">
        <v>14</v>
      </c>
      <c r="AQ202" s="149">
        <v>2</v>
      </c>
      <c r="AR202" s="149">
        <v>0</v>
      </c>
      <c r="AS202" s="149">
        <v>0</v>
      </c>
      <c r="AT202" s="149">
        <v>0</v>
      </c>
      <c r="AU202" s="149">
        <v>1</v>
      </c>
      <c r="AV202" s="149">
        <v>4</v>
      </c>
      <c r="AW202" s="149">
        <v>14</v>
      </c>
      <c r="AX202" s="149">
        <v>2</v>
      </c>
      <c r="AY202" s="149">
        <v>0</v>
      </c>
      <c r="AZ202" s="149">
        <v>0</v>
      </c>
      <c r="BA202" s="149">
        <v>0</v>
      </c>
      <c r="BB202" s="149">
        <v>0</v>
      </c>
      <c r="BC202" s="149">
        <v>0</v>
      </c>
      <c r="BD202" s="149">
        <v>0</v>
      </c>
      <c r="BE202" s="149">
        <v>0</v>
      </c>
      <c r="BF202" s="149">
        <v>0</v>
      </c>
      <c r="BG202" s="149">
        <v>0</v>
      </c>
      <c r="BH202" s="149">
        <v>0</v>
      </c>
      <c r="BI202" s="149">
        <v>0</v>
      </c>
      <c r="BJ202" s="149">
        <v>0</v>
      </c>
      <c r="BK202" s="149">
        <v>0</v>
      </c>
      <c r="BL202" s="149">
        <v>0</v>
      </c>
      <c r="BM202" s="149">
        <v>0</v>
      </c>
      <c r="BN202" s="149">
        <v>0</v>
      </c>
      <c r="BO202" s="149">
        <v>0</v>
      </c>
      <c r="BP202" s="152"/>
      <c r="BQ202" s="152"/>
      <c r="BR202" s="154" t="s">
        <v>359</v>
      </c>
      <c r="BS202" s="136">
        <v>5</v>
      </c>
      <c r="BT202" s="267"/>
      <c r="BU202" s="267"/>
      <c r="BV202" s="267">
        <f>M202</f>
        <v>21</v>
      </c>
      <c r="BW202" s="267"/>
      <c r="BX202" s="267"/>
      <c r="BY202" s="267"/>
      <c r="BZ202" s="267"/>
      <c r="CA202" s="267"/>
      <c r="CB202" s="267"/>
      <c r="CC202" s="267"/>
      <c r="CD202" s="267"/>
      <c r="CE202" s="267"/>
      <c r="CF202" s="267"/>
      <c r="CG202" s="267"/>
      <c r="CH202" s="267"/>
      <c r="CI202" s="267"/>
      <c r="CJ202" s="267"/>
      <c r="CK202" s="267"/>
      <c r="CL202" s="267"/>
      <c r="CM202" s="267"/>
      <c r="CN202" s="101">
        <f t="shared" si="13"/>
        <v>21</v>
      </c>
      <c r="CO202" s="101">
        <f t="shared" si="14"/>
        <v>21</v>
      </c>
    </row>
    <row r="203" spans="1:93" ht="13.9" customHeight="1" x14ac:dyDescent="0.2">
      <c r="A203" s="149">
        <v>4260</v>
      </c>
      <c r="B203" s="150" t="s">
        <v>854</v>
      </c>
      <c r="C203" s="150" t="s">
        <v>858</v>
      </c>
      <c r="D203" s="150" t="s">
        <v>859</v>
      </c>
      <c r="E203" s="150" t="s">
        <v>326</v>
      </c>
      <c r="F203" s="149">
        <v>526461</v>
      </c>
      <c r="G203" s="149">
        <v>172543</v>
      </c>
      <c r="H203" s="150" t="s">
        <v>176</v>
      </c>
      <c r="I203" s="151">
        <v>43190</v>
      </c>
      <c r="J203" s="151"/>
      <c r="K203" s="149">
        <v>0</v>
      </c>
      <c r="L203" s="149">
        <v>3</v>
      </c>
      <c r="M203" s="149">
        <v>3</v>
      </c>
      <c r="N203" s="149">
        <v>3</v>
      </c>
      <c r="O203" s="149">
        <v>3</v>
      </c>
      <c r="P203" s="152"/>
      <c r="Q203" s="150" t="s">
        <v>860</v>
      </c>
      <c r="R203" s="150" t="s">
        <v>349</v>
      </c>
      <c r="S203" s="151">
        <v>41568</v>
      </c>
      <c r="T203" s="151">
        <v>41568</v>
      </c>
      <c r="U203" s="152"/>
      <c r="V203" s="150" t="s">
        <v>330</v>
      </c>
      <c r="W203" s="151"/>
      <c r="X203" s="150" t="s">
        <v>331</v>
      </c>
      <c r="Y203" s="150" t="s">
        <v>398</v>
      </c>
      <c r="Z203" s="150" t="s">
        <v>334</v>
      </c>
      <c r="AA203" s="150" t="s">
        <v>26</v>
      </c>
      <c r="AB203" s="153">
        <v>3.4000000000000002E-2</v>
      </c>
      <c r="AC203" s="151">
        <v>43190</v>
      </c>
      <c r="AD203" s="150"/>
      <c r="AE203" s="151"/>
      <c r="AF203" s="150" t="s">
        <v>70</v>
      </c>
      <c r="AG203" s="152" t="s">
        <v>352</v>
      </c>
      <c r="AH203" s="150" t="s">
        <v>326</v>
      </c>
      <c r="AI203" s="99"/>
      <c r="AJ203" s="149"/>
      <c r="AK203" s="99"/>
      <c r="AL203" s="149"/>
      <c r="AM203" s="99"/>
      <c r="AN203" s="149">
        <v>0</v>
      </c>
      <c r="AO203" s="149">
        <v>0</v>
      </c>
      <c r="AP203" s="149">
        <v>2</v>
      </c>
      <c r="AQ203" s="149">
        <v>1</v>
      </c>
      <c r="AR203" s="149">
        <v>0</v>
      </c>
      <c r="AS203" s="149">
        <v>0</v>
      </c>
      <c r="AT203" s="149">
        <v>0</v>
      </c>
      <c r="AU203" s="149">
        <v>0</v>
      </c>
      <c r="AV203" s="149">
        <v>0</v>
      </c>
      <c r="AW203" s="149">
        <v>2</v>
      </c>
      <c r="AX203" s="149">
        <v>1</v>
      </c>
      <c r="AY203" s="149">
        <v>0</v>
      </c>
      <c r="AZ203" s="149">
        <v>0</v>
      </c>
      <c r="BA203" s="149">
        <v>0</v>
      </c>
      <c r="BB203" s="149">
        <v>0</v>
      </c>
      <c r="BC203" s="149">
        <v>0</v>
      </c>
      <c r="BD203" s="149">
        <v>0</v>
      </c>
      <c r="BE203" s="149">
        <v>0</v>
      </c>
      <c r="BF203" s="149">
        <v>0</v>
      </c>
      <c r="BG203" s="149">
        <v>0</v>
      </c>
      <c r="BH203" s="149">
        <v>0</v>
      </c>
      <c r="BI203" s="149">
        <v>0</v>
      </c>
      <c r="BJ203" s="149">
        <v>0</v>
      </c>
      <c r="BK203" s="149">
        <v>0</v>
      </c>
      <c r="BL203" s="149">
        <v>0</v>
      </c>
      <c r="BM203" s="149">
        <v>0</v>
      </c>
      <c r="BN203" s="149">
        <v>0</v>
      </c>
      <c r="BO203" s="149">
        <v>0</v>
      </c>
      <c r="BP203" s="152"/>
      <c r="BQ203" s="152"/>
      <c r="BR203" s="154" t="s">
        <v>359</v>
      </c>
      <c r="BS203" s="136">
        <v>13</v>
      </c>
      <c r="BT203" s="267"/>
      <c r="BU203" s="267">
        <f>M203</f>
        <v>3</v>
      </c>
      <c r="BV203" s="267"/>
      <c r="BW203" s="267"/>
      <c r="BX203" s="267"/>
      <c r="BY203" s="267"/>
      <c r="BZ203" s="267"/>
      <c r="CA203" s="267"/>
      <c r="CB203" s="267"/>
      <c r="CC203" s="267"/>
      <c r="CD203" s="267"/>
      <c r="CE203" s="267"/>
      <c r="CF203" s="267"/>
      <c r="CG203" s="267"/>
      <c r="CH203" s="267"/>
      <c r="CI203" s="267"/>
      <c r="CJ203" s="267"/>
      <c r="CK203" s="267"/>
      <c r="CL203" s="267"/>
      <c r="CM203" s="267"/>
      <c r="CN203" s="101">
        <f t="shared" si="13"/>
        <v>3</v>
      </c>
      <c r="CO203" s="101">
        <f t="shared" si="14"/>
        <v>3</v>
      </c>
    </row>
    <row r="204" spans="1:93" ht="13.9" customHeight="1" x14ac:dyDescent="0.2">
      <c r="A204" s="149">
        <v>5514</v>
      </c>
      <c r="B204" s="150" t="s">
        <v>854</v>
      </c>
      <c r="C204" s="150" t="s">
        <v>861</v>
      </c>
      <c r="D204" s="150" t="s">
        <v>862</v>
      </c>
      <c r="E204" s="150" t="s">
        <v>326</v>
      </c>
      <c r="F204" s="149">
        <v>529246</v>
      </c>
      <c r="G204" s="149">
        <v>170855</v>
      </c>
      <c r="H204" s="150" t="s">
        <v>163</v>
      </c>
      <c r="I204" s="151">
        <v>42826</v>
      </c>
      <c r="J204" s="151"/>
      <c r="K204" s="149">
        <v>0</v>
      </c>
      <c r="L204" s="149">
        <v>1</v>
      </c>
      <c r="M204" s="149">
        <v>1</v>
      </c>
      <c r="N204" s="149">
        <v>1</v>
      </c>
      <c r="O204" s="149">
        <v>1</v>
      </c>
      <c r="P204" s="152"/>
      <c r="Q204" s="150" t="s">
        <v>863</v>
      </c>
      <c r="R204" s="150" t="s">
        <v>349</v>
      </c>
      <c r="S204" s="151">
        <v>41647</v>
      </c>
      <c r="T204" s="151">
        <v>42107</v>
      </c>
      <c r="U204" s="152"/>
      <c r="V204" s="150" t="s">
        <v>330</v>
      </c>
      <c r="W204" s="151"/>
      <c r="X204" s="150" t="s">
        <v>331</v>
      </c>
      <c r="Y204" s="150" t="s">
        <v>398</v>
      </c>
      <c r="Z204" s="150" t="s">
        <v>334</v>
      </c>
      <c r="AA204" s="150" t="s">
        <v>363</v>
      </c>
      <c r="AB204" s="153">
        <v>7.0000000000000001E-3</v>
      </c>
      <c r="AC204" s="151">
        <v>42826</v>
      </c>
      <c r="AD204" s="150"/>
      <c r="AE204" s="151"/>
      <c r="AF204" s="150" t="s">
        <v>70</v>
      </c>
      <c r="AG204" s="152" t="s">
        <v>352</v>
      </c>
      <c r="AH204" s="150" t="s">
        <v>326</v>
      </c>
      <c r="AI204" s="99"/>
      <c r="AJ204" s="149">
        <v>1</v>
      </c>
      <c r="AK204" s="99"/>
      <c r="AL204" s="149"/>
      <c r="AM204" s="99"/>
      <c r="AN204" s="149">
        <v>0</v>
      </c>
      <c r="AO204" s="149">
        <v>0</v>
      </c>
      <c r="AP204" s="149">
        <v>1</v>
      </c>
      <c r="AQ204" s="149">
        <v>0</v>
      </c>
      <c r="AR204" s="149">
        <v>0</v>
      </c>
      <c r="AS204" s="149">
        <v>0</v>
      </c>
      <c r="AT204" s="149">
        <v>0</v>
      </c>
      <c r="AU204" s="149">
        <v>0</v>
      </c>
      <c r="AV204" s="149">
        <v>0</v>
      </c>
      <c r="AW204" s="149">
        <v>0</v>
      </c>
      <c r="AX204" s="149">
        <v>0</v>
      </c>
      <c r="AY204" s="149">
        <v>0</v>
      </c>
      <c r="AZ204" s="149">
        <v>0</v>
      </c>
      <c r="BA204" s="149">
        <v>0</v>
      </c>
      <c r="BB204" s="149">
        <v>0</v>
      </c>
      <c r="BC204" s="149">
        <v>0</v>
      </c>
      <c r="BD204" s="149">
        <v>1</v>
      </c>
      <c r="BE204" s="149">
        <v>0</v>
      </c>
      <c r="BF204" s="149">
        <v>0</v>
      </c>
      <c r="BG204" s="149">
        <v>0</v>
      </c>
      <c r="BH204" s="149">
        <v>0</v>
      </c>
      <c r="BI204" s="149">
        <v>0</v>
      </c>
      <c r="BJ204" s="149">
        <v>0</v>
      </c>
      <c r="BK204" s="149">
        <v>0</v>
      </c>
      <c r="BL204" s="149">
        <v>0</v>
      </c>
      <c r="BM204" s="149">
        <v>0</v>
      </c>
      <c r="BN204" s="149">
        <v>0</v>
      </c>
      <c r="BO204" s="149">
        <v>0</v>
      </c>
      <c r="BP204" s="152"/>
      <c r="BQ204" s="152"/>
      <c r="BR204" s="154" t="s">
        <v>359</v>
      </c>
      <c r="BS204" s="136">
        <v>13</v>
      </c>
      <c r="BT204" s="267"/>
      <c r="BU204" s="267">
        <f>M204</f>
        <v>1</v>
      </c>
      <c r="BV204" s="267"/>
      <c r="BW204" s="267"/>
      <c r="BX204" s="267"/>
      <c r="BY204" s="267"/>
      <c r="BZ204" s="267"/>
      <c r="CA204" s="267"/>
      <c r="CB204" s="267"/>
      <c r="CC204" s="267"/>
      <c r="CD204" s="267"/>
      <c r="CE204" s="267"/>
      <c r="CF204" s="267"/>
      <c r="CG204" s="267"/>
      <c r="CH204" s="267"/>
      <c r="CI204" s="267"/>
      <c r="CJ204" s="267"/>
      <c r="CK204" s="267"/>
      <c r="CL204" s="267"/>
      <c r="CM204" s="267"/>
      <c r="CN204" s="101">
        <f t="shared" si="13"/>
        <v>1</v>
      </c>
      <c r="CO204" s="101">
        <f t="shared" si="14"/>
        <v>1</v>
      </c>
    </row>
    <row r="205" spans="1:93" ht="13.9" customHeight="1" x14ac:dyDescent="0.2">
      <c r="A205" s="149">
        <v>2154</v>
      </c>
      <c r="B205" s="150" t="s">
        <v>854</v>
      </c>
      <c r="C205" s="150" t="s">
        <v>864</v>
      </c>
      <c r="D205" s="150" t="s">
        <v>865</v>
      </c>
      <c r="E205" s="150" t="s">
        <v>326</v>
      </c>
      <c r="F205" s="149">
        <v>527691</v>
      </c>
      <c r="G205" s="149">
        <v>171695</v>
      </c>
      <c r="H205" s="150" t="s">
        <v>172</v>
      </c>
      <c r="I205" s="151">
        <v>42989</v>
      </c>
      <c r="J205" s="151"/>
      <c r="K205" s="149">
        <v>0</v>
      </c>
      <c r="L205" s="149">
        <v>4</v>
      </c>
      <c r="M205" s="149">
        <v>4</v>
      </c>
      <c r="N205" s="149">
        <v>4</v>
      </c>
      <c r="O205" s="149">
        <v>4</v>
      </c>
      <c r="P205" s="152"/>
      <c r="Q205" s="150" t="s">
        <v>866</v>
      </c>
      <c r="R205" s="150" t="s">
        <v>349</v>
      </c>
      <c r="S205" s="151">
        <v>41765</v>
      </c>
      <c r="T205" s="151">
        <v>41838</v>
      </c>
      <c r="U205" s="152"/>
      <c r="V205" s="150" t="s">
        <v>330</v>
      </c>
      <c r="W205" s="151"/>
      <c r="X205" s="150" t="s">
        <v>331</v>
      </c>
      <c r="Y205" s="150" t="s">
        <v>398</v>
      </c>
      <c r="Z205" s="150" t="s">
        <v>334</v>
      </c>
      <c r="AA205" s="150" t="s">
        <v>363</v>
      </c>
      <c r="AB205" s="153">
        <v>1.9E-2</v>
      </c>
      <c r="AC205" s="151">
        <v>42989</v>
      </c>
      <c r="AD205" s="150"/>
      <c r="AE205" s="151"/>
      <c r="AF205" s="150" t="s">
        <v>70</v>
      </c>
      <c r="AG205" s="152" t="s">
        <v>352</v>
      </c>
      <c r="AH205" s="150" t="s">
        <v>326</v>
      </c>
      <c r="AI205" s="99"/>
      <c r="AJ205" s="149"/>
      <c r="AK205" s="99"/>
      <c r="AL205" s="149"/>
      <c r="AM205" s="99"/>
      <c r="AN205" s="149">
        <v>0</v>
      </c>
      <c r="AO205" s="149">
        <v>0</v>
      </c>
      <c r="AP205" s="149">
        <v>2</v>
      </c>
      <c r="AQ205" s="149">
        <v>2</v>
      </c>
      <c r="AR205" s="149">
        <v>0</v>
      </c>
      <c r="AS205" s="149">
        <v>0</v>
      </c>
      <c r="AT205" s="149">
        <v>0</v>
      </c>
      <c r="AU205" s="149">
        <v>0</v>
      </c>
      <c r="AV205" s="149">
        <v>0</v>
      </c>
      <c r="AW205" s="149">
        <v>2</v>
      </c>
      <c r="AX205" s="149">
        <v>2</v>
      </c>
      <c r="AY205" s="149">
        <v>0</v>
      </c>
      <c r="AZ205" s="149">
        <v>0</v>
      </c>
      <c r="BA205" s="149">
        <v>0</v>
      </c>
      <c r="BB205" s="149">
        <v>0</v>
      </c>
      <c r="BC205" s="149">
        <v>0</v>
      </c>
      <c r="BD205" s="149">
        <v>0</v>
      </c>
      <c r="BE205" s="149">
        <v>0</v>
      </c>
      <c r="BF205" s="149">
        <v>0</v>
      </c>
      <c r="BG205" s="149">
        <v>0</v>
      </c>
      <c r="BH205" s="149">
        <v>0</v>
      </c>
      <c r="BI205" s="149">
        <v>0</v>
      </c>
      <c r="BJ205" s="149">
        <v>0</v>
      </c>
      <c r="BK205" s="149">
        <v>0</v>
      </c>
      <c r="BL205" s="149">
        <v>0</v>
      </c>
      <c r="BM205" s="149">
        <v>0</v>
      </c>
      <c r="BN205" s="149">
        <v>0</v>
      </c>
      <c r="BO205" s="149">
        <v>0</v>
      </c>
      <c r="BP205" s="152"/>
      <c r="BQ205" s="152"/>
      <c r="BR205" s="154" t="s">
        <v>142</v>
      </c>
      <c r="BS205" s="136">
        <v>13</v>
      </c>
      <c r="BT205" s="267"/>
      <c r="BU205" s="267">
        <f>M205</f>
        <v>4</v>
      </c>
      <c r="BV205" s="267"/>
      <c r="BW205" s="267"/>
      <c r="BX205" s="267"/>
      <c r="BY205" s="267"/>
      <c r="BZ205" s="267"/>
      <c r="CA205" s="267"/>
      <c r="CB205" s="267"/>
      <c r="CC205" s="267"/>
      <c r="CD205" s="267"/>
      <c r="CE205" s="267"/>
      <c r="CF205" s="267"/>
      <c r="CG205" s="267"/>
      <c r="CH205" s="267"/>
      <c r="CI205" s="267"/>
      <c r="CJ205" s="267"/>
      <c r="CK205" s="267"/>
      <c r="CL205" s="267"/>
      <c r="CM205" s="267"/>
      <c r="CN205" s="101">
        <f t="shared" si="13"/>
        <v>4</v>
      </c>
      <c r="CO205" s="101">
        <f t="shared" si="14"/>
        <v>4</v>
      </c>
    </row>
    <row r="206" spans="1:93" ht="13.9" customHeight="1" x14ac:dyDescent="0.2">
      <c r="A206" s="149">
        <v>3511</v>
      </c>
      <c r="B206" s="150" t="s">
        <v>854</v>
      </c>
      <c r="C206" s="150" t="s">
        <v>867</v>
      </c>
      <c r="D206" s="150" t="s">
        <v>598</v>
      </c>
      <c r="E206" s="150" t="s">
        <v>868</v>
      </c>
      <c r="F206" s="149">
        <v>529369</v>
      </c>
      <c r="G206" s="149">
        <v>177317</v>
      </c>
      <c r="H206" s="150" t="s">
        <v>149</v>
      </c>
      <c r="I206" s="151">
        <v>43672</v>
      </c>
      <c r="J206" s="151"/>
      <c r="K206" s="149">
        <v>0</v>
      </c>
      <c r="L206" s="149">
        <v>316</v>
      </c>
      <c r="M206" s="149">
        <v>316</v>
      </c>
      <c r="N206" s="149">
        <v>542</v>
      </c>
      <c r="O206" s="149">
        <v>542</v>
      </c>
      <c r="P206" s="152" t="s">
        <v>327</v>
      </c>
      <c r="Q206" s="150" t="s">
        <v>869</v>
      </c>
      <c r="R206" s="150" t="s">
        <v>342</v>
      </c>
      <c r="S206" s="151">
        <v>43746</v>
      </c>
      <c r="T206" s="151">
        <v>43760</v>
      </c>
      <c r="U206" s="152"/>
      <c r="V206" s="150" t="s">
        <v>330</v>
      </c>
      <c r="W206" s="151"/>
      <c r="X206" s="150" t="s">
        <v>331</v>
      </c>
      <c r="Y206" s="150" t="s">
        <v>343</v>
      </c>
      <c r="Z206" s="150" t="s">
        <v>343</v>
      </c>
      <c r="AA206" s="150" t="s">
        <v>334</v>
      </c>
      <c r="AB206" s="153">
        <v>1.764</v>
      </c>
      <c r="AC206" s="151">
        <v>43672</v>
      </c>
      <c r="AD206" s="150"/>
      <c r="AE206" s="151"/>
      <c r="AF206" s="150" t="s">
        <v>70</v>
      </c>
      <c r="AG206" s="152" t="s">
        <v>352</v>
      </c>
      <c r="AH206" s="150" t="s">
        <v>601</v>
      </c>
      <c r="AI206" s="99"/>
      <c r="AJ206" s="149">
        <v>288</v>
      </c>
      <c r="AK206" s="99"/>
      <c r="AL206" s="149">
        <v>28</v>
      </c>
      <c r="AM206" s="99"/>
      <c r="AN206" s="149">
        <v>0</v>
      </c>
      <c r="AO206" s="149">
        <v>98</v>
      </c>
      <c r="AP206" s="149">
        <v>134</v>
      </c>
      <c r="AQ206" s="149">
        <v>74</v>
      </c>
      <c r="AR206" s="149">
        <v>10</v>
      </c>
      <c r="AS206" s="149">
        <v>0</v>
      </c>
      <c r="AT206" s="149">
        <v>0</v>
      </c>
      <c r="AU206" s="149">
        <v>0</v>
      </c>
      <c r="AV206" s="149">
        <v>98</v>
      </c>
      <c r="AW206" s="149">
        <v>134</v>
      </c>
      <c r="AX206" s="149">
        <v>74</v>
      </c>
      <c r="AY206" s="149">
        <v>10</v>
      </c>
      <c r="AZ206" s="149">
        <v>0</v>
      </c>
      <c r="BA206" s="149">
        <v>0</v>
      </c>
      <c r="BB206" s="149">
        <v>0</v>
      </c>
      <c r="BC206" s="149">
        <v>0</v>
      </c>
      <c r="BD206" s="149">
        <v>0</v>
      </c>
      <c r="BE206" s="149">
        <v>0</v>
      </c>
      <c r="BF206" s="149">
        <v>0</v>
      </c>
      <c r="BG206" s="149">
        <v>0</v>
      </c>
      <c r="BH206" s="149">
        <v>0</v>
      </c>
      <c r="BI206" s="149">
        <v>0</v>
      </c>
      <c r="BJ206" s="149">
        <v>0</v>
      </c>
      <c r="BK206" s="149">
        <v>0</v>
      </c>
      <c r="BL206" s="149">
        <v>0</v>
      </c>
      <c r="BM206" s="149">
        <v>0</v>
      </c>
      <c r="BN206" s="149">
        <v>0</v>
      </c>
      <c r="BO206" s="149">
        <v>0</v>
      </c>
      <c r="BP206" s="152"/>
      <c r="BQ206" s="152" t="s">
        <v>327</v>
      </c>
      <c r="BR206" s="154" t="s">
        <v>149</v>
      </c>
      <c r="BS206" s="136">
        <v>5</v>
      </c>
      <c r="BT206" s="267"/>
      <c r="BU206" s="267"/>
      <c r="BV206" s="267"/>
      <c r="BW206" s="267"/>
      <c r="BX206" s="267"/>
      <c r="BY206" s="267"/>
      <c r="BZ206" s="267">
        <f>M206</f>
        <v>316</v>
      </c>
      <c r="CA206" s="267"/>
      <c r="CB206" s="267"/>
      <c r="CC206" s="267"/>
      <c r="CD206" s="267"/>
      <c r="CE206" s="267"/>
      <c r="CF206" s="267"/>
      <c r="CG206" s="267"/>
      <c r="CH206" s="267"/>
      <c r="CI206" s="267"/>
      <c r="CJ206" s="267"/>
      <c r="CK206" s="267"/>
      <c r="CL206" s="267"/>
      <c r="CM206" s="267"/>
      <c r="CN206" s="101">
        <f t="shared" si="13"/>
        <v>0</v>
      </c>
      <c r="CO206" s="101">
        <f t="shared" si="14"/>
        <v>316</v>
      </c>
    </row>
    <row r="207" spans="1:93" ht="13.9" customHeight="1" x14ac:dyDescent="0.2">
      <c r="A207" s="149">
        <v>2502</v>
      </c>
      <c r="B207" s="150" t="s">
        <v>854</v>
      </c>
      <c r="C207" s="150" t="s">
        <v>870</v>
      </c>
      <c r="D207" s="150" t="s">
        <v>508</v>
      </c>
      <c r="E207" s="150" t="s">
        <v>871</v>
      </c>
      <c r="F207" s="149">
        <v>527221</v>
      </c>
      <c r="G207" s="149">
        <v>172443</v>
      </c>
      <c r="H207" s="150" t="s">
        <v>176</v>
      </c>
      <c r="I207" s="151">
        <v>45382</v>
      </c>
      <c r="J207" s="151"/>
      <c r="K207" s="149">
        <v>0</v>
      </c>
      <c r="L207" s="149">
        <v>37</v>
      </c>
      <c r="M207" s="149">
        <v>37</v>
      </c>
      <c r="N207" s="149">
        <v>253</v>
      </c>
      <c r="O207" s="149">
        <v>253</v>
      </c>
      <c r="P207" s="152" t="s">
        <v>327</v>
      </c>
      <c r="Q207" s="150" t="s">
        <v>872</v>
      </c>
      <c r="R207" s="150" t="s">
        <v>388</v>
      </c>
      <c r="S207" s="151">
        <v>44887</v>
      </c>
      <c r="T207" s="151">
        <v>45042</v>
      </c>
      <c r="U207" s="152" t="s">
        <v>327</v>
      </c>
      <c r="V207" s="150" t="s">
        <v>330</v>
      </c>
      <c r="W207" s="151"/>
      <c r="X207" s="150" t="s">
        <v>331</v>
      </c>
      <c r="Y207" s="150" t="s">
        <v>343</v>
      </c>
      <c r="Z207" s="150" t="s">
        <v>343</v>
      </c>
      <c r="AA207" s="150" t="s">
        <v>334</v>
      </c>
      <c r="AB207" s="153">
        <v>0.313</v>
      </c>
      <c r="AC207" s="151">
        <v>45382</v>
      </c>
      <c r="AD207" s="152" t="s">
        <v>327</v>
      </c>
      <c r="AE207" s="151"/>
      <c r="AF207" s="150" t="s">
        <v>49</v>
      </c>
      <c r="AG207" s="152" t="s">
        <v>481</v>
      </c>
      <c r="AH207" s="150" t="s">
        <v>511</v>
      </c>
      <c r="AI207" s="99"/>
      <c r="AJ207" s="149"/>
      <c r="AK207" s="149">
        <v>37</v>
      </c>
      <c r="AL207" s="149"/>
      <c r="AM207" s="102"/>
      <c r="AN207" s="149">
        <v>0</v>
      </c>
      <c r="AO207" s="149">
        <v>0</v>
      </c>
      <c r="AP207" s="149">
        <v>0</v>
      </c>
      <c r="AQ207" s="149">
        <v>30</v>
      </c>
      <c r="AR207" s="149">
        <v>7</v>
      </c>
      <c r="AS207" s="149">
        <v>0</v>
      </c>
      <c r="AT207" s="149">
        <v>0</v>
      </c>
      <c r="AU207" s="149">
        <v>0</v>
      </c>
      <c r="AV207" s="149">
        <v>0</v>
      </c>
      <c r="AW207" s="149">
        <v>0</v>
      </c>
      <c r="AX207" s="149">
        <v>25</v>
      </c>
      <c r="AY207" s="149">
        <v>7</v>
      </c>
      <c r="AZ207" s="149">
        <v>0</v>
      </c>
      <c r="BA207" s="149">
        <v>0</v>
      </c>
      <c r="BB207" s="149">
        <v>0</v>
      </c>
      <c r="BC207" s="149">
        <v>0</v>
      </c>
      <c r="BD207" s="149">
        <v>0</v>
      </c>
      <c r="BE207" s="149">
        <v>5</v>
      </c>
      <c r="BF207" s="149">
        <v>0</v>
      </c>
      <c r="BG207" s="149">
        <v>0</v>
      </c>
      <c r="BH207" s="149">
        <v>0</v>
      </c>
      <c r="BI207" s="149">
        <v>0</v>
      </c>
      <c r="BJ207" s="149">
        <v>0</v>
      </c>
      <c r="BK207" s="149">
        <v>0</v>
      </c>
      <c r="BL207" s="149">
        <v>0</v>
      </c>
      <c r="BM207" s="149">
        <v>0</v>
      </c>
      <c r="BN207" s="149">
        <v>0</v>
      </c>
      <c r="BO207" s="149">
        <v>0</v>
      </c>
      <c r="BP207" s="152"/>
      <c r="BQ207" s="152"/>
      <c r="BR207" s="154" t="s">
        <v>359</v>
      </c>
      <c r="BS207" s="136">
        <v>5</v>
      </c>
      <c r="BT207" s="267"/>
      <c r="BU207" s="267"/>
      <c r="BV207" s="267"/>
      <c r="BW207" s="267">
        <f>M207</f>
        <v>37</v>
      </c>
      <c r="BX207" s="267"/>
      <c r="BY207" s="267"/>
      <c r="BZ207" s="267"/>
      <c r="CA207" s="267"/>
      <c r="CB207" s="267"/>
      <c r="CC207" s="267"/>
      <c r="CD207" s="267"/>
      <c r="CE207" s="267"/>
      <c r="CF207" s="267"/>
      <c r="CG207" s="267"/>
      <c r="CH207" s="267"/>
      <c r="CI207" s="267"/>
      <c r="CJ207" s="267"/>
      <c r="CK207" s="267"/>
      <c r="CL207" s="267"/>
      <c r="CM207" s="267"/>
      <c r="CN207" s="101">
        <f t="shared" si="13"/>
        <v>37</v>
      </c>
      <c r="CO207" s="101">
        <f t="shared" si="14"/>
        <v>37</v>
      </c>
    </row>
    <row r="208" spans="1:93" ht="13.9" customHeight="1" x14ac:dyDescent="0.2">
      <c r="A208" s="149">
        <v>5775</v>
      </c>
      <c r="B208" s="150" t="s">
        <v>854</v>
      </c>
      <c r="C208" s="150" t="s">
        <v>873</v>
      </c>
      <c r="D208" s="150" t="s">
        <v>874</v>
      </c>
      <c r="E208" s="150" t="s">
        <v>326</v>
      </c>
      <c r="F208" s="149">
        <v>527719</v>
      </c>
      <c r="G208" s="149">
        <v>174043</v>
      </c>
      <c r="H208" s="150" t="s">
        <v>165</v>
      </c>
      <c r="I208" s="151">
        <v>42921</v>
      </c>
      <c r="J208" s="151"/>
      <c r="K208" s="149">
        <v>0</v>
      </c>
      <c r="L208" s="149">
        <v>1</v>
      </c>
      <c r="M208" s="149">
        <v>1</v>
      </c>
      <c r="N208" s="149">
        <v>1</v>
      </c>
      <c r="O208" s="149">
        <v>1</v>
      </c>
      <c r="P208" s="152"/>
      <c r="Q208" s="150" t="s">
        <v>875</v>
      </c>
      <c r="R208" s="150" t="s">
        <v>349</v>
      </c>
      <c r="S208" s="151">
        <v>41949</v>
      </c>
      <c r="T208" s="151">
        <v>42062</v>
      </c>
      <c r="U208" s="152"/>
      <c r="V208" s="150" t="s">
        <v>330</v>
      </c>
      <c r="W208" s="151"/>
      <c r="X208" s="150" t="s">
        <v>331</v>
      </c>
      <c r="Y208" s="150" t="s">
        <v>343</v>
      </c>
      <c r="Z208" s="150" t="s">
        <v>334</v>
      </c>
      <c r="AA208" s="150" t="s">
        <v>363</v>
      </c>
      <c r="AB208" s="153">
        <v>8.9999999999999993E-3</v>
      </c>
      <c r="AC208" s="151">
        <v>42921</v>
      </c>
      <c r="AD208" s="150"/>
      <c r="AE208" s="151"/>
      <c r="AF208" s="150" t="s">
        <v>70</v>
      </c>
      <c r="AG208" s="152" t="s">
        <v>352</v>
      </c>
      <c r="AH208" s="150" t="s">
        <v>326</v>
      </c>
      <c r="AI208" s="99"/>
      <c r="AJ208" s="149"/>
      <c r="AK208" s="102"/>
      <c r="AL208" s="149"/>
      <c r="AM208" s="102"/>
      <c r="AN208" s="149">
        <v>0</v>
      </c>
      <c r="AO208" s="149">
        <v>0</v>
      </c>
      <c r="AP208" s="149">
        <v>1</v>
      </c>
      <c r="AQ208" s="149">
        <v>0</v>
      </c>
      <c r="AR208" s="149">
        <v>0</v>
      </c>
      <c r="AS208" s="149">
        <v>0</v>
      </c>
      <c r="AT208" s="149">
        <v>0</v>
      </c>
      <c r="AU208" s="149">
        <v>0</v>
      </c>
      <c r="AV208" s="149">
        <v>0</v>
      </c>
      <c r="AW208" s="149">
        <v>0</v>
      </c>
      <c r="AX208" s="149">
        <v>0</v>
      </c>
      <c r="AY208" s="149">
        <v>0</v>
      </c>
      <c r="AZ208" s="149">
        <v>0</v>
      </c>
      <c r="BA208" s="149">
        <v>0</v>
      </c>
      <c r="BB208" s="149">
        <v>0</v>
      </c>
      <c r="BC208" s="149">
        <v>0</v>
      </c>
      <c r="BD208" s="149">
        <v>1</v>
      </c>
      <c r="BE208" s="149">
        <v>0</v>
      </c>
      <c r="BF208" s="149">
        <v>0</v>
      </c>
      <c r="BG208" s="149">
        <v>0</v>
      </c>
      <c r="BH208" s="149">
        <v>0</v>
      </c>
      <c r="BI208" s="149">
        <v>0</v>
      </c>
      <c r="BJ208" s="149">
        <v>0</v>
      </c>
      <c r="BK208" s="149">
        <v>0</v>
      </c>
      <c r="BL208" s="149">
        <v>0</v>
      </c>
      <c r="BM208" s="149">
        <v>0</v>
      </c>
      <c r="BN208" s="149">
        <v>0</v>
      </c>
      <c r="BO208" s="149">
        <v>0</v>
      </c>
      <c r="BP208" s="152"/>
      <c r="BQ208" s="152"/>
      <c r="BR208" s="154" t="s">
        <v>359</v>
      </c>
      <c r="BS208" s="136">
        <v>3</v>
      </c>
      <c r="BT208" s="267"/>
      <c r="BU208" s="267">
        <f>M208</f>
        <v>1</v>
      </c>
      <c r="BV208" s="267"/>
      <c r="BW208" s="267"/>
      <c r="BX208" s="267"/>
      <c r="BY208" s="267"/>
      <c r="BZ208" s="267"/>
      <c r="CA208" s="267"/>
      <c r="CB208" s="267"/>
      <c r="CC208" s="267"/>
      <c r="CD208" s="267"/>
      <c r="CE208" s="267"/>
      <c r="CF208" s="267"/>
      <c r="CG208" s="267"/>
      <c r="CH208" s="267"/>
      <c r="CI208" s="267"/>
      <c r="CJ208" s="267"/>
      <c r="CK208" s="267"/>
      <c r="CL208" s="267"/>
      <c r="CM208" s="267"/>
      <c r="CN208" s="101">
        <f t="shared" si="13"/>
        <v>1</v>
      </c>
      <c r="CO208" s="101">
        <f t="shared" si="14"/>
        <v>1</v>
      </c>
    </row>
    <row r="209" spans="1:93" ht="13.9" customHeight="1" x14ac:dyDescent="0.2">
      <c r="A209" s="149">
        <v>5554</v>
      </c>
      <c r="B209" s="150" t="s">
        <v>854</v>
      </c>
      <c r="C209" s="150" t="s">
        <v>876</v>
      </c>
      <c r="D209" s="150" t="s">
        <v>877</v>
      </c>
      <c r="E209" s="150" t="s">
        <v>326</v>
      </c>
      <c r="F209" s="149">
        <v>523841</v>
      </c>
      <c r="G209" s="149">
        <v>174804</v>
      </c>
      <c r="H209" s="150" t="s">
        <v>179</v>
      </c>
      <c r="I209" s="151">
        <v>42937</v>
      </c>
      <c r="J209" s="151"/>
      <c r="K209" s="149">
        <v>1</v>
      </c>
      <c r="L209" s="149">
        <v>1</v>
      </c>
      <c r="M209" s="149">
        <v>0</v>
      </c>
      <c r="N209" s="149">
        <v>1</v>
      </c>
      <c r="O209" s="149">
        <v>0</v>
      </c>
      <c r="P209" s="152"/>
      <c r="Q209" s="150" t="s">
        <v>878</v>
      </c>
      <c r="R209" s="150" t="s">
        <v>349</v>
      </c>
      <c r="S209" s="151">
        <v>42024</v>
      </c>
      <c r="T209" s="151">
        <v>42080</v>
      </c>
      <c r="U209" s="152"/>
      <c r="V209" s="150" t="s">
        <v>330</v>
      </c>
      <c r="W209" s="151"/>
      <c r="X209" s="150" t="s">
        <v>331</v>
      </c>
      <c r="Y209" s="150" t="s">
        <v>343</v>
      </c>
      <c r="Z209" s="150" t="s">
        <v>334</v>
      </c>
      <c r="AA209" s="150" t="s">
        <v>363</v>
      </c>
      <c r="AB209" s="153">
        <v>2.3E-2</v>
      </c>
      <c r="AC209" s="151">
        <v>42937</v>
      </c>
      <c r="AD209" s="150"/>
      <c r="AE209" s="151"/>
      <c r="AF209" s="150" t="s">
        <v>70</v>
      </c>
      <c r="AG209" s="152" t="s">
        <v>352</v>
      </c>
      <c r="AH209" s="150" t="s">
        <v>326</v>
      </c>
      <c r="AI209" s="99"/>
      <c r="AJ209" s="149"/>
      <c r="AK209" s="102"/>
      <c r="AL209" s="149"/>
      <c r="AM209" s="102"/>
      <c r="AN209" s="149">
        <v>0</v>
      </c>
      <c r="AO209" s="149">
        <v>0</v>
      </c>
      <c r="AP209" s="149">
        <v>0</v>
      </c>
      <c r="AQ209" s="149">
        <v>-1</v>
      </c>
      <c r="AR209" s="149">
        <v>1</v>
      </c>
      <c r="AS209" s="149">
        <v>0</v>
      </c>
      <c r="AT209" s="149">
        <v>0</v>
      </c>
      <c r="AU209" s="149">
        <v>0</v>
      </c>
      <c r="AV209" s="149">
        <v>0</v>
      </c>
      <c r="AW209" s="149">
        <v>0</v>
      </c>
      <c r="AX209" s="149">
        <v>0</v>
      </c>
      <c r="AY209" s="149">
        <v>0</v>
      </c>
      <c r="AZ209" s="149">
        <v>0</v>
      </c>
      <c r="BA209" s="149">
        <v>0</v>
      </c>
      <c r="BB209" s="149">
        <v>0</v>
      </c>
      <c r="BC209" s="149">
        <v>0</v>
      </c>
      <c r="BD209" s="149">
        <v>0</v>
      </c>
      <c r="BE209" s="149">
        <v>-1</v>
      </c>
      <c r="BF209" s="149">
        <v>1</v>
      </c>
      <c r="BG209" s="149">
        <v>0</v>
      </c>
      <c r="BH209" s="149">
        <v>0</v>
      </c>
      <c r="BI209" s="149">
        <v>0</v>
      </c>
      <c r="BJ209" s="149">
        <v>0</v>
      </c>
      <c r="BK209" s="149">
        <v>0</v>
      </c>
      <c r="BL209" s="149">
        <v>0</v>
      </c>
      <c r="BM209" s="149">
        <v>0</v>
      </c>
      <c r="BN209" s="149">
        <v>0</v>
      </c>
      <c r="BO209" s="149">
        <v>0</v>
      </c>
      <c r="BP209" s="152"/>
      <c r="BQ209" s="152"/>
      <c r="BR209" s="154" t="s">
        <v>359</v>
      </c>
      <c r="BS209" s="136">
        <v>3</v>
      </c>
      <c r="BT209" s="267"/>
      <c r="BU209" s="267">
        <f>M209</f>
        <v>0</v>
      </c>
      <c r="BV209" s="267"/>
      <c r="BW209" s="267"/>
      <c r="BX209" s="267"/>
      <c r="BY209" s="267"/>
      <c r="BZ209" s="267"/>
      <c r="CA209" s="267"/>
      <c r="CB209" s="267"/>
      <c r="CC209" s="267"/>
      <c r="CD209" s="267"/>
      <c r="CE209" s="267"/>
      <c r="CF209" s="267"/>
      <c r="CG209" s="267"/>
      <c r="CH209" s="267"/>
      <c r="CI209" s="267"/>
      <c r="CJ209" s="267"/>
      <c r="CK209" s="267"/>
      <c r="CL209" s="267"/>
      <c r="CM209" s="267"/>
      <c r="CN209" s="101">
        <f t="shared" si="13"/>
        <v>0</v>
      </c>
      <c r="CO209" s="101">
        <f t="shared" si="14"/>
        <v>0</v>
      </c>
    </row>
    <row r="210" spans="1:93" ht="13.9" customHeight="1" x14ac:dyDescent="0.2">
      <c r="A210" s="149">
        <v>2304</v>
      </c>
      <c r="B210" s="150" t="s">
        <v>854</v>
      </c>
      <c r="C210" s="150" t="s">
        <v>879</v>
      </c>
      <c r="D210" s="150" t="s">
        <v>880</v>
      </c>
      <c r="E210" s="150" t="s">
        <v>326</v>
      </c>
      <c r="F210" s="149">
        <v>528666</v>
      </c>
      <c r="G210" s="149">
        <v>177450</v>
      </c>
      <c r="H210" s="150" t="s">
        <v>160</v>
      </c>
      <c r="I210" s="151">
        <v>43555</v>
      </c>
      <c r="J210" s="151"/>
      <c r="K210" s="149">
        <v>0</v>
      </c>
      <c r="L210" s="149">
        <v>7</v>
      </c>
      <c r="M210" s="149">
        <v>7</v>
      </c>
      <c r="N210" s="149">
        <v>7</v>
      </c>
      <c r="O210" s="149">
        <v>7</v>
      </c>
      <c r="P210" s="152"/>
      <c r="Q210" s="150" t="s">
        <v>881</v>
      </c>
      <c r="R210" s="150" t="s">
        <v>329</v>
      </c>
      <c r="S210" s="151">
        <v>42296</v>
      </c>
      <c r="T210" s="151">
        <v>42465</v>
      </c>
      <c r="U210" s="152"/>
      <c r="V210" s="150" t="s">
        <v>330</v>
      </c>
      <c r="W210" s="151"/>
      <c r="X210" s="150" t="s">
        <v>331</v>
      </c>
      <c r="Y210" s="150" t="s">
        <v>332</v>
      </c>
      <c r="Z210" s="150" t="s">
        <v>334</v>
      </c>
      <c r="AA210" s="150" t="s">
        <v>29</v>
      </c>
      <c r="AB210" s="153">
        <v>5.8999999999999997E-2</v>
      </c>
      <c r="AC210" s="151">
        <v>43555</v>
      </c>
      <c r="AD210" s="150"/>
      <c r="AE210" s="151"/>
      <c r="AF210" s="150" t="s">
        <v>70</v>
      </c>
      <c r="AG210" s="152" t="s">
        <v>352</v>
      </c>
      <c r="AH210" s="150" t="s">
        <v>326</v>
      </c>
      <c r="AI210" s="99"/>
      <c r="AJ210" s="149">
        <v>7</v>
      </c>
      <c r="AK210" s="99"/>
      <c r="AL210" s="149"/>
      <c r="AM210" s="99"/>
      <c r="AN210" s="149">
        <v>0</v>
      </c>
      <c r="AO210" s="149">
        <v>3</v>
      </c>
      <c r="AP210" s="149">
        <v>4</v>
      </c>
      <c r="AQ210" s="149">
        <v>0</v>
      </c>
      <c r="AR210" s="149">
        <v>0</v>
      </c>
      <c r="AS210" s="149">
        <v>0</v>
      </c>
      <c r="AT210" s="149">
        <v>0</v>
      </c>
      <c r="AU210" s="149">
        <v>0</v>
      </c>
      <c r="AV210" s="149">
        <v>3</v>
      </c>
      <c r="AW210" s="149">
        <v>4</v>
      </c>
      <c r="AX210" s="149">
        <v>0</v>
      </c>
      <c r="AY210" s="149">
        <v>0</v>
      </c>
      <c r="AZ210" s="149">
        <v>0</v>
      </c>
      <c r="BA210" s="149">
        <v>0</v>
      </c>
      <c r="BB210" s="149">
        <v>0</v>
      </c>
      <c r="BC210" s="149">
        <v>0</v>
      </c>
      <c r="BD210" s="149">
        <v>0</v>
      </c>
      <c r="BE210" s="149">
        <v>0</v>
      </c>
      <c r="BF210" s="149">
        <v>0</v>
      </c>
      <c r="BG210" s="149">
        <v>0</v>
      </c>
      <c r="BH210" s="149">
        <v>0</v>
      </c>
      <c r="BI210" s="149">
        <v>0</v>
      </c>
      <c r="BJ210" s="149">
        <v>0</v>
      </c>
      <c r="BK210" s="149">
        <v>0</v>
      </c>
      <c r="BL210" s="149">
        <v>0</v>
      </c>
      <c r="BM210" s="149">
        <v>0</v>
      </c>
      <c r="BN210" s="149">
        <v>0</v>
      </c>
      <c r="BO210" s="149">
        <v>0</v>
      </c>
      <c r="BP210" s="152"/>
      <c r="BQ210" s="152" t="s">
        <v>327</v>
      </c>
      <c r="BR210" s="154" t="s">
        <v>149</v>
      </c>
      <c r="BS210" s="136">
        <v>13</v>
      </c>
      <c r="BT210" s="267"/>
      <c r="BU210" s="267">
        <f>M210</f>
        <v>7</v>
      </c>
      <c r="BV210" s="267"/>
      <c r="BW210" s="267"/>
      <c r="BX210" s="267"/>
      <c r="BY210" s="267"/>
      <c r="BZ210" s="267"/>
      <c r="CA210" s="267"/>
      <c r="CB210" s="267"/>
      <c r="CC210" s="267"/>
      <c r="CD210" s="267"/>
      <c r="CE210" s="267"/>
      <c r="CF210" s="267"/>
      <c r="CG210" s="267"/>
      <c r="CH210" s="267"/>
      <c r="CI210" s="267"/>
      <c r="CJ210" s="267"/>
      <c r="CK210" s="267"/>
      <c r="CL210" s="267"/>
      <c r="CM210" s="267"/>
      <c r="CN210" s="101">
        <f t="shared" ref="CN210:CN241" si="15">SUM(BU210:BY210)</f>
        <v>7</v>
      </c>
      <c r="CO210" s="101">
        <f t="shared" ref="CO210:CO241" si="16">SUM(BU210:CD210)</f>
        <v>7</v>
      </c>
    </row>
    <row r="211" spans="1:93" ht="13.9" customHeight="1" x14ac:dyDescent="0.2">
      <c r="A211" s="149">
        <v>5589</v>
      </c>
      <c r="B211" s="150" t="s">
        <v>854</v>
      </c>
      <c r="C211" s="150" t="s">
        <v>882</v>
      </c>
      <c r="D211" s="150" t="s">
        <v>883</v>
      </c>
      <c r="E211" s="150" t="s">
        <v>326</v>
      </c>
      <c r="F211" s="149">
        <v>526329</v>
      </c>
      <c r="G211" s="149">
        <v>175625</v>
      </c>
      <c r="H211" s="150" t="s">
        <v>170</v>
      </c>
      <c r="I211" s="151">
        <v>43922</v>
      </c>
      <c r="J211" s="151"/>
      <c r="K211" s="149">
        <v>0</v>
      </c>
      <c r="L211" s="149">
        <v>9</v>
      </c>
      <c r="M211" s="149">
        <v>9</v>
      </c>
      <c r="N211" s="149">
        <v>9</v>
      </c>
      <c r="O211" s="149">
        <v>9</v>
      </c>
      <c r="P211" s="152"/>
      <c r="Q211" s="150" t="s">
        <v>884</v>
      </c>
      <c r="R211" s="150" t="s">
        <v>349</v>
      </c>
      <c r="S211" s="151">
        <v>42551</v>
      </c>
      <c r="T211" s="151">
        <v>42702</v>
      </c>
      <c r="U211" s="152"/>
      <c r="V211" s="150" t="s">
        <v>330</v>
      </c>
      <c r="W211" s="151"/>
      <c r="X211" s="150" t="s">
        <v>331</v>
      </c>
      <c r="Y211" s="150" t="s">
        <v>491</v>
      </c>
      <c r="Z211" s="150" t="s">
        <v>334</v>
      </c>
      <c r="AA211" s="150" t="s">
        <v>413</v>
      </c>
      <c r="AB211" s="153">
        <v>2.7E-2</v>
      </c>
      <c r="AC211" s="151">
        <v>43922</v>
      </c>
      <c r="AD211" s="150"/>
      <c r="AE211" s="151"/>
      <c r="AF211" s="150" t="s">
        <v>70</v>
      </c>
      <c r="AG211" s="152" t="s">
        <v>352</v>
      </c>
      <c r="AH211" s="150" t="s">
        <v>326</v>
      </c>
      <c r="AI211" s="99"/>
      <c r="AJ211" s="149">
        <v>9</v>
      </c>
      <c r="AK211" s="99"/>
      <c r="AL211" s="149"/>
      <c r="AM211" s="99"/>
      <c r="AN211" s="149">
        <v>0</v>
      </c>
      <c r="AO211" s="149">
        <v>2</v>
      </c>
      <c r="AP211" s="149">
        <v>5</v>
      </c>
      <c r="AQ211" s="149">
        <v>2</v>
      </c>
      <c r="AR211" s="149">
        <v>0</v>
      </c>
      <c r="AS211" s="149">
        <v>0</v>
      </c>
      <c r="AT211" s="149">
        <v>0</v>
      </c>
      <c r="AU211" s="149">
        <v>0</v>
      </c>
      <c r="AV211" s="149">
        <v>2</v>
      </c>
      <c r="AW211" s="149">
        <v>5</v>
      </c>
      <c r="AX211" s="149">
        <v>2</v>
      </c>
      <c r="AY211" s="149">
        <v>0</v>
      </c>
      <c r="AZ211" s="149">
        <v>0</v>
      </c>
      <c r="BA211" s="149">
        <v>0</v>
      </c>
      <c r="BB211" s="149">
        <v>0</v>
      </c>
      <c r="BC211" s="149">
        <v>0</v>
      </c>
      <c r="BD211" s="149">
        <v>0</v>
      </c>
      <c r="BE211" s="149">
        <v>0</v>
      </c>
      <c r="BF211" s="149">
        <v>0</v>
      </c>
      <c r="BG211" s="149">
        <v>0</v>
      </c>
      <c r="BH211" s="149">
        <v>0</v>
      </c>
      <c r="BI211" s="149">
        <v>0</v>
      </c>
      <c r="BJ211" s="149">
        <v>0</v>
      </c>
      <c r="BK211" s="149">
        <v>0</v>
      </c>
      <c r="BL211" s="149">
        <v>0</v>
      </c>
      <c r="BM211" s="149">
        <v>0</v>
      </c>
      <c r="BN211" s="149">
        <v>0</v>
      </c>
      <c r="BO211" s="149">
        <v>0</v>
      </c>
      <c r="BP211" s="152"/>
      <c r="BQ211" s="152"/>
      <c r="BR211" s="154" t="s">
        <v>408</v>
      </c>
      <c r="BS211" s="136">
        <v>13</v>
      </c>
      <c r="BT211" s="267"/>
      <c r="BU211" s="267">
        <f>M211</f>
        <v>9</v>
      </c>
      <c r="BV211" s="267"/>
      <c r="BW211" s="267"/>
      <c r="BX211" s="267"/>
      <c r="BY211" s="267"/>
      <c r="BZ211" s="267"/>
      <c r="CA211" s="267"/>
      <c r="CB211" s="267"/>
      <c r="CC211" s="267"/>
      <c r="CD211" s="267"/>
      <c r="CE211" s="267"/>
      <c r="CF211" s="267"/>
      <c r="CG211" s="267"/>
      <c r="CH211" s="267"/>
      <c r="CI211" s="267"/>
      <c r="CJ211" s="267"/>
      <c r="CK211" s="267"/>
      <c r="CL211" s="267"/>
      <c r="CM211" s="267"/>
      <c r="CN211" s="101">
        <f t="shared" si="15"/>
        <v>9</v>
      </c>
      <c r="CO211" s="101">
        <f t="shared" si="16"/>
        <v>9</v>
      </c>
    </row>
    <row r="212" spans="1:93" ht="13.9" customHeight="1" x14ac:dyDescent="0.2">
      <c r="A212" s="149">
        <v>5377</v>
      </c>
      <c r="B212" s="150" t="s">
        <v>854</v>
      </c>
      <c r="C212" s="150" t="s">
        <v>885</v>
      </c>
      <c r="D212" s="150" t="s">
        <v>886</v>
      </c>
      <c r="E212" s="150" t="s">
        <v>326</v>
      </c>
      <c r="F212" s="149">
        <v>528146</v>
      </c>
      <c r="G212" s="149">
        <v>172290</v>
      </c>
      <c r="H212" s="150" t="s">
        <v>172</v>
      </c>
      <c r="I212" s="151">
        <v>43190</v>
      </c>
      <c r="J212" s="151"/>
      <c r="K212" s="149">
        <v>1</v>
      </c>
      <c r="L212" s="149">
        <v>3</v>
      </c>
      <c r="M212" s="149">
        <v>2</v>
      </c>
      <c r="N212" s="149">
        <v>3</v>
      </c>
      <c r="O212" s="149">
        <v>2</v>
      </c>
      <c r="P212" s="152"/>
      <c r="Q212" s="150" t="s">
        <v>887</v>
      </c>
      <c r="R212" s="150" t="s">
        <v>349</v>
      </c>
      <c r="S212" s="151">
        <v>42587</v>
      </c>
      <c r="T212" s="151">
        <v>42667</v>
      </c>
      <c r="U212" s="152"/>
      <c r="V212" s="150" t="s">
        <v>330</v>
      </c>
      <c r="W212" s="151"/>
      <c r="X212" s="150" t="s">
        <v>331</v>
      </c>
      <c r="Y212" s="150" t="s">
        <v>398</v>
      </c>
      <c r="Z212" s="150" t="s">
        <v>334</v>
      </c>
      <c r="AA212" s="150" t="s">
        <v>399</v>
      </c>
      <c r="AB212" s="153">
        <v>7.0000000000000001E-3</v>
      </c>
      <c r="AC212" s="151">
        <v>43190</v>
      </c>
      <c r="AD212" s="150"/>
      <c r="AE212" s="151"/>
      <c r="AF212" s="150" t="s">
        <v>70</v>
      </c>
      <c r="AG212" s="152" t="s">
        <v>352</v>
      </c>
      <c r="AH212" s="150" t="s">
        <v>326</v>
      </c>
      <c r="AI212" s="99"/>
      <c r="AJ212" s="149"/>
      <c r="AK212" s="99"/>
      <c r="AL212" s="149"/>
      <c r="AM212" s="99"/>
      <c r="AN212" s="149">
        <v>0</v>
      </c>
      <c r="AO212" s="149">
        <v>2</v>
      </c>
      <c r="AP212" s="149">
        <v>1</v>
      </c>
      <c r="AQ212" s="149">
        <v>-1</v>
      </c>
      <c r="AR212" s="149">
        <v>0</v>
      </c>
      <c r="AS212" s="149">
        <v>0</v>
      </c>
      <c r="AT212" s="149">
        <v>0</v>
      </c>
      <c r="AU212" s="149">
        <v>0</v>
      </c>
      <c r="AV212" s="149">
        <v>2</v>
      </c>
      <c r="AW212" s="149">
        <v>1</v>
      </c>
      <c r="AX212" s="149">
        <v>-1</v>
      </c>
      <c r="AY212" s="149">
        <v>0</v>
      </c>
      <c r="AZ212" s="149">
        <v>0</v>
      </c>
      <c r="BA212" s="149">
        <v>0</v>
      </c>
      <c r="BB212" s="149">
        <v>0</v>
      </c>
      <c r="BC212" s="149">
        <v>0</v>
      </c>
      <c r="BD212" s="149">
        <v>0</v>
      </c>
      <c r="BE212" s="149">
        <v>0</v>
      </c>
      <c r="BF212" s="149">
        <v>0</v>
      </c>
      <c r="BG212" s="149">
        <v>0</v>
      </c>
      <c r="BH212" s="149">
        <v>0</v>
      </c>
      <c r="BI212" s="149">
        <v>0</v>
      </c>
      <c r="BJ212" s="149">
        <v>0</v>
      </c>
      <c r="BK212" s="149">
        <v>0</v>
      </c>
      <c r="BL212" s="149">
        <v>0</v>
      </c>
      <c r="BM212" s="149">
        <v>0</v>
      </c>
      <c r="BN212" s="149">
        <v>0</v>
      </c>
      <c r="BO212" s="149">
        <v>0</v>
      </c>
      <c r="BP212" s="152"/>
      <c r="BQ212" s="152"/>
      <c r="BR212" s="154" t="s">
        <v>359</v>
      </c>
      <c r="BS212" s="136">
        <v>13</v>
      </c>
      <c r="BT212" s="267"/>
      <c r="BU212" s="267">
        <f>M212</f>
        <v>2</v>
      </c>
      <c r="BV212" s="267"/>
      <c r="BW212" s="267"/>
      <c r="BX212" s="267"/>
      <c r="BY212" s="267"/>
      <c r="BZ212" s="267"/>
      <c r="CA212" s="267"/>
      <c r="CB212" s="267"/>
      <c r="CC212" s="267"/>
      <c r="CD212" s="267"/>
      <c r="CE212" s="267"/>
      <c r="CF212" s="267"/>
      <c r="CG212" s="267"/>
      <c r="CH212" s="267"/>
      <c r="CI212" s="267"/>
      <c r="CJ212" s="267"/>
      <c r="CK212" s="267"/>
      <c r="CL212" s="267"/>
      <c r="CM212" s="267"/>
      <c r="CN212" s="101">
        <f t="shared" si="15"/>
        <v>2</v>
      </c>
      <c r="CO212" s="101">
        <f t="shared" si="16"/>
        <v>2</v>
      </c>
    </row>
    <row r="213" spans="1:93" ht="13.9" customHeight="1" x14ac:dyDescent="0.2">
      <c r="A213" s="149">
        <v>2502</v>
      </c>
      <c r="B213" s="150" t="s">
        <v>854</v>
      </c>
      <c r="C213" s="150" t="s">
        <v>870</v>
      </c>
      <c r="D213" s="150" t="s">
        <v>508</v>
      </c>
      <c r="E213" s="150" t="s">
        <v>888</v>
      </c>
      <c r="F213" s="149">
        <v>527221</v>
      </c>
      <c r="G213" s="149">
        <v>172443</v>
      </c>
      <c r="H213" s="150" t="s">
        <v>176</v>
      </c>
      <c r="I213" s="151">
        <v>45382</v>
      </c>
      <c r="J213" s="151"/>
      <c r="K213" s="149">
        <v>0</v>
      </c>
      <c r="L213" s="149">
        <v>15</v>
      </c>
      <c r="M213" s="149">
        <v>15</v>
      </c>
      <c r="N213" s="149">
        <v>253</v>
      </c>
      <c r="O213" s="149">
        <v>253</v>
      </c>
      <c r="P213" s="152" t="s">
        <v>327</v>
      </c>
      <c r="Q213" s="150" t="s">
        <v>872</v>
      </c>
      <c r="R213" s="150" t="s">
        <v>388</v>
      </c>
      <c r="S213" s="151">
        <v>44887</v>
      </c>
      <c r="T213" s="151">
        <v>45042</v>
      </c>
      <c r="U213" s="152" t="s">
        <v>327</v>
      </c>
      <c r="V213" s="150" t="s">
        <v>330</v>
      </c>
      <c r="W213" s="151"/>
      <c r="X213" s="150" t="s">
        <v>331</v>
      </c>
      <c r="Y213" s="150" t="s">
        <v>343</v>
      </c>
      <c r="Z213" s="150" t="s">
        <v>343</v>
      </c>
      <c r="AA213" s="150" t="s">
        <v>334</v>
      </c>
      <c r="AB213" s="153">
        <v>0.127</v>
      </c>
      <c r="AC213" s="151">
        <v>45382</v>
      </c>
      <c r="AD213" s="152" t="s">
        <v>327</v>
      </c>
      <c r="AE213" s="151"/>
      <c r="AF213" s="150" t="s">
        <v>48</v>
      </c>
      <c r="AG213" s="152" t="s">
        <v>544</v>
      </c>
      <c r="AH213" s="150" t="s">
        <v>511</v>
      </c>
      <c r="AI213" s="99"/>
      <c r="AJ213" s="149"/>
      <c r="AK213" s="99"/>
      <c r="AL213" s="149"/>
      <c r="AM213" s="138">
        <v>1</v>
      </c>
      <c r="AN213" s="149">
        <v>0</v>
      </c>
      <c r="AO213" s="149">
        <v>7</v>
      </c>
      <c r="AP213" s="149">
        <v>2</v>
      </c>
      <c r="AQ213" s="149">
        <v>6</v>
      </c>
      <c r="AR213" s="149">
        <v>0</v>
      </c>
      <c r="AS213" s="149">
        <v>0</v>
      </c>
      <c r="AT213" s="149">
        <v>0</v>
      </c>
      <c r="AU213" s="149">
        <v>0</v>
      </c>
      <c r="AV213" s="149">
        <v>7</v>
      </c>
      <c r="AW213" s="149">
        <v>2</v>
      </c>
      <c r="AX213" s="149">
        <v>6</v>
      </c>
      <c r="AY213" s="149">
        <v>0</v>
      </c>
      <c r="AZ213" s="149">
        <v>0</v>
      </c>
      <c r="BA213" s="149">
        <v>0</v>
      </c>
      <c r="BB213" s="149">
        <v>0</v>
      </c>
      <c r="BC213" s="149">
        <v>0</v>
      </c>
      <c r="BD213" s="149">
        <v>0</v>
      </c>
      <c r="BE213" s="149">
        <v>0</v>
      </c>
      <c r="BF213" s="149">
        <v>0</v>
      </c>
      <c r="BG213" s="149">
        <v>0</v>
      </c>
      <c r="BH213" s="149">
        <v>0</v>
      </c>
      <c r="BI213" s="149">
        <v>0</v>
      </c>
      <c r="BJ213" s="149">
        <v>0</v>
      </c>
      <c r="BK213" s="149">
        <v>0</v>
      </c>
      <c r="BL213" s="149">
        <v>0</v>
      </c>
      <c r="BM213" s="149">
        <v>0</v>
      </c>
      <c r="BN213" s="149">
        <v>0</v>
      </c>
      <c r="BO213" s="149">
        <v>0</v>
      </c>
      <c r="BP213" s="152"/>
      <c r="BQ213" s="152"/>
      <c r="BR213" s="154" t="s">
        <v>359</v>
      </c>
      <c r="BS213" s="136">
        <v>5</v>
      </c>
      <c r="BT213" s="267"/>
      <c r="BU213" s="267"/>
      <c r="BV213" s="267"/>
      <c r="BW213" s="267">
        <f>M213</f>
        <v>15</v>
      </c>
      <c r="BX213" s="267"/>
      <c r="BY213" s="267"/>
      <c r="BZ213" s="267"/>
      <c r="CA213" s="267"/>
      <c r="CB213" s="267"/>
      <c r="CC213" s="267"/>
      <c r="CD213" s="267"/>
      <c r="CE213" s="267"/>
      <c r="CF213" s="267"/>
      <c r="CG213" s="267"/>
      <c r="CH213" s="267"/>
      <c r="CI213" s="267"/>
      <c r="CJ213" s="267"/>
      <c r="CK213" s="267"/>
      <c r="CL213" s="267"/>
      <c r="CM213" s="267"/>
      <c r="CN213" s="101">
        <f t="shared" si="15"/>
        <v>15</v>
      </c>
      <c r="CO213" s="101">
        <f t="shared" si="16"/>
        <v>15</v>
      </c>
    </row>
    <row r="214" spans="1:93" ht="13.9" customHeight="1" x14ac:dyDescent="0.2">
      <c r="A214" s="149">
        <v>6311</v>
      </c>
      <c r="B214" s="150" t="s">
        <v>854</v>
      </c>
      <c r="C214" s="150" t="s">
        <v>889</v>
      </c>
      <c r="D214" s="150" t="s">
        <v>890</v>
      </c>
      <c r="E214" s="150" t="s">
        <v>326</v>
      </c>
      <c r="F214" s="149">
        <v>527604</v>
      </c>
      <c r="G214" s="149">
        <v>172607</v>
      </c>
      <c r="H214" s="150" t="s">
        <v>174</v>
      </c>
      <c r="I214" s="151">
        <v>43047</v>
      </c>
      <c r="J214" s="151"/>
      <c r="K214" s="149">
        <v>4</v>
      </c>
      <c r="L214" s="149">
        <v>1</v>
      </c>
      <c r="M214" s="149">
        <v>-3</v>
      </c>
      <c r="N214" s="149">
        <v>1</v>
      </c>
      <c r="O214" s="149">
        <v>-3</v>
      </c>
      <c r="P214" s="152"/>
      <c r="Q214" s="150" t="s">
        <v>891</v>
      </c>
      <c r="R214" s="150" t="s">
        <v>349</v>
      </c>
      <c r="S214" s="151">
        <v>42670</v>
      </c>
      <c r="T214" s="151">
        <v>42725</v>
      </c>
      <c r="U214" s="152"/>
      <c r="V214" s="150" t="s">
        <v>330</v>
      </c>
      <c r="W214" s="151"/>
      <c r="X214" s="150" t="s">
        <v>331</v>
      </c>
      <c r="Y214" s="150" t="s">
        <v>350</v>
      </c>
      <c r="Z214" s="150" t="s">
        <v>334</v>
      </c>
      <c r="AA214" s="150" t="s">
        <v>18</v>
      </c>
      <c r="AB214" s="153">
        <v>2.8000000000000001E-2</v>
      </c>
      <c r="AC214" s="151">
        <v>43047</v>
      </c>
      <c r="AD214" s="150"/>
      <c r="AE214" s="151"/>
      <c r="AF214" s="150" t="s">
        <v>70</v>
      </c>
      <c r="AG214" s="152" t="s">
        <v>352</v>
      </c>
      <c r="AH214" s="150" t="s">
        <v>326</v>
      </c>
      <c r="AI214" s="99"/>
      <c r="AJ214" s="149"/>
      <c r="AK214" s="99"/>
      <c r="AL214" s="149"/>
      <c r="AM214" s="99"/>
      <c r="AN214" s="149">
        <v>0</v>
      </c>
      <c r="AO214" s="149">
        <v>-2</v>
      </c>
      <c r="AP214" s="149">
        <v>-2</v>
      </c>
      <c r="AQ214" s="149">
        <v>0</v>
      </c>
      <c r="AR214" s="149">
        <v>0</v>
      </c>
      <c r="AS214" s="149">
        <v>1</v>
      </c>
      <c r="AT214" s="149">
        <v>0</v>
      </c>
      <c r="AU214" s="149">
        <v>0</v>
      </c>
      <c r="AV214" s="149">
        <v>-2</v>
      </c>
      <c r="AW214" s="149">
        <v>-2</v>
      </c>
      <c r="AX214" s="149">
        <v>0</v>
      </c>
      <c r="AY214" s="149">
        <v>0</v>
      </c>
      <c r="AZ214" s="149">
        <v>0</v>
      </c>
      <c r="BA214" s="149">
        <v>0</v>
      </c>
      <c r="BB214" s="149">
        <v>0</v>
      </c>
      <c r="BC214" s="149">
        <v>0</v>
      </c>
      <c r="BD214" s="149">
        <v>0</v>
      </c>
      <c r="BE214" s="149">
        <v>0</v>
      </c>
      <c r="BF214" s="149">
        <v>0</v>
      </c>
      <c r="BG214" s="149">
        <v>1</v>
      </c>
      <c r="BH214" s="149">
        <v>0</v>
      </c>
      <c r="BI214" s="149">
        <v>0</v>
      </c>
      <c r="BJ214" s="149">
        <v>0</v>
      </c>
      <c r="BK214" s="149">
        <v>0</v>
      </c>
      <c r="BL214" s="149">
        <v>0</v>
      </c>
      <c r="BM214" s="149">
        <v>0</v>
      </c>
      <c r="BN214" s="149">
        <v>0</v>
      </c>
      <c r="BO214" s="149">
        <v>0</v>
      </c>
      <c r="BP214" s="152"/>
      <c r="BQ214" s="152"/>
      <c r="BR214" s="154" t="s">
        <v>359</v>
      </c>
      <c r="BS214" s="136">
        <v>13</v>
      </c>
      <c r="BT214" s="267"/>
      <c r="BU214" s="267">
        <f>M214</f>
        <v>-3</v>
      </c>
      <c r="BV214" s="267"/>
      <c r="BW214" s="267"/>
      <c r="BX214" s="267"/>
      <c r="BY214" s="267"/>
      <c r="BZ214" s="267"/>
      <c r="CA214" s="267"/>
      <c r="CB214" s="267"/>
      <c r="CC214" s="267"/>
      <c r="CD214" s="267"/>
      <c r="CE214" s="267"/>
      <c r="CF214" s="267"/>
      <c r="CG214" s="267"/>
      <c r="CH214" s="267"/>
      <c r="CI214" s="267"/>
      <c r="CJ214" s="267"/>
      <c r="CK214" s="267"/>
      <c r="CL214" s="267"/>
      <c r="CM214" s="267"/>
      <c r="CN214" s="101">
        <f t="shared" si="15"/>
        <v>-3</v>
      </c>
      <c r="CO214" s="101">
        <f t="shared" si="16"/>
        <v>-3</v>
      </c>
    </row>
    <row r="215" spans="1:93" ht="13.9" customHeight="1" x14ac:dyDescent="0.2">
      <c r="A215" s="149">
        <v>2502</v>
      </c>
      <c r="B215" s="150" t="s">
        <v>854</v>
      </c>
      <c r="C215" s="150" t="s">
        <v>870</v>
      </c>
      <c r="D215" s="150" t="s">
        <v>508</v>
      </c>
      <c r="E215" s="150" t="s">
        <v>892</v>
      </c>
      <c r="F215" s="149">
        <v>527221</v>
      </c>
      <c r="G215" s="149">
        <v>172443</v>
      </c>
      <c r="H215" s="150" t="s">
        <v>176</v>
      </c>
      <c r="I215" s="151">
        <v>45382</v>
      </c>
      <c r="J215" s="151"/>
      <c r="K215" s="149">
        <v>0</v>
      </c>
      <c r="L215" s="149">
        <v>46</v>
      </c>
      <c r="M215" s="149">
        <v>46</v>
      </c>
      <c r="N215" s="149">
        <v>253</v>
      </c>
      <c r="O215" s="149">
        <v>253</v>
      </c>
      <c r="P215" s="152" t="s">
        <v>327</v>
      </c>
      <c r="Q215" s="150" t="s">
        <v>872</v>
      </c>
      <c r="R215" s="150" t="s">
        <v>388</v>
      </c>
      <c r="S215" s="151">
        <v>44887</v>
      </c>
      <c r="T215" s="151">
        <v>45042</v>
      </c>
      <c r="U215" s="152" t="s">
        <v>327</v>
      </c>
      <c r="V215" s="150" t="s">
        <v>330</v>
      </c>
      <c r="W215" s="151"/>
      <c r="X215" s="150" t="s">
        <v>331</v>
      </c>
      <c r="Y215" s="150" t="s">
        <v>343</v>
      </c>
      <c r="Z215" s="150" t="s">
        <v>343</v>
      </c>
      <c r="AA215" s="150" t="s">
        <v>334</v>
      </c>
      <c r="AB215" s="153">
        <v>0.26400000000000001</v>
      </c>
      <c r="AC215" s="151">
        <v>45382</v>
      </c>
      <c r="AD215" s="152" t="s">
        <v>327</v>
      </c>
      <c r="AE215" s="151"/>
      <c r="AF215" s="150" t="s">
        <v>49</v>
      </c>
      <c r="AG215" s="152" t="s">
        <v>383</v>
      </c>
      <c r="AH215" s="150" t="s">
        <v>511</v>
      </c>
      <c r="AI215" s="99"/>
      <c r="AJ215" s="149"/>
      <c r="AK215" s="138">
        <v>35</v>
      </c>
      <c r="AL215" s="149"/>
      <c r="AM215" s="138">
        <v>11</v>
      </c>
      <c r="AN215" s="149">
        <v>0</v>
      </c>
      <c r="AO215" s="149">
        <v>46</v>
      </c>
      <c r="AP215" s="149">
        <v>0</v>
      </c>
      <c r="AQ215" s="149">
        <v>0</v>
      </c>
      <c r="AR215" s="149">
        <v>0</v>
      </c>
      <c r="AS215" s="149">
        <v>0</v>
      </c>
      <c r="AT215" s="149">
        <v>0</v>
      </c>
      <c r="AU215" s="149">
        <v>0</v>
      </c>
      <c r="AV215" s="149">
        <v>46</v>
      </c>
      <c r="AW215" s="149">
        <v>0</v>
      </c>
      <c r="AX215" s="149">
        <v>0</v>
      </c>
      <c r="AY215" s="149">
        <v>0</v>
      </c>
      <c r="AZ215" s="149">
        <v>0</v>
      </c>
      <c r="BA215" s="149">
        <v>0</v>
      </c>
      <c r="BB215" s="149">
        <v>0</v>
      </c>
      <c r="BC215" s="149">
        <v>0</v>
      </c>
      <c r="BD215" s="149">
        <v>0</v>
      </c>
      <c r="BE215" s="149">
        <v>0</v>
      </c>
      <c r="BF215" s="149">
        <v>0</v>
      </c>
      <c r="BG215" s="149">
        <v>0</v>
      </c>
      <c r="BH215" s="149">
        <v>0</v>
      </c>
      <c r="BI215" s="149">
        <v>0</v>
      </c>
      <c r="BJ215" s="149">
        <v>0</v>
      </c>
      <c r="BK215" s="149">
        <v>0</v>
      </c>
      <c r="BL215" s="149">
        <v>0</v>
      </c>
      <c r="BM215" s="149">
        <v>0</v>
      </c>
      <c r="BN215" s="149">
        <v>0</v>
      </c>
      <c r="BO215" s="149">
        <v>0</v>
      </c>
      <c r="BP215" s="152"/>
      <c r="BQ215" s="152"/>
      <c r="BR215" s="154" t="s">
        <v>359</v>
      </c>
      <c r="BS215" s="136">
        <v>5</v>
      </c>
      <c r="BT215" s="267"/>
      <c r="BU215" s="267"/>
      <c r="BV215" s="267"/>
      <c r="BW215" s="267">
        <f>M215</f>
        <v>46</v>
      </c>
      <c r="BX215" s="267"/>
      <c r="BY215" s="267"/>
      <c r="BZ215" s="267"/>
      <c r="CA215" s="267"/>
      <c r="CB215" s="267"/>
      <c r="CC215" s="267"/>
      <c r="CD215" s="267"/>
      <c r="CE215" s="267"/>
      <c r="CF215" s="267"/>
      <c r="CG215" s="267"/>
      <c r="CH215" s="267"/>
      <c r="CI215" s="267"/>
      <c r="CJ215" s="267"/>
      <c r="CK215" s="267"/>
      <c r="CL215" s="267"/>
      <c r="CM215" s="267"/>
      <c r="CN215" s="101">
        <f t="shared" si="15"/>
        <v>46</v>
      </c>
      <c r="CO215" s="101">
        <f t="shared" si="16"/>
        <v>46</v>
      </c>
    </row>
    <row r="216" spans="1:93" ht="13.9" customHeight="1" x14ac:dyDescent="0.2">
      <c r="A216" s="149">
        <v>2502</v>
      </c>
      <c r="B216" s="150" t="s">
        <v>854</v>
      </c>
      <c r="C216" s="150" t="s">
        <v>870</v>
      </c>
      <c r="D216" s="150" t="s">
        <v>508</v>
      </c>
      <c r="E216" s="150" t="s">
        <v>893</v>
      </c>
      <c r="F216" s="149">
        <v>527221</v>
      </c>
      <c r="G216" s="149">
        <v>172443</v>
      </c>
      <c r="H216" s="150" t="s">
        <v>176</v>
      </c>
      <c r="I216" s="151">
        <v>45382</v>
      </c>
      <c r="J216" s="151"/>
      <c r="K216" s="149">
        <v>0</v>
      </c>
      <c r="L216" s="149">
        <v>10</v>
      </c>
      <c r="M216" s="149">
        <v>10</v>
      </c>
      <c r="N216" s="149">
        <v>253</v>
      </c>
      <c r="O216" s="149">
        <v>253</v>
      </c>
      <c r="P216" s="152" t="s">
        <v>327</v>
      </c>
      <c r="Q216" s="150" t="s">
        <v>872</v>
      </c>
      <c r="R216" s="150" t="s">
        <v>388</v>
      </c>
      <c r="S216" s="151">
        <v>44887</v>
      </c>
      <c r="T216" s="151">
        <v>45042</v>
      </c>
      <c r="U216" s="152" t="s">
        <v>327</v>
      </c>
      <c r="V216" s="150" t="s">
        <v>330</v>
      </c>
      <c r="W216" s="151"/>
      <c r="X216" s="150" t="s">
        <v>331</v>
      </c>
      <c r="Y216" s="150" t="s">
        <v>343</v>
      </c>
      <c r="Z216" s="150" t="s">
        <v>343</v>
      </c>
      <c r="AA216" s="150" t="s">
        <v>334</v>
      </c>
      <c r="AB216" s="153">
        <v>5.7000000000000002E-2</v>
      </c>
      <c r="AC216" s="151">
        <v>45382</v>
      </c>
      <c r="AD216" s="152" t="s">
        <v>327</v>
      </c>
      <c r="AE216" s="151"/>
      <c r="AF216" s="150" t="s">
        <v>49</v>
      </c>
      <c r="AG216" s="152" t="s">
        <v>470</v>
      </c>
      <c r="AH216" s="150" t="s">
        <v>511</v>
      </c>
      <c r="AI216" s="99"/>
      <c r="AJ216" s="149"/>
      <c r="AK216" s="138">
        <v>10</v>
      </c>
      <c r="AL216" s="149"/>
      <c r="AM216" s="99"/>
      <c r="AN216" s="149">
        <v>0</v>
      </c>
      <c r="AO216" s="149">
        <v>10</v>
      </c>
      <c r="AP216" s="149">
        <v>0</v>
      </c>
      <c r="AQ216" s="149">
        <v>0</v>
      </c>
      <c r="AR216" s="149">
        <v>0</v>
      </c>
      <c r="AS216" s="149">
        <v>0</v>
      </c>
      <c r="AT216" s="149">
        <v>0</v>
      </c>
      <c r="AU216" s="149">
        <v>0</v>
      </c>
      <c r="AV216" s="149">
        <v>10</v>
      </c>
      <c r="AW216" s="149">
        <v>0</v>
      </c>
      <c r="AX216" s="149">
        <v>0</v>
      </c>
      <c r="AY216" s="149">
        <v>0</v>
      </c>
      <c r="AZ216" s="149">
        <v>0</v>
      </c>
      <c r="BA216" s="149">
        <v>0</v>
      </c>
      <c r="BB216" s="149">
        <v>0</v>
      </c>
      <c r="BC216" s="149">
        <v>0</v>
      </c>
      <c r="BD216" s="149">
        <v>0</v>
      </c>
      <c r="BE216" s="149">
        <v>0</v>
      </c>
      <c r="BF216" s="149">
        <v>0</v>
      </c>
      <c r="BG216" s="149">
        <v>0</v>
      </c>
      <c r="BH216" s="149">
        <v>0</v>
      </c>
      <c r="BI216" s="149">
        <v>0</v>
      </c>
      <c r="BJ216" s="149">
        <v>0</v>
      </c>
      <c r="BK216" s="149">
        <v>0</v>
      </c>
      <c r="BL216" s="149">
        <v>0</v>
      </c>
      <c r="BM216" s="149">
        <v>0</v>
      </c>
      <c r="BN216" s="149">
        <v>0</v>
      </c>
      <c r="BO216" s="149">
        <v>0</v>
      </c>
      <c r="BP216" s="152"/>
      <c r="BQ216" s="152"/>
      <c r="BR216" s="154" t="s">
        <v>359</v>
      </c>
      <c r="BS216" s="136">
        <v>5</v>
      </c>
      <c r="BT216" s="267"/>
      <c r="BU216" s="267"/>
      <c r="BV216" s="267"/>
      <c r="BW216" s="267">
        <f>M216</f>
        <v>10</v>
      </c>
      <c r="BX216" s="267"/>
      <c r="BY216" s="267"/>
      <c r="BZ216" s="267"/>
      <c r="CA216" s="267"/>
      <c r="CB216" s="267"/>
      <c r="CC216" s="267"/>
      <c r="CD216" s="267"/>
      <c r="CE216" s="267"/>
      <c r="CF216" s="267"/>
      <c r="CG216" s="267"/>
      <c r="CH216" s="267"/>
      <c r="CI216" s="267"/>
      <c r="CJ216" s="267"/>
      <c r="CK216" s="267"/>
      <c r="CL216" s="267"/>
      <c r="CM216" s="267"/>
      <c r="CN216" s="101">
        <f t="shared" si="15"/>
        <v>10</v>
      </c>
      <c r="CO216" s="101">
        <f t="shared" si="16"/>
        <v>10</v>
      </c>
    </row>
    <row r="217" spans="1:93" ht="13.9" customHeight="1" x14ac:dyDescent="0.2">
      <c r="A217" s="149">
        <v>5376</v>
      </c>
      <c r="B217" s="150" t="s">
        <v>854</v>
      </c>
      <c r="C217" s="150" t="s">
        <v>894</v>
      </c>
      <c r="D217" s="150" t="s">
        <v>895</v>
      </c>
      <c r="E217" s="150" t="s">
        <v>326</v>
      </c>
      <c r="F217" s="149">
        <v>528703</v>
      </c>
      <c r="G217" s="149">
        <v>173099</v>
      </c>
      <c r="H217" s="150" t="s">
        <v>168</v>
      </c>
      <c r="I217" s="151">
        <v>43045</v>
      </c>
      <c r="J217" s="151"/>
      <c r="K217" s="149">
        <v>0</v>
      </c>
      <c r="L217" s="149">
        <v>1</v>
      </c>
      <c r="M217" s="149">
        <v>1</v>
      </c>
      <c r="N217" s="149">
        <v>2</v>
      </c>
      <c r="O217" s="149">
        <v>2</v>
      </c>
      <c r="P217" s="152"/>
      <c r="Q217" s="150" t="s">
        <v>896</v>
      </c>
      <c r="R217" s="150" t="s">
        <v>349</v>
      </c>
      <c r="S217" s="151">
        <v>42990</v>
      </c>
      <c r="T217" s="151">
        <v>43045</v>
      </c>
      <c r="U217" s="152"/>
      <c r="V217" s="150" t="s">
        <v>330</v>
      </c>
      <c r="W217" s="151"/>
      <c r="X217" s="150" t="s">
        <v>331</v>
      </c>
      <c r="Y217" s="150" t="s">
        <v>491</v>
      </c>
      <c r="Z217" s="150" t="s">
        <v>334</v>
      </c>
      <c r="AA217" s="150" t="s">
        <v>413</v>
      </c>
      <c r="AB217" s="153">
        <v>4.0000000000000001E-3</v>
      </c>
      <c r="AC217" s="151">
        <v>43045</v>
      </c>
      <c r="AD217" s="150"/>
      <c r="AE217" s="151"/>
      <c r="AF217" s="150" t="s">
        <v>70</v>
      </c>
      <c r="AG217" s="152" t="s">
        <v>352</v>
      </c>
      <c r="AH217" s="150" t="s">
        <v>326</v>
      </c>
      <c r="AI217" s="99"/>
      <c r="AJ217" s="149"/>
      <c r="AK217" s="99"/>
      <c r="AL217" s="149"/>
      <c r="AM217" s="99"/>
      <c r="AN217" s="149">
        <v>1</v>
      </c>
      <c r="AO217" s="149">
        <v>0</v>
      </c>
      <c r="AP217" s="149">
        <v>0</v>
      </c>
      <c r="AQ217" s="149">
        <v>0</v>
      </c>
      <c r="AR217" s="149">
        <v>0</v>
      </c>
      <c r="AS217" s="149">
        <v>0</v>
      </c>
      <c r="AT217" s="149">
        <v>0</v>
      </c>
      <c r="AU217" s="149">
        <v>1</v>
      </c>
      <c r="AV217" s="149">
        <v>0</v>
      </c>
      <c r="AW217" s="149">
        <v>0</v>
      </c>
      <c r="AX217" s="149">
        <v>0</v>
      </c>
      <c r="AY217" s="149">
        <v>0</v>
      </c>
      <c r="AZ217" s="149">
        <v>0</v>
      </c>
      <c r="BA217" s="149">
        <v>0</v>
      </c>
      <c r="BB217" s="149">
        <v>0</v>
      </c>
      <c r="BC217" s="149">
        <v>0</v>
      </c>
      <c r="BD217" s="149">
        <v>0</v>
      </c>
      <c r="BE217" s="149">
        <v>0</v>
      </c>
      <c r="BF217" s="149">
        <v>0</v>
      </c>
      <c r="BG217" s="149">
        <v>0</v>
      </c>
      <c r="BH217" s="149">
        <v>0</v>
      </c>
      <c r="BI217" s="149">
        <v>0</v>
      </c>
      <c r="BJ217" s="149">
        <v>0</v>
      </c>
      <c r="BK217" s="149">
        <v>0</v>
      </c>
      <c r="BL217" s="149">
        <v>0</v>
      </c>
      <c r="BM217" s="149">
        <v>0</v>
      </c>
      <c r="BN217" s="149">
        <v>0</v>
      </c>
      <c r="BO217" s="149">
        <v>0</v>
      </c>
      <c r="BP217" s="152"/>
      <c r="BQ217" s="152"/>
      <c r="BR217" s="154" t="s">
        <v>139</v>
      </c>
      <c r="BS217" s="136">
        <v>13</v>
      </c>
      <c r="BT217" s="267"/>
      <c r="BU217" s="267">
        <f>M217</f>
        <v>1</v>
      </c>
      <c r="BV217" s="267"/>
      <c r="BW217" s="267"/>
      <c r="BX217" s="267"/>
      <c r="BY217" s="267"/>
      <c r="BZ217" s="267"/>
      <c r="CA217" s="267"/>
      <c r="CB217" s="267"/>
      <c r="CC217" s="267"/>
      <c r="CD217" s="267"/>
      <c r="CE217" s="267"/>
      <c r="CF217" s="267"/>
      <c r="CG217" s="267"/>
      <c r="CH217" s="267"/>
      <c r="CI217" s="267"/>
      <c r="CJ217" s="267"/>
      <c r="CK217" s="267"/>
      <c r="CL217" s="267"/>
      <c r="CM217" s="267"/>
      <c r="CN217" s="101">
        <f t="shared" si="15"/>
        <v>1</v>
      </c>
      <c r="CO217" s="101">
        <f t="shared" si="16"/>
        <v>1</v>
      </c>
    </row>
    <row r="218" spans="1:93" ht="13.9" customHeight="1" x14ac:dyDescent="0.2">
      <c r="A218" s="149">
        <v>5376</v>
      </c>
      <c r="B218" s="150" t="s">
        <v>854</v>
      </c>
      <c r="C218" s="150" t="s">
        <v>894</v>
      </c>
      <c r="D218" s="150" t="s">
        <v>895</v>
      </c>
      <c r="E218" s="150" t="s">
        <v>326</v>
      </c>
      <c r="F218" s="149">
        <v>528703</v>
      </c>
      <c r="G218" s="149">
        <v>173099</v>
      </c>
      <c r="H218" s="150" t="s">
        <v>168</v>
      </c>
      <c r="I218" s="151">
        <v>43045</v>
      </c>
      <c r="J218" s="151"/>
      <c r="K218" s="149">
        <v>0</v>
      </c>
      <c r="L218" s="149">
        <v>1</v>
      </c>
      <c r="M218" s="149">
        <v>1</v>
      </c>
      <c r="N218" s="149">
        <v>2</v>
      </c>
      <c r="O218" s="149">
        <v>2</v>
      </c>
      <c r="P218" s="152"/>
      <c r="Q218" s="150" t="s">
        <v>896</v>
      </c>
      <c r="R218" s="150" t="s">
        <v>349</v>
      </c>
      <c r="S218" s="151">
        <v>42990</v>
      </c>
      <c r="T218" s="151">
        <v>43045</v>
      </c>
      <c r="U218" s="152"/>
      <c r="V218" s="150" t="s">
        <v>330</v>
      </c>
      <c r="W218" s="151"/>
      <c r="X218" s="150" t="s">
        <v>331</v>
      </c>
      <c r="Y218" s="150" t="s">
        <v>491</v>
      </c>
      <c r="Z218" s="150" t="s">
        <v>334</v>
      </c>
      <c r="AA218" s="150" t="s">
        <v>363</v>
      </c>
      <c r="AB218" s="153">
        <v>6.0000000000000001E-3</v>
      </c>
      <c r="AC218" s="151">
        <v>43045</v>
      </c>
      <c r="AD218" s="150"/>
      <c r="AE218" s="151"/>
      <c r="AF218" s="150" t="s">
        <v>70</v>
      </c>
      <c r="AG218" s="152" t="s">
        <v>352</v>
      </c>
      <c r="AH218" s="150" t="s">
        <v>326</v>
      </c>
      <c r="AI218" s="99"/>
      <c r="AJ218" s="149"/>
      <c r="AK218" s="99"/>
      <c r="AL218" s="149"/>
      <c r="AM218" s="99"/>
      <c r="AN218" s="149">
        <v>0</v>
      </c>
      <c r="AO218" s="149">
        <v>0</v>
      </c>
      <c r="AP218" s="149">
        <v>1</v>
      </c>
      <c r="AQ218" s="149">
        <v>0</v>
      </c>
      <c r="AR218" s="149">
        <v>0</v>
      </c>
      <c r="AS218" s="149">
        <v>0</v>
      </c>
      <c r="AT218" s="149">
        <v>0</v>
      </c>
      <c r="AU218" s="149">
        <v>0</v>
      </c>
      <c r="AV218" s="149">
        <v>0</v>
      </c>
      <c r="AW218" s="149">
        <v>1</v>
      </c>
      <c r="AX218" s="149">
        <v>0</v>
      </c>
      <c r="AY218" s="149">
        <v>0</v>
      </c>
      <c r="AZ218" s="149">
        <v>0</v>
      </c>
      <c r="BA218" s="149">
        <v>0</v>
      </c>
      <c r="BB218" s="149">
        <v>0</v>
      </c>
      <c r="BC218" s="149">
        <v>0</v>
      </c>
      <c r="BD218" s="149">
        <v>0</v>
      </c>
      <c r="BE218" s="149">
        <v>0</v>
      </c>
      <c r="BF218" s="149">
        <v>0</v>
      </c>
      <c r="BG218" s="149">
        <v>0</v>
      </c>
      <c r="BH218" s="149">
        <v>0</v>
      </c>
      <c r="BI218" s="149">
        <v>0</v>
      </c>
      <c r="BJ218" s="149">
        <v>0</v>
      </c>
      <c r="BK218" s="149">
        <v>0</v>
      </c>
      <c r="BL218" s="149">
        <v>0</v>
      </c>
      <c r="BM218" s="149">
        <v>0</v>
      </c>
      <c r="BN218" s="149">
        <v>0</v>
      </c>
      <c r="BO218" s="149">
        <v>0</v>
      </c>
      <c r="BP218" s="152"/>
      <c r="BQ218" s="152"/>
      <c r="BR218" s="154" t="s">
        <v>139</v>
      </c>
      <c r="BS218" s="136">
        <v>13</v>
      </c>
      <c r="BT218" s="267"/>
      <c r="BU218" s="267">
        <f>M218</f>
        <v>1</v>
      </c>
      <c r="BV218" s="267"/>
      <c r="BW218" s="267"/>
      <c r="BX218" s="267"/>
      <c r="BY218" s="267"/>
      <c r="BZ218" s="267"/>
      <c r="CA218" s="267"/>
      <c r="CB218" s="267"/>
      <c r="CC218" s="267"/>
      <c r="CD218" s="267"/>
      <c r="CE218" s="267"/>
      <c r="CF218" s="267"/>
      <c r="CG218" s="267"/>
      <c r="CH218" s="267"/>
      <c r="CI218" s="267"/>
      <c r="CJ218" s="267"/>
      <c r="CK218" s="267"/>
      <c r="CL218" s="267"/>
      <c r="CM218" s="267"/>
      <c r="CN218" s="101">
        <f t="shared" si="15"/>
        <v>1</v>
      </c>
      <c r="CO218" s="101">
        <f t="shared" si="16"/>
        <v>1</v>
      </c>
    </row>
    <row r="219" spans="1:93" ht="13.9" customHeight="1" x14ac:dyDescent="0.2">
      <c r="A219" s="149">
        <v>6318</v>
      </c>
      <c r="B219" s="150" t="s">
        <v>854</v>
      </c>
      <c r="C219" s="150" t="s">
        <v>897</v>
      </c>
      <c r="D219" s="150" t="s">
        <v>898</v>
      </c>
      <c r="E219" s="150" t="s">
        <v>326</v>
      </c>
      <c r="F219" s="149">
        <v>528567</v>
      </c>
      <c r="G219" s="149">
        <v>173770</v>
      </c>
      <c r="H219" s="150" t="s">
        <v>139</v>
      </c>
      <c r="I219" s="151">
        <v>44652</v>
      </c>
      <c r="J219" s="151"/>
      <c r="K219" s="149">
        <v>1</v>
      </c>
      <c r="L219" s="149">
        <v>5</v>
      </c>
      <c r="M219" s="149">
        <v>4</v>
      </c>
      <c r="N219" s="149">
        <v>5</v>
      </c>
      <c r="O219" s="149">
        <v>4</v>
      </c>
      <c r="P219" s="152"/>
      <c r="Q219" s="150" t="s">
        <v>899</v>
      </c>
      <c r="R219" s="150" t="s">
        <v>349</v>
      </c>
      <c r="S219" s="151">
        <v>42891</v>
      </c>
      <c r="T219" s="151">
        <v>43032</v>
      </c>
      <c r="U219" s="152"/>
      <c r="V219" s="150" t="s">
        <v>330</v>
      </c>
      <c r="W219" s="151"/>
      <c r="X219" s="150" t="s">
        <v>331</v>
      </c>
      <c r="Y219" s="150" t="s">
        <v>343</v>
      </c>
      <c r="Z219" s="150" t="s">
        <v>334</v>
      </c>
      <c r="AA219" s="150" t="s">
        <v>363</v>
      </c>
      <c r="AB219" s="153">
        <v>0.01</v>
      </c>
      <c r="AC219" s="151">
        <v>44652</v>
      </c>
      <c r="AD219" s="150"/>
      <c r="AE219" s="151"/>
      <c r="AF219" s="150" t="s">
        <v>70</v>
      </c>
      <c r="AG219" s="152" t="s">
        <v>352</v>
      </c>
      <c r="AH219" s="150" t="s">
        <v>326</v>
      </c>
      <c r="AI219" s="99"/>
      <c r="AJ219" s="149"/>
      <c r="AK219" s="99"/>
      <c r="AL219" s="149"/>
      <c r="AM219" s="99"/>
      <c r="AN219" s="149">
        <v>1</v>
      </c>
      <c r="AO219" s="149">
        <v>2</v>
      </c>
      <c r="AP219" s="149">
        <v>1</v>
      </c>
      <c r="AQ219" s="149">
        <v>0</v>
      </c>
      <c r="AR219" s="149">
        <v>0</v>
      </c>
      <c r="AS219" s="149">
        <v>0</v>
      </c>
      <c r="AT219" s="149">
        <v>0</v>
      </c>
      <c r="AU219" s="149">
        <v>1</v>
      </c>
      <c r="AV219" s="149">
        <v>1</v>
      </c>
      <c r="AW219" s="149">
        <v>2</v>
      </c>
      <c r="AX219" s="149">
        <v>0</v>
      </c>
      <c r="AY219" s="149">
        <v>0</v>
      </c>
      <c r="AZ219" s="149">
        <v>0</v>
      </c>
      <c r="BA219" s="149">
        <v>0</v>
      </c>
      <c r="BB219" s="149">
        <v>0</v>
      </c>
      <c r="BC219" s="149">
        <v>1</v>
      </c>
      <c r="BD219" s="149">
        <v>-1</v>
      </c>
      <c r="BE219" s="149">
        <v>0</v>
      </c>
      <c r="BF219" s="149">
        <v>0</v>
      </c>
      <c r="BG219" s="149">
        <v>0</v>
      </c>
      <c r="BH219" s="149">
        <v>0</v>
      </c>
      <c r="BI219" s="149">
        <v>0</v>
      </c>
      <c r="BJ219" s="149">
        <v>0</v>
      </c>
      <c r="BK219" s="149">
        <v>0</v>
      </c>
      <c r="BL219" s="149">
        <v>0</v>
      </c>
      <c r="BM219" s="149">
        <v>0</v>
      </c>
      <c r="BN219" s="149">
        <v>0</v>
      </c>
      <c r="BO219" s="149">
        <v>0</v>
      </c>
      <c r="BP219" s="152"/>
      <c r="BQ219" s="152"/>
      <c r="BR219" s="154" t="s">
        <v>359</v>
      </c>
      <c r="BS219" s="136">
        <v>3</v>
      </c>
      <c r="BT219" s="267"/>
      <c r="BU219" s="267">
        <f>M219</f>
        <v>4</v>
      </c>
      <c r="BV219" s="267"/>
      <c r="BW219" s="267"/>
      <c r="BX219" s="267"/>
      <c r="BY219" s="267"/>
      <c r="BZ219" s="267"/>
      <c r="CA219" s="267"/>
      <c r="CB219" s="267"/>
      <c r="CC219" s="267"/>
      <c r="CD219" s="267"/>
      <c r="CE219" s="267"/>
      <c r="CF219" s="267"/>
      <c r="CG219" s="267"/>
      <c r="CH219" s="267"/>
      <c r="CI219" s="267"/>
      <c r="CJ219" s="267"/>
      <c r="CK219" s="267"/>
      <c r="CL219" s="267"/>
      <c r="CM219" s="267"/>
      <c r="CN219" s="101">
        <f t="shared" si="15"/>
        <v>4</v>
      </c>
      <c r="CO219" s="101">
        <f t="shared" si="16"/>
        <v>4</v>
      </c>
    </row>
    <row r="220" spans="1:93" ht="13.9" customHeight="1" x14ac:dyDescent="0.2">
      <c r="A220" s="149">
        <v>5142</v>
      </c>
      <c r="B220" s="150" t="s">
        <v>854</v>
      </c>
      <c r="C220" s="150" t="s">
        <v>900</v>
      </c>
      <c r="D220" s="150" t="s">
        <v>901</v>
      </c>
      <c r="E220" s="150" t="s">
        <v>326</v>
      </c>
      <c r="F220" s="149">
        <v>528703</v>
      </c>
      <c r="G220" s="149">
        <v>173473</v>
      </c>
      <c r="H220" s="150" t="s">
        <v>139</v>
      </c>
      <c r="I220" s="151">
        <v>44652</v>
      </c>
      <c r="J220" s="151"/>
      <c r="K220" s="149">
        <v>1</v>
      </c>
      <c r="L220" s="149">
        <v>5</v>
      </c>
      <c r="M220" s="149">
        <v>4</v>
      </c>
      <c r="N220" s="149">
        <v>5</v>
      </c>
      <c r="O220" s="149">
        <v>4</v>
      </c>
      <c r="P220" s="152"/>
      <c r="Q220" s="150" t="s">
        <v>902</v>
      </c>
      <c r="R220" s="150" t="s">
        <v>349</v>
      </c>
      <c r="S220" s="151">
        <v>43084</v>
      </c>
      <c r="T220" s="151">
        <v>43140</v>
      </c>
      <c r="U220" s="152"/>
      <c r="V220" s="150" t="s">
        <v>330</v>
      </c>
      <c r="W220" s="151"/>
      <c r="X220" s="150" t="s">
        <v>331</v>
      </c>
      <c r="Y220" s="150" t="s">
        <v>398</v>
      </c>
      <c r="Z220" s="150" t="s">
        <v>334</v>
      </c>
      <c r="AA220" s="150" t="s">
        <v>16</v>
      </c>
      <c r="AB220" s="153">
        <v>3.6999999999999998E-2</v>
      </c>
      <c r="AC220" s="151">
        <v>44652</v>
      </c>
      <c r="AD220" s="150"/>
      <c r="AE220" s="151"/>
      <c r="AF220" s="150" t="s">
        <v>70</v>
      </c>
      <c r="AG220" s="152" t="s">
        <v>352</v>
      </c>
      <c r="AH220" s="150" t="s">
        <v>326</v>
      </c>
      <c r="AI220" s="99"/>
      <c r="AJ220" s="149"/>
      <c r="AK220" s="99"/>
      <c r="AL220" s="149"/>
      <c r="AM220" s="99"/>
      <c r="AN220" s="149">
        <v>0</v>
      </c>
      <c r="AO220" s="149">
        <v>1</v>
      </c>
      <c r="AP220" s="149">
        <v>2</v>
      </c>
      <c r="AQ220" s="149">
        <v>2</v>
      </c>
      <c r="AR220" s="149">
        <v>0</v>
      </c>
      <c r="AS220" s="149">
        <v>-1</v>
      </c>
      <c r="AT220" s="149">
        <v>0</v>
      </c>
      <c r="AU220" s="149">
        <v>0</v>
      </c>
      <c r="AV220" s="149">
        <v>1</v>
      </c>
      <c r="AW220" s="149">
        <v>2</v>
      </c>
      <c r="AX220" s="149">
        <v>2</v>
      </c>
      <c r="AY220" s="149">
        <v>0</v>
      </c>
      <c r="AZ220" s="149">
        <v>0</v>
      </c>
      <c r="BA220" s="149">
        <v>0</v>
      </c>
      <c r="BB220" s="149">
        <v>0</v>
      </c>
      <c r="BC220" s="149">
        <v>0</v>
      </c>
      <c r="BD220" s="149">
        <v>0</v>
      </c>
      <c r="BE220" s="149">
        <v>0</v>
      </c>
      <c r="BF220" s="149">
        <v>0</v>
      </c>
      <c r="BG220" s="149">
        <v>-1</v>
      </c>
      <c r="BH220" s="149">
        <v>0</v>
      </c>
      <c r="BI220" s="149">
        <v>0</v>
      </c>
      <c r="BJ220" s="149">
        <v>0</v>
      </c>
      <c r="BK220" s="149">
        <v>0</v>
      </c>
      <c r="BL220" s="149">
        <v>0</v>
      </c>
      <c r="BM220" s="149">
        <v>0</v>
      </c>
      <c r="BN220" s="149">
        <v>0</v>
      </c>
      <c r="BO220" s="149">
        <v>0</v>
      </c>
      <c r="BP220" s="152"/>
      <c r="BQ220" s="152"/>
      <c r="BR220" s="154" t="s">
        <v>139</v>
      </c>
      <c r="BS220" s="136">
        <v>13</v>
      </c>
      <c r="BT220" s="267"/>
      <c r="BU220" s="267">
        <f>M220</f>
        <v>4</v>
      </c>
      <c r="BV220" s="267"/>
      <c r="BW220" s="267"/>
      <c r="BX220" s="267"/>
      <c r="BY220" s="267"/>
      <c r="BZ220" s="267"/>
      <c r="CA220" s="267"/>
      <c r="CB220" s="267"/>
      <c r="CC220" s="267"/>
      <c r="CD220" s="267"/>
      <c r="CE220" s="267"/>
      <c r="CF220" s="267"/>
      <c r="CG220" s="267"/>
      <c r="CH220" s="267"/>
      <c r="CI220" s="267"/>
      <c r="CJ220" s="267"/>
      <c r="CK220" s="267"/>
      <c r="CL220" s="267"/>
      <c r="CM220" s="267"/>
      <c r="CN220" s="101">
        <f t="shared" si="15"/>
        <v>4</v>
      </c>
      <c r="CO220" s="101">
        <f t="shared" si="16"/>
        <v>4</v>
      </c>
    </row>
    <row r="221" spans="1:93" ht="13.9" customHeight="1" x14ac:dyDescent="0.2">
      <c r="A221" s="149">
        <v>5561</v>
      </c>
      <c r="B221" s="150" t="s">
        <v>854</v>
      </c>
      <c r="C221" s="150" t="s">
        <v>903</v>
      </c>
      <c r="D221" s="150" t="s">
        <v>904</v>
      </c>
      <c r="E221" s="150" t="s">
        <v>326</v>
      </c>
      <c r="F221" s="149">
        <v>528467</v>
      </c>
      <c r="G221" s="149">
        <v>172710</v>
      </c>
      <c r="H221" s="150" t="s">
        <v>168</v>
      </c>
      <c r="I221" s="151">
        <v>44235</v>
      </c>
      <c r="J221" s="151"/>
      <c r="K221" s="149">
        <v>1</v>
      </c>
      <c r="L221" s="149">
        <v>3</v>
      </c>
      <c r="M221" s="149">
        <v>2</v>
      </c>
      <c r="N221" s="149">
        <v>3</v>
      </c>
      <c r="O221" s="149">
        <v>2</v>
      </c>
      <c r="P221" s="152"/>
      <c r="Q221" s="150" t="s">
        <v>905</v>
      </c>
      <c r="R221" s="150" t="s">
        <v>349</v>
      </c>
      <c r="S221" s="151">
        <v>43102</v>
      </c>
      <c r="T221" s="151">
        <v>43158</v>
      </c>
      <c r="U221" s="152"/>
      <c r="V221" s="150" t="s">
        <v>330</v>
      </c>
      <c r="W221" s="151"/>
      <c r="X221" s="150" t="s">
        <v>331</v>
      </c>
      <c r="Y221" s="150" t="s">
        <v>398</v>
      </c>
      <c r="Z221" s="150" t="s">
        <v>334</v>
      </c>
      <c r="AA221" s="150" t="s">
        <v>16</v>
      </c>
      <c r="AB221" s="153">
        <v>1.7000000000000001E-2</v>
      </c>
      <c r="AC221" s="151">
        <v>44235</v>
      </c>
      <c r="AD221" s="150"/>
      <c r="AE221" s="151"/>
      <c r="AF221" s="150" t="s">
        <v>70</v>
      </c>
      <c r="AG221" s="152" t="s">
        <v>352</v>
      </c>
      <c r="AH221" s="150" t="s">
        <v>326</v>
      </c>
      <c r="AI221" s="99"/>
      <c r="AJ221" s="149"/>
      <c r="AK221" s="99"/>
      <c r="AL221" s="149"/>
      <c r="AM221" s="99"/>
      <c r="AN221" s="149">
        <v>0</v>
      </c>
      <c r="AO221" s="149">
        <v>0</v>
      </c>
      <c r="AP221" s="149">
        <v>2</v>
      </c>
      <c r="AQ221" s="149">
        <v>1</v>
      </c>
      <c r="AR221" s="149">
        <v>-1</v>
      </c>
      <c r="AS221" s="149">
        <v>0</v>
      </c>
      <c r="AT221" s="149">
        <v>0</v>
      </c>
      <c r="AU221" s="149">
        <v>0</v>
      </c>
      <c r="AV221" s="149">
        <v>0</v>
      </c>
      <c r="AW221" s="149">
        <v>2</v>
      </c>
      <c r="AX221" s="149">
        <v>1</v>
      </c>
      <c r="AY221" s="149">
        <v>0</v>
      </c>
      <c r="AZ221" s="149">
        <v>0</v>
      </c>
      <c r="BA221" s="149">
        <v>0</v>
      </c>
      <c r="BB221" s="149">
        <v>0</v>
      </c>
      <c r="BC221" s="149">
        <v>0</v>
      </c>
      <c r="BD221" s="149">
        <v>0</v>
      </c>
      <c r="BE221" s="149">
        <v>0</v>
      </c>
      <c r="BF221" s="149">
        <v>-1</v>
      </c>
      <c r="BG221" s="149">
        <v>0</v>
      </c>
      <c r="BH221" s="149">
        <v>0</v>
      </c>
      <c r="BI221" s="149">
        <v>0</v>
      </c>
      <c r="BJ221" s="149">
        <v>0</v>
      </c>
      <c r="BK221" s="149">
        <v>0</v>
      </c>
      <c r="BL221" s="149">
        <v>0</v>
      </c>
      <c r="BM221" s="149">
        <v>0</v>
      </c>
      <c r="BN221" s="149">
        <v>0</v>
      </c>
      <c r="BO221" s="149">
        <v>0</v>
      </c>
      <c r="BP221" s="152"/>
      <c r="BQ221" s="152"/>
      <c r="BR221" s="154" t="s">
        <v>359</v>
      </c>
      <c r="BS221" s="136">
        <v>13</v>
      </c>
      <c r="BT221" s="267"/>
      <c r="BU221" s="267">
        <f>M221</f>
        <v>2</v>
      </c>
      <c r="BV221" s="267"/>
      <c r="BW221" s="267"/>
      <c r="BX221" s="267"/>
      <c r="BY221" s="267"/>
      <c r="BZ221" s="267"/>
      <c r="CA221" s="267"/>
      <c r="CB221" s="267"/>
      <c r="CC221" s="267"/>
      <c r="CD221" s="267"/>
      <c r="CE221" s="267"/>
      <c r="CF221" s="267"/>
      <c r="CG221" s="267"/>
      <c r="CH221" s="267"/>
      <c r="CI221" s="267"/>
      <c r="CJ221" s="267"/>
      <c r="CK221" s="267"/>
      <c r="CL221" s="267"/>
      <c r="CM221" s="267"/>
      <c r="CN221" s="101">
        <f t="shared" si="15"/>
        <v>2</v>
      </c>
      <c r="CO221" s="101">
        <f t="shared" si="16"/>
        <v>2</v>
      </c>
    </row>
    <row r="222" spans="1:93" ht="13.9" customHeight="1" x14ac:dyDescent="0.2">
      <c r="A222" s="149">
        <v>2502</v>
      </c>
      <c r="B222" s="150" t="s">
        <v>854</v>
      </c>
      <c r="C222" s="150" t="s">
        <v>870</v>
      </c>
      <c r="D222" s="150" t="s">
        <v>508</v>
      </c>
      <c r="E222" s="150" t="s">
        <v>906</v>
      </c>
      <c r="F222" s="149">
        <v>527221</v>
      </c>
      <c r="G222" s="149">
        <v>172443</v>
      </c>
      <c r="H222" s="150" t="s">
        <v>176</v>
      </c>
      <c r="I222" s="151">
        <v>45382</v>
      </c>
      <c r="J222" s="151"/>
      <c r="K222" s="149">
        <v>0</v>
      </c>
      <c r="L222" s="149">
        <v>4</v>
      </c>
      <c r="M222" s="149">
        <v>4</v>
      </c>
      <c r="N222" s="149">
        <v>253</v>
      </c>
      <c r="O222" s="149">
        <v>253</v>
      </c>
      <c r="P222" s="152" t="s">
        <v>327</v>
      </c>
      <c r="Q222" s="150" t="s">
        <v>872</v>
      </c>
      <c r="R222" s="150" t="s">
        <v>388</v>
      </c>
      <c r="S222" s="151">
        <v>44887</v>
      </c>
      <c r="T222" s="151">
        <v>45042</v>
      </c>
      <c r="U222" s="152" t="s">
        <v>327</v>
      </c>
      <c r="V222" s="150" t="s">
        <v>330</v>
      </c>
      <c r="W222" s="151"/>
      <c r="X222" s="150" t="s">
        <v>331</v>
      </c>
      <c r="Y222" s="150" t="s">
        <v>343</v>
      </c>
      <c r="Z222" s="150" t="s">
        <v>343</v>
      </c>
      <c r="AA222" s="150" t="s">
        <v>334</v>
      </c>
      <c r="AB222" s="153">
        <v>3.4000000000000002E-2</v>
      </c>
      <c r="AC222" s="151">
        <v>45382</v>
      </c>
      <c r="AD222" s="152" t="s">
        <v>327</v>
      </c>
      <c r="AE222" s="151"/>
      <c r="AF222" s="150" t="s">
        <v>70</v>
      </c>
      <c r="AG222" s="152" t="s">
        <v>352</v>
      </c>
      <c r="AH222" s="150" t="s">
        <v>511</v>
      </c>
      <c r="AI222" s="99"/>
      <c r="AJ222" s="149"/>
      <c r="AK222" s="99"/>
      <c r="AL222" s="149"/>
      <c r="AM222" s="99"/>
      <c r="AN222" s="149">
        <v>0</v>
      </c>
      <c r="AO222" s="149">
        <v>0</v>
      </c>
      <c r="AP222" s="149">
        <v>0</v>
      </c>
      <c r="AQ222" s="149">
        <v>4</v>
      </c>
      <c r="AR222" s="149">
        <v>0</v>
      </c>
      <c r="AS222" s="149">
        <v>0</v>
      </c>
      <c r="AT222" s="149">
        <v>0</v>
      </c>
      <c r="AU222" s="149">
        <v>0</v>
      </c>
      <c r="AV222" s="149">
        <v>0</v>
      </c>
      <c r="AW222" s="149">
        <v>0</v>
      </c>
      <c r="AX222" s="149">
        <v>0</v>
      </c>
      <c r="AY222" s="149">
        <v>0</v>
      </c>
      <c r="AZ222" s="149">
        <v>0</v>
      </c>
      <c r="BA222" s="149">
        <v>0</v>
      </c>
      <c r="BB222" s="149">
        <v>0</v>
      </c>
      <c r="BC222" s="149">
        <v>0</v>
      </c>
      <c r="BD222" s="149">
        <v>0</v>
      </c>
      <c r="BE222" s="149">
        <v>4</v>
      </c>
      <c r="BF222" s="149">
        <v>0</v>
      </c>
      <c r="BG222" s="149">
        <v>0</v>
      </c>
      <c r="BH222" s="149">
        <v>0</v>
      </c>
      <c r="BI222" s="149">
        <v>0</v>
      </c>
      <c r="BJ222" s="149">
        <v>0</v>
      </c>
      <c r="BK222" s="149">
        <v>0</v>
      </c>
      <c r="BL222" s="149">
        <v>0</v>
      </c>
      <c r="BM222" s="149">
        <v>0</v>
      </c>
      <c r="BN222" s="149">
        <v>0</v>
      </c>
      <c r="BO222" s="149">
        <v>0</v>
      </c>
      <c r="BP222" s="152"/>
      <c r="BQ222" s="152"/>
      <c r="BR222" s="154" t="s">
        <v>359</v>
      </c>
      <c r="BS222" s="136">
        <v>5</v>
      </c>
      <c r="BT222" s="267"/>
      <c r="BU222" s="267"/>
      <c r="BV222" s="267"/>
      <c r="BW222" s="267">
        <f>M222</f>
        <v>4</v>
      </c>
      <c r="BX222" s="267"/>
      <c r="BY222" s="267"/>
      <c r="BZ222" s="267"/>
      <c r="CA222" s="267"/>
      <c r="CB222" s="267"/>
      <c r="CC222" s="267"/>
      <c r="CD222" s="267"/>
      <c r="CE222" s="267"/>
      <c r="CF222" s="267"/>
      <c r="CG222" s="267"/>
      <c r="CH222" s="267"/>
      <c r="CI222" s="267"/>
      <c r="CJ222" s="267"/>
      <c r="CK222" s="267"/>
      <c r="CL222" s="267"/>
      <c r="CM222" s="267"/>
      <c r="CN222" s="101">
        <f t="shared" si="15"/>
        <v>4</v>
      </c>
      <c r="CO222" s="101">
        <f t="shared" si="16"/>
        <v>4</v>
      </c>
    </row>
    <row r="223" spans="1:93" ht="13.9" customHeight="1" x14ac:dyDescent="0.2">
      <c r="A223" s="149">
        <v>2502</v>
      </c>
      <c r="B223" s="150" t="s">
        <v>854</v>
      </c>
      <c r="C223" s="150" t="s">
        <v>870</v>
      </c>
      <c r="D223" s="150" t="s">
        <v>508</v>
      </c>
      <c r="E223" s="150" t="s">
        <v>907</v>
      </c>
      <c r="F223" s="149">
        <v>527221</v>
      </c>
      <c r="G223" s="149">
        <v>172443</v>
      </c>
      <c r="H223" s="150" t="s">
        <v>176</v>
      </c>
      <c r="I223" s="151">
        <v>45382</v>
      </c>
      <c r="J223" s="151"/>
      <c r="K223" s="149">
        <v>0</v>
      </c>
      <c r="L223" s="149">
        <v>63</v>
      </c>
      <c r="M223" s="149">
        <v>63</v>
      </c>
      <c r="N223" s="149">
        <v>253</v>
      </c>
      <c r="O223" s="149">
        <v>253</v>
      </c>
      <c r="P223" s="152" t="s">
        <v>327</v>
      </c>
      <c r="Q223" s="150" t="s">
        <v>872</v>
      </c>
      <c r="R223" s="150" t="s">
        <v>388</v>
      </c>
      <c r="S223" s="151">
        <v>44887</v>
      </c>
      <c r="T223" s="151">
        <v>45042</v>
      </c>
      <c r="U223" s="152" t="s">
        <v>327</v>
      </c>
      <c r="V223" s="150" t="s">
        <v>330</v>
      </c>
      <c r="W223" s="151"/>
      <c r="X223" s="150" t="s">
        <v>331</v>
      </c>
      <c r="Y223" s="150" t="s">
        <v>343</v>
      </c>
      <c r="Z223" s="150" t="s">
        <v>343</v>
      </c>
      <c r="AA223" s="150" t="s">
        <v>334</v>
      </c>
      <c r="AB223" s="153">
        <v>0.36199999999999999</v>
      </c>
      <c r="AC223" s="151">
        <v>45382</v>
      </c>
      <c r="AD223" s="152" t="s">
        <v>327</v>
      </c>
      <c r="AE223" s="151"/>
      <c r="AF223" s="150" t="s">
        <v>70</v>
      </c>
      <c r="AG223" s="152" t="s">
        <v>352</v>
      </c>
      <c r="AH223" s="150" t="s">
        <v>511</v>
      </c>
      <c r="AI223" s="99"/>
      <c r="AJ223" s="149"/>
      <c r="AK223" s="99"/>
      <c r="AL223" s="149"/>
      <c r="AM223" s="138">
        <v>14</v>
      </c>
      <c r="AN223" s="149">
        <v>0</v>
      </c>
      <c r="AO223" s="149">
        <v>26</v>
      </c>
      <c r="AP223" s="149">
        <v>22</v>
      </c>
      <c r="AQ223" s="149">
        <v>15</v>
      </c>
      <c r="AR223" s="149">
        <v>0</v>
      </c>
      <c r="AS223" s="149">
        <v>0</v>
      </c>
      <c r="AT223" s="149">
        <v>0</v>
      </c>
      <c r="AU223" s="149">
        <v>0</v>
      </c>
      <c r="AV223" s="149">
        <v>26</v>
      </c>
      <c r="AW223" s="149">
        <v>22</v>
      </c>
      <c r="AX223" s="149">
        <v>15</v>
      </c>
      <c r="AY223" s="149">
        <v>0</v>
      </c>
      <c r="AZ223" s="149">
        <v>0</v>
      </c>
      <c r="BA223" s="149">
        <v>0</v>
      </c>
      <c r="BB223" s="149">
        <v>0</v>
      </c>
      <c r="BC223" s="149">
        <v>0</v>
      </c>
      <c r="BD223" s="149">
        <v>0</v>
      </c>
      <c r="BE223" s="149">
        <v>0</v>
      </c>
      <c r="BF223" s="149">
        <v>0</v>
      </c>
      <c r="BG223" s="149">
        <v>0</v>
      </c>
      <c r="BH223" s="149">
        <v>0</v>
      </c>
      <c r="BI223" s="149">
        <v>0</v>
      </c>
      <c r="BJ223" s="149">
        <v>0</v>
      </c>
      <c r="BK223" s="149">
        <v>0</v>
      </c>
      <c r="BL223" s="149">
        <v>0</v>
      </c>
      <c r="BM223" s="149">
        <v>0</v>
      </c>
      <c r="BN223" s="149">
        <v>0</v>
      </c>
      <c r="BO223" s="149">
        <v>0</v>
      </c>
      <c r="BP223" s="152"/>
      <c r="BQ223" s="152"/>
      <c r="BR223" s="154" t="s">
        <v>359</v>
      </c>
      <c r="BS223" s="136">
        <v>5</v>
      </c>
      <c r="BT223" s="267"/>
      <c r="BU223" s="267"/>
      <c r="BV223" s="267"/>
      <c r="BW223" s="267">
        <f>M223</f>
        <v>63</v>
      </c>
      <c r="BX223" s="267"/>
      <c r="BY223" s="267"/>
      <c r="BZ223" s="267"/>
      <c r="CA223" s="267"/>
      <c r="CB223" s="267"/>
      <c r="CC223" s="267"/>
      <c r="CD223" s="267"/>
      <c r="CE223" s="267"/>
      <c r="CF223" s="267"/>
      <c r="CG223" s="267"/>
      <c r="CH223" s="267"/>
      <c r="CI223" s="267"/>
      <c r="CJ223" s="267"/>
      <c r="CK223" s="267"/>
      <c r="CL223" s="267"/>
      <c r="CM223" s="267"/>
      <c r="CN223" s="101">
        <f t="shared" si="15"/>
        <v>63</v>
      </c>
      <c r="CO223" s="101">
        <f t="shared" si="16"/>
        <v>63</v>
      </c>
    </row>
    <row r="224" spans="1:93" ht="13.9" customHeight="1" x14ac:dyDescent="0.2">
      <c r="A224" s="149">
        <v>2502</v>
      </c>
      <c r="B224" s="150" t="s">
        <v>854</v>
      </c>
      <c r="C224" s="150" t="s">
        <v>870</v>
      </c>
      <c r="D224" s="150" t="s">
        <v>508</v>
      </c>
      <c r="E224" s="150" t="s">
        <v>908</v>
      </c>
      <c r="F224" s="149">
        <v>527221</v>
      </c>
      <c r="G224" s="149">
        <v>172443</v>
      </c>
      <c r="H224" s="150" t="s">
        <v>176</v>
      </c>
      <c r="I224" s="151">
        <v>45382</v>
      </c>
      <c r="J224" s="151"/>
      <c r="K224" s="149">
        <v>0</v>
      </c>
      <c r="L224" s="149">
        <v>44</v>
      </c>
      <c r="M224" s="149">
        <v>44</v>
      </c>
      <c r="N224" s="149">
        <v>253</v>
      </c>
      <c r="O224" s="149">
        <v>253</v>
      </c>
      <c r="P224" s="152" t="s">
        <v>327</v>
      </c>
      <c r="Q224" s="150" t="s">
        <v>872</v>
      </c>
      <c r="R224" s="150" t="s">
        <v>388</v>
      </c>
      <c r="S224" s="151">
        <v>44887</v>
      </c>
      <c r="T224" s="151">
        <v>45042</v>
      </c>
      <c r="U224" s="152" t="s">
        <v>327</v>
      </c>
      <c r="V224" s="150" t="s">
        <v>330</v>
      </c>
      <c r="W224" s="151"/>
      <c r="X224" s="150" t="s">
        <v>331</v>
      </c>
      <c r="Y224" s="150" t="s">
        <v>343</v>
      </c>
      <c r="Z224" s="150" t="s">
        <v>343</v>
      </c>
      <c r="AA224" s="150" t="s">
        <v>334</v>
      </c>
      <c r="AB224" s="153">
        <v>0.623</v>
      </c>
      <c r="AC224" s="151">
        <v>45382</v>
      </c>
      <c r="AD224" s="152" t="s">
        <v>327</v>
      </c>
      <c r="AE224" s="151"/>
      <c r="AF224" s="150" t="s">
        <v>70</v>
      </c>
      <c r="AG224" s="152" t="s">
        <v>352</v>
      </c>
      <c r="AH224" s="150" t="s">
        <v>511</v>
      </c>
      <c r="AI224" s="99"/>
      <c r="AJ224" s="149"/>
      <c r="AK224" s="102"/>
      <c r="AL224" s="149"/>
      <c r="AM224" s="102"/>
      <c r="AN224" s="149">
        <v>0</v>
      </c>
      <c r="AO224" s="149">
        <v>8</v>
      </c>
      <c r="AP224" s="149">
        <v>24</v>
      </c>
      <c r="AQ224" s="149">
        <v>10</v>
      </c>
      <c r="AR224" s="149">
        <v>2</v>
      </c>
      <c r="AS224" s="149">
        <v>0</v>
      </c>
      <c r="AT224" s="149">
        <v>0</v>
      </c>
      <c r="AU224" s="149">
        <v>0</v>
      </c>
      <c r="AV224" s="149">
        <v>8</v>
      </c>
      <c r="AW224" s="149">
        <v>24</v>
      </c>
      <c r="AX224" s="149">
        <v>0</v>
      </c>
      <c r="AY224" s="149">
        <v>0</v>
      </c>
      <c r="AZ224" s="149">
        <v>0</v>
      </c>
      <c r="BA224" s="149">
        <v>0</v>
      </c>
      <c r="BB224" s="149">
        <v>0</v>
      </c>
      <c r="BC224" s="149">
        <v>0</v>
      </c>
      <c r="BD224" s="149">
        <v>0</v>
      </c>
      <c r="BE224" s="149">
        <v>10</v>
      </c>
      <c r="BF224" s="149">
        <v>2</v>
      </c>
      <c r="BG224" s="149">
        <v>0</v>
      </c>
      <c r="BH224" s="149">
        <v>0</v>
      </c>
      <c r="BI224" s="149">
        <v>0</v>
      </c>
      <c r="BJ224" s="149">
        <v>0</v>
      </c>
      <c r="BK224" s="149">
        <v>0</v>
      </c>
      <c r="BL224" s="149">
        <v>0</v>
      </c>
      <c r="BM224" s="149">
        <v>0</v>
      </c>
      <c r="BN224" s="149">
        <v>0</v>
      </c>
      <c r="BO224" s="149">
        <v>0</v>
      </c>
      <c r="BP224" s="152"/>
      <c r="BQ224" s="152"/>
      <c r="BR224" s="154" t="s">
        <v>359</v>
      </c>
      <c r="BS224" s="136">
        <v>5</v>
      </c>
      <c r="BT224" s="267"/>
      <c r="BU224" s="267"/>
      <c r="BV224" s="267">
        <f>M224</f>
        <v>44</v>
      </c>
      <c r="BW224" s="267"/>
      <c r="BX224" s="267"/>
      <c r="BY224" s="267"/>
      <c r="BZ224" s="267"/>
      <c r="CA224" s="267"/>
      <c r="CB224" s="267"/>
      <c r="CC224" s="267"/>
      <c r="CD224" s="267"/>
      <c r="CE224" s="267"/>
      <c r="CF224" s="267"/>
      <c r="CG224" s="267"/>
      <c r="CH224" s="267"/>
      <c r="CI224" s="267"/>
      <c r="CJ224" s="267"/>
      <c r="CK224" s="267"/>
      <c r="CL224" s="267"/>
      <c r="CM224" s="267"/>
      <c r="CN224" s="101">
        <f t="shared" si="15"/>
        <v>44</v>
      </c>
      <c r="CO224" s="101">
        <f t="shared" si="16"/>
        <v>44</v>
      </c>
    </row>
    <row r="225" spans="1:93" ht="13.9" customHeight="1" x14ac:dyDescent="0.2">
      <c r="A225" s="149">
        <v>6815</v>
      </c>
      <c r="B225" s="150" t="s">
        <v>854</v>
      </c>
      <c r="C225" s="150" t="s">
        <v>909</v>
      </c>
      <c r="D225" s="150" t="s">
        <v>910</v>
      </c>
      <c r="E225" s="150" t="s">
        <v>326</v>
      </c>
      <c r="F225" s="149">
        <v>524144</v>
      </c>
      <c r="G225" s="149">
        <v>173132</v>
      </c>
      <c r="H225" s="150" t="s">
        <v>178</v>
      </c>
      <c r="I225" s="151">
        <v>43915</v>
      </c>
      <c r="J225" s="151"/>
      <c r="K225" s="149">
        <v>0</v>
      </c>
      <c r="L225" s="149">
        <v>1</v>
      </c>
      <c r="M225" s="149">
        <v>1</v>
      </c>
      <c r="N225" s="149">
        <v>1</v>
      </c>
      <c r="O225" s="149">
        <v>1</v>
      </c>
      <c r="P225" s="152"/>
      <c r="Q225" s="150" t="s">
        <v>911</v>
      </c>
      <c r="R225" s="150" t="s">
        <v>349</v>
      </c>
      <c r="S225" s="151">
        <v>43146</v>
      </c>
      <c r="T225" s="151">
        <v>43304</v>
      </c>
      <c r="U225" s="152"/>
      <c r="V225" s="150" t="s">
        <v>330</v>
      </c>
      <c r="W225" s="151"/>
      <c r="X225" s="150" t="s">
        <v>331</v>
      </c>
      <c r="Y225" s="150" t="s">
        <v>343</v>
      </c>
      <c r="Z225" s="150" t="s">
        <v>334</v>
      </c>
      <c r="AA225" s="150" t="s">
        <v>363</v>
      </c>
      <c r="AB225" s="153">
        <v>7.0000000000000001E-3</v>
      </c>
      <c r="AC225" s="151">
        <v>43915</v>
      </c>
      <c r="AD225" s="150"/>
      <c r="AE225" s="151"/>
      <c r="AF225" s="150" t="s">
        <v>70</v>
      </c>
      <c r="AG225" s="152" t="s">
        <v>352</v>
      </c>
      <c r="AH225" s="150" t="s">
        <v>326</v>
      </c>
      <c r="AI225" s="99"/>
      <c r="AJ225" s="149"/>
      <c r="AK225" s="99"/>
      <c r="AL225" s="149"/>
      <c r="AM225" s="99"/>
      <c r="AN225" s="149">
        <v>0</v>
      </c>
      <c r="AO225" s="149">
        <v>0</v>
      </c>
      <c r="AP225" s="149">
        <v>0</v>
      </c>
      <c r="AQ225" s="149">
        <v>1</v>
      </c>
      <c r="AR225" s="149">
        <v>0</v>
      </c>
      <c r="AS225" s="149">
        <v>0</v>
      </c>
      <c r="AT225" s="149">
        <v>0</v>
      </c>
      <c r="AU225" s="149">
        <v>0</v>
      </c>
      <c r="AV225" s="149">
        <v>0</v>
      </c>
      <c r="AW225" s="149">
        <v>0</v>
      </c>
      <c r="AX225" s="149">
        <v>0</v>
      </c>
      <c r="AY225" s="149">
        <v>0</v>
      </c>
      <c r="AZ225" s="149">
        <v>0</v>
      </c>
      <c r="BA225" s="149">
        <v>0</v>
      </c>
      <c r="BB225" s="149">
        <v>0</v>
      </c>
      <c r="BC225" s="149">
        <v>0</v>
      </c>
      <c r="BD225" s="149">
        <v>0</v>
      </c>
      <c r="BE225" s="149">
        <v>1</v>
      </c>
      <c r="BF225" s="149">
        <v>0</v>
      </c>
      <c r="BG225" s="149">
        <v>0</v>
      </c>
      <c r="BH225" s="149">
        <v>0</v>
      </c>
      <c r="BI225" s="149">
        <v>0</v>
      </c>
      <c r="BJ225" s="149">
        <v>0</v>
      </c>
      <c r="BK225" s="149">
        <v>0</v>
      </c>
      <c r="BL225" s="149">
        <v>0</v>
      </c>
      <c r="BM225" s="149">
        <v>0</v>
      </c>
      <c r="BN225" s="149">
        <v>0</v>
      </c>
      <c r="BO225" s="149">
        <v>0</v>
      </c>
      <c r="BP225" s="152"/>
      <c r="BQ225" s="152"/>
      <c r="BR225" s="154" t="s">
        <v>359</v>
      </c>
      <c r="BS225" s="136">
        <v>3</v>
      </c>
      <c r="BT225" s="267"/>
      <c r="BU225" s="267">
        <f t="shared" ref="BU225:BU239" si="17">M225</f>
        <v>1</v>
      </c>
      <c r="BV225" s="267"/>
      <c r="BW225" s="267"/>
      <c r="BX225" s="267"/>
      <c r="BY225" s="267"/>
      <c r="BZ225" s="267"/>
      <c r="CA225" s="267"/>
      <c r="CB225" s="267"/>
      <c r="CC225" s="267"/>
      <c r="CD225" s="267"/>
      <c r="CE225" s="267"/>
      <c r="CF225" s="267"/>
      <c r="CG225" s="267"/>
      <c r="CH225" s="267"/>
      <c r="CI225" s="267"/>
      <c r="CJ225" s="267"/>
      <c r="CK225" s="267"/>
      <c r="CL225" s="267"/>
      <c r="CM225" s="267"/>
      <c r="CN225" s="101">
        <f t="shared" si="15"/>
        <v>1</v>
      </c>
      <c r="CO225" s="101">
        <f t="shared" si="16"/>
        <v>1</v>
      </c>
    </row>
    <row r="226" spans="1:93" ht="13.9" customHeight="1" x14ac:dyDescent="0.2">
      <c r="A226" s="149">
        <v>5862</v>
      </c>
      <c r="B226" s="150" t="s">
        <v>854</v>
      </c>
      <c r="C226" s="150" t="s">
        <v>912</v>
      </c>
      <c r="D226" s="150" t="s">
        <v>913</v>
      </c>
      <c r="E226" s="150" t="s">
        <v>914</v>
      </c>
      <c r="F226" s="149">
        <v>524068</v>
      </c>
      <c r="G226" s="149">
        <v>175336</v>
      </c>
      <c r="H226" s="150" t="s">
        <v>171</v>
      </c>
      <c r="I226" s="151">
        <v>43190</v>
      </c>
      <c r="J226" s="151"/>
      <c r="K226" s="149">
        <v>1</v>
      </c>
      <c r="L226" s="149">
        <v>3</v>
      </c>
      <c r="M226" s="149">
        <v>2</v>
      </c>
      <c r="N226" s="149">
        <v>5</v>
      </c>
      <c r="O226" s="149">
        <v>4</v>
      </c>
      <c r="P226" s="152"/>
      <c r="Q226" s="150" t="s">
        <v>915</v>
      </c>
      <c r="R226" s="150" t="s">
        <v>349</v>
      </c>
      <c r="S226" s="151">
        <v>43188</v>
      </c>
      <c r="T226" s="151">
        <v>43335</v>
      </c>
      <c r="U226" s="152"/>
      <c r="V226" s="150" t="s">
        <v>330</v>
      </c>
      <c r="W226" s="151"/>
      <c r="X226" s="150" t="s">
        <v>331</v>
      </c>
      <c r="Y226" s="150" t="s">
        <v>398</v>
      </c>
      <c r="Z226" s="150" t="s">
        <v>334</v>
      </c>
      <c r="AA226" s="150" t="s">
        <v>399</v>
      </c>
      <c r="AB226" s="153">
        <v>8.9999999999999993E-3</v>
      </c>
      <c r="AC226" s="151">
        <v>43190</v>
      </c>
      <c r="AD226" s="150"/>
      <c r="AE226" s="151"/>
      <c r="AF226" s="150" t="s">
        <v>70</v>
      </c>
      <c r="AG226" s="152" t="s">
        <v>352</v>
      </c>
      <c r="AH226" s="150" t="s">
        <v>326</v>
      </c>
      <c r="AI226" s="99"/>
      <c r="AJ226" s="149"/>
      <c r="AK226" s="99"/>
      <c r="AL226" s="149"/>
      <c r="AM226" s="99"/>
      <c r="AN226" s="149">
        <v>0</v>
      </c>
      <c r="AO226" s="149">
        <v>0</v>
      </c>
      <c r="AP226" s="149">
        <v>3</v>
      </c>
      <c r="AQ226" s="149">
        <v>-1</v>
      </c>
      <c r="AR226" s="149">
        <v>0</v>
      </c>
      <c r="AS226" s="149">
        <v>0</v>
      </c>
      <c r="AT226" s="149">
        <v>0</v>
      </c>
      <c r="AU226" s="149">
        <v>0</v>
      </c>
      <c r="AV226" s="149">
        <v>0</v>
      </c>
      <c r="AW226" s="149">
        <v>3</v>
      </c>
      <c r="AX226" s="149">
        <v>-1</v>
      </c>
      <c r="AY226" s="149">
        <v>0</v>
      </c>
      <c r="AZ226" s="149">
        <v>0</v>
      </c>
      <c r="BA226" s="149">
        <v>0</v>
      </c>
      <c r="BB226" s="149">
        <v>0</v>
      </c>
      <c r="BC226" s="149">
        <v>0</v>
      </c>
      <c r="BD226" s="149">
        <v>0</v>
      </c>
      <c r="BE226" s="149">
        <v>0</v>
      </c>
      <c r="BF226" s="149">
        <v>0</v>
      </c>
      <c r="BG226" s="149">
        <v>0</v>
      </c>
      <c r="BH226" s="149">
        <v>0</v>
      </c>
      <c r="BI226" s="149">
        <v>0</v>
      </c>
      <c r="BJ226" s="149">
        <v>0</v>
      </c>
      <c r="BK226" s="149">
        <v>0</v>
      </c>
      <c r="BL226" s="149">
        <v>0</v>
      </c>
      <c r="BM226" s="149">
        <v>0</v>
      </c>
      <c r="BN226" s="149">
        <v>0</v>
      </c>
      <c r="BO226" s="149">
        <v>0</v>
      </c>
      <c r="BP226" s="152" t="s">
        <v>141</v>
      </c>
      <c r="BQ226" s="152"/>
      <c r="BR226" s="154" t="s">
        <v>141</v>
      </c>
      <c r="BS226" s="136">
        <v>13</v>
      </c>
      <c r="BT226" s="267"/>
      <c r="BU226" s="267">
        <f t="shared" si="17"/>
        <v>2</v>
      </c>
      <c r="BV226" s="267"/>
      <c r="BW226" s="267"/>
      <c r="BX226" s="267"/>
      <c r="BY226" s="267"/>
      <c r="BZ226" s="267"/>
      <c r="CA226" s="267"/>
      <c r="CB226" s="267"/>
      <c r="CC226" s="267"/>
      <c r="CD226" s="267"/>
      <c r="CE226" s="267"/>
      <c r="CF226" s="267"/>
      <c r="CG226" s="267"/>
      <c r="CH226" s="267"/>
      <c r="CI226" s="267"/>
      <c r="CJ226" s="267"/>
      <c r="CK226" s="267"/>
      <c r="CL226" s="267"/>
      <c r="CM226" s="267"/>
      <c r="CN226" s="101">
        <f t="shared" si="15"/>
        <v>2</v>
      </c>
      <c r="CO226" s="101">
        <f t="shared" si="16"/>
        <v>2</v>
      </c>
    </row>
    <row r="227" spans="1:93" ht="13.9" customHeight="1" x14ac:dyDescent="0.2">
      <c r="A227" s="149">
        <v>5862</v>
      </c>
      <c r="B227" s="150" t="s">
        <v>854</v>
      </c>
      <c r="C227" s="150" t="s">
        <v>912</v>
      </c>
      <c r="D227" s="150" t="s">
        <v>913</v>
      </c>
      <c r="E227" s="150" t="s">
        <v>916</v>
      </c>
      <c r="F227" s="149">
        <v>524068</v>
      </c>
      <c r="G227" s="149">
        <v>175336</v>
      </c>
      <c r="H227" s="150" t="s">
        <v>171</v>
      </c>
      <c r="I227" s="151">
        <v>43190</v>
      </c>
      <c r="J227" s="151"/>
      <c r="K227" s="149">
        <v>0</v>
      </c>
      <c r="L227" s="149">
        <v>2</v>
      </c>
      <c r="M227" s="149">
        <v>2</v>
      </c>
      <c r="N227" s="149">
        <v>5</v>
      </c>
      <c r="O227" s="149">
        <v>4</v>
      </c>
      <c r="P227" s="152"/>
      <c r="Q227" s="150" t="s">
        <v>915</v>
      </c>
      <c r="R227" s="150" t="s">
        <v>349</v>
      </c>
      <c r="S227" s="151">
        <v>43188</v>
      </c>
      <c r="T227" s="151">
        <v>43335</v>
      </c>
      <c r="U227" s="152"/>
      <c r="V227" s="150" t="s">
        <v>330</v>
      </c>
      <c r="W227" s="151"/>
      <c r="X227" s="150" t="s">
        <v>331</v>
      </c>
      <c r="Y227" s="150" t="s">
        <v>398</v>
      </c>
      <c r="Z227" s="150" t="s">
        <v>334</v>
      </c>
      <c r="AA227" s="150" t="s">
        <v>363</v>
      </c>
      <c r="AB227" s="153">
        <v>5.0000000000000001E-3</v>
      </c>
      <c r="AC227" s="151">
        <v>43190</v>
      </c>
      <c r="AD227" s="150"/>
      <c r="AE227" s="151"/>
      <c r="AF227" s="150" t="s">
        <v>70</v>
      </c>
      <c r="AG227" s="152" t="s">
        <v>352</v>
      </c>
      <c r="AH227" s="150" t="s">
        <v>326</v>
      </c>
      <c r="AI227" s="99"/>
      <c r="AJ227" s="149"/>
      <c r="AK227" s="99"/>
      <c r="AL227" s="149"/>
      <c r="AM227" s="99"/>
      <c r="AN227" s="149">
        <v>0</v>
      </c>
      <c r="AO227" s="149">
        <v>1</v>
      </c>
      <c r="AP227" s="149">
        <v>1</v>
      </c>
      <c r="AQ227" s="149">
        <v>0</v>
      </c>
      <c r="AR227" s="149">
        <v>0</v>
      </c>
      <c r="AS227" s="149">
        <v>0</v>
      </c>
      <c r="AT227" s="149">
        <v>0</v>
      </c>
      <c r="AU227" s="149">
        <v>0</v>
      </c>
      <c r="AV227" s="149">
        <v>1</v>
      </c>
      <c r="AW227" s="149">
        <v>1</v>
      </c>
      <c r="AX227" s="149">
        <v>0</v>
      </c>
      <c r="AY227" s="149">
        <v>0</v>
      </c>
      <c r="AZ227" s="149">
        <v>0</v>
      </c>
      <c r="BA227" s="149">
        <v>0</v>
      </c>
      <c r="BB227" s="149">
        <v>0</v>
      </c>
      <c r="BC227" s="149">
        <v>0</v>
      </c>
      <c r="BD227" s="149">
        <v>0</v>
      </c>
      <c r="BE227" s="149">
        <v>0</v>
      </c>
      <c r="BF227" s="149">
        <v>0</v>
      </c>
      <c r="BG227" s="149">
        <v>0</v>
      </c>
      <c r="BH227" s="149">
        <v>0</v>
      </c>
      <c r="BI227" s="149">
        <v>0</v>
      </c>
      <c r="BJ227" s="149">
        <v>0</v>
      </c>
      <c r="BK227" s="149">
        <v>0</v>
      </c>
      <c r="BL227" s="149">
        <v>0</v>
      </c>
      <c r="BM227" s="149">
        <v>0</v>
      </c>
      <c r="BN227" s="149">
        <v>0</v>
      </c>
      <c r="BO227" s="149">
        <v>0</v>
      </c>
      <c r="BP227" s="152" t="s">
        <v>141</v>
      </c>
      <c r="BQ227" s="152"/>
      <c r="BR227" s="154" t="s">
        <v>141</v>
      </c>
      <c r="BS227" s="136">
        <v>13</v>
      </c>
      <c r="BT227" s="267"/>
      <c r="BU227" s="267">
        <f t="shared" si="17"/>
        <v>2</v>
      </c>
      <c r="BV227" s="267"/>
      <c r="BW227" s="267"/>
      <c r="BX227" s="267"/>
      <c r="BY227" s="267"/>
      <c r="BZ227" s="267"/>
      <c r="CA227" s="267"/>
      <c r="CB227" s="267"/>
      <c r="CC227" s="267"/>
      <c r="CD227" s="267"/>
      <c r="CE227" s="267"/>
      <c r="CF227" s="267"/>
      <c r="CG227" s="267"/>
      <c r="CH227" s="267"/>
      <c r="CI227" s="267"/>
      <c r="CJ227" s="267"/>
      <c r="CK227" s="267"/>
      <c r="CL227" s="267"/>
      <c r="CM227" s="267"/>
      <c r="CN227" s="101">
        <f t="shared" si="15"/>
        <v>2</v>
      </c>
      <c r="CO227" s="101">
        <f t="shared" si="16"/>
        <v>2</v>
      </c>
    </row>
    <row r="228" spans="1:93" ht="13.9" customHeight="1" x14ac:dyDescent="0.2">
      <c r="A228" s="149">
        <v>6196</v>
      </c>
      <c r="B228" s="150" t="s">
        <v>854</v>
      </c>
      <c r="C228" s="150" t="s">
        <v>917</v>
      </c>
      <c r="D228" s="150" t="s">
        <v>918</v>
      </c>
      <c r="E228" s="150" t="s">
        <v>326</v>
      </c>
      <c r="F228" s="149">
        <v>528701</v>
      </c>
      <c r="G228" s="149">
        <v>172342</v>
      </c>
      <c r="H228" s="150" t="s">
        <v>168</v>
      </c>
      <c r="I228" s="151">
        <v>44287</v>
      </c>
      <c r="J228" s="151"/>
      <c r="K228" s="149">
        <v>0</v>
      </c>
      <c r="L228" s="149">
        <v>1</v>
      </c>
      <c r="M228" s="149">
        <v>1</v>
      </c>
      <c r="N228" s="149">
        <v>1</v>
      </c>
      <c r="O228" s="149">
        <v>1</v>
      </c>
      <c r="P228" s="152"/>
      <c r="Q228" s="150" t="s">
        <v>919</v>
      </c>
      <c r="R228" s="150" t="s">
        <v>349</v>
      </c>
      <c r="S228" s="151">
        <v>43165</v>
      </c>
      <c r="T228" s="151">
        <v>43250</v>
      </c>
      <c r="U228" s="152"/>
      <c r="V228" s="150" t="s">
        <v>330</v>
      </c>
      <c r="W228" s="151"/>
      <c r="X228" s="150" t="s">
        <v>331</v>
      </c>
      <c r="Y228" s="150" t="s">
        <v>343</v>
      </c>
      <c r="Z228" s="150" t="s">
        <v>334</v>
      </c>
      <c r="AA228" s="150" t="s">
        <v>363</v>
      </c>
      <c r="AB228" s="153">
        <v>8.9999999999999993E-3</v>
      </c>
      <c r="AC228" s="151">
        <v>44287</v>
      </c>
      <c r="AD228" s="150"/>
      <c r="AE228" s="151"/>
      <c r="AF228" s="150" t="s">
        <v>70</v>
      </c>
      <c r="AG228" s="152" t="s">
        <v>352</v>
      </c>
      <c r="AH228" s="150" t="s">
        <v>326</v>
      </c>
      <c r="AI228" s="99"/>
      <c r="AJ228" s="149"/>
      <c r="AK228" s="102"/>
      <c r="AL228" s="138"/>
      <c r="AM228" s="99"/>
      <c r="AN228" s="149">
        <v>0</v>
      </c>
      <c r="AO228" s="149">
        <v>0</v>
      </c>
      <c r="AP228" s="149">
        <v>0</v>
      </c>
      <c r="AQ228" s="149">
        <v>1</v>
      </c>
      <c r="AR228" s="149">
        <v>0</v>
      </c>
      <c r="AS228" s="149">
        <v>0</v>
      </c>
      <c r="AT228" s="149">
        <v>0</v>
      </c>
      <c r="AU228" s="149">
        <v>0</v>
      </c>
      <c r="AV228" s="149">
        <v>0</v>
      </c>
      <c r="AW228" s="149">
        <v>0</v>
      </c>
      <c r="AX228" s="149">
        <v>0</v>
      </c>
      <c r="AY228" s="149">
        <v>0</v>
      </c>
      <c r="AZ228" s="149">
        <v>0</v>
      </c>
      <c r="BA228" s="149">
        <v>0</v>
      </c>
      <c r="BB228" s="149">
        <v>0</v>
      </c>
      <c r="BC228" s="149">
        <v>0</v>
      </c>
      <c r="BD228" s="149">
        <v>0</v>
      </c>
      <c r="BE228" s="149">
        <v>1</v>
      </c>
      <c r="BF228" s="149">
        <v>0</v>
      </c>
      <c r="BG228" s="149">
        <v>0</v>
      </c>
      <c r="BH228" s="149">
        <v>0</v>
      </c>
      <c r="BI228" s="149">
        <v>0</v>
      </c>
      <c r="BJ228" s="149">
        <v>0</v>
      </c>
      <c r="BK228" s="149">
        <v>0</v>
      </c>
      <c r="BL228" s="149">
        <v>0</v>
      </c>
      <c r="BM228" s="149">
        <v>0</v>
      </c>
      <c r="BN228" s="149">
        <v>0</v>
      </c>
      <c r="BO228" s="149">
        <v>0</v>
      </c>
      <c r="BP228" s="152"/>
      <c r="BQ228" s="152"/>
      <c r="BR228" s="154" t="s">
        <v>359</v>
      </c>
      <c r="BS228" s="136">
        <v>3</v>
      </c>
      <c r="BT228" s="267"/>
      <c r="BU228" s="267">
        <f t="shared" si="17"/>
        <v>1</v>
      </c>
      <c r="BV228" s="267"/>
      <c r="BW228" s="267"/>
      <c r="BX228" s="267"/>
      <c r="BY228" s="267"/>
      <c r="BZ228" s="267"/>
      <c r="CA228" s="267"/>
      <c r="CB228" s="267"/>
      <c r="CC228" s="267"/>
      <c r="CD228" s="267"/>
      <c r="CE228" s="267"/>
      <c r="CF228" s="267"/>
      <c r="CG228" s="267"/>
      <c r="CH228" s="267"/>
      <c r="CI228" s="267"/>
      <c r="CJ228" s="267"/>
      <c r="CK228" s="267"/>
      <c r="CL228" s="267"/>
      <c r="CM228" s="267"/>
      <c r="CN228" s="101">
        <f t="shared" si="15"/>
        <v>1</v>
      </c>
      <c r="CO228" s="101">
        <f t="shared" si="16"/>
        <v>1</v>
      </c>
    </row>
    <row r="229" spans="1:93" ht="13.9" customHeight="1" x14ac:dyDescent="0.2">
      <c r="A229" s="149">
        <v>6969</v>
      </c>
      <c r="B229" s="150" t="s">
        <v>854</v>
      </c>
      <c r="C229" s="150" t="s">
        <v>920</v>
      </c>
      <c r="D229" s="150" t="s">
        <v>921</v>
      </c>
      <c r="E229" s="150" t="s">
        <v>326</v>
      </c>
      <c r="F229" s="149">
        <v>527156</v>
      </c>
      <c r="G229" s="149">
        <v>171085</v>
      </c>
      <c r="H229" s="150" t="s">
        <v>173</v>
      </c>
      <c r="I229" s="151">
        <v>44652</v>
      </c>
      <c r="J229" s="151"/>
      <c r="K229" s="149">
        <v>0</v>
      </c>
      <c r="L229" s="149">
        <v>2</v>
      </c>
      <c r="M229" s="149">
        <v>2</v>
      </c>
      <c r="N229" s="149">
        <v>2</v>
      </c>
      <c r="O229" s="149">
        <v>2</v>
      </c>
      <c r="P229" s="152"/>
      <c r="Q229" s="150" t="s">
        <v>922</v>
      </c>
      <c r="R229" s="150" t="s">
        <v>349</v>
      </c>
      <c r="S229" s="151">
        <v>43251</v>
      </c>
      <c r="T229" s="151">
        <v>43346</v>
      </c>
      <c r="U229" s="152"/>
      <c r="V229" s="150" t="s">
        <v>330</v>
      </c>
      <c r="W229" s="151"/>
      <c r="X229" s="150" t="s">
        <v>331</v>
      </c>
      <c r="Y229" s="150" t="s">
        <v>343</v>
      </c>
      <c r="Z229" s="150" t="s">
        <v>334</v>
      </c>
      <c r="AA229" s="150" t="s">
        <v>363</v>
      </c>
      <c r="AB229" s="153">
        <v>2.8000000000000001E-2</v>
      </c>
      <c r="AC229" s="151">
        <v>44652</v>
      </c>
      <c r="AD229" s="150"/>
      <c r="AE229" s="151"/>
      <c r="AF229" s="150" t="s">
        <v>70</v>
      </c>
      <c r="AG229" s="152" t="s">
        <v>352</v>
      </c>
      <c r="AH229" s="150" t="s">
        <v>326</v>
      </c>
      <c r="AI229" s="99"/>
      <c r="AJ229" s="149"/>
      <c r="AK229" s="99"/>
      <c r="AL229" s="149"/>
      <c r="AM229" s="99"/>
      <c r="AN229" s="149">
        <v>0</v>
      </c>
      <c r="AO229" s="149">
        <v>0</v>
      </c>
      <c r="AP229" s="149">
        <v>2</v>
      </c>
      <c r="AQ229" s="149">
        <v>0</v>
      </c>
      <c r="AR229" s="149">
        <v>0</v>
      </c>
      <c r="AS229" s="149">
        <v>0</v>
      </c>
      <c r="AT229" s="149">
        <v>0</v>
      </c>
      <c r="AU229" s="149">
        <v>0</v>
      </c>
      <c r="AV229" s="149">
        <v>0</v>
      </c>
      <c r="AW229" s="149">
        <v>0</v>
      </c>
      <c r="AX229" s="149">
        <v>0</v>
      </c>
      <c r="AY229" s="149">
        <v>0</v>
      </c>
      <c r="AZ229" s="149">
        <v>0</v>
      </c>
      <c r="BA229" s="149">
        <v>0</v>
      </c>
      <c r="BB229" s="149">
        <v>0</v>
      </c>
      <c r="BC229" s="149">
        <v>0</v>
      </c>
      <c r="BD229" s="149">
        <v>2</v>
      </c>
      <c r="BE229" s="149">
        <v>0</v>
      </c>
      <c r="BF229" s="149">
        <v>0</v>
      </c>
      <c r="BG229" s="149">
        <v>0</v>
      </c>
      <c r="BH229" s="149">
        <v>0</v>
      </c>
      <c r="BI229" s="149">
        <v>0</v>
      </c>
      <c r="BJ229" s="149">
        <v>0</v>
      </c>
      <c r="BK229" s="149">
        <v>0</v>
      </c>
      <c r="BL229" s="149">
        <v>0</v>
      </c>
      <c r="BM229" s="149">
        <v>0</v>
      </c>
      <c r="BN229" s="149">
        <v>0</v>
      </c>
      <c r="BO229" s="149">
        <v>0</v>
      </c>
      <c r="BP229" s="152"/>
      <c r="BQ229" s="152"/>
      <c r="BR229" s="154" t="s">
        <v>142</v>
      </c>
      <c r="BS229" s="136">
        <v>3</v>
      </c>
      <c r="BT229" s="267"/>
      <c r="BU229" s="267">
        <f t="shared" si="17"/>
        <v>2</v>
      </c>
      <c r="BV229" s="267"/>
      <c r="BW229" s="267"/>
      <c r="BX229" s="267"/>
      <c r="BY229" s="267"/>
      <c r="BZ229" s="267"/>
      <c r="CA229" s="267"/>
      <c r="CB229" s="267"/>
      <c r="CC229" s="267"/>
      <c r="CD229" s="267"/>
      <c r="CE229" s="267"/>
      <c r="CF229" s="267"/>
      <c r="CG229" s="267"/>
      <c r="CH229" s="267"/>
      <c r="CI229" s="267"/>
      <c r="CJ229" s="267"/>
      <c r="CK229" s="267"/>
      <c r="CL229" s="267"/>
      <c r="CM229" s="267"/>
      <c r="CN229" s="101">
        <f t="shared" si="15"/>
        <v>2</v>
      </c>
      <c r="CO229" s="101">
        <f t="shared" si="16"/>
        <v>2</v>
      </c>
    </row>
    <row r="230" spans="1:93" ht="13.9" customHeight="1" x14ac:dyDescent="0.2">
      <c r="A230" s="149">
        <v>6317</v>
      </c>
      <c r="B230" s="150" t="s">
        <v>854</v>
      </c>
      <c r="C230" s="150" t="s">
        <v>923</v>
      </c>
      <c r="D230" s="150" t="s">
        <v>924</v>
      </c>
      <c r="E230" s="150" t="s">
        <v>326</v>
      </c>
      <c r="F230" s="149">
        <v>522879</v>
      </c>
      <c r="G230" s="149">
        <v>174549</v>
      </c>
      <c r="H230" s="150" t="s">
        <v>179</v>
      </c>
      <c r="I230" s="151">
        <v>44452</v>
      </c>
      <c r="J230" s="151"/>
      <c r="K230" s="149">
        <v>0</v>
      </c>
      <c r="L230" s="149">
        <v>4</v>
      </c>
      <c r="M230" s="149">
        <v>4</v>
      </c>
      <c r="N230" s="149">
        <v>4</v>
      </c>
      <c r="O230" s="149">
        <v>4</v>
      </c>
      <c r="P230" s="152"/>
      <c r="Q230" s="150" t="s">
        <v>925</v>
      </c>
      <c r="R230" s="150" t="s">
        <v>349</v>
      </c>
      <c r="S230" s="151">
        <v>43276</v>
      </c>
      <c r="T230" s="151">
        <v>43396</v>
      </c>
      <c r="U230" s="152"/>
      <c r="V230" s="150" t="s">
        <v>330</v>
      </c>
      <c r="W230" s="151"/>
      <c r="X230" s="150" t="s">
        <v>331</v>
      </c>
      <c r="Y230" s="150" t="s">
        <v>343</v>
      </c>
      <c r="Z230" s="150" t="s">
        <v>334</v>
      </c>
      <c r="AA230" s="150" t="s">
        <v>363</v>
      </c>
      <c r="AB230" s="153">
        <v>5.6000000000000001E-2</v>
      </c>
      <c r="AC230" s="151">
        <v>44452</v>
      </c>
      <c r="AD230" s="150"/>
      <c r="AE230" s="151"/>
      <c r="AF230" s="150" t="s">
        <v>70</v>
      </c>
      <c r="AG230" s="152" t="s">
        <v>352</v>
      </c>
      <c r="AH230" s="150" t="s">
        <v>326</v>
      </c>
      <c r="AI230" s="99"/>
      <c r="AJ230" s="149"/>
      <c r="AK230" s="99"/>
      <c r="AL230" s="149"/>
      <c r="AM230" s="99"/>
      <c r="AN230" s="149">
        <v>0</v>
      </c>
      <c r="AO230" s="149">
        <v>0</v>
      </c>
      <c r="AP230" s="149">
        <v>4</v>
      </c>
      <c r="AQ230" s="149">
        <v>0</v>
      </c>
      <c r="AR230" s="149">
        <v>0</v>
      </c>
      <c r="AS230" s="149">
        <v>0</v>
      </c>
      <c r="AT230" s="149">
        <v>0</v>
      </c>
      <c r="AU230" s="149">
        <v>0</v>
      </c>
      <c r="AV230" s="149">
        <v>0</v>
      </c>
      <c r="AW230" s="149">
        <v>0</v>
      </c>
      <c r="AX230" s="149">
        <v>0</v>
      </c>
      <c r="AY230" s="149">
        <v>0</v>
      </c>
      <c r="AZ230" s="149">
        <v>0</v>
      </c>
      <c r="BA230" s="149">
        <v>0</v>
      </c>
      <c r="BB230" s="149">
        <v>0</v>
      </c>
      <c r="BC230" s="149">
        <v>0</v>
      </c>
      <c r="BD230" s="149">
        <v>4</v>
      </c>
      <c r="BE230" s="149">
        <v>0</v>
      </c>
      <c r="BF230" s="149">
        <v>0</v>
      </c>
      <c r="BG230" s="149">
        <v>0</v>
      </c>
      <c r="BH230" s="149">
        <v>0</v>
      </c>
      <c r="BI230" s="149">
        <v>0</v>
      </c>
      <c r="BJ230" s="149">
        <v>0</v>
      </c>
      <c r="BK230" s="149">
        <v>0</v>
      </c>
      <c r="BL230" s="149">
        <v>0</v>
      </c>
      <c r="BM230" s="149">
        <v>0</v>
      </c>
      <c r="BN230" s="149">
        <v>0</v>
      </c>
      <c r="BO230" s="149">
        <v>0</v>
      </c>
      <c r="BP230" s="152"/>
      <c r="BQ230" s="152"/>
      <c r="BR230" s="154" t="s">
        <v>359</v>
      </c>
      <c r="BS230" s="136">
        <v>3</v>
      </c>
      <c r="BT230" s="267"/>
      <c r="BU230" s="267">
        <f t="shared" si="17"/>
        <v>4</v>
      </c>
      <c r="BV230" s="267"/>
      <c r="BW230" s="267"/>
      <c r="BX230" s="267"/>
      <c r="BY230" s="267"/>
      <c r="BZ230" s="267"/>
      <c r="CA230" s="267"/>
      <c r="CB230" s="267"/>
      <c r="CC230" s="267"/>
      <c r="CD230" s="267"/>
      <c r="CE230" s="267"/>
      <c r="CF230" s="267"/>
      <c r="CG230" s="267"/>
      <c r="CH230" s="267"/>
      <c r="CI230" s="267"/>
      <c r="CJ230" s="267"/>
      <c r="CK230" s="267"/>
      <c r="CL230" s="267"/>
      <c r="CM230" s="267"/>
      <c r="CN230" s="101">
        <f t="shared" si="15"/>
        <v>4</v>
      </c>
      <c r="CO230" s="101">
        <f t="shared" si="16"/>
        <v>4</v>
      </c>
    </row>
    <row r="231" spans="1:93" ht="13.9" customHeight="1" x14ac:dyDescent="0.2">
      <c r="A231" s="149">
        <v>7005</v>
      </c>
      <c r="B231" s="150" t="s">
        <v>854</v>
      </c>
      <c r="C231" s="150" t="s">
        <v>926</v>
      </c>
      <c r="D231" s="150" t="s">
        <v>927</v>
      </c>
      <c r="E231" s="150" t="s">
        <v>326</v>
      </c>
      <c r="F231" s="149">
        <v>528240</v>
      </c>
      <c r="G231" s="149">
        <v>172415</v>
      </c>
      <c r="H231" s="150" t="s">
        <v>168</v>
      </c>
      <c r="I231" s="151">
        <v>44287</v>
      </c>
      <c r="J231" s="151"/>
      <c r="K231" s="149">
        <v>3</v>
      </c>
      <c r="L231" s="149">
        <v>1</v>
      </c>
      <c r="M231" s="149">
        <v>-2</v>
      </c>
      <c r="N231" s="149">
        <v>1</v>
      </c>
      <c r="O231" s="149">
        <v>-2</v>
      </c>
      <c r="P231" s="152"/>
      <c r="Q231" s="150" t="s">
        <v>928</v>
      </c>
      <c r="R231" s="150" t="s">
        <v>349</v>
      </c>
      <c r="S231" s="151">
        <v>43325</v>
      </c>
      <c r="T231" s="151">
        <v>43378</v>
      </c>
      <c r="U231" s="152"/>
      <c r="V231" s="150" t="s">
        <v>330</v>
      </c>
      <c r="W231" s="151"/>
      <c r="X231" s="150" t="s">
        <v>331</v>
      </c>
      <c r="Y231" s="150" t="s">
        <v>398</v>
      </c>
      <c r="Z231" s="150" t="s">
        <v>334</v>
      </c>
      <c r="AA231" s="150" t="s">
        <v>18</v>
      </c>
      <c r="AB231" s="153">
        <v>2.3E-2</v>
      </c>
      <c r="AC231" s="151">
        <v>44287</v>
      </c>
      <c r="AD231" s="150"/>
      <c r="AE231" s="151"/>
      <c r="AF231" s="150" t="s">
        <v>70</v>
      </c>
      <c r="AG231" s="152" t="s">
        <v>352</v>
      </c>
      <c r="AH231" s="150" t="s">
        <v>326</v>
      </c>
      <c r="AI231" s="99"/>
      <c r="AJ231" s="149"/>
      <c r="AK231" s="102"/>
      <c r="AL231" s="149"/>
      <c r="AM231" s="102"/>
      <c r="AN231" s="149">
        <v>0</v>
      </c>
      <c r="AO231" s="149">
        <v>-1</v>
      </c>
      <c r="AP231" s="149">
        <v>-2</v>
      </c>
      <c r="AQ231" s="149">
        <v>0</v>
      </c>
      <c r="AR231" s="149">
        <v>1</v>
      </c>
      <c r="AS231" s="149">
        <v>0</v>
      </c>
      <c r="AT231" s="149">
        <v>0</v>
      </c>
      <c r="AU231" s="149">
        <v>0</v>
      </c>
      <c r="AV231" s="149">
        <v>-1</v>
      </c>
      <c r="AW231" s="149">
        <v>-2</v>
      </c>
      <c r="AX231" s="149">
        <v>0</v>
      </c>
      <c r="AY231" s="149">
        <v>0</v>
      </c>
      <c r="AZ231" s="149">
        <v>0</v>
      </c>
      <c r="BA231" s="149">
        <v>0</v>
      </c>
      <c r="BB231" s="149">
        <v>0</v>
      </c>
      <c r="BC231" s="149">
        <v>0</v>
      </c>
      <c r="BD231" s="149">
        <v>0</v>
      </c>
      <c r="BE231" s="149">
        <v>0</v>
      </c>
      <c r="BF231" s="149">
        <v>1</v>
      </c>
      <c r="BG231" s="149">
        <v>0</v>
      </c>
      <c r="BH231" s="149">
        <v>0</v>
      </c>
      <c r="BI231" s="149">
        <v>0</v>
      </c>
      <c r="BJ231" s="149">
        <v>0</v>
      </c>
      <c r="BK231" s="149">
        <v>0</v>
      </c>
      <c r="BL231" s="149">
        <v>0</v>
      </c>
      <c r="BM231" s="149">
        <v>0</v>
      </c>
      <c r="BN231" s="149">
        <v>0</v>
      </c>
      <c r="BO231" s="149">
        <v>0</v>
      </c>
      <c r="BP231" s="152"/>
      <c r="BQ231" s="152"/>
      <c r="BR231" s="154" t="s">
        <v>359</v>
      </c>
      <c r="BS231" s="136">
        <v>13</v>
      </c>
      <c r="BT231" s="267"/>
      <c r="BU231" s="267">
        <f t="shared" si="17"/>
        <v>-2</v>
      </c>
      <c r="BV231" s="267"/>
      <c r="BW231" s="267"/>
      <c r="BX231" s="267"/>
      <c r="BY231" s="267"/>
      <c r="BZ231" s="267"/>
      <c r="CA231" s="267"/>
      <c r="CB231" s="267"/>
      <c r="CC231" s="267"/>
      <c r="CD231" s="267"/>
      <c r="CE231" s="267"/>
      <c r="CF231" s="267"/>
      <c r="CG231" s="267"/>
      <c r="CH231" s="267"/>
      <c r="CI231" s="267"/>
      <c r="CJ231" s="267"/>
      <c r="CK231" s="267"/>
      <c r="CL231" s="267"/>
      <c r="CM231" s="267"/>
      <c r="CN231" s="101">
        <f t="shared" si="15"/>
        <v>-2</v>
      </c>
      <c r="CO231" s="101">
        <f t="shared" si="16"/>
        <v>-2</v>
      </c>
    </row>
    <row r="232" spans="1:93" ht="13.9" customHeight="1" x14ac:dyDescent="0.2">
      <c r="A232" s="149">
        <v>5589</v>
      </c>
      <c r="B232" s="150" t="s">
        <v>854</v>
      </c>
      <c r="C232" s="150" t="s">
        <v>929</v>
      </c>
      <c r="D232" s="150" t="s">
        <v>883</v>
      </c>
      <c r="E232" s="150" t="s">
        <v>326</v>
      </c>
      <c r="F232" s="149">
        <v>526329</v>
      </c>
      <c r="G232" s="149">
        <v>175625</v>
      </c>
      <c r="H232" s="150" t="s">
        <v>170</v>
      </c>
      <c r="I232" s="151">
        <v>43922</v>
      </c>
      <c r="J232" s="151"/>
      <c r="K232" s="149">
        <v>0</v>
      </c>
      <c r="L232" s="149">
        <v>14</v>
      </c>
      <c r="M232" s="149">
        <v>14</v>
      </c>
      <c r="N232" s="149">
        <v>14</v>
      </c>
      <c r="O232" s="149">
        <v>14</v>
      </c>
      <c r="P232" s="152" t="s">
        <v>327</v>
      </c>
      <c r="Q232" s="150" t="s">
        <v>930</v>
      </c>
      <c r="R232" s="150" t="s">
        <v>427</v>
      </c>
      <c r="S232" s="151">
        <v>43374</v>
      </c>
      <c r="T232" s="151">
        <v>43426</v>
      </c>
      <c r="U232" s="152"/>
      <c r="V232" s="150" t="s">
        <v>330</v>
      </c>
      <c r="W232" s="151"/>
      <c r="X232" s="150" t="s">
        <v>331</v>
      </c>
      <c r="Y232" s="150" t="s">
        <v>332</v>
      </c>
      <c r="Z232" s="150" t="s">
        <v>931</v>
      </c>
      <c r="AA232" s="150" t="s">
        <v>334</v>
      </c>
      <c r="AB232" s="153">
        <v>4.3999999999999997E-2</v>
      </c>
      <c r="AC232" s="151">
        <v>43922</v>
      </c>
      <c r="AD232" s="150"/>
      <c r="AE232" s="151"/>
      <c r="AF232" s="150" t="s">
        <v>70</v>
      </c>
      <c r="AG232" s="152" t="s">
        <v>352</v>
      </c>
      <c r="AH232" s="150" t="s">
        <v>326</v>
      </c>
      <c r="AI232" s="99"/>
      <c r="AJ232" s="149"/>
      <c r="AK232" s="102"/>
      <c r="AL232" s="149"/>
      <c r="AM232" s="102"/>
      <c r="AN232" s="149">
        <v>0</v>
      </c>
      <c r="AO232" s="149">
        <v>13</v>
      </c>
      <c r="AP232" s="149">
        <v>1</v>
      </c>
      <c r="AQ232" s="149">
        <v>0</v>
      </c>
      <c r="AR232" s="149">
        <v>0</v>
      </c>
      <c r="AS232" s="149">
        <v>0</v>
      </c>
      <c r="AT232" s="149">
        <v>0</v>
      </c>
      <c r="AU232" s="149">
        <v>0</v>
      </c>
      <c r="AV232" s="149">
        <v>13</v>
      </c>
      <c r="AW232" s="149">
        <v>1</v>
      </c>
      <c r="AX232" s="149">
        <v>0</v>
      </c>
      <c r="AY232" s="149">
        <v>0</v>
      </c>
      <c r="AZ232" s="149">
        <v>0</v>
      </c>
      <c r="BA232" s="149">
        <v>0</v>
      </c>
      <c r="BB232" s="149">
        <v>0</v>
      </c>
      <c r="BC232" s="149">
        <v>0</v>
      </c>
      <c r="BD232" s="149">
        <v>0</v>
      </c>
      <c r="BE232" s="149">
        <v>0</v>
      </c>
      <c r="BF232" s="149">
        <v>0</v>
      </c>
      <c r="BG232" s="149">
        <v>0</v>
      </c>
      <c r="BH232" s="149">
        <v>0</v>
      </c>
      <c r="BI232" s="149">
        <v>0</v>
      </c>
      <c r="BJ232" s="149">
        <v>0</v>
      </c>
      <c r="BK232" s="149">
        <v>0</v>
      </c>
      <c r="BL232" s="149">
        <v>0</v>
      </c>
      <c r="BM232" s="149">
        <v>0</v>
      </c>
      <c r="BN232" s="149">
        <v>0</v>
      </c>
      <c r="BO232" s="149">
        <v>0</v>
      </c>
      <c r="BP232" s="152"/>
      <c r="BQ232" s="152"/>
      <c r="BR232" s="154" t="s">
        <v>408</v>
      </c>
      <c r="BS232" s="136">
        <v>13</v>
      </c>
      <c r="BT232" s="267"/>
      <c r="BU232" s="267">
        <f t="shared" si="17"/>
        <v>14</v>
      </c>
      <c r="BV232" s="267"/>
      <c r="BW232" s="267"/>
      <c r="BX232" s="267"/>
      <c r="BY232" s="267"/>
      <c r="BZ232" s="267"/>
      <c r="CA232" s="267"/>
      <c r="CB232" s="267"/>
      <c r="CC232" s="267"/>
      <c r="CD232" s="267"/>
      <c r="CE232" s="267"/>
      <c r="CF232" s="267"/>
      <c r="CG232" s="267"/>
      <c r="CH232" s="267"/>
      <c r="CI232" s="267"/>
      <c r="CJ232" s="267"/>
      <c r="CK232" s="267"/>
      <c r="CL232" s="267"/>
      <c r="CM232" s="267"/>
      <c r="CN232" s="101">
        <f t="shared" si="15"/>
        <v>14</v>
      </c>
      <c r="CO232" s="101">
        <f t="shared" si="16"/>
        <v>14</v>
      </c>
    </row>
    <row r="233" spans="1:93" ht="13.9" customHeight="1" x14ac:dyDescent="0.2">
      <c r="A233" s="149">
        <v>6669</v>
      </c>
      <c r="B233" s="150" t="s">
        <v>854</v>
      </c>
      <c r="C233" s="150" t="s">
        <v>932</v>
      </c>
      <c r="D233" s="150" t="s">
        <v>933</v>
      </c>
      <c r="E233" s="150" t="s">
        <v>326</v>
      </c>
      <c r="F233" s="149">
        <v>527101</v>
      </c>
      <c r="G233" s="149">
        <v>170989</v>
      </c>
      <c r="H233" s="150" t="s">
        <v>173</v>
      </c>
      <c r="I233" s="151">
        <v>44579</v>
      </c>
      <c r="J233" s="151"/>
      <c r="K233" s="149">
        <v>0</v>
      </c>
      <c r="L233" s="149">
        <v>1</v>
      </c>
      <c r="M233" s="149">
        <v>1</v>
      </c>
      <c r="N233" s="149">
        <v>1</v>
      </c>
      <c r="O233" s="149">
        <v>1</v>
      </c>
      <c r="P233" s="152"/>
      <c r="Q233" s="150" t="s">
        <v>934</v>
      </c>
      <c r="R233" s="150" t="s">
        <v>349</v>
      </c>
      <c r="S233" s="151">
        <v>43374</v>
      </c>
      <c r="T233" s="151">
        <v>43430</v>
      </c>
      <c r="U233" s="152"/>
      <c r="V233" s="150" t="s">
        <v>330</v>
      </c>
      <c r="W233" s="151"/>
      <c r="X233" s="150" t="s">
        <v>331</v>
      </c>
      <c r="Y233" s="150" t="s">
        <v>343</v>
      </c>
      <c r="Z233" s="150" t="s">
        <v>334</v>
      </c>
      <c r="AA233" s="150" t="s">
        <v>363</v>
      </c>
      <c r="AB233" s="153">
        <v>7.0000000000000001E-3</v>
      </c>
      <c r="AC233" s="151">
        <v>44579</v>
      </c>
      <c r="AD233" s="150"/>
      <c r="AE233" s="151"/>
      <c r="AF233" s="150" t="s">
        <v>70</v>
      </c>
      <c r="AG233" s="152" t="s">
        <v>352</v>
      </c>
      <c r="AH233" s="150" t="s">
        <v>326</v>
      </c>
      <c r="AI233" s="99"/>
      <c r="AJ233" s="149"/>
      <c r="AK233" s="102"/>
      <c r="AL233" s="149"/>
      <c r="AM233" s="102"/>
      <c r="AN233" s="149">
        <v>0</v>
      </c>
      <c r="AO233" s="149">
        <v>1</v>
      </c>
      <c r="AP233" s="149">
        <v>0</v>
      </c>
      <c r="AQ233" s="149">
        <v>0</v>
      </c>
      <c r="AR233" s="149">
        <v>0</v>
      </c>
      <c r="AS233" s="149">
        <v>0</v>
      </c>
      <c r="AT233" s="149">
        <v>0</v>
      </c>
      <c r="AU233" s="149">
        <v>0</v>
      </c>
      <c r="AV233" s="149">
        <v>0</v>
      </c>
      <c r="AW233" s="149">
        <v>0</v>
      </c>
      <c r="AX233" s="149">
        <v>0</v>
      </c>
      <c r="AY233" s="149">
        <v>0</v>
      </c>
      <c r="AZ233" s="149">
        <v>0</v>
      </c>
      <c r="BA233" s="149">
        <v>0</v>
      </c>
      <c r="BB233" s="149">
        <v>0</v>
      </c>
      <c r="BC233" s="149">
        <v>1</v>
      </c>
      <c r="BD233" s="149">
        <v>0</v>
      </c>
      <c r="BE233" s="149">
        <v>0</v>
      </c>
      <c r="BF233" s="149">
        <v>0</v>
      </c>
      <c r="BG233" s="149">
        <v>0</v>
      </c>
      <c r="BH233" s="149">
        <v>0</v>
      </c>
      <c r="BI233" s="149">
        <v>0</v>
      </c>
      <c r="BJ233" s="149">
        <v>0</v>
      </c>
      <c r="BK233" s="149">
        <v>0</v>
      </c>
      <c r="BL233" s="149">
        <v>0</v>
      </c>
      <c r="BM233" s="149">
        <v>0</v>
      </c>
      <c r="BN233" s="149">
        <v>0</v>
      </c>
      <c r="BO233" s="149">
        <v>0</v>
      </c>
      <c r="BP233" s="152"/>
      <c r="BQ233" s="152"/>
      <c r="BR233" s="154" t="s">
        <v>142</v>
      </c>
      <c r="BS233" s="136">
        <v>3</v>
      </c>
      <c r="BT233" s="267"/>
      <c r="BU233" s="267">
        <f t="shared" si="17"/>
        <v>1</v>
      </c>
      <c r="BV233" s="267"/>
      <c r="BW233" s="267"/>
      <c r="BX233" s="267"/>
      <c r="BY233" s="267"/>
      <c r="BZ233" s="267"/>
      <c r="CA233" s="267"/>
      <c r="CB233" s="267"/>
      <c r="CC233" s="267"/>
      <c r="CD233" s="267"/>
      <c r="CE233" s="267"/>
      <c r="CF233" s="267"/>
      <c r="CG233" s="267"/>
      <c r="CH233" s="267"/>
      <c r="CI233" s="267"/>
      <c r="CJ233" s="267"/>
      <c r="CK233" s="267"/>
      <c r="CL233" s="267"/>
      <c r="CM233" s="267"/>
      <c r="CN233" s="101">
        <f t="shared" si="15"/>
        <v>1</v>
      </c>
      <c r="CO233" s="101">
        <f t="shared" si="16"/>
        <v>1</v>
      </c>
    </row>
    <row r="234" spans="1:93" ht="13.9" customHeight="1" x14ac:dyDescent="0.2">
      <c r="A234" s="149">
        <v>6167</v>
      </c>
      <c r="B234" s="150" t="s">
        <v>854</v>
      </c>
      <c r="C234" s="150" t="s">
        <v>935</v>
      </c>
      <c r="D234" s="150" t="s">
        <v>936</v>
      </c>
      <c r="E234" s="150" t="s">
        <v>326</v>
      </c>
      <c r="F234" s="149">
        <v>527551</v>
      </c>
      <c r="G234" s="149">
        <v>174388</v>
      </c>
      <c r="H234" s="150" t="s">
        <v>165</v>
      </c>
      <c r="I234" s="151">
        <v>44652</v>
      </c>
      <c r="J234" s="151"/>
      <c r="K234" s="149">
        <v>0</v>
      </c>
      <c r="L234" s="149">
        <v>1</v>
      </c>
      <c r="M234" s="149">
        <v>1</v>
      </c>
      <c r="N234" s="149">
        <v>1</v>
      </c>
      <c r="O234" s="149">
        <v>1</v>
      </c>
      <c r="P234" s="152"/>
      <c r="Q234" s="150" t="s">
        <v>937</v>
      </c>
      <c r="R234" s="150" t="s">
        <v>349</v>
      </c>
      <c r="S234" s="151">
        <v>43439</v>
      </c>
      <c r="T234" s="151">
        <v>43587</v>
      </c>
      <c r="U234" s="152"/>
      <c r="V234" s="150" t="s">
        <v>330</v>
      </c>
      <c r="W234" s="151"/>
      <c r="X234" s="150" t="s">
        <v>331</v>
      </c>
      <c r="Y234" s="150" t="s">
        <v>343</v>
      </c>
      <c r="Z234" s="150" t="s">
        <v>334</v>
      </c>
      <c r="AA234" s="150" t="s">
        <v>363</v>
      </c>
      <c r="AB234" s="153">
        <v>1.7999999999999999E-2</v>
      </c>
      <c r="AC234" s="151">
        <v>44652</v>
      </c>
      <c r="AD234" s="150"/>
      <c r="AE234" s="151"/>
      <c r="AF234" s="150" t="s">
        <v>70</v>
      </c>
      <c r="AG234" s="152" t="s">
        <v>352</v>
      </c>
      <c r="AH234" s="150" t="s">
        <v>326</v>
      </c>
      <c r="AI234" s="99"/>
      <c r="AJ234" s="149"/>
      <c r="AK234" s="102"/>
      <c r="AL234" s="149"/>
      <c r="AM234" s="102"/>
      <c r="AN234" s="149">
        <v>0</v>
      </c>
      <c r="AO234" s="149">
        <v>0</v>
      </c>
      <c r="AP234" s="149">
        <v>0</v>
      </c>
      <c r="AQ234" s="149">
        <v>0</v>
      </c>
      <c r="AR234" s="149">
        <v>1</v>
      </c>
      <c r="AS234" s="149">
        <v>0</v>
      </c>
      <c r="AT234" s="149">
        <v>0</v>
      </c>
      <c r="AU234" s="149">
        <v>0</v>
      </c>
      <c r="AV234" s="149">
        <v>0</v>
      </c>
      <c r="AW234" s="149">
        <v>0</v>
      </c>
      <c r="AX234" s="149">
        <v>0</v>
      </c>
      <c r="AY234" s="149">
        <v>0</v>
      </c>
      <c r="AZ234" s="149">
        <v>0</v>
      </c>
      <c r="BA234" s="149">
        <v>0</v>
      </c>
      <c r="BB234" s="149">
        <v>0</v>
      </c>
      <c r="BC234" s="149">
        <v>0</v>
      </c>
      <c r="BD234" s="149">
        <v>0</v>
      </c>
      <c r="BE234" s="149">
        <v>0</v>
      </c>
      <c r="BF234" s="149">
        <v>1</v>
      </c>
      <c r="BG234" s="149">
        <v>0</v>
      </c>
      <c r="BH234" s="149">
        <v>0</v>
      </c>
      <c r="BI234" s="149">
        <v>0</v>
      </c>
      <c r="BJ234" s="149">
        <v>0</v>
      </c>
      <c r="BK234" s="149">
        <v>0</v>
      </c>
      <c r="BL234" s="149">
        <v>0</v>
      </c>
      <c r="BM234" s="149">
        <v>0</v>
      </c>
      <c r="BN234" s="149">
        <v>0</v>
      </c>
      <c r="BO234" s="149">
        <v>0</v>
      </c>
      <c r="BP234" s="152"/>
      <c r="BQ234" s="152"/>
      <c r="BR234" s="154" t="s">
        <v>359</v>
      </c>
      <c r="BS234" s="136">
        <v>3</v>
      </c>
      <c r="BT234" s="267"/>
      <c r="BU234" s="267">
        <f t="shared" si="17"/>
        <v>1</v>
      </c>
      <c r="BV234" s="267"/>
      <c r="BW234" s="267"/>
      <c r="BX234" s="267"/>
      <c r="BY234" s="267"/>
      <c r="BZ234" s="267"/>
      <c r="CA234" s="267"/>
      <c r="CB234" s="267"/>
      <c r="CC234" s="267"/>
      <c r="CD234" s="267"/>
      <c r="CE234" s="267"/>
      <c r="CF234" s="267"/>
      <c r="CG234" s="267"/>
      <c r="CH234" s="267"/>
      <c r="CI234" s="267"/>
      <c r="CJ234" s="267"/>
      <c r="CK234" s="267"/>
      <c r="CL234" s="267"/>
      <c r="CM234" s="267"/>
      <c r="CN234" s="101">
        <f t="shared" si="15"/>
        <v>1</v>
      </c>
      <c r="CO234" s="101">
        <f t="shared" si="16"/>
        <v>1</v>
      </c>
    </row>
    <row r="235" spans="1:93" ht="13.9" customHeight="1" x14ac:dyDescent="0.2">
      <c r="A235" s="149">
        <v>1188</v>
      </c>
      <c r="B235" s="150" t="s">
        <v>854</v>
      </c>
      <c r="C235" s="150" t="s">
        <v>938</v>
      </c>
      <c r="D235" s="150" t="s">
        <v>939</v>
      </c>
      <c r="E235" s="150" t="s">
        <v>326</v>
      </c>
      <c r="F235" s="149">
        <v>526940</v>
      </c>
      <c r="G235" s="149">
        <v>175148</v>
      </c>
      <c r="H235" s="150" t="s">
        <v>177</v>
      </c>
      <c r="I235" s="151">
        <v>44652</v>
      </c>
      <c r="J235" s="151"/>
      <c r="K235" s="149">
        <v>0</v>
      </c>
      <c r="L235" s="149">
        <v>3</v>
      </c>
      <c r="M235" s="149">
        <v>3</v>
      </c>
      <c r="N235" s="149">
        <v>3</v>
      </c>
      <c r="O235" s="149">
        <v>3</v>
      </c>
      <c r="P235" s="152"/>
      <c r="Q235" s="150" t="s">
        <v>940</v>
      </c>
      <c r="R235" s="150" t="s">
        <v>349</v>
      </c>
      <c r="S235" s="151">
        <v>43468</v>
      </c>
      <c r="T235" s="151">
        <v>43644</v>
      </c>
      <c r="U235" s="152"/>
      <c r="V235" s="150" t="s">
        <v>330</v>
      </c>
      <c r="W235" s="151"/>
      <c r="X235" s="150" t="s">
        <v>331</v>
      </c>
      <c r="Y235" s="150" t="s">
        <v>398</v>
      </c>
      <c r="Z235" s="150" t="s">
        <v>334</v>
      </c>
      <c r="AA235" s="150" t="s">
        <v>363</v>
      </c>
      <c r="AB235" s="153">
        <v>7.0000000000000001E-3</v>
      </c>
      <c r="AC235" s="151">
        <v>44652</v>
      </c>
      <c r="AD235" s="150"/>
      <c r="AE235" s="151"/>
      <c r="AF235" s="150" t="s">
        <v>70</v>
      </c>
      <c r="AG235" s="152" t="s">
        <v>352</v>
      </c>
      <c r="AH235" s="150" t="s">
        <v>326</v>
      </c>
      <c r="AI235" s="99"/>
      <c r="AJ235" s="149"/>
      <c r="AK235" s="102"/>
      <c r="AL235" s="149"/>
      <c r="AM235" s="102"/>
      <c r="AN235" s="149">
        <v>0</v>
      </c>
      <c r="AO235" s="149">
        <v>0</v>
      </c>
      <c r="AP235" s="149">
        <v>3</v>
      </c>
      <c r="AQ235" s="149">
        <v>0</v>
      </c>
      <c r="AR235" s="149">
        <v>0</v>
      </c>
      <c r="AS235" s="149">
        <v>0</v>
      </c>
      <c r="AT235" s="149">
        <v>0</v>
      </c>
      <c r="AU235" s="149">
        <v>0</v>
      </c>
      <c r="AV235" s="149">
        <v>0</v>
      </c>
      <c r="AW235" s="149">
        <v>3</v>
      </c>
      <c r="AX235" s="149">
        <v>0</v>
      </c>
      <c r="AY235" s="149">
        <v>0</v>
      </c>
      <c r="AZ235" s="149">
        <v>0</v>
      </c>
      <c r="BA235" s="149">
        <v>0</v>
      </c>
      <c r="BB235" s="149">
        <v>0</v>
      </c>
      <c r="BC235" s="149">
        <v>0</v>
      </c>
      <c r="BD235" s="149">
        <v>0</v>
      </c>
      <c r="BE235" s="149">
        <v>0</v>
      </c>
      <c r="BF235" s="149">
        <v>0</v>
      </c>
      <c r="BG235" s="149">
        <v>0</v>
      </c>
      <c r="BH235" s="149">
        <v>0</v>
      </c>
      <c r="BI235" s="149">
        <v>0</v>
      </c>
      <c r="BJ235" s="149">
        <v>0</v>
      </c>
      <c r="BK235" s="149">
        <v>0</v>
      </c>
      <c r="BL235" s="149">
        <v>0</v>
      </c>
      <c r="BM235" s="149">
        <v>0</v>
      </c>
      <c r="BN235" s="149">
        <v>0</v>
      </c>
      <c r="BO235" s="149">
        <v>0</v>
      </c>
      <c r="BP235" s="152"/>
      <c r="BQ235" s="152"/>
      <c r="BR235" s="154" t="s">
        <v>359</v>
      </c>
      <c r="BS235" s="136">
        <v>13</v>
      </c>
      <c r="BT235" s="267"/>
      <c r="BU235" s="267">
        <f t="shared" si="17"/>
        <v>3</v>
      </c>
      <c r="BV235" s="267"/>
      <c r="BW235" s="267"/>
      <c r="BX235" s="267"/>
      <c r="BY235" s="267"/>
      <c r="BZ235" s="267"/>
      <c r="CA235" s="267"/>
      <c r="CB235" s="267"/>
      <c r="CC235" s="267"/>
      <c r="CD235" s="267"/>
      <c r="CE235" s="267"/>
      <c r="CF235" s="267"/>
      <c r="CG235" s="267"/>
      <c r="CH235" s="267"/>
      <c r="CI235" s="267"/>
      <c r="CJ235" s="267"/>
      <c r="CK235" s="267"/>
      <c r="CL235" s="267"/>
      <c r="CM235" s="267"/>
      <c r="CN235" s="101">
        <f t="shared" si="15"/>
        <v>3</v>
      </c>
      <c r="CO235" s="101">
        <f t="shared" si="16"/>
        <v>3</v>
      </c>
    </row>
    <row r="236" spans="1:93" ht="13.9" customHeight="1" x14ac:dyDescent="0.2">
      <c r="A236" s="149">
        <v>6704</v>
      </c>
      <c r="B236" s="150" t="s">
        <v>854</v>
      </c>
      <c r="C236" s="150" t="s">
        <v>941</v>
      </c>
      <c r="D236" s="150" t="s">
        <v>942</v>
      </c>
      <c r="E236" s="150" t="s">
        <v>326</v>
      </c>
      <c r="F236" s="149">
        <v>523738</v>
      </c>
      <c r="G236" s="149">
        <v>173863</v>
      </c>
      <c r="H236" s="150" t="s">
        <v>161</v>
      </c>
      <c r="I236" s="151">
        <v>44363</v>
      </c>
      <c r="J236" s="151"/>
      <c r="K236" s="149">
        <v>0</v>
      </c>
      <c r="L236" s="149">
        <v>1</v>
      </c>
      <c r="M236" s="149">
        <v>1</v>
      </c>
      <c r="N236" s="149">
        <v>1</v>
      </c>
      <c r="O236" s="149">
        <v>1</v>
      </c>
      <c r="P236" s="152"/>
      <c r="Q236" s="150" t="s">
        <v>943</v>
      </c>
      <c r="R236" s="150" t="s">
        <v>427</v>
      </c>
      <c r="S236" s="151">
        <v>43502</v>
      </c>
      <c r="T236" s="151">
        <v>43553</v>
      </c>
      <c r="U236" s="152"/>
      <c r="V236" s="150" t="s">
        <v>330</v>
      </c>
      <c r="W236" s="151"/>
      <c r="X236" s="150" t="s">
        <v>331</v>
      </c>
      <c r="Y236" s="150" t="s">
        <v>332</v>
      </c>
      <c r="Z236" s="150" t="s">
        <v>334</v>
      </c>
      <c r="AA236" s="150" t="s">
        <v>32</v>
      </c>
      <c r="AB236" s="153">
        <v>8.9999999999999993E-3</v>
      </c>
      <c r="AC236" s="151">
        <v>44363</v>
      </c>
      <c r="AD236" s="150"/>
      <c r="AE236" s="151"/>
      <c r="AF236" s="150" t="s">
        <v>70</v>
      </c>
      <c r="AG236" s="152" t="s">
        <v>352</v>
      </c>
      <c r="AH236" s="150" t="s">
        <v>326</v>
      </c>
      <c r="AI236" s="99"/>
      <c r="AJ236" s="149"/>
      <c r="AK236" s="102"/>
      <c r="AL236" s="149"/>
      <c r="AM236" s="102"/>
      <c r="AN236" s="149">
        <v>0</v>
      </c>
      <c r="AO236" s="149">
        <v>1</v>
      </c>
      <c r="AP236" s="149">
        <v>0</v>
      </c>
      <c r="AQ236" s="149">
        <v>0</v>
      </c>
      <c r="AR236" s="149">
        <v>0</v>
      </c>
      <c r="AS236" s="149">
        <v>0</v>
      </c>
      <c r="AT236" s="149">
        <v>0</v>
      </c>
      <c r="AU236" s="149">
        <v>0</v>
      </c>
      <c r="AV236" s="149">
        <v>1</v>
      </c>
      <c r="AW236" s="149">
        <v>0</v>
      </c>
      <c r="AX236" s="149">
        <v>0</v>
      </c>
      <c r="AY236" s="149">
        <v>0</v>
      </c>
      <c r="AZ236" s="149">
        <v>0</v>
      </c>
      <c r="BA236" s="149">
        <v>0</v>
      </c>
      <c r="BB236" s="149">
        <v>0</v>
      </c>
      <c r="BC236" s="149">
        <v>0</v>
      </c>
      <c r="BD236" s="149">
        <v>0</v>
      </c>
      <c r="BE236" s="149">
        <v>0</v>
      </c>
      <c r="BF236" s="149">
        <v>0</v>
      </c>
      <c r="BG236" s="149">
        <v>0</v>
      </c>
      <c r="BH236" s="149">
        <v>0</v>
      </c>
      <c r="BI236" s="149">
        <v>0</v>
      </c>
      <c r="BJ236" s="149">
        <v>0</v>
      </c>
      <c r="BK236" s="149">
        <v>0</v>
      </c>
      <c r="BL236" s="149">
        <v>0</v>
      </c>
      <c r="BM236" s="149">
        <v>0</v>
      </c>
      <c r="BN236" s="149">
        <v>0</v>
      </c>
      <c r="BO236" s="149">
        <v>0</v>
      </c>
      <c r="BP236" s="152"/>
      <c r="BQ236" s="152"/>
      <c r="BR236" s="154" t="s">
        <v>359</v>
      </c>
      <c r="BS236" s="136">
        <v>13</v>
      </c>
      <c r="BT236" s="267"/>
      <c r="BU236" s="267">
        <f t="shared" si="17"/>
        <v>1</v>
      </c>
      <c r="BV236" s="267"/>
      <c r="BW236" s="267"/>
      <c r="BX236" s="267"/>
      <c r="BY236" s="267"/>
      <c r="BZ236" s="267"/>
      <c r="CA236" s="267"/>
      <c r="CB236" s="267"/>
      <c r="CC236" s="267"/>
      <c r="CD236" s="267"/>
      <c r="CE236" s="267"/>
      <c r="CF236" s="267"/>
      <c r="CG236" s="267"/>
      <c r="CH236" s="267"/>
      <c r="CI236" s="267"/>
      <c r="CJ236" s="267"/>
      <c r="CK236" s="267"/>
      <c r="CL236" s="267"/>
      <c r="CM236" s="267"/>
      <c r="CN236" s="101">
        <f t="shared" si="15"/>
        <v>1</v>
      </c>
      <c r="CO236" s="101">
        <f t="shared" si="16"/>
        <v>1</v>
      </c>
    </row>
    <row r="237" spans="1:93" ht="13.9" customHeight="1" x14ac:dyDescent="0.2">
      <c r="A237" s="149">
        <v>6660</v>
      </c>
      <c r="B237" s="150" t="s">
        <v>854</v>
      </c>
      <c r="C237" s="150" t="s">
        <v>944</v>
      </c>
      <c r="D237" s="150" t="s">
        <v>945</v>
      </c>
      <c r="E237" s="150" t="s">
        <v>326</v>
      </c>
      <c r="F237" s="149">
        <v>527260</v>
      </c>
      <c r="G237" s="149">
        <v>175041</v>
      </c>
      <c r="H237" s="150" t="s">
        <v>164</v>
      </c>
      <c r="I237" s="151">
        <v>44652</v>
      </c>
      <c r="J237" s="151"/>
      <c r="K237" s="149">
        <v>0</v>
      </c>
      <c r="L237" s="149">
        <v>1</v>
      </c>
      <c r="M237" s="149">
        <v>1</v>
      </c>
      <c r="N237" s="149">
        <v>1</v>
      </c>
      <c r="O237" s="149">
        <v>1</v>
      </c>
      <c r="P237" s="152"/>
      <c r="Q237" s="150" t="s">
        <v>946</v>
      </c>
      <c r="R237" s="150" t="s">
        <v>349</v>
      </c>
      <c r="S237" s="151">
        <v>43721</v>
      </c>
      <c r="T237" s="151">
        <v>43609</v>
      </c>
      <c r="U237" s="152"/>
      <c r="V237" s="150" t="s">
        <v>330</v>
      </c>
      <c r="W237" s="151"/>
      <c r="X237" s="150" t="s">
        <v>331</v>
      </c>
      <c r="Y237" s="150" t="s">
        <v>343</v>
      </c>
      <c r="Z237" s="150" t="s">
        <v>334</v>
      </c>
      <c r="AA237" s="150" t="s">
        <v>363</v>
      </c>
      <c r="AB237" s="153">
        <v>7.0000000000000001E-3</v>
      </c>
      <c r="AC237" s="151">
        <v>44652</v>
      </c>
      <c r="AD237" s="150"/>
      <c r="AE237" s="151"/>
      <c r="AF237" s="150" t="s">
        <v>70</v>
      </c>
      <c r="AG237" s="152" t="s">
        <v>352</v>
      </c>
      <c r="AH237" s="150" t="s">
        <v>326</v>
      </c>
      <c r="AI237" s="99"/>
      <c r="AJ237" s="149"/>
      <c r="AK237" s="99"/>
      <c r="AL237" s="149"/>
      <c r="AM237" s="99"/>
      <c r="AN237" s="149">
        <v>0</v>
      </c>
      <c r="AO237" s="149">
        <v>0</v>
      </c>
      <c r="AP237" s="149">
        <v>1</v>
      </c>
      <c r="AQ237" s="149">
        <v>0</v>
      </c>
      <c r="AR237" s="149">
        <v>0</v>
      </c>
      <c r="AS237" s="149">
        <v>0</v>
      </c>
      <c r="AT237" s="149">
        <v>0</v>
      </c>
      <c r="AU237" s="149">
        <v>0</v>
      </c>
      <c r="AV237" s="149">
        <v>0</v>
      </c>
      <c r="AW237" s="149">
        <v>0</v>
      </c>
      <c r="AX237" s="149">
        <v>0</v>
      </c>
      <c r="AY237" s="149">
        <v>0</v>
      </c>
      <c r="AZ237" s="149">
        <v>0</v>
      </c>
      <c r="BA237" s="149">
        <v>0</v>
      </c>
      <c r="BB237" s="149">
        <v>0</v>
      </c>
      <c r="BC237" s="149">
        <v>0</v>
      </c>
      <c r="BD237" s="149">
        <v>1</v>
      </c>
      <c r="BE237" s="149">
        <v>0</v>
      </c>
      <c r="BF237" s="149">
        <v>0</v>
      </c>
      <c r="BG237" s="149">
        <v>0</v>
      </c>
      <c r="BH237" s="149">
        <v>0</v>
      </c>
      <c r="BI237" s="149">
        <v>0</v>
      </c>
      <c r="BJ237" s="149">
        <v>0</v>
      </c>
      <c r="BK237" s="149">
        <v>0</v>
      </c>
      <c r="BL237" s="149">
        <v>0</v>
      </c>
      <c r="BM237" s="149">
        <v>0</v>
      </c>
      <c r="BN237" s="149">
        <v>0</v>
      </c>
      <c r="BO237" s="149">
        <v>0</v>
      </c>
      <c r="BP237" s="152"/>
      <c r="BQ237" s="152"/>
      <c r="BR237" s="154" t="s">
        <v>148</v>
      </c>
      <c r="BS237" s="136">
        <v>3</v>
      </c>
      <c r="BT237" s="267"/>
      <c r="BU237" s="267">
        <f t="shared" si="17"/>
        <v>1</v>
      </c>
      <c r="BV237" s="267"/>
      <c r="BW237" s="267"/>
      <c r="BX237" s="267"/>
      <c r="BY237" s="267"/>
      <c r="BZ237" s="267"/>
      <c r="CA237" s="267"/>
      <c r="CB237" s="267"/>
      <c r="CC237" s="267"/>
      <c r="CD237" s="267"/>
      <c r="CE237" s="267"/>
      <c r="CF237" s="267"/>
      <c r="CG237" s="267"/>
      <c r="CH237" s="267"/>
      <c r="CI237" s="267"/>
      <c r="CJ237" s="267"/>
      <c r="CK237" s="267"/>
      <c r="CL237" s="267"/>
      <c r="CM237" s="267"/>
      <c r="CN237" s="101">
        <f t="shared" si="15"/>
        <v>1</v>
      </c>
      <c r="CO237" s="101">
        <f t="shared" si="16"/>
        <v>1</v>
      </c>
    </row>
    <row r="238" spans="1:93" ht="13.9" customHeight="1" x14ac:dyDescent="0.2">
      <c r="A238" s="149">
        <v>1882</v>
      </c>
      <c r="B238" s="150" t="s">
        <v>854</v>
      </c>
      <c r="C238" s="150" t="s">
        <v>947</v>
      </c>
      <c r="D238" s="150" t="s">
        <v>948</v>
      </c>
      <c r="E238" s="150" t="s">
        <v>326</v>
      </c>
      <c r="F238" s="149">
        <v>525371</v>
      </c>
      <c r="G238" s="149">
        <v>174659</v>
      </c>
      <c r="H238" s="150" t="s">
        <v>177</v>
      </c>
      <c r="I238" s="151">
        <v>43191</v>
      </c>
      <c r="J238" s="151"/>
      <c r="K238" s="149">
        <v>0</v>
      </c>
      <c r="L238" s="149">
        <v>1</v>
      </c>
      <c r="M238" s="149">
        <v>1</v>
      </c>
      <c r="N238" s="149">
        <v>1</v>
      </c>
      <c r="O238" s="149">
        <v>1</v>
      </c>
      <c r="P238" s="152"/>
      <c r="Q238" s="150" t="s">
        <v>949</v>
      </c>
      <c r="R238" s="150" t="s">
        <v>381</v>
      </c>
      <c r="S238" s="151">
        <v>43536</v>
      </c>
      <c r="T238" s="151">
        <v>43600</v>
      </c>
      <c r="U238" s="152"/>
      <c r="V238" s="150" t="s">
        <v>330</v>
      </c>
      <c r="W238" s="151"/>
      <c r="X238" s="150" t="s">
        <v>331</v>
      </c>
      <c r="Y238" s="150" t="s">
        <v>332</v>
      </c>
      <c r="Z238" s="150" t="s">
        <v>334</v>
      </c>
      <c r="AA238" s="150" t="s">
        <v>32</v>
      </c>
      <c r="AB238" s="153">
        <v>5.0000000000000001E-3</v>
      </c>
      <c r="AC238" s="151">
        <v>43191</v>
      </c>
      <c r="AD238" s="150"/>
      <c r="AE238" s="151"/>
      <c r="AF238" s="150" t="s">
        <v>70</v>
      </c>
      <c r="AG238" s="152" t="s">
        <v>352</v>
      </c>
      <c r="AH238" s="150" t="s">
        <v>326</v>
      </c>
      <c r="AI238" s="99"/>
      <c r="AJ238" s="149"/>
      <c r="AK238" s="99"/>
      <c r="AL238" s="149"/>
      <c r="AM238" s="99"/>
      <c r="AN238" s="149">
        <v>0</v>
      </c>
      <c r="AO238" s="149">
        <v>1</v>
      </c>
      <c r="AP238" s="149">
        <v>0</v>
      </c>
      <c r="AQ238" s="149">
        <v>0</v>
      </c>
      <c r="AR238" s="149">
        <v>0</v>
      </c>
      <c r="AS238" s="149">
        <v>0</v>
      </c>
      <c r="AT238" s="149">
        <v>0</v>
      </c>
      <c r="AU238" s="149">
        <v>0</v>
      </c>
      <c r="AV238" s="149">
        <v>1</v>
      </c>
      <c r="AW238" s="149">
        <v>0</v>
      </c>
      <c r="AX238" s="149">
        <v>0</v>
      </c>
      <c r="AY238" s="149">
        <v>0</v>
      </c>
      <c r="AZ238" s="149">
        <v>0</v>
      </c>
      <c r="BA238" s="149">
        <v>0</v>
      </c>
      <c r="BB238" s="149">
        <v>0</v>
      </c>
      <c r="BC238" s="149">
        <v>0</v>
      </c>
      <c r="BD238" s="149">
        <v>0</v>
      </c>
      <c r="BE238" s="149">
        <v>0</v>
      </c>
      <c r="BF238" s="149">
        <v>0</v>
      </c>
      <c r="BG238" s="149">
        <v>0</v>
      </c>
      <c r="BH238" s="149">
        <v>0</v>
      </c>
      <c r="BI238" s="149">
        <v>0</v>
      </c>
      <c r="BJ238" s="149">
        <v>0</v>
      </c>
      <c r="BK238" s="149">
        <v>0</v>
      </c>
      <c r="BL238" s="149">
        <v>0</v>
      </c>
      <c r="BM238" s="149">
        <v>0</v>
      </c>
      <c r="BN238" s="149">
        <v>0</v>
      </c>
      <c r="BO238" s="149">
        <v>0</v>
      </c>
      <c r="BP238" s="152" t="s">
        <v>143</v>
      </c>
      <c r="BQ238" s="152"/>
      <c r="BR238" s="154" t="s">
        <v>463</v>
      </c>
      <c r="BS238" s="136">
        <v>13</v>
      </c>
      <c r="BT238" s="267"/>
      <c r="BU238" s="267">
        <f t="shared" si="17"/>
        <v>1</v>
      </c>
      <c r="BV238" s="267"/>
      <c r="BW238" s="267"/>
      <c r="BX238" s="267"/>
      <c r="BY238" s="267"/>
      <c r="BZ238" s="267"/>
      <c r="CA238" s="267"/>
      <c r="CB238" s="267"/>
      <c r="CC238" s="267"/>
      <c r="CD238" s="267"/>
      <c r="CE238" s="267"/>
      <c r="CF238" s="267"/>
      <c r="CG238" s="267"/>
      <c r="CH238" s="267"/>
      <c r="CI238" s="267"/>
      <c r="CJ238" s="267"/>
      <c r="CK238" s="267"/>
      <c r="CL238" s="267"/>
      <c r="CM238" s="267"/>
      <c r="CN238" s="101">
        <f t="shared" si="15"/>
        <v>1</v>
      </c>
      <c r="CO238" s="101">
        <f t="shared" si="16"/>
        <v>1</v>
      </c>
    </row>
    <row r="239" spans="1:93" ht="13.9" customHeight="1" x14ac:dyDescent="0.2">
      <c r="A239" s="149">
        <v>6501</v>
      </c>
      <c r="B239" s="150" t="s">
        <v>854</v>
      </c>
      <c r="C239" s="150" t="s">
        <v>950</v>
      </c>
      <c r="D239" s="150" t="s">
        <v>951</v>
      </c>
      <c r="E239" s="150" t="s">
        <v>326</v>
      </c>
      <c r="F239" s="149">
        <v>527304</v>
      </c>
      <c r="G239" s="149">
        <v>171639</v>
      </c>
      <c r="H239" s="150" t="s">
        <v>173</v>
      </c>
      <c r="I239" s="151">
        <v>44812</v>
      </c>
      <c r="J239" s="151"/>
      <c r="K239" s="149">
        <v>0</v>
      </c>
      <c r="L239" s="149">
        <v>17</v>
      </c>
      <c r="M239" s="149">
        <v>17</v>
      </c>
      <c r="N239" s="149">
        <v>17</v>
      </c>
      <c r="O239" s="149">
        <v>17</v>
      </c>
      <c r="P239" s="152" t="s">
        <v>327</v>
      </c>
      <c r="Q239" s="150" t="s">
        <v>952</v>
      </c>
      <c r="R239" s="150" t="s">
        <v>381</v>
      </c>
      <c r="S239" s="151">
        <v>43539</v>
      </c>
      <c r="T239" s="151">
        <v>43783</v>
      </c>
      <c r="U239" s="152"/>
      <c r="V239" s="150" t="s">
        <v>330</v>
      </c>
      <c r="W239" s="151"/>
      <c r="X239" s="150" t="s">
        <v>331</v>
      </c>
      <c r="Y239" s="150" t="s">
        <v>343</v>
      </c>
      <c r="Z239" s="150" t="s">
        <v>343</v>
      </c>
      <c r="AA239" s="150" t="s">
        <v>334</v>
      </c>
      <c r="AB239" s="153">
        <v>0.156</v>
      </c>
      <c r="AC239" s="151">
        <v>44812</v>
      </c>
      <c r="AD239" s="150"/>
      <c r="AE239" s="151"/>
      <c r="AF239" s="150" t="s">
        <v>70</v>
      </c>
      <c r="AG239" s="152" t="s">
        <v>352</v>
      </c>
      <c r="AH239" s="150" t="s">
        <v>326</v>
      </c>
      <c r="AI239" s="99"/>
      <c r="AJ239" s="149"/>
      <c r="AK239" s="138">
        <v>15</v>
      </c>
      <c r="AL239" s="149"/>
      <c r="AM239" s="138">
        <v>2</v>
      </c>
      <c r="AN239" s="149">
        <v>0</v>
      </c>
      <c r="AO239" s="149">
        <v>4</v>
      </c>
      <c r="AP239" s="149">
        <v>10</v>
      </c>
      <c r="AQ239" s="149">
        <v>3</v>
      </c>
      <c r="AR239" s="149">
        <v>0</v>
      </c>
      <c r="AS239" s="149">
        <v>0</v>
      </c>
      <c r="AT239" s="149">
        <v>0</v>
      </c>
      <c r="AU239" s="149">
        <v>0</v>
      </c>
      <c r="AV239" s="149">
        <v>4</v>
      </c>
      <c r="AW239" s="149">
        <v>10</v>
      </c>
      <c r="AX239" s="149">
        <v>3</v>
      </c>
      <c r="AY239" s="149">
        <v>0</v>
      </c>
      <c r="AZ239" s="149">
        <v>0</v>
      </c>
      <c r="BA239" s="149">
        <v>0</v>
      </c>
      <c r="BB239" s="149">
        <v>0</v>
      </c>
      <c r="BC239" s="149">
        <v>0</v>
      </c>
      <c r="BD239" s="149">
        <v>0</v>
      </c>
      <c r="BE239" s="149">
        <v>0</v>
      </c>
      <c r="BF239" s="149">
        <v>0</v>
      </c>
      <c r="BG239" s="149">
        <v>0</v>
      </c>
      <c r="BH239" s="149">
        <v>0</v>
      </c>
      <c r="BI239" s="149">
        <v>0</v>
      </c>
      <c r="BJ239" s="149">
        <v>0</v>
      </c>
      <c r="BK239" s="149">
        <v>0</v>
      </c>
      <c r="BL239" s="149">
        <v>0</v>
      </c>
      <c r="BM239" s="149">
        <v>0</v>
      </c>
      <c r="BN239" s="149">
        <v>0</v>
      </c>
      <c r="BO239" s="149">
        <v>0</v>
      </c>
      <c r="BP239" s="152"/>
      <c r="BQ239" s="152"/>
      <c r="BR239" s="154" t="s">
        <v>142</v>
      </c>
      <c r="BS239" s="136">
        <v>3</v>
      </c>
      <c r="BT239" s="267"/>
      <c r="BU239" s="267">
        <f t="shared" si="17"/>
        <v>17</v>
      </c>
      <c r="BV239" s="267"/>
      <c r="BW239" s="267"/>
      <c r="BX239" s="267"/>
      <c r="BY239" s="267"/>
      <c r="BZ239" s="267"/>
      <c r="CA239" s="267"/>
      <c r="CB239" s="267"/>
      <c r="CC239" s="267"/>
      <c r="CD239" s="267"/>
      <c r="CE239" s="267"/>
      <c r="CF239" s="267"/>
      <c r="CG239" s="267"/>
      <c r="CH239" s="267"/>
      <c r="CI239" s="267"/>
      <c r="CJ239" s="267"/>
      <c r="CK239" s="267"/>
      <c r="CL239" s="267"/>
      <c r="CM239" s="267"/>
      <c r="CN239" s="101">
        <f t="shared" si="15"/>
        <v>17</v>
      </c>
      <c r="CO239" s="101">
        <f t="shared" si="16"/>
        <v>17</v>
      </c>
    </row>
    <row r="240" spans="1:93" ht="13.9" customHeight="1" x14ac:dyDescent="0.2">
      <c r="A240" s="149">
        <v>6238</v>
      </c>
      <c r="B240" s="150" t="s">
        <v>854</v>
      </c>
      <c r="C240" s="150" t="s">
        <v>953</v>
      </c>
      <c r="D240" s="150" t="s">
        <v>954</v>
      </c>
      <c r="E240" s="150" t="s">
        <v>326</v>
      </c>
      <c r="F240" s="149">
        <v>524777</v>
      </c>
      <c r="G240" s="149">
        <v>173324</v>
      </c>
      <c r="H240" s="150" t="s">
        <v>169</v>
      </c>
      <c r="I240" s="151">
        <v>45382</v>
      </c>
      <c r="J240" s="151"/>
      <c r="K240" s="149">
        <v>0</v>
      </c>
      <c r="L240" s="149">
        <v>3</v>
      </c>
      <c r="M240" s="149">
        <v>3</v>
      </c>
      <c r="N240" s="149">
        <v>3</v>
      </c>
      <c r="O240" s="149">
        <v>3</v>
      </c>
      <c r="P240" s="152"/>
      <c r="Q240" s="150" t="s">
        <v>955</v>
      </c>
      <c r="R240" s="150" t="s">
        <v>349</v>
      </c>
      <c r="S240" s="151">
        <v>43542</v>
      </c>
      <c r="T240" s="151">
        <v>44006</v>
      </c>
      <c r="U240" s="152"/>
      <c r="V240" s="150" t="s">
        <v>330</v>
      </c>
      <c r="W240" s="151"/>
      <c r="X240" s="150" t="s">
        <v>331</v>
      </c>
      <c r="Y240" s="150" t="s">
        <v>343</v>
      </c>
      <c r="Z240" s="150" t="s">
        <v>334</v>
      </c>
      <c r="AA240" s="150" t="s">
        <v>363</v>
      </c>
      <c r="AB240" s="153">
        <v>8.0000000000000002E-3</v>
      </c>
      <c r="AC240" s="151">
        <v>45382</v>
      </c>
      <c r="AD240" s="152" t="s">
        <v>327</v>
      </c>
      <c r="AE240" s="151"/>
      <c r="AF240" s="150" t="s">
        <v>70</v>
      </c>
      <c r="AG240" s="152" t="s">
        <v>352</v>
      </c>
      <c r="AH240" s="150" t="s">
        <v>326</v>
      </c>
      <c r="AI240" s="99"/>
      <c r="AJ240" s="149"/>
      <c r="AK240" s="99"/>
      <c r="AL240" s="149"/>
      <c r="AM240" s="99"/>
      <c r="AN240" s="149">
        <v>0</v>
      </c>
      <c r="AO240" s="149">
        <v>1</v>
      </c>
      <c r="AP240" s="149">
        <v>2</v>
      </c>
      <c r="AQ240" s="149">
        <v>0</v>
      </c>
      <c r="AR240" s="149">
        <v>0</v>
      </c>
      <c r="AS240" s="149">
        <v>0</v>
      </c>
      <c r="AT240" s="149">
        <v>0</v>
      </c>
      <c r="AU240" s="149">
        <v>0</v>
      </c>
      <c r="AV240" s="149">
        <v>1</v>
      </c>
      <c r="AW240" s="149">
        <v>2</v>
      </c>
      <c r="AX240" s="149">
        <v>0</v>
      </c>
      <c r="AY240" s="149">
        <v>0</v>
      </c>
      <c r="AZ240" s="149">
        <v>0</v>
      </c>
      <c r="BA240" s="149">
        <v>0</v>
      </c>
      <c r="BB240" s="149">
        <v>0</v>
      </c>
      <c r="BC240" s="149">
        <v>0</v>
      </c>
      <c r="BD240" s="149">
        <v>0</v>
      </c>
      <c r="BE240" s="149">
        <v>0</v>
      </c>
      <c r="BF240" s="149">
        <v>0</v>
      </c>
      <c r="BG240" s="149">
        <v>0</v>
      </c>
      <c r="BH240" s="149">
        <v>0</v>
      </c>
      <c r="BI240" s="149">
        <v>0</v>
      </c>
      <c r="BJ240" s="149">
        <v>0</v>
      </c>
      <c r="BK240" s="149">
        <v>0</v>
      </c>
      <c r="BL240" s="149">
        <v>0</v>
      </c>
      <c r="BM240" s="149">
        <v>0</v>
      </c>
      <c r="BN240" s="149">
        <v>0</v>
      </c>
      <c r="BO240" s="149">
        <v>0</v>
      </c>
      <c r="BP240" s="152"/>
      <c r="BQ240" s="152"/>
      <c r="BR240" s="154" t="s">
        <v>359</v>
      </c>
      <c r="BS240" s="136">
        <v>4</v>
      </c>
      <c r="BT240" s="267"/>
      <c r="BU240" s="267">
        <f>M240/2</f>
        <v>1.5</v>
      </c>
      <c r="BV240" s="267">
        <f>M240/2</f>
        <v>1.5</v>
      </c>
      <c r="BW240" s="267"/>
      <c r="BX240" s="267"/>
      <c r="BY240" s="267"/>
      <c r="BZ240" s="267"/>
      <c r="CA240" s="267"/>
      <c r="CB240" s="267"/>
      <c r="CC240" s="267"/>
      <c r="CD240" s="267"/>
      <c r="CE240" s="267"/>
      <c r="CF240" s="267"/>
      <c r="CG240" s="267"/>
      <c r="CH240" s="267"/>
      <c r="CI240" s="267"/>
      <c r="CJ240" s="267"/>
      <c r="CK240" s="267"/>
      <c r="CL240" s="267"/>
      <c r="CM240" s="267"/>
      <c r="CN240" s="101">
        <f t="shared" si="15"/>
        <v>3</v>
      </c>
      <c r="CO240" s="101">
        <f t="shared" si="16"/>
        <v>3</v>
      </c>
    </row>
    <row r="241" spans="1:93" ht="13.9" customHeight="1" x14ac:dyDescent="0.2">
      <c r="A241" s="149">
        <v>4689</v>
      </c>
      <c r="B241" s="150" t="s">
        <v>854</v>
      </c>
      <c r="C241" s="150" t="s">
        <v>956</v>
      </c>
      <c r="D241" s="150" t="s">
        <v>957</v>
      </c>
      <c r="E241" s="150" t="s">
        <v>958</v>
      </c>
      <c r="F241" s="149">
        <v>527473</v>
      </c>
      <c r="G241" s="149">
        <v>175071</v>
      </c>
      <c r="H241" s="150" t="s">
        <v>164</v>
      </c>
      <c r="I241" s="151">
        <v>44652</v>
      </c>
      <c r="J241" s="151"/>
      <c r="K241" s="149">
        <v>1</v>
      </c>
      <c r="L241" s="149">
        <v>1</v>
      </c>
      <c r="M241" s="149">
        <v>0</v>
      </c>
      <c r="N241" s="149">
        <v>2</v>
      </c>
      <c r="O241" s="149">
        <v>1</v>
      </c>
      <c r="P241" s="152"/>
      <c r="Q241" s="150" t="s">
        <v>959</v>
      </c>
      <c r="R241" s="150" t="s">
        <v>349</v>
      </c>
      <c r="S241" s="151">
        <v>43543</v>
      </c>
      <c r="T241" s="151">
        <v>43599</v>
      </c>
      <c r="U241" s="152"/>
      <c r="V241" s="150" t="s">
        <v>330</v>
      </c>
      <c r="W241" s="151"/>
      <c r="X241" s="150" t="s">
        <v>331</v>
      </c>
      <c r="Y241" s="150" t="s">
        <v>398</v>
      </c>
      <c r="Z241" s="150" t="s">
        <v>334</v>
      </c>
      <c r="AA241" s="150" t="s">
        <v>399</v>
      </c>
      <c r="AB241" s="153">
        <v>3.0000000000000001E-3</v>
      </c>
      <c r="AC241" s="151">
        <v>44652</v>
      </c>
      <c r="AD241" s="150"/>
      <c r="AE241" s="151"/>
      <c r="AF241" s="150" t="s">
        <v>70</v>
      </c>
      <c r="AG241" s="152" t="s">
        <v>352</v>
      </c>
      <c r="AH241" s="150" t="s">
        <v>326</v>
      </c>
      <c r="AI241" s="99"/>
      <c r="AJ241" s="149"/>
      <c r="AK241" s="99"/>
      <c r="AL241" s="149"/>
      <c r="AM241" s="99"/>
      <c r="AN241" s="149">
        <v>0</v>
      </c>
      <c r="AO241" s="149">
        <v>1</v>
      </c>
      <c r="AP241" s="149">
        <v>0</v>
      </c>
      <c r="AQ241" s="149">
        <v>-1</v>
      </c>
      <c r="AR241" s="149">
        <v>0</v>
      </c>
      <c r="AS241" s="149">
        <v>0</v>
      </c>
      <c r="AT241" s="149">
        <v>0</v>
      </c>
      <c r="AU241" s="149">
        <v>0</v>
      </c>
      <c r="AV241" s="149">
        <v>1</v>
      </c>
      <c r="AW241" s="149">
        <v>0</v>
      </c>
      <c r="AX241" s="149">
        <v>-1</v>
      </c>
      <c r="AY241" s="149">
        <v>0</v>
      </c>
      <c r="AZ241" s="149">
        <v>0</v>
      </c>
      <c r="BA241" s="149">
        <v>0</v>
      </c>
      <c r="BB241" s="149">
        <v>0</v>
      </c>
      <c r="BC241" s="149">
        <v>0</v>
      </c>
      <c r="BD241" s="149">
        <v>0</v>
      </c>
      <c r="BE241" s="149">
        <v>0</v>
      </c>
      <c r="BF241" s="149">
        <v>0</v>
      </c>
      <c r="BG241" s="149">
        <v>0</v>
      </c>
      <c r="BH241" s="149">
        <v>0</v>
      </c>
      <c r="BI241" s="149">
        <v>0</v>
      </c>
      <c r="BJ241" s="149">
        <v>0</v>
      </c>
      <c r="BK241" s="149">
        <v>0</v>
      </c>
      <c r="BL241" s="149">
        <v>0</v>
      </c>
      <c r="BM241" s="149">
        <v>0</v>
      </c>
      <c r="BN241" s="149">
        <v>0</v>
      </c>
      <c r="BO241" s="149">
        <v>0</v>
      </c>
      <c r="BP241" s="152" t="s">
        <v>140</v>
      </c>
      <c r="BQ241" s="152"/>
      <c r="BR241" s="154" t="s">
        <v>148</v>
      </c>
      <c r="BS241" s="136">
        <v>13</v>
      </c>
      <c r="BT241" s="267"/>
      <c r="BU241" s="267">
        <f>M241</f>
        <v>0</v>
      </c>
      <c r="BV241" s="267"/>
      <c r="BW241" s="267"/>
      <c r="BX241" s="267"/>
      <c r="BY241" s="267"/>
      <c r="BZ241" s="267"/>
      <c r="CA241" s="267"/>
      <c r="CB241" s="267"/>
      <c r="CC241" s="267"/>
      <c r="CD241" s="267"/>
      <c r="CE241" s="267"/>
      <c r="CF241" s="267"/>
      <c r="CG241" s="267"/>
      <c r="CH241" s="267"/>
      <c r="CI241" s="267"/>
      <c r="CJ241" s="267"/>
      <c r="CK241" s="267"/>
      <c r="CL241" s="267"/>
      <c r="CM241" s="267"/>
      <c r="CN241" s="101">
        <f t="shared" si="15"/>
        <v>0</v>
      </c>
      <c r="CO241" s="101">
        <f t="shared" si="16"/>
        <v>0</v>
      </c>
    </row>
    <row r="242" spans="1:93" ht="13.9" customHeight="1" x14ac:dyDescent="0.2">
      <c r="A242" s="149">
        <v>4689</v>
      </c>
      <c r="B242" s="150" t="s">
        <v>854</v>
      </c>
      <c r="C242" s="150" t="s">
        <v>956</v>
      </c>
      <c r="D242" s="150" t="s">
        <v>957</v>
      </c>
      <c r="E242" s="150" t="s">
        <v>960</v>
      </c>
      <c r="F242" s="149">
        <v>527473</v>
      </c>
      <c r="G242" s="149">
        <v>175071</v>
      </c>
      <c r="H242" s="150" t="s">
        <v>164</v>
      </c>
      <c r="I242" s="151">
        <v>44652</v>
      </c>
      <c r="J242" s="151"/>
      <c r="K242" s="149">
        <v>0</v>
      </c>
      <c r="L242" s="149">
        <v>1</v>
      </c>
      <c r="M242" s="149">
        <v>1</v>
      </c>
      <c r="N242" s="149">
        <v>2</v>
      </c>
      <c r="O242" s="149">
        <v>1</v>
      </c>
      <c r="P242" s="152"/>
      <c r="Q242" s="150" t="s">
        <v>959</v>
      </c>
      <c r="R242" s="150" t="s">
        <v>349</v>
      </c>
      <c r="S242" s="151">
        <v>43543</v>
      </c>
      <c r="T242" s="151">
        <v>43599</v>
      </c>
      <c r="U242" s="152"/>
      <c r="V242" s="150" t="s">
        <v>330</v>
      </c>
      <c r="W242" s="151"/>
      <c r="X242" s="150" t="s">
        <v>331</v>
      </c>
      <c r="Y242" s="150" t="s">
        <v>398</v>
      </c>
      <c r="Z242" s="150" t="s">
        <v>334</v>
      </c>
      <c r="AA242" s="150" t="s">
        <v>413</v>
      </c>
      <c r="AB242" s="153">
        <v>4.0000000000000001E-3</v>
      </c>
      <c r="AC242" s="151">
        <v>44652</v>
      </c>
      <c r="AD242" s="150"/>
      <c r="AE242" s="151"/>
      <c r="AF242" s="150" t="s">
        <v>70</v>
      </c>
      <c r="AG242" s="152" t="s">
        <v>352</v>
      </c>
      <c r="AH242" s="150" t="s">
        <v>326</v>
      </c>
      <c r="AI242" s="99"/>
      <c r="AJ242" s="149"/>
      <c r="AK242" s="99"/>
      <c r="AL242" s="149"/>
      <c r="AM242" s="99"/>
      <c r="AN242" s="149">
        <v>0</v>
      </c>
      <c r="AO242" s="149">
        <v>0</v>
      </c>
      <c r="AP242" s="149">
        <v>0</v>
      </c>
      <c r="AQ242" s="149">
        <v>1</v>
      </c>
      <c r="AR242" s="149">
        <v>0</v>
      </c>
      <c r="AS242" s="149">
        <v>0</v>
      </c>
      <c r="AT242" s="149">
        <v>0</v>
      </c>
      <c r="AU242" s="149">
        <v>0</v>
      </c>
      <c r="AV242" s="149">
        <v>0</v>
      </c>
      <c r="AW242" s="149">
        <v>0</v>
      </c>
      <c r="AX242" s="149">
        <v>1</v>
      </c>
      <c r="AY242" s="149">
        <v>0</v>
      </c>
      <c r="AZ242" s="149">
        <v>0</v>
      </c>
      <c r="BA242" s="149">
        <v>0</v>
      </c>
      <c r="BB242" s="149">
        <v>0</v>
      </c>
      <c r="BC242" s="149">
        <v>0</v>
      </c>
      <c r="BD242" s="149">
        <v>0</v>
      </c>
      <c r="BE242" s="149">
        <v>0</v>
      </c>
      <c r="BF242" s="149">
        <v>0</v>
      </c>
      <c r="BG242" s="149">
        <v>0</v>
      </c>
      <c r="BH242" s="149">
        <v>0</v>
      </c>
      <c r="BI242" s="149">
        <v>0</v>
      </c>
      <c r="BJ242" s="149">
        <v>0</v>
      </c>
      <c r="BK242" s="149">
        <v>0</v>
      </c>
      <c r="BL242" s="149">
        <v>0</v>
      </c>
      <c r="BM242" s="149">
        <v>0</v>
      </c>
      <c r="BN242" s="149">
        <v>0</v>
      </c>
      <c r="BO242" s="149">
        <v>0</v>
      </c>
      <c r="BP242" s="152" t="s">
        <v>140</v>
      </c>
      <c r="BQ242" s="152"/>
      <c r="BR242" s="154" t="s">
        <v>148</v>
      </c>
      <c r="BS242" s="136">
        <v>13</v>
      </c>
      <c r="BT242" s="267"/>
      <c r="BU242" s="267">
        <f>M242</f>
        <v>1</v>
      </c>
      <c r="BV242" s="267"/>
      <c r="BW242" s="267"/>
      <c r="BX242" s="267"/>
      <c r="BY242" s="267"/>
      <c r="BZ242" s="267"/>
      <c r="CA242" s="267"/>
      <c r="CB242" s="267"/>
      <c r="CC242" s="267"/>
      <c r="CD242" s="267"/>
      <c r="CE242" s="267"/>
      <c r="CF242" s="267"/>
      <c r="CG242" s="267"/>
      <c r="CH242" s="267"/>
      <c r="CI242" s="267"/>
      <c r="CJ242" s="267"/>
      <c r="CK242" s="267"/>
      <c r="CL242" s="267"/>
      <c r="CM242" s="267"/>
      <c r="CN242" s="101">
        <f t="shared" ref="CN242:CN273" si="18">SUM(BU242:BY242)</f>
        <v>1</v>
      </c>
      <c r="CO242" s="101">
        <f t="shared" ref="CO242:CO273" si="19">SUM(BU242:CD242)</f>
        <v>1</v>
      </c>
    </row>
    <row r="243" spans="1:93" ht="13.9" customHeight="1" x14ac:dyDescent="0.2">
      <c r="A243" s="149">
        <v>6302</v>
      </c>
      <c r="B243" s="150" t="s">
        <v>854</v>
      </c>
      <c r="C243" s="150" t="s">
        <v>431</v>
      </c>
      <c r="D243" s="150" t="s">
        <v>432</v>
      </c>
      <c r="E243" s="150" t="s">
        <v>961</v>
      </c>
      <c r="F243" s="149">
        <v>525938</v>
      </c>
      <c r="G243" s="149">
        <v>173047</v>
      </c>
      <c r="H243" s="150" t="s">
        <v>175</v>
      </c>
      <c r="I243" s="151">
        <v>44389</v>
      </c>
      <c r="J243" s="151"/>
      <c r="K243" s="149">
        <v>0</v>
      </c>
      <c r="L243" s="149">
        <v>4</v>
      </c>
      <c r="M243" s="149">
        <v>4</v>
      </c>
      <c r="N243" s="149">
        <v>17</v>
      </c>
      <c r="O243" s="149">
        <v>17</v>
      </c>
      <c r="P243" s="152" t="s">
        <v>327</v>
      </c>
      <c r="Q243" s="150" t="s">
        <v>434</v>
      </c>
      <c r="R243" s="150" t="s">
        <v>435</v>
      </c>
      <c r="S243" s="151">
        <v>43553</v>
      </c>
      <c r="T243" s="151">
        <v>43672</v>
      </c>
      <c r="U243" s="152"/>
      <c r="V243" s="150" t="s">
        <v>436</v>
      </c>
      <c r="W243" s="151">
        <v>44134</v>
      </c>
      <c r="X243" s="150" t="s">
        <v>331</v>
      </c>
      <c r="Y243" s="150" t="s">
        <v>343</v>
      </c>
      <c r="Z243" s="150" t="s">
        <v>343</v>
      </c>
      <c r="AA243" s="150" t="s">
        <v>334</v>
      </c>
      <c r="AB243" s="153">
        <v>1.2999999999999999E-2</v>
      </c>
      <c r="AC243" s="151">
        <v>44389</v>
      </c>
      <c r="AD243" s="150"/>
      <c r="AE243" s="151"/>
      <c r="AF243" s="150" t="s">
        <v>48</v>
      </c>
      <c r="AG243" s="152" t="s">
        <v>344</v>
      </c>
      <c r="AH243" s="150" t="s">
        <v>326</v>
      </c>
      <c r="AI243" s="99"/>
      <c r="AJ243" s="149"/>
      <c r="AK243" s="138">
        <v>1</v>
      </c>
      <c r="AL243" s="102"/>
      <c r="AM243" s="99"/>
      <c r="AN243" s="149">
        <v>0</v>
      </c>
      <c r="AO243" s="149">
        <v>1</v>
      </c>
      <c r="AP243" s="149">
        <v>1</v>
      </c>
      <c r="AQ243" s="149">
        <v>2</v>
      </c>
      <c r="AR243" s="149">
        <v>0</v>
      </c>
      <c r="AS243" s="149">
        <v>0</v>
      </c>
      <c r="AT243" s="149">
        <v>0</v>
      </c>
      <c r="AU243" s="149">
        <v>0</v>
      </c>
      <c r="AV243" s="149">
        <v>1</v>
      </c>
      <c r="AW243" s="149">
        <v>1</v>
      </c>
      <c r="AX243" s="149">
        <v>2</v>
      </c>
      <c r="AY243" s="149">
        <v>0</v>
      </c>
      <c r="AZ243" s="149">
        <v>0</v>
      </c>
      <c r="BA243" s="149">
        <v>0</v>
      </c>
      <c r="BB243" s="149">
        <v>0</v>
      </c>
      <c r="BC243" s="149">
        <v>0</v>
      </c>
      <c r="BD243" s="149">
        <v>0</v>
      </c>
      <c r="BE243" s="149">
        <v>0</v>
      </c>
      <c r="BF243" s="149">
        <v>0</v>
      </c>
      <c r="BG243" s="149">
        <v>0</v>
      </c>
      <c r="BH243" s="149">
        <v>0</v>
      </c>
      <c r="BI243" s="149">
        <v>0</v>
      </c>
      <c r="BJ243" s="149">
        <v>0</v>
      </c>
      <c r="BK243" s="149">
        <v>0</v>
      </c>
      <c r="BL243" s="149">
        <v>0</v>
      </c>
      <c r="BM243" s="149">
        <v>0</v>
      </c>
      <c r="BN243" s="149">
        <v>0</v>
      </c>
      <c r="BO243" s="149">
        <v>0</v>
      </c>
      <c r="BP243" s="152"/>
      <c r="BQ243" s="152"/>
      <c r="BR243" s="154" t="s">
        <v>151</v>
      </c>
      <c r="BS243" s="136">
        <v>3</v>
      </c>
      <c r="BT243" s="267"/>
      <c r="BU243" s="267">
        <f>M243</f>
        <v>4</v>
      </c>
      <c r="BV243" s="267"/>
      <c r="BW243" s="267"/>
      <c r="BX243" s="267"/>
      <c r="BY243" s="267"/>
      <c r="BZ243" s="267"/>
      <c r="CA243" s="267"/>
      <c r="CB243" s="267"/>
      <c r="CC243" s="267"/>
      <c r="CD243" s="267"/>
      <c r="CE243" s="267"/>
      <c r="CF243" s="267"/>
      <c r="CG243" s="267"/>
      <c r="CH243" s="267"/>
      <c r="CI243" s="267"/>
      <c r="CJ243" s="267"/>
      <c r="CK243" s="267"/>
      <c r="CL243" s="267"/>
      <c r="CM243" s="267"/>
      <c r="CN243" s="101">
        <f t="shared" si="18"/>
        <v>4</v>
      </c>
      <c r="CO243" s="101">
        <f t="shared" si="19"/>
        <v>4</v>
      </c>
    </row>
    <row r="244" spans="1:93" ht="13.9" customHeight="1" x14ac:dyDescent="0.2">
      <c r="A244" s="149">
        <v>1962</v>
      </c>
      <c r="B244" s="150" t="s">
        <v>854</v>
      </c>
      <c r="C244" s="150" t="s">
        <v>962</v>
      </c>
      <c r="D244" s="150" t="s">
        <v>963</v>
      </c>
      <c r="E244" s="150" t="s">
        <v>326</v>
      </c>
      <c r="F244" s="149">
        <v>527618</v>
      </c>
      <c r="G244" s="149">
        <v>174574</v>
      </c>
      <c r="H244" s="150" t="s">
        <v>165</v>
      </c>
      <c r="I244" s="151">
        <v>44774</v>
      </c>
      <c r="J244" s="151"/>
      <c r="K244" s="149">
        <v>0</v>
      </c>
      <c r="L244" s="149">
        <v>1</v>
      </c>
      <c r="M244" s="149">
        <v>1</v>
      </c>
      <c r="N244" s="149">
        <v>1</v>
      </c>
      <c r="O244" s="149">
        <v>1</v>
      </c>
      <c r="P244" s="152"/>
      <c r="Q244" s="150" t="s">
        <v>964</v>
      </c>
      <c r="R244" s="150" t="s">
        <v>349</v>
      </c>
      <c r="S244" s="151">
        <v>43601</v>
      </c>
      <c r="T244" s="151">
        <v>43731</v>
      </c>
      <c r="U244" s="152"/>
      <c r="V244" s="150" t="s">
        <v>330</v>
      </c>
      <c r="W244" s="151"/>
      <c r="X244" s="150" t="s">
        <v>331</v>
      </c>
      <c r="Y244" s="150" t="s">
        <v>343</v>
      </c>
      <c r="Z244" s="150" t="s">
        <v>334</v>
      </c>
      <c r="AA244" s="150" t="s">
        <v>29</v>
      </c>
      <c r="AB244" s="153">
        <v>8.0000000000000002E-3</v>
      </c>
      <c r="AC244" s="151">
        <v>44774</v>
      </c>
      <c r="AD244" s="150"/>
      <c r="AE244" s="151"/>
      <c r="AF244" s="150" t="s">
        <v>70</v>
      </c>
      <c r="AG244" s="152" t="s">
        <v>352</v>
      </c>
      <c r="AH244" s="150" t="s">
        <v>326</v>
      </c>
      <c r="AI244" s="99"/>
      <c r="AJ244" s="149"/>
      <c r="AK244" s="99"/>
      <c r="AL244" s="149"/>
      <c r="AM244" s="99"/>
      <c r="AN244" s="149">
        <v>0</v>
      </c>
      <c r="AO244" s="149">
        <v>1</v>
      </c>
      <c r="AP244" s="149">
        <v>0</v>
      </c>
      <c r="AQ244" s="149">
        <v>0</v>
      </c>
      <c r="AR244" s="149">
        <v>0</v>
      </c>
      <c r="AS244" s="149">
        <v>0</v>
      </c>
      <c r="AT244" s="149">
        <v>0</v>
      </c>
      <c r="AU244" s="149">
        <v>0</v>
      </c>
      <c r="AV244" s="149">
        <v>0</v>
      </c>
      <c r="AW244" s="149">
        <v>0</v>
      </c>
      <c r="AX244" s="149">
        <v>0</v>
      </c>
      <c r="AY244" s="149">
        <v>0</v>
      </c>
      <c r="AZ244" s="149">
        <v>0</v>
      </c>
      <c r="BA244" s="149">
        <v>0</v>
      </c>
      <c r="BB244" s="149">
        <v>0</v>
      </c>
      <c r="BC244" s="149">
        <v>1</v>
      </c>
      <c r="BD244" s="149">
        <v>0</v>
      </c>
      <c r="BE244" s="149">
        <v>0</v>
      </c>
      <c r="BF244" s="149">
        <v>0</v>
      </c>
      <c r="BG244" s="149">
        <v>0</v>
      </c>
      <c r="BH244" s="149">
        <v>0</v>
      </c>
      <c r="BI244" s="149">
        <v>0</v>
      </c>
      <c r="BJ244" s="149">
        <v>0</v>
      </c>
      <c r="BK244" s="149">
        <v>0</v>
      </c>
      <c r="BL244" s="149">
        <v>0</v>
      </c>
      <c r="BM244" s="149">
        <v>0</v>
      </c>
      <c r="BN244" s="149">
        <v>0</v>
      </c>
      <c r="BO244" s="149">
        <v>0</v>
      </c>
      <c r="BP244" s="152"/>
      <c r="BQ244" s="152"/>
      <c r="BR244" s="154" t="s">
        <v>359</v>
      </c>
      <c r="BS244" s="136">
        <v>3</v>
      </c>
      <c r="BT244" s="267"/>
      <c r="BU244" s="267">
        <f>M244</f>
        <v>1</v>
      </c>
      <c r="BV244" s="267"/>
      <c r="BW244" s="267"/>
      <c r="BX244" s="267"/>
      <c r="BY244" s="267"/>
      <c r="BZ244" s="267"/>
      <c r="CA244" s="267"/>
      <c r="CB244" s="267"/>
      <c r="CC244" s="267"/>
      <c r="CD244" s="267"/>
      <c r="CE244" s="267"/>
      <c r="CF244" s="267"/>
      <c r="CG244" s="267"/>
      <c r="CH244" s="267"/>
      <c r="CI244" s="267"/>
      <c r="CJ244" s="267"/>
      <c r="CK244" s="267"/>
      <c r="CL244" s="267"/>
      <c r="CM244" s="267"/>
      <c r="CN244" s="101">
        <f t="shared" si="18"/>
        <v>1</v>
      </c>
      <c r="CO244" s="101">
        <f t="shared" si="19"/>
        <v>1</v>
      </c>
    </row>
    <row r="245" spans="1:93" ht="13.9" customHeight="1" x14ac:dyDescent="0.2">
      <c r="A245" s="149">
        <v>3521</v>
      </c>
      <c r="B245" s="150" t="s">
        <v>854</v>
      </c>
      <c r="C245" s="150" t="s">
        <v>965</v>
      </c>
      <c r="D245" s="150" t="s">
        <v>378</v>
      </c>
      <c r="E245" s="150" t="s">
        <v>966</v>
      </c>
      <c r="F245" s="149">
        <v>527156</v>
      </c>
      <c r="G245" s="149">
        <v>175243</v>
      </c>
      <c r="H245" s="150" t="s">
        <v>164</v>
      </c>
      <c r="I245" s="151">
        <v>44868</v>
      </c>
      <c r="J245" s="151"/>
      <c r="K245" s="149">
        <v>0</v>
      </c>
      <c r="L245" s="149">
        <v>270</v>
      </c>
      <c r="M245" s="149">
        <v>270</v>
      </c>
      <c r="N245" s="149">
        <v>315</v>
      </c>
      <c r="O245" s="149">
        <v>307</v>
      </c>
      <c r="P245" s="152" t="s">
        <v>327</v>
      </c>
      <c r="Q245" s="150" t="s">
        <v>967</v>
      </c>
      <c r="R245" s="150" t="s">
        <v>381</v>
      </c>
      <c r="S245" s="151">
        <v>44547</v>
      </c>
      <c r="T245" s="151">
        <v>44868</v>
      </c>
      <c r="U245" s="152"/>
      <c r="V245" s="150" t="s">
        <v>330</v>
      </c>
      <c r="W245" s="151"/>
      <c r="X245" s="150" t="s">
        <v>331</v>
      </c>
      <c r="Y245" s="150" t="s">
        <v>398</v>
      </c>
      <c r="Z245" s="150" t="s">
        <v>343</v>
      </c>
      <c r="AA245" s="150" t="s">
        <v>334</v>
      </c>
      <c r="AB245" s="153">
        <v>1.0840000000000001</v>
      </c>
      <c r="AC245" s="151">
        <v>45382</v>
      </c>
      <c r="AD245" s="152" t="s">
        <v>327</v>
      </c>
      <c r="AE245" s="151"/>
      <c r="AF245" s="150" t="s">
        <v>70</v>
      </c>
      <c r="AG245" s="152" t="s">
        <v>352</v>
      </c>
      <c r="AH245" s="150" t="s">
        <v>382</v>
      </c>
      <c r="AI245" s="99"/>
      <c r="AJ245" s="149">
        <v>270</v>
      </c>
      <c r="AK245" s="99"/>
      <c r="AL245" s="149"/>
      <c r="AM245" s="99"/>
      <c r="AN245" s="149">
        <v>11</v>
      </c>
      <c r="AO245" s="149">
        <v>133</v>
      </c>
      <c r="AP245" s="149">
        <v>123</v>
      </c>
      <c r="AQ245" s="149">
        <v>3</v>
      </c>
      <c r="AR245" s="149">
        <v>0</v>
      </c>
      <c r="AS245" s="149">
        <v>0</v>
      </c>
      <c r="AT245" s="149">
        <v>0</v>
      </c>
      <c r="AU245" s="149">
        <v>11</v>
      </c>
      <c r="AV245" s="149">
        <v>133</v>
      </c>
      <c r="AW245" s="149">
        <v>123</v>
      </c>
      <c r="AX245" s="149">
        <v>3</v>
      </c>
      <c r="AY245" s="149">
        <v>0</v>
      </c>
      <c r="AZ245" s="149">
        <v>0</v>
      </c>
      <c r="BA245" s="149">
        <v>0</v>
      </c>
      <c r="BB245" s="149">
        <v>0</v>
      </c>
      <c r="BC245" s="149">
        <v>0</v>
      </c>
      <c r="BD245" s="149">
        <v>0</v>
      </c>
      <c r="BE245" s="149">
        <v>0</v>
      </c>
      <c r="BF245" s="149">
        <v>0</v>
      </c>
      <c r="BG245" s="149">
        <v>0</v>
      </c>
      <c r="BH245" s="149">
        <v>0</v>
      </c>
      <c r="BI245" s="149">
        <v>0</v>
      </c>
      <c r="BJ245" s="149">
        <v>0</v>
      </c>
      <c r="BK245" s="149">
        <v>0</v>
      </c>
      <c r="BL245" s="149">
        <v>0</v>
      </c>
      <c r="BM245" s="149">
        <v>0</v>
      </c>
      <c r="BN245" s="149">
        <v>0</v>
      </c>
      <c r="BO245" s="149">
        <v>0</v>
      </c>
      <c r="BP245" s="152"/>
      <c r="BQ245" s="152"/>
      <c r="BR245" s="154" t="s">
        <v>148</v>
      </c>
      <c r="BS245" s="136">
        <v>12</v>
      </c>
      <c r="BT245" s="267"/>
      <c r="BU245" s="267"/>
      <c r="BV245" s="267"/>
      <c r="BW245" s="267">
        <f>M245</f>
        <v>270</v>
      </c>
      <c r="BX245" s="267"/>
      <c r="BY245" s="267"/>
      <c r="BZ245" s="267"/>
      <c r="CA245" s="267"/>
      <c r="CB245" s="267"/>
      <c r="CC245" s="267"/>
      <c r="CD245" s="267"/>
      <c r="CE245" s="267"/>
      <c r="CF245" s="267"/>
      <c r="CG245" s="267"/>
      <c r="CH245" s="267"/>
      <c r="CI245" s="267"/>
      <c r="CJ245" s="267"/>
      <c r="CK245" s="267"/>
      <c r="CL245" s="267"/>
      <c r="CM245" s="267"/>
      <c r="CN245" s="101">
        <f t="shared" si="18"/>
        <v>270</v>
      </c>
      <c r="CO245" s="101">
        <f t="shared" si="19"/>
        <v>270</v>
      </c>
    </row>
    <row r="246" spans="1:93" ht="13.9" customHeight="1" x14ac:dyDescent="0.2">
      <c r="A246" s="149">
        <v>3521</v>
      </c>
      <c r="B246" s="150" t="s">
        <v>854</v>
      </c>
      <c r="C246" s="150" t="s">
        <v>965</v>
      </c>
      <c r="D246" s="150" t="s">
        <v>378</v>
      </c>
      <c r="E246" s="150" t="s">
        <v>968</v>
      </c>
      <c r="F246" s="149">
        <v>527156</v>
      </c>
      <c r="G246" s="149">
        <v>175243</v>
      </c>
      <c r="H246" s="150" t="s">
        <v>164</v>
      </c>
      <c r="I246" s="151">
        <v>44868</v>
      </c>
      <c r="J246" s="151"/>
      <c r="K246" s="149">
        <v>0</v>
      </c>
      <c r="L246" s="149">
        <v>37</v>
      </c>
      <c r="M246" s="149">
        <v>37</v>
      </c>
      <c r="N246" s="149">
        <v>315</v>
      </c>
      <c r="O246" s="149">
        <v>307</v>
      </c>
      <c r="P246" s="152" t="s">
        <v>327</v>
      </c>
      <c r="Q246" s="150" t="s">
        <v>967</v>
      </c>
      <c r="R246" s="150" t="s">
        <v>381</v>
      </c>
      <c r="S246" s="151">
        <v>44547</v>
      </c>
      <c r="T246" s="151">
        <v>44868</v>
      </c>
      <c r="U246" s="152"/>
      <c r="V246" s="150" t="s">
        <v>330</v>
      </c>
      <c r="W246" s="151"/>
      <c r="X246" s="150" t="s">
        <v>331</v>
      </c>
      <c r="Y246" s="150" t="s">
        <v>398</v>
      </c>
      <c r="Z246" s="150" t="s">
        <v>343</v>
      </c>
      <c r="AA246" s="150" t="s">
        <v>334</v>
      </c>
      <c r="AB246" s="153">
        <v>0.155</v>
      </c>
      <c r="AC246" s="151">
        <v>45382</v>
      </c>
      <c r="AD246" s="152" t="s">
        <v>327</v>
      </c>
      <c r="AE246" s="151"/>
      <c r="AF246" s="150" t="s">
        <v>48</v>
      </c>
      <c r="AG246" s="152" t="s">
        <v>335</v>
      </c>
      <c r="AH246" s="150" t="s">
        <v>382</v>
      </c>
      <c r="AI246" s="99"/>
      <c r="AJ246" s="149">
        <v>37</v>
      </c>
      <c r="AK246" s="99"/>
      <c r="AL246" s="149"/>
      <c r="AM246" s="99"/>
      <c r="AN246" s="149">
        <v>0</v>
      </c>
      <c r="AO246" s="149">
        <v>18</v>
      </c>
      <c r="AP246" s="149">
        <v>16</v>
      </c>
      <c r="AQ246" s="149">
        <v>3</v>
      </c>
      <c r="AR246" s="149">
        <v>0</v>
      </c>
      <c r="AS246" s="149">
        <v>0</v>
      </c>
      <c r="AT246" s="149">
        <v>0</v>
      </c>
      <c r="AU246" s="149">
        <v>0</v>
      </c>
      <c r="AV246" s="149">
        <v>18</v>
      </c>
      <c r="AW246" s="149">
        <v>16</v>
      </c>
      <c r="AX246" s="149">
        <v>3</v>
      </c>
      <c r="AY246" s="149">
        <v>0</v>
      </c>
      <c r="AZ246" s="149">
        <v>0</v>
      </c>
      <c r="BA246" s="149">
        <v>0</v>
      </c>
      <c r="BB246" s="149">
        <v>0</v>
      </c>
      <c r="BC246" s="149">
        <v>0</v>
      </c>
      <c r="BD246" s="149">
        <v>0</v>
      </c>
      <c r="BE246" s="149">
        <v>0</v>
      </c>
      <c r="BF246" s="149">
        <v>0</v>
      </c>
      <c r="BG246" s="149">
        <v>0</v>
      </c>
      <c r="BH246" s="149">
        <v>0</v>
      </c>
      <c r="BI246" s="149">
        <v>0</v>
      </c>
      <c r="BJ246" s="149">
        <v>0</v>
      </c>
      <c r="BK246" s="149">
        <v>0</v>
      </c>
      <c r="BL246" s="149">
        <v>0</v>
      </c>
      <c r="BM246" s="149">
        <v>0</v>
      </c>
      <c r="BN246" s="149">
        <v>0</v>
      </c>
      <c r="BO246" s="149">
        <v>0</v>
      </c>
      <c r="BP246" s="152"/>
      <c r="BQ246" s="152"/>
      <c r="BR246" s="154" t="s">
        <v>148</v>
      </c>
      <c r="BS246" s="136">
        <v>12</v>
      </c>
      <c r="BT246" s="267"/>
      <c r="BU246" s="267"/>
      <c r="BV246" s="267"/>
      <c r="BW246" s="267">
        <f>M246</f>
        <v>37</v>
      </c>
      <c r="BX246" s="267"/>
      <c r="BY246" s="267"/>
      <c r="BZ246" s="267"/>
      <c r="CA246" s="267"/>
      <c r="CB246" s="267"/>
      <c r="CC246" s="267"/>
      <c r="CD246" s="267"/>
      <c r="CE246" s="267"/>
      <c r="CF246" s="267"/>
      <c r="CG246" s="267"/>
      <c r="CH246" s="267"/>
      <c r="CI246" s="267"/>
      <c r="CJ246" s="267"/>
      <c r="CK246" s="267"/>
      <c r="CL246" s="267"/>
      <c r="CM246" s="267"/>
      <c r="CN246" s="101">
        <f t="shared" si="18"/>
        <v>37</v>
      </c>
      <c r="CO246" s="101">
        <f t="shared" si="19"/>
        <v>37</v>
      </c>
    </row>
    <row r="247" spans="1:93" ht="13.9" customHeight="1" x14ac:dyDescent="0.2">
      <c r="A247" s="149">
        <v>3943</v>
      </c>
      <c r="B247" s="150" t="s">
        <v>854</v>
      </c>
      <c r="C247" s="150" t="s">
        <v>969</v>
      </c>
      <c r="D247" s="150" t="s">
        <v>385</v>
      </c>
      <c r="E247" s="150" t="s">
        <v>970</v>
      </c>
      <c r="F247" s="149">
        <v>529575</v>
      </c>
      <c r="G247" s="149">
        <v>177401</v>
      </c>
      <c r="H247" s="150" t="s">
        <v>149</v>
      </c>
      <c r="I247" s="151">
        <v>44838</v>
      </c>
      <c r="J247" s="151"/>
      <c r="K247" s="149">
        <v>0</v>
      </c>
      <c r="L247" s="149">
        <v>197</v>
      </c>
      <c r="M247" s="149">
        <v>197</v>
      </c>
      <c r="N247" s="149">
        <v>383</v>
      </c>
      <c r="O247" s="149">
        <v>383</v>
      </c>
      <c r="P247" s="152" t="s">
        <v>327</v>
      </c>
      <c r="Q247" s="150" t="s">
        <v>971</v>
      </c>
      <c r="R247" s="150" t="s">
        <v>388</v>
      </c>
      <c r="S247" s="151">
        <v>44365</v>
      </c>
      <c r="T247" s="151">
        <v>44410</v>
      </c>
      <c r="U247" s="152"/>
      <c r="V247" s="150" t="s">
        <v>330</v>
      </c>
      <c r="W247" s="151"/>
      <c r="X247" s="150" t="s">
        <v>331</v>
      </c>
      <c r="Y247" s="150" t="s">
        <v>398</v>
      </c>
      <c r="Z247" s="150" t="s">
        <v>343</v>
      </c>
      <c r="AA247" s="150" t="s">
        <v>334</v>
      </c>
      <c r="AB247" s="153">
        <v>2.57</v>
      </c>
      <c r="AC247" s="151">
        <v>44838</v>
      </c>
      <c r="AD247" s="150"/>
      <c r="AE247" s="151"/>
      <c r="AF247" s="150" t="s">
        <v>70</v>
      </c>
      <c r="AG247" s="152" t="s">
        <v>352</v>
      </c>
      <c r="AH247" s="150" t="s">
        <v>390</v>
      </c>
      <c r="AI247" s="99"/>
      <c r="AJ247" s="149"/>
      <c r="AK247" s="138">
        <v>177</v>
      </c>
      <c r="AL247" s="149"/>
      <c r="AM247" s="138">
        <v>20</v>
      </c>
      <c r="AN247" s="149">
        <v>9</v>
      </c>
      <c r="AO247" s="149">
        <v>43</v>
      </c>
      <c r="AP247" s="149">
        <v>110</v>
      </c>
      <c r="AQ247" s="149">
        <v>35</v>
      </c>
      <c r="AR247" s="149">
        <v>0</v>
      </c>
      <c r="AS247" s="149">
        <v>0</v>
      </c>
      <c r="AT247" s="149">
        <v>0</v>
      </c>
      <c r="AU247" s="149">
        <v>9</v>
      </c>
      <c r="AV247" s="149">
        <v>43</v>
      </c>
      <c r="AW247" s="149">
        <v>110</v>
      </c>
      <c r="AX247" s="149">
        <v>35</v>
      </c>
      <c r="AY247" s="149">
        <v>0</v>
      </c>
      <c r="AZ247" s="149">
        <v>0</v>
      </c>
      <c r="BA247" s="149">
        <v>0</v>
      </c>
      <c r="BB247" s="149">
        <v>0</v>
      </c>
      <c r="BC247" s="149">
        <v>0</v>
      </c>
      <c r="BD247" s="149">
        <v>0</v>
      </c>
      <c r="BE247" s="149">
        <v>0</v>
      </c>
      <c r="BF247" s="149">
        <v>0</v>
      </c>
      <c r="BG247" s="149">
        <v>0</v>
      </c>
      <c r="BH247" s="149">
        <v>0</v>
      </c>
      <c r="BI247" s="149">
        <v>0</v>
      </c>
      <c r="BJ247" s="149">
        <v>0</v>
      </c>
      <c r="BK247" s="149">
        <v>0</v>
      </c>
      <c r="BL247" s="149">
        <v>0</v>
      </c>
      <c r="BM247" s="149">
        <v>0</v>
      </c>
      <c r="BN247" s="149">
        <v>0</v>
      </c>
      <c r="BO247" s="149">
        <v>0</v>
      </c>
      <c r="BP247" s="152"/>
      <c r="BQ247" s="152" t="s">
        <v>327</v>
      </c>
      <c r="BR247" s="154" t="s">
        <v>149</v>
      </c>
      <c r="BS247" s="136">
        <v>12</v>
      </c>
      <c r="BT247" s="267"/>
      <c r="BU247" s="267"/>
      <c r="BV247" s="267">
        <f>M247</f>
        <v>197</v>
      </c>
      <c r="BW247" s="267"/>
      <c r="BX247" s="267"/>
      <c r="BY247" s="267"/>
      <c r="BZ247" s="267"/>
      <c r="CA247" s="267"/>
      <c r="CB247" s="267"/>
      <c r="CC247" s="267"/>
      <c r="CD247" s="267"/>
      <c r="CE247" s="267"/>
      <c r="CF247" s="267"/>
      <c r="CG247" s="267"/>
      <c r="CH247" s="267"/>
      <c r="CI247" s="267"/>
      <c r="CJ247" s="267"/>
      <c r="CK247" s="267"/>
      <c r="CL247" s="267"/>
      <c r="CM247" s="267"/>
      <c r="CN247" s="101">
        <f t="shared" si="18"/>
        <v>197</v>
      </c>
      <c r="CO247" s="101">
        <f t="shared" si="19"/>
        <v>197</v>
      </c>
    </row>
    <row r="248" spans="1:93" ht="13.9" customHeight="1" x14ac:dyDescent="0.2">
      <c r="A248" s="149">
        <v>3943</v>
      </c>
      <c r="B248" s="150" t="s">
        <v>854</v>
      </c>
      <c r="C248" s="150" t="s">
        <v>972</v>
      </c>
      <c r="D248" s="150" t="s">
        <v>385</v>
      </c>
      <c r="E248" s="150" t="s">
        <v>973</v>
      </c>
      <c r="F248" s="149">
        <v>529575</v>
      </c>
      <c r="G248" s="149">
        <v>177401</v>
      </c>
      <c r="H248" s="150" t="s">
        <v>149</v>
      </c>
      <c r="I248" s="151">
        <v>44838</v>
      </c>
      <c r="J248" s="151"/>
      <c r="K248" s="149">
        <v>0</v>
      </c>
      <c r="L248" s="149">
        <v>186</v>
      </c>
      <c r="M248" s="149">
        <v>186</v>
      </c>
      <c r="N248" s="149">
        <v>186</v>
      </c>
      <c r="O248" s="149">
        <v>186</v>
      </c>
      <c r="P248" s="152" t="s">
        <v>327</v>
      </c>
      <c r="Q248" s="150" t="s">
        <v>974</v>
      </c>
      <c r="R248" s="150" t="s">
        <v>342</v>
      </c>
      <c r="S248" s="151">
        <v>44880</v>
      </c>
      <c r="T248" s="151">
        <v>44986</v>
      </c>
      <c r="U248" s="152"/>
      <c r="V248" s="150" t="s">
        <v>330</v>
      </c>
      <c r="W248" s="151"/>
      <c r="X248" s="150" t="s">
        <v>331</v>
      </c>
      <c r="Y248" s="150" t="s">
        <v>343</v>
      </c>
      <c r="Z248" s="150" t="s">
        <v>343</v>
      </c>
      <c r="AA248" s="150" t="s">
        <v>334</v>
      </c>
      <c r="AB248" s="153">
        <v>1.9470000000000001</v>
      </c>
      <c r="AC248" s="151">
        <v>44838</v>
      </c>
      <c r="AD248" s="150"/>
      <c r="AE248" s="151"/>
      <c r="AF248" s="150" t="s">
        <v>70</v>
      </c>
      <c r="AG248" s="152" t="s">
        <v>352</v>
      </c>
      <c r="AH248" s="150" t="s">
        <v>390</v>
      </c>
      <c r="AI248" s="99"/>
      <c r="AJ248" s="149"/>
      <c r="AK248" s="149">
        <v>167</v>
      </c>
      <c r="AL248" s="149"/>
      <c r="AM248" s="149">
        <v>19</v>
      </c>
      <c r="AN248" s="149">
        <v>12</v>
      </c>
      <c r="AO248" s="149">
        <v>49</v>
      </c>
      <c r="AP248" s="149">
        <v>94</v>
      </c>
      <c r="AQ248" s="149">
        <v>31</v>
      </c>
      <c r="AR248" s="149">
        <v>0</v>
      </c>
      <c r="AS248" s="149">
        <v>0</v>
      </c>
      <c r="AT248" s="149">
        <v>0</v>
      </c>
      <c r="AU248" s="149">
        <v>12</v>
      </c>
      <c r="AV248" s="149">
        <v>49</v>
      </c>
      <c r="AW248" s="149">
        <v>94</v>
      </c>
      <c r="AX248" s="149">
        <v>31</v>
      </c>
      <c r="AY248" s="149">
        <v>0</v>
      </c>
      <c r="AZ248" s="149">
        <v>0</v>
      </c>
      <c r="BA248" s="149">
        <v>0</v>
      </c>
      <c r="BB248" s="149">
        <v>0</v>
      </c>
      <c r="BC248" s="149">
        <v>0</v>
      </c>
      <c r="BD248" s="149">
        <v>0</v>
      </c>
      <c r="BE248" s="149">
        <v>0</v>
      </c>
      <c r="BF248" s="149">
        <v>0</v>
      </c>
      <c r="BG248" s="149">
        <v>0</v>
      </c>
      <c r="BH248" s="149">
        <v>0</v>
      </c>
      <c r="BI248" s="149">
        <v>0</v>
      </c>
      <c r="BJ248" s="149">
        <v>0</v>
      </c>
      <c r="BK248" s="149">
        <v>0</v>
      </c>
      <c r="BL248" s="149">
        <v>0</v>
      </c>
      <c r="BM248" s="149">
        <v>0</v>
      </c>
      <c r="BN248" s="149">
        <v>0</v>
      </c>
      <c r="BO248" s="149">
        <v>0</v>
      </c>
      <c r="BP248" s="152"/>
      <c r="BQ248" s="152" t="s">
        <v>327</v>
      </c>
      <c r="BR248" s="154" t="s">
        <v>149</v>
      </c>
      <c r="BS248" s="136">
        <v>5</v>
      </c>
      <c r="BT248" s="267"/>
      <c r="BU248" s="267">
        <f>M248/2</f>
        <v>93</v>
      </c>
      <c r="BV248" s="267">
        <f>M248/2</f>
        <v>93</v>
      </c>
      <c r="BW248" s="267"/>
      <c r="BX248" s="267"/>
      <c r="BY248" s="267"/>
      <c r="BZ248" s="267"/>
      <c r="CA248" s="267"/>
      <c r="CB248" s="267"/>
      <c r="CC248" s="267"/>
      <c r="CD248" s="267"/>
      <c r="CE248" s="267"/>
      <c r="CF248" s="267"/>
      <c r="CG248" s="267"/>
      <c r="CH248" s="267"/>
      <c r="CI248" s="267"/>
      <c r="CJ248" s="267"/>
      <c r="CK248" s="267"/>
      <c r="CL248" s="267"/>
      <c r="CM248" s="267"/>
      <c r="CN248" s="101">
        <f t="shared" si="18"/>
        <v>186</v>
      </c>
      <c r="CO248" s="101">
        <f t="shared" si="19"/>
        <v>186</v>
      </c>
    </row>
    <row r="249" spans="1:93" ht="13.9" customHeight="1" x14ac:dyDescent="0.2">
      <c r="A249" s="149">
        <v>3943</v>
      </c>
      <c r="B249" s="150" t="s">
        <v>854</v>
      </c>
      <c r="C249" s="150" t="s">
        <v>975</v>
      </c>
      <c r="D249" s="150" t="s">
        <v>385</v>
      </c>
      <c r="E249" s="150" t="s">
        <v>970</v>
      </c>
      <c r="F249" s="149">
        <v>529575</v>
      </c>
      <c r="G249" s="149">
        <v>177401</v>
      </c>
      <c r="H249" s="150" t="s">
        <v>149</v>
      </c>
      <c r="I249" s="151">
        <v>44838</v>
      </c>
      <c r="J249" s="151"/>
      <c r="K249" s="149">
        <v>0</v>
      </c>
      <c r="L249" s="149">
        <v>46</v>
      </c>
      <c r="M249" s="149">
        <v>46</v>
      </c>
      <c r="N249" s="149">
        <v>459</v>
      </c>
      <c r="O249" s="149">
        <v>459</v>
      </c>
      <c r="P249" s="152" t="s">
        <v>327</v>
      </c>
      <c r="Q249" s="150" t="s">
        <v>976</v>
      </c>
      <c r="R249" s="150" t="s">
        <v>388</v>
      </c>
      <c r="S249" s="151">
        <v>43613</v>
      </c>
      <c r="T249" s="151">
        <v>44338</v>
      </c>
      <c r="U249" s="152"/>
      <c r="V249" s="150" t="s">
        <v>330</v>
      </c>
      <c r="W249" s="151"/>
      <c r="X249" s="150" t="s">
        <v>331</v>
      </c>
      <c r="Y249" s="150" t="s">
        <v>343</v>
      </c>
      <c r="Z249" s="150" t="s">
        <v>343</v>
      </c>
      <c r="AA249" s="150" t="s">
        <v>334</v>
      </c>
      <c r="AB249" s="153">
        <v>0.6</v>
      </c>
      <c r="AC249" s="151">
        <v>44838</v>
      </c>
      <c r="AD249" s="150"/>
      <c r="AE249" s="151"/>
      <c r="AF249" s="150" t="s">
        <v>49</v>
      </c>
      <c r="AG249" s="152" t="s">
        <v>470</v>
      </c>
      <c r="AH249" s="150" t="s">
        <v>390</v>
      </c>
      <c r="AI249" s="99"/>
      <c r="AJ249" s="149"/>
      <c r="AK249" s="149">
        <v>41</v>
      </c>
      <c r="AL249" s="149"/>
      <c r="AM249" s="149">
        <v>5</v>
      </c>
      <c r="AN249" s="149">
        <v>0</v>
      </c>
      <c r="AO249" s="149">
        <v>12</v>
      </c>
      <c r="AP249" s="149">
        <v>18</v>
      </c>
      <c r="AQ249" s="149">
        <v>14</v>
      </c>
      <c r="AR249" s="149">
        <v>2</v>
      </c>
      <c r="AS249" s="149">
        <v>0</v>
      </c>
      <c r="AT249" s="149">
        <v>0</v>
      </c>
      <c r="AU249" s="149">
        <v>0</v>
      </c>
      <c r="AV249" s="149">
        <v>12</v>
      </c>
      <c r="AW249" s="149">
        <v>18</v>
      </c>
      <c r="AX249" s="149">
        <v>14</v>
      </c>
      <c r="AY249" s="149">
        <v>2</v>
      </c>
      <c r="AZ249" s="149">
        <v>0</v>
      </c>
      <c r="BA249" s="149">
        <v>0</v>
      </c>
      <c r="BB249" s="149">
        <v>0</v>
      </c>
      <c r="BC249" s="149">
        <v>0</v>
      </c>
      <c r="BD249" s="149">
        <v>0</v>
      </c>
      <c r="BE249" s="149">
        <v>0</v>
      </c>
      <c r="BF249" s="149">
        <v>0</v>
      </c>
      <c r="BG249" s="149">
        <v>0</v>
      </c>
      <c r="BH249" s="149">
        <v>0</v>
      </c>
      <c r="BI249" s="149">
        <v>0</v>
      </c>
      <c r="BJ249" s="149">
        <v>0</v>
      </c>
      <c r="BK249" s="149">
        <v>0</v>
      </c>
      <c r="BL249" s="149">
        <v>0</v>
      </c>
      <c r="BM249" s="149">
        <v>0</v>
      </c>
      <c r="BN249" s="149">
        <v>0</v>
      </c>
      <c r="BO249" s="149">
        <v>0</v>
      </c>
      <c r="BP249" s="152"/>
      <c r="BQ249" s="152" t="s">
        <v>327</v>
      </c>
      <c r="BR249" s="154" t="s">
        <v>149</v>
      </c>
      <c r="BS249" s="136">
        <v>5</v>
      </c>
      <c r="BT249" s="267"/>
      <c r="BU249" s="267"/>
      <c r="BV249" s="267">
        <f>M249</f>
        <v>46</v>
      </c>
      <c r="BW249" s="267"/>
      <c r="BX249" s="267"/>
      <c r="BY249" s="267"/>
      <c r="BZ249" s="267"/>
      <c r="CA249" s="267"/>
      <c r="CB249" s="267"/>
      <c r="CC249" s="267"/>
      <c r="CD249" s="267"/>
      <c r="CE249" s="267"/>
      <c r="CF249" s="267"/>
      <c r="CG249" s="267"/>
      <c r="CH249" s="267"/>
      <c r="CI249" s="267"/>
      <c r="CJ249" s="267"/>
      <c r="CK249" s="267"/>
      <c r="CL249" s="267"/>
      <c r="CM249" s="267"/>
      <c r="CN249" s="101">
        <f t="shared" si="18"/>
        <v>46</v>
      </c>
      <c r="CO249" s="101">
        <f t="shared" si="19"/>
        <v>46</v>
      </c>
    </row>
    <row r="250" spans="1:93" ht="13.9" customHeight="1" x14ac:dyDescent="0.2">
      <c r="A250" s="149">
        <v>4735</v>
      </c>
      <c r="B250" s="150" t="s">
        <v>854</v>
      </c>
      <c r="C250" s="150" t="s">
        <v>977</v>
      </c>
      <c r="D250" s="150" t="s">
        <v>978</v>
      </c>
      <c r="E250" s="150" t="s">
        <v>326</v>
      </c>
      <c r="F250" s="149">
        <v>529233</v>
      </c>
      <c r="G250" s="149">
        <v>171130</v>
      </c>
      <c r="H250" s="150" t="s">
        <v>163</v>
      </c>
      <c r="I250" s="151">
        <v>43872</v>
      </c>
      <c r="J250" s="151"/>
      <c r="K250" s="149">
        <v>0</v>
      </c>
      <c r="L250" s="149">
        <v>1</v>
      </c>
      <c r="M250" s="149">
        <v>1</v>
      </c>
      <c r="N250" s="149">
        <v>1</v>
      </c>
      <c r="O250" s="149">
        <v>1</v>
      </c>
      <c r="P250" s="152"/>
      <c r="Q250" s="150" t="s">
        <v>979</v>
      </c>
      <c r="R250" s="150" t="s">
        <v>349</v>
      </c>
      <c r="S250" s="151">
        <v>43661</v>
      </c>
      <c r="T250" s="151">
        <v>43696</v>
      </c>
      <c r="U250" s="152"/>
      <c r="V250" s="150" t="s">
        <v>330</v>
      </c>
      <c r="W250" s="151"/>
      <c r="X250" s="150" t="s">
        <v>331</v>
      </c>
      <c r="Y250" s="150" t="s">
        <v>332</v>
      </c>
      <c r="Z250" s="150" t="s">
        <v>334</v>
      </c>
      <c r="AA250" s="150" t="s">
        <v>29</v>
      </c>
      <c r="AB250" s="153">
        <v>2E-3</v>
      </c>
      <c r="AC250" s="151">
        <v>43872</v>
      </c>
      <c r="AD250" s="150"/>
      <c r="AE250" s="151"/>
      <c r="AF250" s="150" t="s">
        <v>70</v>
      </c>
      <c r="AG250" s="152" t="s">
        <v>352</v>
      </c>
      <c r="AH250" s="150" t="s">
        <v>326</v>
      </c>
      <c r="AI250" s="99"/>
      <c r="AJ250" s="149"/>
      <c r="AK250" s="99"/>
      <c r="AL250" s="149"/>
      <c r="AM250" s="99"/>
      <c r="AN250" s="149">
        <v>0</v>
      </c>
      <c r="AO250" s="149">
        <v>1</v>
      </c>
      <c r="AP250" s="149">
        <v>0</v>
      </c>
      <c r="AQ250" s="149">
        <v>0</v>
      </c>
      <c r="AR250" s="149">
        <v>0</v>
      </c>
      <c r="AS250" s="149">
        <v>0</v>
      </c>
      <c r="AT250" s="149">
        <v>0</v>
      </c>
      <c r="AU250" s="149">
        <v>0</v>
      </c>
      <c r="AV250" s="149">
        <v>0</v>
      </c>
      <c r="AW250" s="149">
        <v>0</v>
      </c>
      <c r="AX250" s="149">
        <v>0</v>
      </c>
      <c r="AY250" s="149">
        <v>0</v>
      </c>
      <c r="AZ250" s="149">
        <v>0</v>
      </c>
      <c r="BA250" s="149">
        <v>0</v>
      </c>
      <c r="BB250" s="149">
        <v>0</v>
      </c>
      <c r="BC250" s="149">
        <v>1</v>
      </c>
      <c r="BD250" s="149">
        <v>0</v>
      </c>
      <c r="BE250" s="149">
        <v>0</v>
      </c>
      <c r="BF250" s="149">
        <v>0</v>
      </c>
      <c r="BG250" s="149">
        <v>0</v>
      </c>
      <c r="BH250" s="149">
        <v>0</v>
      </c>
      <c r="BI250" s="149">
        <v>0</v>
      </c>
      <c r="BJ250" s="149">
        <v>0</v>
      </c>
      <c r="BK250" s="149">
        <v>0</v>
      </c>
      <c r="BL250" s="149">
        <v>0</v>
      </c>
      <c r="BM250" s="149">
        <v>0</v>
      </c>
      <c r="BN250" s="149">
        <v>0</v>
      </c>
      <c r="BO250" s="149">
        <v>0</v>
      </c>
      <c r="BP250" s="152"/>
      <c r="BQ250" s="152"/>
      <c r="BR250" s="154" t="s">
        <v>359</v>
      </c>
      <c r="BS250" s="136">
        <v>13</v>
      </c>
      <c r="BT250" s="267"/>
      <c r="BU250" s="267">
        <f>M250</f>
        <v>1</v>
      </c>
      <c r="BV250" s="267"/>
      <c r="BW250" s="267"/>
      <c r="BX250" s="267"/>
      <c r="BY250" s="267"/>
      <c r="BZ250" s="267"/>
      <c r="CA250" s="267"/>
      <c r="CB250" s="267"/>
      <c r="CC250" s="267"/>
      <c r="CD250" s="267"/>
      <c r="CE250" s="267"/>
      <c r="CF250" s="267"/>
      <c r="CG250" s="267"/>
      <c r="CH250" s="267"/>
      <c r="CI250" s="267"/>
      <c r="CJ250" s="267"/>
      <c r="CK250" s="267"/>
      <c r="CL250" s="267"/>
      <c r="CM250" s="267"/>
      <c r="CN250" s="101">
        <f t="shared" si="18"/>
        <v>1</v>
      </c>
      <c r="CO250" s="101">
        <f t="shared" si="19"/>
        <v>1</v>
      </c>
    </row>
    <row r="251" spans="1:93" ht="13.9" customHeight="1" x14ac:dyDescent="0.2">
      <c r="A251" s="149">
        <v>6662</v>
      </c>
      <c r="B251" s="150" t="s">
        <v>854</v>
      </c>
      <c r="C251" s="150" t="s">
        <v>980</v>
      </c>
      <c r="D251" s="150" t="s">
        <v>981</v>
      </c>
      <c r="E251" s="150" t="s">
        <v>326</v>
      </c>
      <c r="F251" s="149">
        <v>525227</v>
      </c>
      <c r="G251" s="149">
        <v>173755</v>
      </c>
      <c r="H251" s="150" t="s">
        <v>169</v>
      </c>
      <c r="I251" s="151">
        <v>45016</v>
      </c>
      <c r="J251" s="151"/>
      <c r="K251" s="149">
        <v>0</v>
      </c>
      <c r="L251" s="149">
        <v>1</v>
      </c>
      <c r="M251" s="149">
        <v>1</v>
      </c>
      <c r="N251" s="149">
        <v>1</v>
      </c>
      <c r="O251" s="149">
        <v>1</v>
      </c>
      <c r="P251" s="152"/>
      <c r="Q251" s="150" t="s">
        <v>982</v>
      </c>
      <c r="R251" s="150" t="s">
        <v>349</v>
      </c>
      <c r="S251" s="151">
        <v>43678</v>
      </c>
      <c r="T251" s="151">
        <v>43717</v>
      </c>
      <c r="U251" s="152"/>
      <c r="V251" s="150" t="s">
        <v>330</v>
      </c>
      <c r="W251" s="151"/>
      <c r="X251" s="150" t="s">
        <v>331</v>
      </c>
      <c r="Y251" s="150" t="s">
        <v>332</v>
      </c>
      <c r="Z251" s="150" t="s">
        <v>334</v>
      </c>
      <c r="AA251" s="150" t="s">
        <v>29</v>
      </c>
      <c r="AB251" s="153">
        <v>5.0000000000000001E-3</v>
      </c>
      <c r="AC251" s="151">
        <v>45016</v>
      </c>
      <c r="AD251" s="150"/>
      <c r="AE251" s="151"/>
      <c r="AF251" s="150" t="s">
        <v>70</v>
      </c>
      <c r="AG251" s="152" t="s">
        <v>352</v>
      </c>
      <c r="AH251" s="150" t="s">
        <v>326</v>
      </c>
      <c r="AI251" s="99"/>
      <c r="AJ251" s="149"/>
      <c r="AK251" s="99"/>
      <c r="AL251" s="149"/>
      <c r="AM251" s="99"/>
      <c r="AN251" s="149">
        <v>0</v>
      </c>
      <c r="AO251" s="149">
        <v>0</v>
      </c>
      <c r="AP251" s="149">
        <v>1</v>
      </c>
      <c r="AQ251" s="149">
        <v>0</v>
      </c>
      <c r="AR251" s="149">
        <v>0</v>
      </c>
      <c r="AS251" s="149">
        <v>0</v>
      </c>
      <c r="AT251" s="149">
        <v>0</v>
      </c>
      <c r="AU251" s="149">
        <v>0</v>
      </c>
      <c r="AV251" s="149">
        <v>0</v>
      </c>
      <c r="AW251" s="149">
        <v>1</v>
      </c>
      <c r="AX251" s="149">
        <v>0</v>
      </c>
      <c r="AY251" s="149">
        <v>0</v>
      </c>
      <c r="AZ251" s="149">
        <v>0</v>
      </c>
      <c r="BA251" s="149">
        <v>0</v>
      </c>
      <c r="BB251" s="149">
        <v>0</v>
      </c>
      <c r="BC251" s="149">
        <v>0</v>
      </c>
      <c r="BD251" s="149">
        <v>0</v>
      </c>
      <c r="BE251" s="149">
        <v>0</v>
      </c>
      <c r="BF251" s="149">
        <v>0</v>
      </c>
      <c r="BG251" s="149">
        <v>0</v>
      </c>
      <c r="BH251" s="149">
        <v>0</v>
      </c>
      <c r="BI251" s="149">
        <v>0</v>
      </c>
      <c r="BJ251" s="149">
        <v>0</v>
      </c>
      <c r="BK251" s="149">
        <v>0</v>
      </c>
      <c r="BL251" s="149">
        <v>0</v>
      </c>
      <c r="BM251" s="149">
        <v>0</v>
      </c>
      <c r="BN251" s="149">
        <v>0</v>
      </c>
      <c r="BO251" s="149">
        <v>0</v>
      </c>
      <c r="BP251" s="152"/>
      <c r="BQ251" s="152"/>
      <c r="BR251" s="154" t="s">
        <v>151</v>
      </c>
      <c r="BS251" s="136">
        <v>13</v>
      </c>
      <c r="BT251" s="267"/>
      <c r="BU251" s="267">
        <f>M251</f>
        <v>1</v>
      </c>
      <c r="BV251" s="267"/>
      <c r="BW251" s="267"/>
      <c r="BX251" s="267"/>
      <c r="BY251" s="267"/>
      <c r="BZ251" s="267"/>
      <c r="CA251" s="267"/>
      <c r="CB251" s="267"/>
      <c r="CC251" s="267"/>
      <c r="CD251" s="267"/>
      <c r="CE251" s="267"/>
      <c r="CF251" s="267"/>
      <c r="CG251" s="267"/>
      <c r="CH251" s="267"/>
      <c r="CI251" s="267"/>
      <c r="CJ251" s="267"/>
      <c r="CK251" s="267"/>
      <c r="CL251" s="267"/>
      <c r="CM251" s="267"/>
      <c r="CN251" s="101">
        <f t="shared" si="18"/>
        <v>1</v>
      </c>
      <c r="CO251" s="101">
        <f t="shared" si="19"/>
        <v>1</v>
      </c>
    </row>
    <row r="252" spans="1:93" ht="13.9" customHeight="1" x14ac:dyDescent="0.2">
      <c r="A252" s="149">
        <v>5995</v>
      </c>
      <c r="B252" s="150" t="s">
        <v>854</v>
      </c>
      <c r="C252" s="150" t="s">
        <v>983</v>
      </c>
      <c r="D252" s="150" t="s">
        <v>984</v>
      </c>
      <c r="E252" s="150" t="s">
        <v>326</v>
      </c>
      <c r="F252" s="149">
        <v>521248</v>
      </c>
      <c r="G252" s="149">
        <v>174669</v>
      </c>
      <c r="H252" s="150" t="s">
        <v>166</v>
      </c>
      <c r="I252" s="151">
        <v>45382</v>
      </c>
      <c r="J252" s="151"/>
      <c r="K252" s="149">
        <v>1</v>
      </c>
      <c r="L252" s="149">
        <v>1</v>
      </c>
      <c r="M252" s="149">
        <v>0</v>
      </c>
      <c r="N252" s="149">
        <v>1</v>
      </c>
      <c r="O252" s="149">
        <v>0</v>
      </c>
      <c r="P252" s="152"/>
      <c r="Q252" s="150" t="s">
        <v>985</v>
      </c>
      <c r="R252" s="150" t="s">
        <v>349</v>
      </c>
      <c r="S252" s="151">
        <v>43686</v>
      </c>
      <c r="T252" s="151">
        <v>43734</v>
      </c>
      <c r="U252" s="152"/>
      <c r="V252" s="150" t="s">
        <v>330</v>
      </c>
      <c r="W252" s="151"/>
      <c r="X252" s="150" t="s">
        <v>331</v>
      </c>
      <c r="Y252" s="150" t="s">
        <v>343</v>
      </c>
      <c r="Z252" s="150" t="s">
        <v>334</v>
      </c>
      <c r="AA252" s="150" t="s">
        <v>363</v>
      </c>
      <c r="AB252" s="153">
        <v>0.123</v>
      </c>
      <c r="AC252" s="151">
        <v>45382</v>
      </c>
      <c r="AD252" s="152" t="s">
        <v>327</v>
      </c>
      <c r="AE252" s="151"/>
      <c r="AF252" s="150" t="s">
        <v>70</v>
      </c>
      <c r="AG252" s="152" t="s">
        <v>352</v>
      </c>
      <c r="AH252" s="150" t="s">
        <v>326</v>
      </c>
      <c r="AI252" s="99"/>
      <c r="AJ252" s="149"/>
      <c r="AK252" s="99"/>
      <c r="AL252" s="149"/>
      <c r="AM252" s="99"/>
      <c r="AN252" s="149">
        <v>0</v>
      </c>
      <c r="AO252" s="149">
        <v>0</v>
      </c>
      <c r="AP252" s="149">
        <v>0</v>
      </c>
      <c r="AQ252" s="149">
        <v>0</v>
      </c>
      <c r="AR252" s="149">
        <v>0</v>
      </c>
      <c r="AS252" s="149">
        <v>0</v>
      </c>
      <c r="AT252" s="149">
        <v>0</v>
      </c>
      <c r="AU252" s="149">
        <v>0</v>
      </c>
      <c r="AV252" s="149">
        <v>0</v>
      </c>
      <c r="AW252" s="149">
        <v>0</v>
      </c>
      <c r="AX252" s="149">
        <v>0</v>
      </c>
      <c r="AY252" s="149">
        <v>0</v>
      </c>
      <c r="AZ252" s="149">
        <v>0</v>
      </c>
      <c r="BA252" s="149">
        <v>0</v>
      </c>
      <c r="BB252" s="149">
        <v>0</v>
      </c>
      <c r="BC252" s="149">
        <v>0</v>
      </c>
      <c r="BD252" s="149">
        <v>0</v>
      </c>
      <c r="BE252" s="149">
        <v>0</v>
      </c>
      <c r="BF252" s="149">
        <v>0</v>
      </c>
      <c r="BG252" s="149">
        <v>0</v>
      </c>
      <c r="BH252" s="149">
        <v>0</v>
      </c>
      <c r="BI252" s="149">
        <v>0</v>
      </c>
      <c r="BJ252" s="149">
        <v>0</v>
      </c>
      <c r="BK252" s="149">
        <v>0</v>
      </c>
      <c r="BL252" s="149">
        <v>0</v>
      </c>
      <c r="BM252" s="149">
        <v>0</v>
      </c>
      <c r="BN252" s="149">
        <v>0</v>
      </c>
      <c r="BO252" s="149">
        <v>0</v>
      </c>
      <c r="BP252" s="152"/>
      <c r="BQ252" s="152"/>
      <c r="BR252" s="154" t="s">
        <v>359</v>
      </c>
      <c r="BS252" s="136">
        <v>4</v>
      </c>
      <c r="BT252" s="267"/>
      <c r="BU252" s="267">
        <f>M252/2</f>
        <v>0</v>
      </c>
      <c r="BV252" s="267">
        <f>M252/2</f>
        <v>0</v>
      </c>
      <c r="BW252" s="267"/>
      <c r="BX252" s="267"/>
      <c r="BY252" s="267"/>
      <c r="BZ252" s="267"/>
      <c r="CA252" s="267"/>
      <c r="CB252" s="267"/>
      <c r="CC252" s="267"/>
      <c r="CD252" s="267"/>
      <c r="CE252" s="267"/>
      <c r="CF252" s="267"/>
      <c r="CG252" s="267"/>
      <c r="CH252" s="267"/>
      <c r="CI252" s="267"/>
      <c r="CJ252" s="267"/>
      <c r="CK252" s="267"/>
      <c r="CL252" s="267"/>
      <c r="CM252" s="267"/>
      <c r="CN252" s="101">
        <f t="shared" si="18"/>
        <v>0</v>
      </c>
      <c r="CO252" s="101">
        <f t="shared" si="19"/>
        <v>0</v>
      </c>
    </row>
    <row r="253" spans="1:93" ht="13.9" customHeight="1" x14ac:dyDescent="0.2">
      <c r="A253" s="149">
        <v>7233</v>
      </c>
      <c r="B253" s="150" t="s">
        <v>854</v>
      </c>
      <c r="C253" s="150" t="s">
        <v>986</v>
      </c>
      <c r="D253" s="150" t="s">
        <v>987</v>
      </c>
      <c r="E253" s="150" t="s">
        <v>326</v>
      </c>
      <c r="F253" s="149">
        <v>527787</v>
      </c>
      <c r="G253" s="149">
        <v>174343</v>
      </c>
      <c r="H253" s="150" t="s">
        <v>165</v>
      </c>
      <c r="I253" s="151">
        <v>45016</v>
      </c>
      <c r="J253" s="151"/>
      <c r="K253" s="149">
        <v>3</v>
      </c>
      <c r="L253" s="149">
        <v>3</v>
      </c>
      <c r="M253" s="149">
        <v>0</v>
      </c>
      <c r="N253" s="149">
        <v>4</v>
      </c>
      <c r="O253" s="149">
        <v>1</v>
      </c>
      <c r="P253" s="152"/>
      <c r="Q253" s="150" t="s">
        <v>988</v>
      </c>
      <c r="R253" s="150" t="s">
        <v>349</v>
      </c>
      <c r="S253" s="151">
        <v>43696</v>
      </c>
      <c r="T253" s="151">
        <v>43735</v>
      </c>
      <c r="U253" s="152"/>
      <c r="V253" s="150" t="s">
        <v>330</v>
      </c>
      <c r="W253" s="151"/>
      <c r="X253" s="150" t="s">
        <v>331</v>
      </c>
      <c r="Y253" s="150" t="s">
        <v>398</v>
      </c>
      <c r="Z253" s="150" t="s">
        <v>334</v>
      </c>
      <c r="AA253" s="150" t="s">
        <v>413</v>
      </c>
      <c r="AB253" s="153">
        <v>2.3E-2</v>
      </c>
      <c r="AC253" s="151">
        <v>45016</v>
      </c>
      <c r="AD253" s="150"/>
      <c r="AE253" s="151"/>
      <c r="AF253" s="150" t="s">
        <v>70</v>
      </c>
      <c r="AG253" s="152" t="s">
        <v>352</v>
      </c>
      <c r="AH253" s="150" t="s">
        <v>326</v>
      </c>
      <c r="AI253" s="99"/>
      <c r="AJ253" s="149"/>
      <c r="AK253" s="99"/>
      <c r="AL253" s="149"/>
      <c r="AM253" s="102"/>
      <c r="AN253" s="149">
        <v>0</v>
      </c>
      <c r="AO253" s="149">
        <v>-2</v>
      </c>
      <c r="AP253" s="149">
        <v>3</v>
      </c>
      <c r="AQ253" s="149">
        <v>-1</v>
      </c>
      <c r="AR253" s="149">
        <v>0</v>
      </c>
      <c r="AS253" s="149">
        <v>0</v>
      </c>
      <c r="AT253" s="149">
        <v>0</v>
      </c>
      <c r="AU253" s="149">
        <v>0</v>
      </c>
      <c r="AV253" s="149">
        <v>-2</v>
      </c>
      <c r="AW253" s="149">
        <v>3</v>
      </c>
      <c r="AX253" s="149">
        <v>-1</v>
      </c>
      <c r="AY253" s="149">
        <v>0</v>
      </c>
      <c r="AZ253" s="149">
        <v>0</v>
      </c>
      <c r="BA253" s="149">
        <v>0</v>
      </c>
      <c r="BB253" s="149">
        <v>0</v>
      </c>
      <c r="BC253" s="149">
        <v>0</v>
      </c>
      <c r="BD253" s="149">
        <v>0</v>
      </c>
      <c r="BE253" s="149">
        <v>0</v>
      </c>
      <c r="BF253" s="149">
        <v>0</v>
      </c>
      <c r="BG253" s="149">
        <v>0</v>
      </c>
      <c r="BH253" s="149">
        <v>0</v>
      </c>
      <c r="BI253" s="149">
        <v>0</v>
      </c>
      <c r="BJ253" s="149">
        <v>0</v>
      </c>
      <c r="BK253" s="149">
        <v>0</v>
      </c>
      <c r="BL253" s="149">
        <v>0</v>
      </c>
      <c r="BM253" s="149">
        <v>0</v>
      </c>
      <c r="BN253" s="149">
        <v>0</v>
      </c>
      <c r="BO253" s="149">
        <v>0</v>
      </c>
      <c r="BP253" s="152"/>
      <c r="BQ253" s="152"/>
      <c r="BR253" s="154" t="s">
        <v>359</v>
      </c>
      <c r="BS253" s="136">
        <v>13</v>
      </c>
      <c r="BT253" s="267"/>
      <c r="BU253" s="267">
        <f>M253</f>
        <v>0</v>
      </c>
      <c r="BV253" s="267"/>
      <c r="BW253" s="267"/>
      <c r="BX253" s="267"/>
      <c r="BY253" s="267"/>
      <c r="BZ253" s="267"/>
      <c r="CA253" s="267"/>
      <c r="CB253" s="267"/>
      <c r="CC253" s="267"/>
      <c r="CD253" s="267"/>
      <c r="CE253" s="267"/>
      <c r="CF253" s="267"/>
      <c r="CG253" s="267"/>
      <c r="CH253" s="267"/>
      <c r="CI253" s="267"/>
      <c r="CJ253" s="267"/>
      <c r="CK253" s="267"/>
      <c r="CL253" s="267"/>
      <c r="CM253" s="267"/>
      <c r="CN253" s="101">
        <f t="shared" si="18"/>
        <v>0</v>
      </c>
      <c r="CO253" s="101">
        <f t="shared" si="19"/>
        <v>0</v>
      </c>
    </row>
    <row r="254" spans="1:93" ht="13.9" customHeight="1" x14ac:dyDescent="0.2">
      <c r="A254" s="149">
        <v>7233</v>
      </c>
      <c r="B254" s="150" t="s">
        <v>854</v>
      </c>
      <c r="C254" s="150" t="s">
        <v>986</v>
      </c>
      <c r="D254" s="150" t="s">
        <v>987</v>
      </c>
      <c r="E254" s="150" t="s">
        <v>326</v>
      </c>
      <c r="F254" s="149">
        <v>527787</v>
      </c>
      <c r="G254" s="149">
        <v>174343</v>
      </c>
      <c r="H254" s="150" t="s">
        <v>165</v>
      </c>
      <c r="I254" s="151">
        <v>45016</v>
      </c>
      <c r="J254" s="151"/>
      <c r="K254" s="149">
        <v>0</v>
      </c>
      <c r="L254" s="149">
        <v>1</v>
      </c>
      <c r="M254" s="149">
        <v>1</v>
      </c>
      <c r="N254" s="149">
        <v>4</v>
      </c>
      <c r="O254" s="149">
        <v>1</v>
      </c>
      <c r="P254" s="152"/>
      <c r="Q254" s="150" t="s">
        <v>988</v>
      </c>
      <c r="R254" s="150" t="s">
        <v>349</v>
      </c>
      <c r="S254" s="151">
        <v>43696</v>
      </c>
      <c r="T254" s="151">
        <v>43735</v>
      </c>
      <c r="U254" s="152"/>
      <c r="V254" s="150" t="s">
        <v>330</v>
      </c>
      <c r="W254" s="151"/>
      <c r="X254" s="150" t="s">
        <v>331</v>
      </c>
      <c r="Y254" s="150" t="s">
        <v>398</v>
      </c>
      <c r="Z254" s="150" t="s">
        <v>334</v>
      </c>
      <c r="AA254" s="150" t="s">
        <v>399</v>
      </c>
      <c r="AB254" s="153">
        <v>5.0000000000000001E-3</v>
      </c>
      <c r="AC254" s="151">
        <v>45016</v>
      </c>
      <c r="AD254" s="150"/>
      <c r="AE254" s="151"/>
      <c r="AF254" s="150" t="s">
        <v>70</v>
      </c>
      <c r="AG254" s="152" t="s">
        <v>352</v>
      </c>
      <c r="AH254" s="150" t="s">
        <v>326</v>
      </c>
      <c r="AI254" s="99"/>
      <c r="AJ254" s="149"/>
      <c r="AK254" s="99"/>
      <c r="AL254" s="149"/>
      <c r="AM254" s="102"/>
      <c r="AN254" s="149">
        <v>0</v>
      </c>
      <c r="AO254" s="149">
        <v>0</v>
      </c>
      <c r="AP254" s="149">
        <v>1</v>
      </c>
      <c r="AQ254" s="149">
        <v>0</v>
      </c>
      <c r="AR254" s="149">
        <v>0</v>
      </c>
      <c r="AS254" s="149">
        <v>0</v>
      </c>
      <c r="AT254" s="149">
        <v>0</v>
      </c>
      <c r="AU254" s="149">
        <v>0</v>
      </c>
      <c r="AV254" s="149">
        <v>0</v>
      </c>
      <c r="AW254" s="149">
        <v>1</v>
      </c>
      <c r="AX254" s="149">
        <v>0</v>
      </c>
      <c r="AY254" s="149">
        <v>0</v>
      </c>
      <c r="AZ254" s="149">
        <v>0</v>
      </c>
      <c r="BA254" s="149">
        <v>0</v>
      </c>
      <c r="BB254" s="149">
        <v>0</v>
      </c>
      <c r="BC254" s="149">
        <v>0</v>
      </c>
      <c r="BD254" s="149">
        <v>0</v>
      </c>
      <c r="BE254" s="149">
        <v>0</v>
      </c>
      <c r="BF254" s="149">
        <v>0</v>
      </c>
      <c r="BG254" s="149">
        <v>0</v>
      </c>
      <c r="BH254" s="149">
        <v>0</v>
      </c>
      <c r="BI254" s="149">
        <v>0</v>
      </c>
      <c r="BJ254" s="149">
        <v>0</v>
      </c>
      <c r="BK254" s="149">
        <v>0</v>
      </c>
      <c r="BL254" s="149">
        <v>0</v>
      </c>
      <c r="BM254" s="149">
        <v>0</v>
      </c>
      <c r="BN254" s="149">
        <v>0</v>
      </c>
      <c r="BO254" s="149">
        <v>0</v>
      </c>
      <c r="BP254" s="152"/>
      <c r="BQ254" s="152"/>
      <c r="BR254" s="154" t="s">
        <v>359</v>
      </c>
      <c r="BS254" s="136">
        <v>13</v>
      </c>
      <c r="BT254" s="267"/>
      <c r="BU254" s="267">
        <f>M254</f>
        <v>1</v>
      </c>
      <c r="BV254" s="267"/>
      <c r="BW254" s="267"/>
      <c r="BX254" s="267"/>
      <c r="BY254" s="267"/>
      <c r="BZ254" s="267"/>
      <c r="CA254" s="267"/>
      <c r="CB254" s="267"/>
      <c r="CC254" s="267"/>
      <c r="CD254" s="267"/>
      <c r="CE254" s="267"/>
      <c r="CF254" s="267"/>
      <c r="CG254" s="267"/>
      <c r="CH254" s="267"/>
      <c r="CI254" s="267"/>
      <c r="CJ254" s="267"/>
      <c r="CK254" s="267"/>
      <c r="CL254" s="267"/>
      <c r="CM254" s="267"/>
      <c r="CN254" s="101">
        <f t="shared" si="18"/>
        <v>1</v>
      </c>
      <c r="CO254" s="101">
        <f t="shared" si="19"/>
        <v>1</v>
      </c>
    </row>
    <row r="255" spans="1:93" ht="13.9" customHeight="1" x14ac:dyDescent="0.2">
      <c r="A255" s="149">
        <v>182</v>
      </c>
      <c r="B255" s="150" t="s">
        <v>854</v>
      </c>
      <c r="C255" s="150" t="s">
        <v>989</v>
      </c>
      <c r="D255" s="150" t="s">
        <v>990</v>
      </c>
      <c r="E255" s="150" t="s">
        <v>326</v>
      </c>
      <c r="F255" s="149">
        <v>526066</v>
      </c>
      <c r="G255" s="149">
        <v>172919</v>
      </c>
      <c r="H255" s="150" t="s">
        <v>176</v>
      </c>
      <c r="I255" s="151">
        <v>45016</v>
      </c>
      <c r="J255" s="151"/>
      <c r="K255" s="149">
        <v>1</v>
      </c>
      <c r="L255" s="149">
        <v>3</v>
      </c>
      <c r="M255" s="149">
        <v>2</v>
      </c>
      <c r="N255" s="149">
        <v>4</v>
      </c>
      <c r="O255" s="149">
        <v>3</v>
      </c>
      <c r="P255" s="152"/>
      <c r="Q255" s="150" t="s">
        <v>991</v>
      </c>
      <c r="R255" s="150" t="s">
        <v>349</v>
      </c>
      <c r="S255" s="151">
        <v>43719</v>
      </c>
      <c r="T255" s="151">
        <v>43787</v>
      </c>
      <c r="U255" s="152"/>
      <c r="V255" s="150" t="s">
        <v>330</v>
      </c>
      <c r="W255" s="151"/>
      <c r="X255" s="150" t="s">
        <v>331</v>
      </c>
      <c r="Y255" s="150" t="s">
        <v>398</v>
      </c>
      <c r="Z255" s="150" t="s">
        <v>334</v>
      </c>
      <c r="AA255" s="150" t="s">
        <v>399</v>
      </c>
      <c r="AB255" s="153">
        <v>2.1999999999999999E-2</v>
      </c>
      <c r="AC255" s="151">
        <v>45016</v>
      </c>
      <c r="AD255" s="150"/>
      <c r="AE255" s="151"/>
      <c r="AF255" s="150" t="s">
        <v>70</v>
      </c>
      <c r="AG255" s="152" t="s">
        <v>352</v>
      </c>
      <c r="AH255" s="150" t="s">
        <v>326</v>
      </c>
      <c r="AI255" s="99"/>
      <c r="AJ255" s="149"/>
      <c r="AK255" s="99"/>
      <c r="AL255" s="149"/>
      <c r="AM255" s="102"/>
      <c r="AN255" s="149">
        <v>0</v>
      </c>
      <c r="AO255" s="149">
        <v>0</v>
      </c>
      <c r="AP255" s="149">
        <v>3</v>
      </c>
      <c r="AQ255" s="149">
        <v>0</v>
      </c>
      <c r="AR255" s="149">
        <v>-1</v>
      </c>
      <c r="AS255" s="149">
        <v>0</v>
      </c>
      <c r="AT255" s="149">
        <v>0</v>
      </c>
      <c r="AU255" s="149">
        <v>0</v>
      </c>
      <c r="AV255" s="149">
        <v>0</v>
      </c>
      <c r="AW255" s="149">
        <v>3</v>
      </c>
      <c r="AX255" s="149">
        <v>0</v>
      </c>
      <c r="AY255" s="149">
        <v>-1</v>
      </c>
      <c r="AZ255" s="149">
        <v>0</v>
      </c>
      <c r="BA255" s="149">
        <v>0</v>
      </c>
      <c r="BB255" s="149">
        <v>0</v>
      </c>
      <c r="BC255" s="149">
        <v>0</v>
      </c>
      <c r="BD255" s="149">
        <v>0</v>
      </c>
      <c r="BE255" s="149">
        <v>0</v>
      </c>
      <c r="BF255" s="149">
        <v>0</v>
      </c>
      <c r="BG255" s="149">
        <v>0</v>
      </c>
      <c r="BH255" s="149">
        <v>0</v>
      </c>
      <c r="BI255" s="149">
        <v>0</v>
      </c>
      <c r="BJ255" s="149">
        <v>0</v>
      </c>
      <c r="BK255" s="149">
        <v>0</v>
      </c>
      <c r="BL255" s="149">
        <v>0</v>
      </c>
      <c r="BM255" s="149">
        <v>0</v>
      </c>
      <c r="BN255" s="149">
        <v>0</v>
      </c>
      <c r="BO255" s="149">
        <v>0</v>
      </c>
      <c r="BP255" s="152"/>
      <c r="BQ255" s="152"/>
      <c r="BR255" s="154" t="s">
        <v>151</v>
      </c>
      <c r="BS255" s="136">
        <v>13</v>
      </c>
      <c r="BT255" s="267"/>
      <c r="BU255" s="267">
        <f>M255</f>
        <v>2</v>
      </c>
      <c r="BV255" s="267"/>
      <c r="BW255" s="267"/>
      <c r="BX255" s="267"/>
      <c r="BY255" s="267"/>
      <c r="BZ255" s="267"/>
      <c r="CA255" s="267"/>
      <c r="CB255" s="267"/>
      <c r="CC255" s="267"/>
      <c r="CD255" s="267"/>
      <c r="CE255" s="267"/>
      <c r="CF255" s="267"/>
      <c r="CG255" s="267"/>
      <c r="CH255" s="267"/>
      <c r="CI255" s="267"/>
      <c r="CJ255" s="267"/>
      <c r="CK255" s="267"/>
      <c r="CL255" s="267"/>
      <c r="CM255" s="267"/>
      <c r="CN255" s="101">
        <f t="shared" si="18"/>
        <v>2</v>
      </c>
      <c r="CO255" s="101">
        <f t="shared" si="19"/>
        <v>2</v>
      </c>
    </row>
    <row r="256" spans="1:93" ht="13.9" customHeight="1" x14ac:dyDescent="0.2">
      <c r="A256" s="149">
        <v>182</v>
      </c>
      <c r="B256" s="150" t="s">
        <v>854</v>
      </c>
      <c r="C256" s="150" t="s">
        <v>989</v>
      </c>
      <c r="D256" s="150" t="s">
        <v>990</v>
      </c>
      <c r="E256" s="150" t="s">
        <v>326</v>
      </c>
      <c r="F256" s="149">
        <v>526066</v>
      </c>
      <c r="G256" s="149">
        <v>172919</v>
      </c>
      <c r="H256" s="150" t="s">
        <v>176</v>
      </c>
      <c r="I256" s="151">
        <v>45016</v>
      </c>
      <c r="J256" s="151"/>
      <c r="K256" s="149">
        <v>0</v>
      </c>
      <c r="L256" s="149">
        <v>1</v>
      </c>
      <c r="M256" s="149">
        <v>1</v>
      </c>
      <c r="N256" s="149">
        <v>4</v>
      </c>
      <c r="O256" s="149">
        <v>3</v>
      </c>
      <c r="P256" s="152"/>
      <c r="Q256" s="150" t="s">
        <v>991</v>
      </c>
      <c r="R256" s="150" t="s">
        <v>349</v>
      </c>
      <c r="S256" s="151">
        <v>43719</v>
      </c>
      <c r="T256" s="151">
        <v>43787</v>
      </c>
      <c r="U256" s="152"/>
      <c r="V256" s="150" t="s">
        <v>330</v>
      </c>
      <c r="W256" s="151"/>
      <c r="X256" s="150" t="s">
        <v>331</v>
      </c>
      <c r="Y256" s="150" t="s">
        <v>398</v>
      </c>
      <c r="Z256" s="150" t="s">
        <v>334</v>
      </c>
      <c r="AA256" s="150" t="s">
        <v>29</v>
      </c>
      <c r="AB256" s="153">
        <v>7.0000000000000001E-3</v>
      </c>
      <c r="AC256" s="151">
        <v>45016</v>
      </c>
      <c r="AD256" s="150"/>
      <c r="AE256" s="151"/>
      <c r="AF256" s="150" t="s">
        <v>70</v>
      </c>
      <c r="AG256" s="152" t="s">
        <v>352</v>
      </c>
      <c r="AH256" s="150" t="s">
        <v>326</v>
      </c>
      <c r="AI256" s="99"/>
      <c r="AJ256" s="149"/>
      <c r="AK256" s="99"/>
      <c r="AL256" s="149"/>
      <c r="AM256" s="99"/>
      <c r="AN256" s="149">
        <v>0</v>
      </c>
      <c r="AO256" s="149">
        <v>0</v>
      </c>
      <c r="AP256" s="149">
        <v>1</v>
      </c>
      <c r="AQ256" s="149">
        <v>0</v>
      </c>
      <c r="AR256" s="149">
        <v>0</v>
      </c>
      <c r="AS256" s="149">
        <v>0</v>
      </c>
      <c r="AT256" s="149">
        <v>0</v>
      </c>
      <c r="AU256" s="149">
        <v>0</v>
      </c>
      <c r="AV256" s="149">
        <v>0</v>
      </c>
      <c r="AW256" s="149">
        <v>1</v>
      </c>
      <c r="AX256" s="149">
        <v>0</v>
      </c>
      <c r="AY256" s="149">
        <v>0</v>
      </c>
      <c r="AZ256" s="149">
        <v>0</v>
      </c>
      <c r="BA256" s="149">
        <v>0</v>
      </c>
      <c r="BB256" s="149">
        <v>0</v>
      </c>
      <c r="BC256" s="149">
        <v>0</v>
      </c>
      <c r="BD256" s="149">
        <v>0</v>
      </c>
      <c r="BE256" s="149">
        <v>0</v>
      </c>
      <c r="BF256" s="149">
        <v>0</v>
      </c>
      <c r="BG256" s="149">
        <v>0</v>
      </c>
      <c r="BH256" s="149">
        <v>0</v>
      </c>
      <c r="BI256" s="149">
        <v>0</v>
      </c>
      <c r="BJ256" s="149">
        <v>0</v>
      </c>
      <c r="BK256" s="149">
        <v>0</v>
      </c>
      <c r="BL256" s="149">
        <v>0</v>
      </c>
      <c r="BM256" s="149">
        <v>0</v>
      </c>
      <c r="BN256" s="149">
        <v>0</v>
      </c>
      <c r="BO256" s="149">
        <v>0</v>
      </c>
      <c r="BP256" s="152"/>
      <c r="BQ256" s="152"/>
      <c r="BR256" s="154" t="s">
        <v>151</v>
      </c>
      <c r="BS256" s="136">
        <v>13</v>
      </c>
      <c r="BT256" s="267"/>
      <c r="BU256" s="267">
        <f>M256</f>
        <v>1</v>
      </c>
      <c r="BV256" s="267"/>
      <c r="BW256" s="267"/>
      <c r="BX256" s="267"/>
      <c r="BY256" s="267"/>
      <c r="BZ256" s="267"/>
      <c r="CA256" s="267"/>
      <c r="CB256" s="267"/>
      <c r="CC256" s="267"/>
      <c r="CD256" s="267"/>
      <c r="CE256" s="267"/>
      <c r="CF256" s="267"/>
      <c r="CG256" s="267"/>
      <c r="CH256" s="267"/>
      <c r="CI256" s="267"/>
      <c r="CJ256" s="267"/>
      <c r="CK256" s="267"/>
      <c r="CL256" s="267"/>
      <c r="CM256" s="267"/>
      <c r="CN256" s="101">
        <f t="shared" si="18"/>
        <v>1</v>
      </c>
      <c r="CO256" s="101">
        <f t="shared" si="19"/>
        <v>1</v>
      </c>
    </row>
    <row r="257" spans="1:93" ht="13.9" customHeight="1" x14ac:dyDescent="0.2">
      <c r="A257" s="149">
        <v>3943</v>
      </c>
      <c r="B257" s="150" t="s">
        <v>854</v>
      </c>
      <c r="C257" s="150" t="s">
        <v>975</v>
      </c>
      <c r="D257" s="150" t="s">
        <v>385</v>
      </c>
      <c r="E257" s="150" t="s">
        <v>970</v>
      </c>
      <c r="F257" s="149">
        <v>529575</v>
      </c>
      <c r="G257" s="149">
        <v>177401</v>
      </c>
      <c r="H257" s="150" t="s">
        <v>149</v>
      </c>
      <c r="I257" s="151">
        <v>44838</v>
      </c>
      <c r="J257" s="151"/>
      <c r="K257" s="149">
        <v>0</v>
      </c>
      <c r="L257" s="149">
        <v>30</v>
      </c>
      <c r="M257" s="149">
        <v>30</v>
      </c>
      <c r="N257" s="149">
        <v>459</v>
      </c>
      <c r="O257" s="149">
        <v>459</v>
      </c>
      <c r="P257" s="152" t="s">
        <v>327</v>
      </c>
      <c r="Q257" s="150" t="s">
        <v>976</v>
      </c>
      <c r="R257" s="150" t="s">
        <v>388</v>
      </c>
      <c r="S257" s="151">
        <v>43613</v>
      </c>
      <c r="T257" s="151">
        <v>44338</v>
      </c>
      <c r="U257" s="152"/>
      <c r="V257" s="150" t="s">
        <v>330</v>
      </c>
      <c r="W257" s="151"/>
      <c r="X257" s="150" t="s">
        <v>331</v>
      </c>
      <c r="Y257" s="150" t="s">
        <v>343</v>
      </c>
      <c r="Z257" s="150" t="s">
        <v>343</v>
      </c>
      <c r="AA257" s="150" t="s">
        <v>334</v>
      </c>
      <c r="AB257" s="153">
        <v>0.39129999999999998</v>
      </c>
      <c r="AC257" s="151">
        <v>44838</v>
      </c>
      <c r="AD257" s="150"/>
      <c r="AE257" s="151"/>
      <c r="AF257" s="150" t="s">
        <v>48</v>
      </c>
      <c r="AG257" s="152" t="s">
        <v>992</v>
      </c>
      <c r="AH257" s="150" t="s">
        <v>390</v>
      </c>
      <c r="AI257" s="99"/>
      <c r="AJ257" s="149"/>
      <c r="AK257" s="138">
        <v>27</v>
      </c>
      <c r="AL257" s="149"/>
      <c r="AM257" s="138">
        <v>3</v>
      </c>
      <c r="AN257" s="149">
        <v>0</v>
      </c>
      <c r="AO257" s="149">
        <v>13</v>
      </c>
      <c r="AP257" s="149">
        <v>17</v>
      </c>
      <c r="AQ257" s="149">
        <v>0</v>
      </c>
      <c r="AR257" s="149">
        <v>0</v>
      </c>
      <c r="AS257" s="149">
        <v>0</v>
      </c>
      <c r="AT257" s="149">
        <v>0</v>
      </c>
      <c r="AU257" s="149">
        <v>0</v>
      </c>
      <c r="AV257" s="149">
        <v>13</v>
      </c>
      <c r="AW257" s="149">
        <v>17</v>
      </c>
      <c r="AX257" s="149">
        <v>0</v>
      </c>
      <c r="AY257" s="149">
        <v>0</v>
      </c>
      <c r="AZ257" s="149">
        <v>0</v>
      </c>
      <c r="BA257" s="149">
        <v>0</v>
      </c>
      <c r="BB257" s="149">
        <v>0</v>
      </c>
      <c r="BC257" s="149">
        <v>0</v>
      </c>
      <c r="BD257" s="149">
        <v>0</v>
      </c>
      <c r="BE257" s="149">
        <v>0</v>
      </c>
      <c r="BF257" s="149">
        <v>0</v>
      </c>
      <c r="BG257" s="149">
        <v>0</v>
      </c>
      <c r="BH257" s="149">
        <v>0</v>
      </c>
      <c r="BI257" s="149">
        <v>0</v>
      </c>
      <c r="BJ257" s="149">
        <v>0</v>
      </c>
      <c r="BK257" s="149">
        <v>0</v>
      </c>
      <c r="BL257" s="149">
        <v>0</v>
      </c>
      <c r="BM257" s="149">
        <v>0</v>
      </c>
      <c r="BN257" s="149">
        <v>0</v>
      </c>
      <c r="BO257" s="149">
        <v>0</v>
      </c>
      <c r="BP257" s="152"/>
      <c r="BQ257" s="152" t="s">
        <v>327</v>
      </c>
      <c r="BR257" s="154" t="s">
        <v>149</v>
      </c>
      <c r="BS257" s="136">
        <v>5</v>
      </c>
      <c r="BT257" s="267"/>
      <c r="BU257" s="267"/>
      <c r="BV257" s="267">
        <f>M257</f>
        <v>30</v>
      </c>
      <c r="BW257" s="267"/>
      <c r="BX257" s="267"/>
      <c r="BY257" s="267"/>
      <c r="BZ257" s="267"/>
      <c r="CA257" s="267"/>
      <c r="CB257" s="267"/>
      <c r="CC257" s="267"/>
      <c r="CD257" s="267"/>
      <c r="CE257" s="267"/>
      <c r="CF257" s="267"/>
      <c r="CG257" s="267"/>
      <c r="CH257" s="267"/>
      <c r="CI257" s="267"/>
      <c r="CJ257" s="267"/>
      <c r="CK257" s="267"/>
      <c r="CL257" s="267"/>
      <c r="CM257" s="267"/>
      <c r="CN257" s="101">
        <f t="shared" si="18"/>
        <v>30</v>
      </c>
      <c r="CO257" s="101">
        <f t="shared" si="19"/>
        <v>30</v>
      </c>
    </row>
    <row r="258" spans="1:93" ht="13.9" customHeight="1" x14ac:dyDescent="0.2">
      <c r="A258" s="149">
        <v>3519</v>
      </c>
      <c r="B258" s="150" t="s">
        <v>854</v>
      </c>
      <c r="C258" s="150" t="s">
        <v>458</v>
      </c>
      <c r="D258" s="150" t="s">
        <v>459</v>
      </c>
      <c r="E258" s="150" t="s">
        <v>993</v>
      </c>
      <c r="F258" s="149">
        <v>525782</v>
      </c>
      <c r="G258" s="149">
        <v>175172</v>
      </c>
      <c r="H258" s="150" t="s">
        <v>170</v>
      </c>
      <c r="I258" s="151">
        <v>43848</v>
      </c>
      <c r="J258" s="151"/>
      <c r="K258" s="149">
        <v>0</v>
      </c>
      <c r="L258" s="149">
        <v>42</v>
      </c>
      <c r="M258" s="149">
        <v>42</v>
      </c>
      <c r="N258" s="149">
        <v>554</v>
      </c>
      <c r="O258" s="149">
        <v>554</v>
      </c>
      <c r="P258" s="152" t="s">
        <v>327</v>
      </c>
      <c r="Q258" s="150" t="s">
        <v>461</v>
      </c>
      <c r="R258" s="150" t="s">
        <v>381</v>
      </c>
      <c r="S258" s="151">
        <v>43773</v>
      </c>
      <c r="T258" s="151">
        <v>44315</v>
      </c>
      <c r="U258" s="152"/>
      <c r="V258" s="150" t="s">
        <v>330</v>
      </c>
      <c r="W258" s="151"/>
      <c r="X258" s="150" t="s">
        <v>331</v>
      </c>
      <c r="Y258" s="150" t="s">
        <v>343</v>
      </c>
      <c r="Z258" s="150" t="s">
        <v>343</v>
      </c>
      <c r="AA258" s="150" t="s">
        <v>334</v>
      </c>
      <c r="AB258" s="153">
        <v>6.7000000000000004E-2</v>
      </c>
      <c r="AC258" s="151">
        <v>45016</v>
      </c>
      <c r="AD258" s="150"/>
      <c r="AE258" s="151"/>
      <c r="AF258" s="150" t="s">
        <v>70</v>
      </c>
      <c r="AG258" s="152" t="s">
        <v>352</v>
      </c>
      <c r="AH258" s="150" t="s">
        <v>462</v>
      </c>
      <c r="AI258" s="99"/>
      <c r="AJ258" s="149"/>
      <c r="AK258" s="99"/>
      <c r="AL258" s="149"/>
      <c r="AM258" s="99"/>
      <c r="AN258" s="149">
        <v>0</v>
      </c>
      <c r="AO258" s="149">
        <v>0</v>
      </c>
      <c r="AP258" s="149">
        <v>40</v>
      </c>
      <c r="AQ258" s="149">
        <v>2</v>
      </c>
      <c r="AR258" s="149">
        <v>0</v>
      </c>
      <c r="AS258" s="149">
        <v>0</v>
      </c>
      <c r="AT258" s="149">
        <v>0</v>
      </c>
      <c r="AU258" s="149">
        <v>0</v>
      </c>
      <c r="AV258" s="149">
        <v>0</v>
      </c>
      <c r="AW258" s="149">
        <v>40</v>
      </c>
      <c r="AX258" s="149">
        <v>2</v>
      </c>
      <c r="AY258" s="149">
        <v>0</v>
      </c>
      <c r="AZ258" s="149">
        <v>0</v>
      </c>
      <c r="BA258" s="149">
        <v>0</v>
      </c>
      <c r="BB258" s="149">
        <v>0</v>
      </c>
      <c r="BC258" s="149">
        <v>0</v>
      </c>
      <c r="BD258" s="149">
        <v>0</v>
      </c>
      <c r="BE258" s="149">
        <v>0</v>
      </c>
      <c r="BF258" s="149">
        <v>0</v>
      </c>
      <c r="BG258" s="149">
        <v>0</v>
      </c>
      <c r="BH258" s="149">
        <v>0</v>
      </c>
      <c r="BI258" s="149">
        <v>0</v>
      </c>
      <c r="BJ258" s="149">
        <v>0</v>
      </c>
      <c r="BK258" s="149">
        <v>0</v>
      </c>
      <c r="BL258" s="149">
        <v>0</v>
      </c>
      <c r="BM258" s="149">
        <v>0</v>
      </c>
      <c r="BN258" s="149">
        <v>0</v>
      </c>
      <c r="BO258" s="149">
        <v>0</v>
      </c>
      <c r="BP258" s="152"/>
      <c r="BQ258" s="152"/>
      <c r="BR258" s="154" t="s">
        <v>463</v>
      </c>
      <c r="BS258" s="136">
        <v>5</v>
      </c>
      <c r="BT258" s="267"/>
      <c r="BU258" s="267">
        <f>M258</f>
        <v>42</v>
      </c>
      <c r="BV258" s="267"/>
      <c r="BW258" s="267"/>
      <c r="BX258" s="267"/>
      <c r="BY258" s="267"/>
      <c r="BZ258" s="267"/>
      <c r="CA258" s="267"/>
      <c r="CB258" s="267"/>
      <c r="CC258" s="267"/>
      <c r="CD258" s="267"/>
      <c r="CE258" s="267"/>
      <c r="CF258" s="267"/>
      <c r="CG258" s="267"/>
      <c r="CH258" s="267"/>
      <c r="CI258" s="267"/>
      <c r="CJ258" s="267"/>
      <c r="CK258" s="267"/>
      <c r="CL258" s="267"/>
      <c r="CM258" s="267"/>
      <c r="CN258" s="101">
        <f t="shared" si="18"/>
        <v>42</v>
      </c>
      <c r="CO258" s="101">
        <f t="shared" si="19"/>
        <v>42</v>
      </c>
    </row>
    <row r="259" spans="1:93" ht="13.9" customHeight="1" x14ac:dyDescent="0.2">
      <c r="A259" s="149">
        <v>3519</v>
      </c>
      <c r="B259" s="150" t="s">
        <v>854</v>
      </c>
      <c r="C259" s="150" t="s">
        <v>458</v>
      </c>
      <c r="D259" s="150" t="s">
        <v>459</v>
      </c>
      <c r="E259" s="150" t="s">
        <v>994</v>
      </c>
      <c r="F259" s="149">
        <v>525782</v>
      </c>
      <c r="G259" s="149">
        <v>175172</v>
      </c>
      <c r="H259" s="150" t="s">
        <v>170</v>
      </c>
      <c r="I259" s="151">
        <v>43848</v>
      </c>
      <c r="J259" s="151"/>
      <c r="K259" s="149">
        <v>0</v>
      </c>
      <c r="L259" s="149">
        <v>50</v>
      </c>
      <c r="M259" s="149">
        <v>50</v>
      </c>
      <c r="N259" s="149">
        <v>554</v>
      </c>
      <c r="O259" s="149">
        <v>554</v>
      </c>
      <c r="P259" s="152" t="s">
        <v>327</v>
      </c>
      <c r="Q259" s="150" t="s">
        <v>461</v>
      </c>
      <c r="R259" s="150" t="s">
        <v>381</v>
      </c>
      <c r="S259" s="151">
        <v>43773</v>
      </c>
      <c r="T259" s="151">
        <v>44315</v>
      </c>
      <c r="U259" s="152"/>
      <c r="V259" s="150" t="s">
        <v>330</v>
      </c>
      <c r="W259" s="151"/>
      <c r="X259" s="150" t="s">
        <v>331</v>
      </c>
      <c r="Y259" s="150" t="s">
        <v>343</v>
      </c>
      <c r="Z259" s="150" t="s">
        <v>343</v>
      </c>
      <c r="AA259" s="150" t="s">
        <v>334</v>
      </c>
      <c r="AB259" s="153">
        <v>0.08</v>
      </c>
      <c r="AC259" s="151">
        <v>45016</v>
      </c>
      <c r="AD259" s="150"/>
      <c r="AE259" s="151"/>
      <c r="AF259" s="150" t="s">
        <v>70</v>
      </c>
      <c r="AG259" s="152" t="s">
        <v>352</v>
      </c>
      <c r="AH259" s="150" t="s">
        <v>462</v>
      </c>
      <c r="AI259" s="102"/>
      <c r="AJ259" s="149"/>
      <c r="AK259" s="99"/>
      <c r="AL259" s="149"/>
      <c r="AM259" s="99"/>
      <c r="AN259" s="149">
        <v>0</v>
      </c>
      <c r="AO259" s="149">
        <v>24</v>
      </c>
      <c r="AP259" s="149">
        <v>24</v>
      </c>
      <c r="AQ259" s="149">
        <v>2</v>
      </c>
      <c r="AR259" s="149">
        <v>0</v>
      </c>
      <c r="AS259" s="149">
        <v>0</v>
      </c>
      <c r="AT259" s="149">
        <v>0</v>
      </c>
      <c r="AU259" s="149">
        <v>0</v>
      </c>
      <c r="AV259" s="149">
        <v>24</v>
      </c>
      <c r="AW259" s="149">
        <v>24</v>
      </c>
      <c r="AX259" s="149">
        <v>2</v>
      </c>
      <c r="AY259" s="149">
        <v>0</v>
      </c>
      <c r="AZ259" s="149">
        <v>0</v>
      </c>
      <c r="BA259" s="149">
        <v>0</v>
      </c>
      <c r="BB259" s="149">
        <v>0</v>
      </c>
      <c r="BC259" s="149">
        <v>0</v>
      </c>
      <c r="BD259" s="149">
        <v>0</v>
      </c>
      <c r="BE259" s="149">
        <v>0</v>
      </c>
      <c r="BF259" s="149">
        <v>0</v>
      </c>
      <c r="BG259" s="149">
        <v>0</v>
      </c>
      <c r="BH259" s="149">
        <v>0</v>
      </c>
      <c r="BI259" s="149">
        <v>0</v>
      </c>
      <c r="BJ259" s="149">
        <v>0</v>
      </c>
      <c r="BK259" s="149">
        <v>0</v>
      </c>
      <c r="BL259" s="149">
        <v>0</v>
      </c>
      <c r="BM259" s="149">
        <v>0</v>
      </c>
      <c r="BN259" s="149">
        <v>0</v>
      </c>
      <c r="BO259" s="149">
        <v>0</v>
      </c>
      <c r="BP259" s="152"/>
      <c r="BQ259" s="152"/>
      <c r="BR259" s="154" t="s">
        <v>463</v>
      </c>
      <c r="BS259" s="136">
        <v>5</v>
      </c>
      <c r="BT259" s="267"/>
      <c r="BU259" s="267">
        <f>M259</f>
        <v>50</v>
      </c>
      <c r="BV259" s="267"/>
      <c r="BW259" s="267"/>
      <c r="BX259" s="267"/>
      <c r="BY259" s="267"/>
      <c r="BZ259" s="267"/>
      <c r="CA259" s="267"/>
      <c r="CB259" s="267"/>
      <c r="CC259" s="267"/>
      <c r="CD259" s="267"/>
      <c r="CE259" s="267"/>
      <c r="CF259" s="267"/>
      <c r="CG259" s="267"/>
      <c r="CH259" s="267"/>
      <c r="CI259" s="267"/>
      <c r="CJ259" s="267"/>
      <c r="CK259" s="267"/>
      <c r="CL259" s="267"/>
      <c r="CM259" s="267"/>
      <c r="CN259" s="101">
        <f t="shared" si="18"/>
        <v>50</v>
      </c>
      <c r="CO259" s="101">
        <f t="shared" si="19"/>
        <v>50</v>
      </c>
    </row>
    <row r="260" spans="1:93" ht="13.9" customHeight="1" x14ac:dyDescent="0.2">
      <c r="A260" s="149">
        <v>3519</v>
      </c>
      <c r="B260" s="150" t="s">
        <v>854</v>
      </c>
      <c r="C260" s="150" t="s">
        <v>458</v>
      </c>
      <c r="D260" s="150" t="s">
        <v>459</v>
      </c>
      <c r="E260" s="150" t="s">
        <v>995</v>
      </c>
      <c r="F260" s="149">
        <v>525782</v>
      </c>
      <c r="G260" s="149">
        <v>175172</v>
      </c>
      <c r="H260" s="150" t="s">
        <v>170</v>
      </c>
      <c r="I260" s="151">
        <v>43848</v>
      </c>
      <c r="J260" s="151"/>
      <c r="K260" s="149">
        <v>0</v>
      </c>
      <c r="L260" s="149">
        <v>58</v>
      </c>
      <c r="M260" s="149">
        <v>58</v>
      </c>
      <c r="N260" s="149">
        <v>554</v>
      </c>
      <c r="O260" s="149">
        <v>554</v>
      </c>
      <c r="P260" s="152" t="s">
        <v>327</v>
      </c>
      <c r="Q260" s="150" t="s">
        <v>461</v>
      </c>
      <c r="R260" s="150" t="s">
        <v>381</v>
      </c>
      <c r="S260" s="151">
        <v>43773</v>
      </c>
      <c r="T260" s="151">
        <v>44315</v>
      </c>
      <c r="U260" s="152"/>
      <c r="V260" s="150" t="s">
        <v>330</v>
      </c>
      <c r="W260" s="151"/>
      <c r="X260" s="150" t="s">
        <v>331</v>
      </c>
      <c r="Y260" s="150" t="s">
        <v>343</v>
      </c>
      <c r="Z260" s="150" t="s">
        <v>343</v>
      </c>
      <c r="AA260" s="150" t="s">
        <v>334</v>
      </c>
      <c r="AB260" s="153">
        <v>9.2999999999999999E-2</v>
      </c>
      <c r="AC260" s="151">
        <v>45016</v>
      </c>
      <c r="AD260" s="150"/>
      <c r="AE260" s="151"/>
      <c r="AF260" s="150" t="s">
        <v>70</v>
      </c>
      <c r="AG260" s="152" t="s">
        <v>352</v>
      </c>
      <c r="AH260" s="150" t="s">
        <v>462</v>
      </c>
      <c r="AI260" s="99"/>
      <c r="AJ260" s="149"/>
      <c r="AK260" s="99"/>
      <c r="AL260" s="149"/>
      <c r="AM260" s="99"/>
      <c r="AN260" s="149">
        <v>0</v>
      </c>
      <c r="AO260" s="149">
        <v>28</v>
      </c>
      <c r="AP260" s="149">
        <v>28</v>
      </c>
      <c r="AQ260" s="149">
        <v>2</v>
      </c>
      <c r="AR260" s="149">
        <v>0</v>
      </c>
      <c r="AS260" s="149">
        <v>0</v>
      </c>
      <c r="AT260" s="149">
        <v>0</v>
      </c>
      <c r="AU260" s="149">
        <v>0</v>
      </c>
      <c r="AV260" s="149">
        <v>28</v>
      </c>
      <c r="AW260" s="149">
        <v>28</v>
      </c>
      <c r="AX260" s="149">
        <v>2</v>
      </c>
      <c r="AY260" s="149">
        <v>0</v>
      </c>
      <c r="AZ260" s="149">
        <v>0</v>
      </c>
      <c r="BA260" s="149">
        <v>0</v>
      </c>
      <c r="BB260" s="149">
        <v>0</v>
      </c>
      <c r="BC260" s="149">
        <v>0</v>
      </c>
      <c r="BD260" s="149">
        <v>0</v>
      </c>
      <c r="BE260" s="149">
        <v>0</v>
      </c>
      <c r="BF260" s="149">
        <v>0</v>
      </c>
      <c r="BG260" s="149">
        <v>0</v>
      </c>
      <c r="BH260" s="149">
        <v>0</v>
      </c>
      <c r="BI260" s="149">
        <v>0</v>
      </c>
      <c r="BJ260" s="149">
        <v>0</v>
      </c>
      <c r="BK260" s="149">
        <v>0</v>
      </c>
      <c r="BL260" s="149">
        <v>0</v>
      </c>
      <c r="BM260" s="149">
        <v>0</v>
      </c>
      <c r="BN260" s="149">
        <v>0</v>
      </c>
      <c r="BO260" s="149">
        <v>0</v>
      </c>
      <c r="BP260" s="152"/>
      <c r="BQ260" s="152"/>
      <c r="BR260" s="154" t="s">
        <v>463</v>
      </c>
      <c r="BS260" s="136">
        <v>5</v>
      </c>
      <c r="BT260" s="267"/>
      <c r="BU260" s="267">
        <f>M260</f>
        <v>58</v>
      </c>
      <c r="BV260" s="267"/>
      <c r="BW260" s="267"/>
      <c r="BX260" s="267"/>
      <c r="BY260" s="267"/>
      <c r="BZ260" s="267"/>
      <c r="CA260" s="267"/>
      <c r="CB260" s="267"/>
      <c r="CC260" s="267"/>
      <c r="CD260" s="267"/>
      <c r="CE260" s="267"/>
      <c r="CF260" s="267"/>
      <c r="CG260" s="267"/>
      <c r="CH260" s="267"/>
      <c r="CI260" s="267"/>
      <c r="CJ260" s="267"/>
      <c r="CK260" s="267"/>
      <c r="CL260" s="267"/>
      <c r="CM260" s="267"/>
      <c r="CN260" s="101">
        <f t="shared" si="18"/>
        <v>58</v>
      </c>
      <c r="CO260" s="101">
        <f t="shared" si="19"/>
        <v>58</v>
      </c>
    </row>
    <row r="261" spans="1:93" ht="13.9" customHeight="1" x14ac:dyDescent="0.2">
      <c r="A261" s="149">
        <v>3943</v>
      </c>
      <c r="B261" s="150" t="s">
        <v>854</v>
      </c>
      <c r="C261" s="150" t="s">
        <v>996</v>
      </c>
      <c r="D261" s="150" t="s">
        <v>385</v>
      </c>
      <c r="E261" s="150" t="s">
        <v>997</v>
      </c>
      <c r="F261" s="149">
        <v>529575</v>
      </c>
      <c r="G261" s="149">
        <v>177401</v>
      </c>
      <c r="H261" s="150" t="s">
        <v>149</v>
      </c>
      <c r="I261" s="151">
        <v>44838</v>
      </c>
      <c r="J261" s="151"/>
      <c r="K261" s="149">
        <v>0</v>
      </c>
      <c r="L261" s="149">
        <v>90</v>
      </c>
      <c r="M261" s="149">
        <v>90</v>
      </c>
      <c r="N261" s="149">
        <v>297</v>
      </c>
      <c r="O261" s="149">
        <v>297</v>
      </c>
      <c r="P261" s="152" t="s">
        <v>327</v>
      </c>
      <c r="Q261" s="150" t="s">
        <v>998</v>
      </c>
      <c r="R261" s="150" t="s">
        <v>388</v>
      </c>
      <c r="S261" s="151">
        <v>43613</v>
      </c>
      <c r="T261" s="151">
        <v>44375</v>
      </c>
      <c r="U261" s="152"/>
      <c r="V261" s="150" t="s">
        <v>330</v>
      </c>
      <c r="W261" s="151"/>
      <c r="X261" s="150" t="s">
        <v>331</v>
      </c>
      <c r="Y261" s="150" t="s">
        <v>343</v>
      </c>
      <c r="Z261" s="150" t="s">
        <v>343</v>
      </c>
      <c r="AA261" s="150" t="s">
        <v>334</v>
      </c>
      <c r="AB261" s="153">
        <v>0.9777576</v>
      </c>
      <c r="AC261" s="151">
        <v>44838</v>
      </c>
      <c r="AD261" s="150"/>
      <c r="AE261" s="151"/>
      <c r="AF261" s="150" t="s">
        <v>70</v>
      </c>
      <c r="AG261" s="152" t="s">
        <v>352</v>
      </c>
      <c r="AH261" s="150" t="s">
        <v>390</v>
      </c>
      <c r="AI261" s="99"/>
      <c r="AJ261" s="149"/>
      <c r="AK261" s="138">
        <v>81</v>
      </c>
      <c r="AL261" s="149"/>
      <c r="AM261" s="138">
        <v>9</v>
      </c>
      <c r="AN261" s="149">
        <v>8</v>
      </c>
      <c r="AO261" s="149">
        <v>30</v>
      </c>
      <c r="AP261" s="149">
        <v>33</v>
      </c>
      <c r="AQ261" s="149">
        <v>19</v>
      </c>
      <c r="AR261" s="149">
        <v>0</v>
      </c>
      <c r="AS261" s="149">
        <v>0</v>
      </c>
      <c r="AT261" s="149">
        <v>0</v>
      </c>
      <c r="AU261" s="149">
        <v>8</v>
      </c>
      <c r="AV261" s="149">
        <v>30</v>
      </c>
      <c r="AW261" s="149">
        <v>33</v>
      </c>
      <c r="AX261" s="149">
        <v>19</v>
      </c>
      <c r="AY261" s="149">
        <v>0</v>
      </c>
      <c r="AZ261" s="149">
        <v>0</v>
      </c>
      <c r="BA261" s="149">
        <v>0</v>
      </c>
      <c r="BB261" s="149">
        <v>0</v>
      </c>
      <c r="BC261" s="149">
        <v>0</v>
      </c>
      <c r="BD261" s="149">
        <v>0</v>
      </c>
      <c r="BE261" s="149">
        <v>0</v>
      </c>
      <c r="BF261" s="149">
        <v>0</v>
      </c>
      <c r="BG261" s="149">
        <v>0</v>
      </c>
      <c r="BH261" s="149">
        <v>0</v>
      </c>
      <c r="BI261" s="149">
        <v>0</v>
      </c>
      <c r="BJ261" s="149">
        <v>0</v>
      </c>
      <c r="BK261" s="149">
        <v>0</v>
      </c>
      <c r="BL261" s="149">
        <v>0</v>
      </c>
      <c r="BM261" s="149">
        <v>0</v>
      </c>
      <c r="BN261" s="149">
        <v>0</v>
      </c>
      <c r="BO261" s="149">
        <v>0</v>
      </c>
      <c r="BP261" s="152"/>
      <c r="BQ261" s="152" t="s">
        <v>327</v>
      </c>
      <c r="BR261" s="154" t="s">
        <v>149</v>
      </c>
      <c r="BS261" s="136">
        <v>5</v>
      </c>
      <c r="BT261" s="267"/>
      <c r="BU261" s="267">
        <f>M261</f>
        <v>90</v>
      </c>
      <c r="BV261" s="267"/>
      <c r="BW261" s="267"/>
      <c r="BX261" s="267"/>
      <c r="BY261" s="267"/>
      <c r="BZ261" s="267"/>
      <c r="CA261" s="267"/>
      <c r="CB261" s="267"/>
      <c r="CC261" s="267"/>
      <c r="CD261" s="267"/>
      <c r="CE261" s="267"/>
      <c r="CF261" s="267"/>
      <c r="CG261" s="267"/>
      <c r="CH261" s="267"/>
      <c r="CI261" s="267"/>
      <c r="CJ261" s="267"/>
      <c r="CK261" s="267"/>
      <c r="CL261" s="267"/>
      <c r="CM261" s="267"/>
      <c r="CN261" s="101">
        <f t="shared" si="18"/>
        <v>90</v>
      </c>
      <c r="CO261" s="101">
        <f t="shared" si="19"/>
        <v>90</v>
      </c>
    </row>
    <row r="262" spans="1:93" ht="13.9" customHeight="1" x14ac:dyDescent="0.2">
      <c r="A262" s="149">
        <v>3943</v>
      </c>
      <c r="B262" s="150" t="s">
        <v>854</v>
      </c>
      <c r="C262" s="150" t="s">
        <v>996</v>
      </c>
      <c r="D262" s="150" t="s">
        <v>385</v>
      </c>
      <c r="E262" s="150" t="s">
        <v>999</v>
      </c>
      <c r="F262" s="149">
        <v>529575</v>
      </c>
      <c r="G262" s="149">
        <v>177401</v>
      </c>
      <c r="H262" s="150" t="s">
        <v>149</v>
      </c>
      <c r="I262" s="151">
        <v>44838</v>
      </c>
      <c r="J262" s="151"/>
      <c r="K262" s="149">
        <v>0</v>
      </c>
      <c r="L262" s="149">
        <v>77</v>
      </c>
      <c r="M262" s="149">
        <v>77</v>
      </c>
      <c r="N262" s="149">
        <v>297</v>
      </c>
      <c r="O262" s="149">
        <v>297</v>
      </c>
      <c r="P262" s="152" t="s">
        <v>327</v>
      </c>
      <c r="Q262" s="150" t="s">
        <v>998</v>
      </c>
      <c r="R262" s="150" t="s">
        <v>388</v>
      </c>
      <c r="S262" s="151">
        <v>43613</v>
      </c>
      <c r="T262" s="151">
        <v>44375</v>
      </c>
      <c r="U262" s="152"/>
      <c r="V262" s="150" t="s">
        <v>330</v>
      </c>
      <c r="W262" s="151"/>
      <c r="X262" s="150" t="s">
        <v>331</v>
      </c>
      <c r="Y262" s="150" t="s">
        <v>343</v>
      </c>
      <c r="Z262" s="150" t="s">
        <v>343</v>
      </c>
      <c r="AA262" s="150" t="s">
        <v>334</v>
      </c>
      <c r="AB262" s="153">
        <v>0.83652590000000004</v>
      </c>
      <c r="AC262" s="151">
        <v>44838</v>
      </c>
      <c r="AD262" s="150"/>
      <c r="AE262" s="151"/>
      <c r="AF262" s="150" t="s">
        <v>70</v>
      </c>
      <c r="AG262" s="152" t="s">
        <v>352</v>
      </c>
      <c r="AH262" s="150" t="s">
        <v>390</v>
      </c>
      <c r="AI262" s="99"/>
      <c r="AJ262" s="149"/>
      <c r="AK262" s="138">
        <v>69</v>
      </c>
      <c r="AL262" s="149"/>
      <c r="AM262" s="138">
        <v>8</v>
      </c>
      <c r="AN262" s="149">
        <v>1</v>
      </c>
      <c r="AO262" s="149">
        <v>32</v>
      </c>
      <c r="AP262" s="149">
        <v>39</v>
      </c>
      <c r="AQ262" s="149">
        <v>5</v>
      </c>
      <c r="AR262" s="149">
        <v>0</v>
      </c>
      <c r="AS262" s="149">
        <v>0</v>
      </c>
      <c r="AT262" s="149">
        <v>0</v>
      </c>
      <c r="AU262" s="149">
        <v>1</v>
      </c>
      <c r="AV262" s="149">
        <v>32</v>
      </c>
      <c r="AW262" s="149">
        <v>39</v>
      </c>
      <c r="AX262" s="149">
        <v>5</v>
      </c>
      <c r="AY262" s="149">
        <v>0</v>
      </c>
      <c r="AZ262" s="149">
        <v>0</v>
      </c>
      <c r="BA262" s="149">
        <v>0</v>
      </c>
      <c r="BB262" s="149">
        <v>0</v>
      </c>
      <c r="BC262" s="149">
        <v>0</v>
      </c>
      <c r="BD262" s="149">
        <v>0</v>
      </c>
      <c r="BE262" s="149">
        <v>0</v>
      </c>
      <c r="BF262" s="149">
        <v>0</v>
      </c>
      <c r="BG262" s="149">
        <v>0</v>
      </c>
      <c r="BH262" s="149">
        <v>0</v>
      </c>
      <c r="BI262" s="149">
        <v>0</v>
      </c>
      <c r="BJ262" s="149">
        <v>0</v>
      </c>
      <c r="BK262" s="149">
        <v>0</v>
      </c>
      <c r="BL262" s="149">
        <v>0</v>
      </c>
      <c r="BM262" s="149">
        <v>0</v>
      </c>
      <c r="BN262" s="149">
        <v>0</v>
      </c>
      <c r="BO262" s="149">
        <v>0</v>
      </c>
      <c r="BP262" s="152"/>
      <c r="BQ262" s="152" t="s">
        <v>327</v>
      </c>
      <c r="BR262" s="154" t="s">
        <v>149</v>
      </c>
      <c r="BS262" s="136">
        <v>5</v>
      </c>
      <c r="BT262" s="267"/>
      <c r="BU262" s="267">
        <f>M262</f>
        <v>77</v>
      </c>
      <c r="BV262" s="267"/>
      <c r="BW262" s="267"/>
      <c r="BX262" s="267"/>
      <c r="BY262" s="267"/>
      <c r="BZ262" s="267"/>
      <c r="CA262" s="267"/>
      <c r="CB262" s="267"/>
      <c r="CC262" s="267"/>
      <c r="CD262" s="267"/>
      <c r="CE262" s="267"/>
      <c r="CF262" s="267"/>
      <c r="CG262" s="267"/>
      <c r="CH262" s="267"/>
      <c r="CI262" s="267"/>
      <c r="CJ262" s="267"/>
      <c r="CK262" s="267"/>
      <c r="CL262" s="267"/>
      <c r="CM262" s="267"/>
      <c r="CN262" s="101">
        <f t="shared" si="18"/>
        <v>77</v>
      </c>
      <c r="CO262" s="101">
        <f t="shared" si="19"/>
        <v>77</v>
      </c>
    </row>
    <row r="263" spans="1:93" ht="13.9" customHeight="1" x14ac:dyDescent="0.2">
      <c r="A263" s="149">
        <v>54</v>
      </c>
      <c r="B263" s="150" t="s">
        <v>854</v>
      </c>
      <c r="C263" s="150" t="s">
        <v>1000</v>
      </c>
      <c r="D263" s="150" t="s">
        <v>1001</v>
      </c>
      <c r="E263" s="150" t="s">
        <v>326</v>
      </c>
      <c r="F263" s="149">
        <v>527320</v>
      </c>
      <c r="G263" s="149">
        <v>177144</v>
      </c>
      <c r="H263" s="150" t="s">
        <v>160</v>
      </c>
      <c r="I263" s="151">
        <v>45328</v>
      </c>
      <c r="J263" s="151"/>
      <c r="K263" s="149">
        <v>0</v>
      </c>
      <c r="L263" s="149">
        <v>5</v>
      </c>
      <c r="M263" s="149">
        <v>5</v>
      </c>
      <c r="N263" s="149">
        <v>5</v>
      </c>
      <c r="O263" s="149">
        <v>5</v>
      </c>
      <c r="P263" s="152"/>
      <c r="Q263" s="150" t="s">
        <v>1002</v>
      </c>
      <c r="R263" s="150" t="s">
        <v>329</v>
      </c>
      <c r="S263" s="151">
        <v>44112</v>
      </c>
      <c r="T263" s="151">
        <v>44256</v>
      </c>
      <c r="U263" s="152"/>
      <c r="V263" s="150" t="s">
        <v>330</v>
      </c>
      <c r="W263" s="151"/>
      <c r="X263" s="150" t="s">
        <v>331</v>
      </c>
      <c r="Y263" s="150" t="s">
        <v>491</v>
      </c>
      <c r="Z263" s="150" t="s">
        <v>334</v>
      </c>
      <c r="AA263" s="150" t="s">
        <v>413</v>
      </c>
      <c r="AB263" s="153">
        <v>0.02</v>
      </c>
      <c r="AC263" s="151">
        <v>45328</v>
      </c>
      <c r="AD263" s="152" t="s">
        <v>327</v>
      </c>
      <c r="AE263" s="151"/>
      <c r="AF263" s="150" t="s">
        <v>70</v>
      </c>
      <c r="AG263" s="152" t="s">
        <v>352</v>
      </c>
      <c r="AH263" s="150" t="s">
        <v>326</v>
      </c>
      <c r="AI263" s="99"/>
      <c r="AJ263" s="149"/>
      <c r="AK263" s="99"/>
      <c r="AL263" s="149"/>
      <c r="AM263" s="99"/>
      <c r="AN263" s="149">
        <v>0</v>
      </c>
      <c r="AO263" s="149">
        <v>0</v>
      </c>
      <c r="AP263" s="149">
        <v>0</v>
      </c>
      <c r="AQ263" s="149">
        <v>4</v>
      </c>
      <c r="AR263" s="149">
        <v>1</v>
      </c>
      <c r="AS263" s="149">
        <v>0</v>
      </c>
      <c r="AT263" s="149">
        <v>0</v>
      </c>
      <c r="AU263" s="149">
        <v>0</v>
      </c>
      <c r="AV263" s="149">
        <v>0</v>
      </c>
      <c r="AW263" s="149">
        <v>0</v>
      </c>
      <c r="AX263" s="149">
        <v>4</v>
      </c>
      <c r="AY263" s="149">
        <v>1</v>
      </c>
      <c r="AZ263" s="149">
        <v>0</v>
      </c>
      <c r="BA263" s="149">
        <v>0</v>
      </c>
      <c r="BB263" s="149">
        <v>0</v>
      </c>
      <c r="BC263" s="149">
        <v>0</v>
      </c>
      <c r="BD263" s="149">
        <v>0</v>
      </c>
      <c r="BE263" s="149">
        <v>0</v>
      </c>
      <c r="BF263" s="149">
        <v>0</v>
      </c>
      <c r="BG263" s="149">
        <v>0</v>
      </c>
      <c r="BH263" s="149">
        <v>0</v>
      </c>
      <c r="BI263" s="149">
        <v>0</v>
      </c>
      <c r="BJ263" s="149">
        <v>0</v>
      </c>
      <c r="BK263" s="149">
        <v>0</v>
      </c>
      <c r="BL263" s="149">
        <v>0</v>
      </c>
      <c r="BM263" s="149">
        <v>0</v>
      </c>
      <c r="BN263" s="149">
        <v>0</v>
      </c>
      <c r="BO263" s="149">
        <v>0</v>
      </c>
      <c r="BP263" s="152"/>
      <c r="BQ263" s="152"/>
      <c r="BR263" s="154" t="s">
        <v>408</v>
      </c>
      <c r="BS263" s="136">
        <v>14</v>
      </c>
      <c r="BT263" s="267"/>
      <c r="BU263" s="267">
        <f>M263/2</f>
        <v>2.5</v>
      </c>
      <c r="BV263" s="267">
        <f>M263/2</f>
        <v>2.5</v>
      </c>
      <c r="BW263" s="267"/>
      <c r="BX263" s="267"/>
      <c r="BY263" s="267"/>
      <c r="BZ263" s="267"/>
      <c r="CA263" s="267"/>
      <c r="CB263" s="267"/>
      <c r="CC263" s="267"/>
      <c r="CD263" s="267"/>
      <c r="CE263" s="267"/>
      <c r="CF263" s="267"/>
      <c r="CG263" s="267"/>
      <c r="CH263" s="267"/>
      <c r="CI263" s="267"/>
      <c r="CJ263" s="267"/>
      <c r="CK263" s="267"/>
      <c r="CL263" s="267"/>
      <c r="CM263" s="267"/>
      <c r="CN263" s="101">
        <f t="shared" si="18"/>
        <v>5</v>
      </c>
      <c r="CO263" s="101">
        <f t="shared" si="19"/>
        <v>5</v>
      </c>
    </row>
    <row r="264" spans="1:93" ht="13.9" customHeight="1" x14ac:dyDescent="0.2">
      <c r="A264" s="149">
        <v>7317</v>
      </c>
      <c r="B264" s="150" t="s">
        <v>854</v>
      </c>
      <c r="C264" s="150" t="s">
        <v>1003</v>
      </c>
      <c r="D264" s="150" t="s">
        <v>1004</v>
      </c>
      <c r="E264" s="150" t="s">
        <v>326</v>
      </c>
      <c r="F264" s="149">
        <v>527570</v>
      </c>
      <c r="G264" s="149">
        <v>171707</v>
      </c>
      <c r="H264" s="150" t="s">
        <v>172</v>
      </c>
      <c r="I264" s="151">
        <v>44876</v>
      </c>
      <c r="J264" s="151"/>
      <c r="K264" s="149">
        <v>1</v>
      </c>
      <c r="L264" s="149">
        <v>0</v>
      </c>
      <c r="M264" s="149">
        <v>-1</v>
      </c>
      <c r="N264" s="149">
        <v>0</v>
      </c>
      <c r="O264" s="149">
        <v>-1</v>
      </c>
      <c r="P264" s="152"/>
      <c r="Q264" s="150" t="s">
        <v>1005</v>
      </c>
      <c r="R264" s="150" t="s">
        <v>349</v>
      </c>
      <c r="S264" s="151">
        <v>43804</v>
      </c>
      <c r="T264" s="151">
        <v>43879</v>
      </c>
      <c r="U264" s="152"/>
      <c r="V264" s="150" t="s">
        <v>330</v>
      </c>
      <c r="W264" s="151"/>
      <c r="X264" s="150" t="s">
        <v>331</v>
      </c>
      <c r="Y264" s="150" t="s">
        <v>398</v>
      </c>
      <c r="Z264" s="150" t="s">
        <v>334</v>
      </c>
      <c r="AA264" s="150" t="s">
        <v>35</v>
      </c>
      <c r="AB264" s="153">
        <v>0.10100000000000001</v>
      </c>
      <c r="AC264" s="151">
        <v>44876</v>
      </c>
      <c r="AD264" s="150"/>
      <c r="AE264" s="151"/>
      <c r="AF264" s="150" t="s">
        <v>70</v>
      </c>
      <c r="AG264" s="152" t="s">
        <v>352</v>
      </c>
      <c r="AH264" s="150" t="s">
        <v>326</v>
      </c>
      <c r="AI264" s="99"/>
      <c r="AJ264" s="149"/>
      <c r="AK264" s="99"/>
      <c r="AL264" s="149"/>
      <c r="AM264" s="99"/>
      <c r="AN264" s="149">
        <v>0</v>
      </c>
      <c r="AO264" s="149">
        <v>0</v>
      </c>
      <c r="AP264" s="149">
        <v>0</v>
      </c>
      <c r="AQ264" s="149">
        <v>0</v>
      </c>
      <c r="AR264" s="149">
        <v>0</v>
      </c>
      <c r="AS264" s="149">
        <v>-1</v>
      </c>
      <c r="AT264" s="149">
        <v>0</v>
      </c>
      <c r="AU264" s="149">
        <v>0</v>
      </c>
      <c r="AV264" s="149">
        <v>0</v>
      </c>
      <c r="AW264" s="149">
        <v>0</v>
      </c>
      <c r="AX264" s="149">
        <v>0</v>
      </c>
      <c r="AY264" s="149">
        <v>0</v>
      </c>
      <c r="AZ264" s="149">
        <v>-1</v>
      </c>
      <c r="BA264" s="149">
        <v>0</v>
      </c>
      <c r="BB264" s="149">
        <v>0</v>
      </c>
      <c r="BC264" s="149">
        <v>0</v>
      </c>
      <c r="BD264" s="149">
        <v>0</v>
      </c>
      <c r="BE264" s="149">
        <v>0</v>
      </c>
      <c r="BF264" s="149">
        <v>0</v>
      </c>
      <c r="BG264" s="149">
        <v>0</v>
      </c>
      <c r="BH264" s="149">
        <v>0</v>
      </c>
      <c r="BI264" s="149">
        <v>0</v>
      </c>
      <c r="BJ264" s="149">
        <v>0</v>
      </c>
      <c r="BK264" s="149">
        <v>0</v>
      </c>
      <c r="BL264" s="149">
        <v>0</v>
      </c>
      <c r="BM264" s="149">
        <v>0</v>
      </c>
      <c r="BN264" s="149">
        <v>0</v>
      </c>
      <c r="BO264" s="149">
        <v>0</v>
      </c>
      <c r="BP264" s="152" t="s">
        <v>142</v>
      </c>
      <c r="BQ264" s="152"/>
      <c r="BR264" s="154" t="s">
        <v>142</v>
      </c>
      <c r="BS264" s="136">
        <v>13</v>
      </c>
      <c r="BT264" s="267"/>
      <c r="BU264" s="267">
        <f t="shared" ref="BU264:BU289" si="20">M264</f>
        <v>-1</v>
      </c>
      <c r="BV264" s="267"/>
      <c r="BW264" s="267"/>
      <c r="BX264" s="267"/>
      <c r="BY264" s="267"/>
      <c r="BZ264" s="267"/>
      <c r="CA264" s="267"/>
      <c r="CB264" s="267"/>
      <c r="CC264" s="267"/>
      <c r="CD264" s="267"/>
      <c r="CE264" s="267"/>
      <c r="CF264" s="267"/>
      <c r="CG264" s="267"/>
      <c r="CH264" s="267"/>
      <c r="CI264" s="267"/>
      <c r="CJ264" s="267"/>
      <c r="CK264" s="267"/>
      <c r="CL264" s="267"/>
      <c r="CM264" s="267"/>
      <c r="CN264" s="101">
        <f t="shared" si="18"/>
        <v>-1</v>
      </c>
      <c r="CO264" s="101">
        <f t="shared" si="19"/>
        <v>-1</v>
      </c>
    </row>
    <row r="265" spans="1:93" ht="13.9" customHeight="1" x14ac:dyDescent="0.2">
      <c r="A265" s="149">
        <v>7211</v>
      </c>
      <c r="B265" s="150" t="s">
        <v>854</v>
      </c>
      <c r="C265" s="150" t="s">
        <v>1006</v>
      </c>
      <c r="D265" s="150" t="s">
        <v>1007</v>
      </c>
      <c r="E265" s="150" t="s">
        <v>326</v>
      </c>
      <c r="F265" s="149">
        <v>527235</v>
      </c>
      <c r="G265" s="149">
        <v>171597</v>
      </c>
      <c r="H265" s="150" t="s">
        <v>173</v>
      </c>
      <c r="I265" s="151">
        <v>44964</v>
      </c>
      <c r="J265" s="151"/>
      <c r="K265" s="149">
        <v>0</v>
      </c>
      <c r="L265" s="149">
        <v>1</v>
      </c>
      <c r="M265" s="149">
        <v>1</v>
      </c>
      <c r="N265" s="149">
        <v>1</v>
      </c>
      <c r="O265" s="149">
        <v>1</v>
      </c>
      <c r="P265" s="152"/>
      <c r="Q265" s="150" t="s">
        <v>1008</v>
      </c>
      <c r="R265" s="150" t="s">
        <v>349</v>
      </c>
      <c r="S265" s="151">
        <v>43851</v>
      </c>
      <c r="T265" s="151">
        <v>43882</v>
      </c>
      <c r="U265" s="152"/>
      <c r="V265" s="150" t="s">
        <v>330</v>
      </c>
      <c r="W265" s="151"/>
      <c r="X265" s="150" t="s">
        <v>331</v>
      </c>
      <c r="Y265" s="150" t="s">
        <v>343</v>
      </c>
      <c r="Z265" s="150" t="s">
        <v>334</v>
      </c>
      <c r="AA265" s="150" t="s">
        <v>363</v>
      </c>
      <c r="AB265" s="153">
        <v>8.9999999999999993E-3</v>
      </c>
      <c r="AC265" s="151">
        <v>44964</v>
      </c>
      <c r="AD265" s="150"/>
      <c r="AE265" s="151"/>
      <c r="AF265" s="150" t="s">
        <v>70</v>
      </c>
      <c r="AG265" s="152" t="s">
        <v>352</v>
      </c>
      <c r="AH265" s="150" t="s">
        <v>326</v>
      </c>
      <c r="AI265" s="99"/>
      <c r="AJ265" s="149"/>
      <c r="AK265" s="99"/>
      <c r="AL265" s="149"/>
      <c r="AM265" s="99"/>
      <c r="AN265" s="149">
        <v>0</v>
      </c>
      <c r="AO265" s="149">
        <v>0</v>
      </c>
      <c r="AP265" s="149">
        <v>1</v>
      </c>
      <c r="AQ265" s="149">
        <v>0</v>
      </c>
      <c r="AR265" s="149">
        <v>0</v>
      </c>
      <c r="AS265" s="149">
        <v>0</v>
      </c>
      <c r="AT265" s="149">
        <v>0</v>
      </c>
      <c r="AU265" s="149">
        <v>0</v>
      </c>
      <c r="AV265" s="149">
        <v>0</v>
      </c>
      <c r="AW265" s="149">
        <v>1</v>
      </c>
      <c r="AX265" s="149">
        <v>0</v>
      </c>
      <c r="AY265" s="149">
        <v>0</v>
      </c>
      <c r="AZ265" s="149">
        <v>0</v>
      </c>
      <c r="BA265" s="149">
        <v>0</v>
      </c>
      <c r="BB265" s="149">
        <v>0</v>
      </c>
      <c r="BC265" s="149">
        <v>0</v>
      </c>
      <c r="BD265" s="149">
        <v>0</v>
      </c>
      <c r="BE265" s="149">
        <v>0</v>
      </c>
      <c r="BF265" s="149">
        <v>0</v>
      </c>
      <c r="BG265" s="149">
        <v>0</v>
      </c>
      <c r="BH265" s="149">
        <v>0</v>
      </c>
      <c r="BI265" s="149">
        <v>0</v>
      </c>
      <c r="BJ265" s="149">
        <v>0</v>
      </c>
      <c r="BK265" s="149">
        <v>0</v>
      </c>
      <c r="BL265" s="149">
        <v>0</v>
      </c>
      <c r="BM265" s="149">
        <v>0</v>
      </c>
      <c r="BN265" s="149">
        <v>0</v>
      </c>
      <c r="BO265" s="149">
        <v>0</v>
      </c>
      <c r="BP265" s="152"/>
      <c r="BQ265" s="152"/>
      <c r="BR265" s="154" t="s">
        <v>142</v>
      </c>
      <c r="BS265" s="136">
        <v>3</v>
      </c>
      <c r="BT265" s="267"/>
      <c r="BU265" s="267">
        <f t="shared" si="20"/>
        <v>1</v>
      </c>
      <c r="BV265" s="267"/>
      <c r="BW265" s="267"/>
      <c r="BX265" s="267"/>
      <c r="BY265" s="267"/>
      <c r="BZ265" s="267"/>
      <c r="CA265" s="267"/>
      <c r="CB265" s="267"/>
      <c r="CC265" s="267"/>
      <c r="CD265" s="267"/>
      <c r="CE265" s="267"/>
      <c r="CF265" s="267"/>
      <c r="CG265" s="267"/>
      <c r="CH265" s="267"/>
      <c r="CI265" s="267"/>
      <c r="CJ265" s="267"/>
      <c r="CK265" s="267"/>
      <c r="CL265" s="267"/>
      <c r="CM265" s="267"/>
      <c r="CN265" s="101">
        <f t="shared" si="18"/>
        <v>1</v>
      </c>
      <c r="CO265" s="101">
        <f t="shared" si="19"/>
        <v>1</v>
      </c>
    </row>
    <row r="266" spans="1:93" ht="13.9" customHeight="1" x14ac:dyDescent="0.2">
      <c r="A266" s="149">
        <v>3522</v>
      </c>
      <c r="B266" s="150" t="s">
        <v>854</v>
      </c>
      <c r="C266" s="150" t="s">
        <v>477</v>
      </c>
      <c r="D266" s="150" t="s">
        <v>478</v>
      </c>
      <c r="E266" s="150" t="s">
        <v>1009</v>
      </c>
      <c r="F266" s="149">
        <v>525912</v>
      </c>
      <c r="G266" s="149">
        <v>175143</v>
      </c>
      <c r="H266" s="150" t="s">
        <v>170</v>
      </c>
      <c r="I266" s="151">
        <v>43922</v>
      </c>
      <c r="J266" s="151"/>
      <c r="K266" s="149">
        <v>0</v>
      </c>
      <c r="L266" s="149">
        <v>128</v>
      </c>
      <c r="M266" s="149">
        <v>128</v>
      </c>
      <c r="N266" s="149">
        <v>480</v>
      </c>
      <c r="O266" s="149">
        <v>480</v>
      </c>
      <c r="P266" s="152" t="s">
        <v>327</v>
      </c>
      <c r="Q266" s="150" t="s">
        <v>480</v>
      </c>
      <c r="R266" s="150" t="s">
        <v>381</v>
      </c>
      <c r="S266" s="151">
        <v>43836</v>
      </c>
      <c r="T266" s="151">
        <v>44474</v>
      </c>
      <c r="U266" s="152"/>
      <c r="V266" s="150" t="s">
        <v>330</v>
      </c>
      <c r="W266" s="151"/>
      <c r="X266" s="150" t="s">
        <v>331</v>
      </c>
      <c r="Y266" s="150" t="s">
        <v>343</v>
      </c>
      <c r="Z266" s="150" t="s">
        <v>343</v>
      </c>
      <c r="AA266" s="150" t="s">
        <v>334</v>
      </c>
      <c r="AB266" s="153">
        <v>0.127</v>
      </c>
      <c r="AC266" s="151">
        <v>44652</v>
      </c>
      <c r="AD266" s="150"/>
      <c r="AE266" s="151"/>
      <c r="AF266" s="150" t="s">
        <v>70</v>
      </c>
      <c r="AG266" s="152" t="s">
        <v>352</v>
      </c>
      <c r="AH266" s="150" t="s">
        <v>482</v>
      </c>
      <c r="AI266" s="99"/>
      <c r="AJ266" s="149"/>
      <c r="AK266" s="99"/>
      <c r="AL266" s="149"/>
      <c r="AM266" s="138"/>
      <c r="AN266" s="149">
        <v>0</v>
      </c>
      <c r="AO266" s="149">
        <v>64</v>
      </c>
      <c r="AP266" s="149">
        <v>64</v>
      </c>
      <c r="AQ266" s="149">
        <v>0</v>
      </c>
      <c r="AR266" s="149">
        <v>0</v>
      </c>
      <c r="AS266" s="149">
        <v>0</v>
      </c>
      <c r="AT266" s="149">
        <v>0</v>
      </c>
      <c r="AU266" s="149">
        <v>0</v>
      </c>
      <c r="AV266" s="149">
        <v>64</v>
      </c>
      <c r="AW266" s="149">
        <v>64</v>
      </c>
      <c r="AX266" s="149">
        <v>0</v>
      </c>
      <c r="AY266" s="149">
        <v>0</v>
      </c>
      <c r="AZ266" s="149">
        <v>0</v>
      </c>
      <c r="BA266" s="149">
        <v>0</v>
      </c>
      <c r="BB266" s="149">
        <v>0</v>
      </c>
      <c r="BC266" s="149">
        <v>0</v>
      </c>
      <c r="BD266" s="149">
        <v>0</v>
      </c>
      <c r="BE266" s="149">
        <v>0</v>
      </c>
      <c r="BF266" s="149">
        <v>0</v>
      </c>
      <c r="BG266" s="149">
        <v>0</v>
      </c>
      <c r="BH266" s="149">
        <v>0</v>
      </c>
      <c r="BI266" s="149">
        <v>0</v>
      </c>
      <c r="BJ266" s="149">
        <v>0</v>
      </c>
      <c r="BK266" s="149">
        <v>0</v>
      </c>
      <c r="BL266" s="149">
        <v>0</v>
      </c>
      <c r="BM266" s="149">
        <v>0</v>
      </c>
      <c r="BN266" s="149">
        <v>0</v>
      </c>
      <c r="BO266" s="149">
        <v>0</v>
      </c>
      <c r="BP266" s="152"/>
      <c r="BQ266" s="152"/>
      <c r="BR266" s="154" t="s">
        <v>463</v>
      </c>
      <c r="BS266" s="136">
        <v>5</v>
      </c>
      <c r="BT266" s="267"/>
      <c r="BU266" s="267">
        <f t="shared" si="20"/>
        <v>128</v>
      </c>
      <c r="BV266" s="267"/>
      <c r="BW266" s="267"/>
      <c r="BX266" s="267"/>
      <c r="BY266" s="267"/>
      <c r="BZ266" s="267"/>
      <c r="CA266" s="267"/>
      <c r="CB266" s="267"/>
      <c r="CC266" s="267"/>
      <c r="CD266" s="267"/>
      <c r="CE266" s="267"/>
      <c r="CF266" s="267"/>
      <c r="CG266" s="267"/>
      <c r="CH266" s="267"/>
      <c r="CI266" s="267"/>
      <c r="CJ266" s="267"/>
      <c r="CK266" s="267"/>
      <c r="CL266" s="267"/>
      <c r="CM266" s="267"/>
      <c r="CN266" s="101">
        <f t="shared" si="18"/>
        <v>128</v>
      </c>
      <c r="CO266" s="101">
        <f t="shared" si="19"/>
        <v>128</v>
      </c>
    </row>
    <row r="267" spans="1:93" ht="13.9" customHeight="1" x14ac:dyDescent="0.2">
      <c r="A267" s="149">
        <v>3522</v>
      </c>
      <c r="B267" s="150" t="s">
        <v>854</v>
      </c>
      <c r="C267" s="150" t="s">
        <v>477</v>
      </c>
      <c r="D267" s="150" t="s">
        <v>478</v>
      </c>
      <c r="E267" s="150" t="s">
        <v>1010</v>
      </c>
      <c r="F267" s="149">
        <v>525912</v>
      </c>
      <c r="G267" s="149">
        <v>175143</v>
      </c>
      <c r="H267" s="150" t="s">
        <v>170</v>
      </c>
      <c r="I267" s="151">
        <v>43922</v>
      </c>
      <c r="J267" s="151"/>
      <c r="K267" s="149">
        <v>0</v>
      </c>
      <c r="L267" s="149">
        <v>94</v>
      </c>
      <c r="M267" s="149">
        <v>94</v>
      </c>
      <c r="N267" s="149">
        <v>480</v>
      </c>
      <c r="O267" s="149">
        <v>480</v>
      </c>
      <c r="P267" s="152" t="s">
        <v>327</v>
      </c>
      <c r="Q267" s="150" t="s">
        <v>480</v>
      </c>
      <c r="R267" s="150" t="s">
        <v>381</v>
      </c>
      <c r="S267" s="151">
        <v>43836</v>
      </c>
      <c r="T267" s="151">
        <v>44474</v>
      </c>
      <c r="U267" s="152"/>
      <c r="V267" s="150" t="s">
        <v>330</v>
      </c>
      <c r="W267" s="151"/>
      <c r="X267" s="150" t="s">
        <v>331</v>
      </c>
      <c r="Y267" s="150" t="s">
        <v>343</v>
      </c>
      <c r="Z267" s="150" t="s">
        <v>343</v>
      </c>
      <c r="AA267" s="150" t="s">
        <v>334</v>
      </c>
      <c r="AB267" s="153">
        <v>9.2999999999999999E-2</v>
      </c>
      <c r="AC267" s="151">
        <v>44652</v>
      </c>
      <c r="AD267" s="150"/>
      <c r="AE267" s="151"/>
      <c r="AF267" s="150" t="s">
        <v>70</v>
      </c>
      <c r="AG267" s="152" t="s">
        <v>352</v>
      </c>
      <c r="AH267" s="150" t="s">
        <v>482</v>
      </c>
      <c r="AI267" s="99"/>
      <c r="AJ267" s="149"/>
      <c r="AK267" s="99"/>
      <c r="AL267" s="149"/>
      <c r="AM267" s="138">
        <v>10</v>
      </c>
      <c r="AN267" s="149">
        <v>0</v>
      </c>
      <c r="AO267" s="149">
        <v>67</v>
      </c>
      <c r="AP267" s="149">
        <v>17</v>
      </c>
      <c r="AQ267" s="149">
        <v>10</v>
      </c>
      <c r="AR267" s="149">
        <v>0</v>
      </c>
      <c r="AS267" s="149">
        <v>0</v>
      </c>
      <c r="AT267" s="149">
        <v>0</v>
      </c>
      <c r="AU267" s="149">
        <v>0</v>
      </c>
      <c r="AV267" s="149">
        <v>67</v>
      </c>
      <c r="AW267" s="149">
        <v>17</v>
      </c>
      <c r="AX267" s="149">
        <v>10</v>
      </c>
      <c r="AY267" s="149">
        <v>0</v>
      </c>
      <c r="AZ267" s="149">
        <v>0</v>
      </c>
      <c r="BA267" s="149">
        <v>0</v>
      </c>
      <c r="BB267" s="149">
        <v>0</v>
      </c>
      <c r="BC267" s="149">
        <v>0</v>
      </c>
      <c r="BD267" s="149">
        <v>0</v>
      </c>
      <c r="BE267" s="149">
        <v>0</v>
      </c>
      <c r="BF267" s="149">
        <v>0</v>
      </c>
      <c r="BG267" s="149">
        <v>0</v>
      </c>
      <c r="BH267" s="149">
        <v>0</v>
      </c>
      <c r="BI267" s="149">
        <v>0</v>
      </c>
      <c r="BJ267" s="149">
        <v>0</v>
      </c>
      <c r="BK267" s="149">
        <v>0</v>
      </c>
      <c r="BL267" s="149">
        <v>0</v>
      </c>
      <c r="BM267" s="149">
        <v>0</v>
      </c>
      <c r="BN267" s="149">
        <v>0</v>
      </c>
      <c r="BO267" s="149">
        <v>0</v>
      </c>
      <c r="BP267" s="152"/>
      <c r="BQ267" s="152"/>
      <c r="BR267" s="154" t="s">
        <v>463</v>
      </c>
      <c r="BS267" s="136">
        <v>5</v>
      </c>
      <c r="BT267" s="267"/>
      <c r="BU267" s="267">
        <f t="shared" si="20"/>
        <v>94</v>
      </c>
      <c r="BV267" s="267"/>
      <c r="BW267" s="267"/>
      <c r="BX267" s="267"/>
      <c r="BY267" s="267"/>
      <c r="BZ267" s="267"/>
      <c r="CA267" s="267"/>
      <c r="CB267" s="267"/>
      <c r="CC267" s="267"/>
      <c r="CD267" s="267"/>
      <c r="CE267" s="267"/>
      <c r="CF267" s="267"/>
      <c r="CG267" s="267"/>
      <c r="CH267" s="267"/>
      <c r="CI267" s="267"/>
      <c r="CJ267" s="267"/>
      <c r="CK267" s="267"/>
      <c r="CL267" s="267"/>
      <c r="CM267" s="267"/>
      <c r="CN267" s="101">
        <f t="shared" si="18"/>
        <v>94</v>
      </c>
      <c r="CO267" s="101">
        <f t="shared" si="19"/>
        <v>94</v>
      </c>
    </row>
    <row r="268" spans="1:93" ht="13.9" customHeight="1" x14ac:dyDescent="0.2">
      <c r="A268" s="149">
        <v>3522</v>
      </c>
      <c r="B268" s="150" t="s">
        <v>854</v>
      </c>
      <c r="C268" s="150" t="s">
        <v>477</v>
      </c>
      <c r="D268" s="150" t="s">
        <v>478</v>
      </c>
      <c r="E268" s="150" t="s">
        <v>1011</v>
      </c>
      <c r="F268" s="149">
        <v>525912</v>
      </c>
      <c r="G268" s="149">
        <v>175143</v>
      </c>
      <c r="H268" s="150" t="s">
        <v>170</v>
      </c>
      <c r="I268" s="151">
        <v>43922</v>
      </c>
      <c r="J268" s="151"/>
      <c r="K268" s="149">
        <v>0</v>
      </c>
      <c r="L268" s="149">
        <v>99</v>
      </c>
      <c r="M268" s="149">
        <v>99</v>
      </c>
      <c r="N268" s="149">
        <v>480</v>
      </c>
      <c r="O268" s="149">
        <v>480</v>
      </c>
      <c r="P268" s="152" t="s">
        <v>327</v>
      </c>
      <c r="Q268" s="150" t="s">
        <v>480</v>
      </c>
      <c r="R268" s="150" t="s">
        <v>381</v>
      </c>
      <c r="S268" s="151">
        <v>43836</v>
      </c>
      <c r="T268" s="151">
        <v>44474</v>
      </c>
      <c r="U268" s="152"/>
      <c r="V268" s="150" t="s">
        <v>330</v>
      </c>
      <c r="W268" s="151"/>
      <c r="X268" s="150" t="s">
        <v>331</v>
      </c>
      <c r="Y268" s="150" t="s">
        <v>343</v>
      </c>
      <c r="Z268" s="150" t="s">
        <v>343</v>
      </c>
      <c r="AA268" s="150" t="s">
        <v>334</v>
      </c>
      <c r="AB268" s="153">
        <v>9.8000000000000004E-2</v>
      </c>
      <c r="AC268" s="151">
        <v>44652</v>
      </c>
      <c r="AD268" s="150"/>
      <c r="AE268" s="151"/>
      <c r="AF268" s="150" t="s">
        <v>70</v>
      </c>
      <c r="AG268" s="152" t="s">
        <v>352</v>
      </c>
      <c r="AH268" s="150" t="s">
        <v>482</v>
      </c>
      <c r="AI268" s="99"/>
      <c r="AJ268" s="149"/>
      <c r="AK268" s="99"/>
      <c r="AL268" s="149"/>
      <c r="AM268" s="138">
        <v>10</v>
      </c>
      <c r="AN268" s="149">
        <v>0</v>
      </c>
      <c r="AO268" s="149">
        <v>62</v>
      </c>
      <c r="AP268" s="149">
        <v>27</v>
      </c>
      <c r="AQ268" s="149">
        <v>10</v>
      </c>
      <c r="AR268" s="149">
        <v>0</v>
      </c>
      <c r="AS268" s="149">
        <v>0</v>
      </c>
      <c r="AT268" s="149">
        <v>0</v>
      </c>
      <c r="AU268" s="149">
        <v>0</v>
      </c>
      <c r="AV268" s="149">
        <v>62</v>
      </c>
      <c r="AW268" s="149">
        <v>27</v>
      </c>
      <c r="AX268" s="149">
        <v>10</v>
      </c>
      <c r="AY268" s="149">
        <v>0</v>
      </c>
      <c r="AZ268" s="149">
        <v>0</v>
      </c>
      <c r="BA268" s="149">
        <v>0</v>
      </c>
      <c r="BB268" s="149">
        <v>0</v>
      </c>
      <c r="BC268" s="149">
        <v>0</v>
      </c>
      <c r="BD268" s="149">
        <v>0</v>
      </c>
      <c r="BE268" s="149">
        <v>0</v>
      </c>
      <c r="BF268" s="149">
        <v>0</v>
      </c>
      <c r="BG268" s="149">
        <v>0</v>
      </c>
      <c r="BH268" s="149">
        <v>0</v>
      </c>
      <c r="BI268" s="149">
        <v>0</v>
      </c>
      <c r="BJ268" s="149">
        <v>0</v>
      </c>
      <c r="BK268" s="149">
        <v>0</v>
      </c>
      <c r="BL268" s="149">
        <v>0</v>
      </c>
      <c r="BM268" s="149">
        <v>0</v>
      </c>
      <c r="BN268" s="149">
        <v>0</v>
      </c>
      <c r="BO268" s="149">
        <v>0</v>
      </c>
      <c r="BP268" s="152"/>
      <c r="BQ268" s="152"/>
      <c r="BR268" s="154" t="s">
        <v>463</v>
      </c>
      <c r="BS268" s="136">
        <v>5</v>
      </c>
      <c r="BT268" s="267"/>
      <c r="BU268" s="267">
        <f t="shared" si="20"/>
        <v>99</v>
      </c>
      <c r="BV268" s="267"/>
      <c r="BW268" s="267"/>
      <c r="BX268" s="267"/>
      <c r="BY268" s="267"/>
      <c r="BZ268" s="267"/>
      <c r="CA268" s="267"/>
      <c r="CB268" s="267"/>
      <c r="CC268" s="267"/>
      <c r="CD268" s="267"/>
      <c r="CE268" s="267"/>
      <c r="CF268" s="267"/>
      <c r="CG268" s="267"/>
      <c r="CH268" s="267"/>
      <c r="CI268" s="267"/>
      <c r="CJ268" s="267"/>
      <c r="CK268" s="267"/>
      <c r="CL268" s="267"/>
      <c r="CM268" s="267"/>
      <c r="CN268" s="101">
        <f t="shared" si="18"/>
        <v>99</v>
      </c>
      <c r="CO268" s="101">
        <f t="shared" si="19"/>
        <v>99</v>
      </c>
    </row>
    <row r="269" spans="1:93" ht="13.9" customHeight="1" x14ac:dyDescent="0.2">
      <c r="A269" s="149">
        <v>3522</v>
      </c>
      <c r="B269" s="150" t="s">
        <v>854</v>
      </c>
      <c r="C269" s="150" t="s">
        <v>477</v>
      </c>
      <c r="D269" s="150" t="s">
        <v>478</v>
      </c>
      <c r="E269" s="150" t="s">
        <v>483</v>
      </c>
      <c r="F269" s="149">
        <v>525912</v>
      </c>
      <c r="G269" s="149">
        <v>175143</v>
      </c>
      <c r="H269" s="150" t="s">
        <v>170</v>
      </c>
      <c r="I269" s="151">
        <v>43922</v>
      </c>
      <c r="J269" s="151"/>
      <c r="K269" s="149">
        <v>0</v>
      </c>
      <c r="L269" s="149">
        <v>19</v>
      </c>
      <c r="M269" s="149">
        <v>19</v>
      </c>
      <c r="N269" s="149">
        <v>480</v>
      </c>
      <c r="O269" s="149">
        <v>480</v>
      </c>
      <c r="P269" s="152" t="s">
        <v>327</v>
      </c>
      <c r="Q269" s="150" t="s">
        <v>480</v>
      </c>
      <c r="R269" s="150" t="s">
        <v>381</v>
      </c>
      <c r="S269" s="151">
        <v>43836</v>
      </c>
      <c r="T269" s="151">
        <v>44474</v>
      </c>
      <c r="U269" s="152"/>
      <c r="V269" s="150" t="s">
        <v>330</v>
      </c>
      <c r="W269" s="151"/>
      <c r="X269" s="150" t="s">
        <v>331</v>
      </c>
      <c r="Y269" s="150" t="s">
        <v>343</v>
      </c>
      <c r="Z269" s="150" t="s">
        <v>343</v>
      </c>
      <c r="AA269" s="150" t="s">
        <v>334</v>
      </c>
      <c r="AB269" s="153">
        <v>1.83E-2</v>
      </c>
      <c r="AC269" s="151">
        <v>44652</v>
      </c>
      <c r="AD269" s="150"/>
      <c r="AE269" s="151"/>
      <c r="AF269" s="150" t="s">
        <v>48</v>
      </c>
      <c r="AG269" s="152" t="s">
        <v>344</v>
      </c>
      <c r="AH269" s="150" t="s">
        <v>482</v>
      </c>
      <c r="AI269" s="99"/>
      <c r="AJ269" s="149"/>
      <c r="AK269" s="99"/>
      <c r="AL269" s="149"/>
      <c r="AM269" s="99"/>
      <c r="AN269" s="149">
        <v>0</v>
      </c>
      <c r="AO269" s="149">
        <v>9</v>
      </c>
      <c r="AP269" s="149">
        <v>9</v>
      </c>
      <c r="AQ269" s="149">
        <v>1</v>
      </c>
      <c r="AR269" s="149">
        <v>0</v>
      </c>
      <c r="AS269" s="149">
        <v>0</v>
      </c>
      <c r="AT269" s="149">
        <v>0</v>
      </c>
      <c r="AU269" s="149">
        <v>0</v>
      </c>
      <c r="AV269" s="149">
        <v>9</v>
      </c>
      <c r="AW269" s="149">
        <v>9</v>
      </c>
      <c r="AX269" s="149">
        <v>1</v>
      </c>
      <c r="AY269" s="149">
        <v>0</v>
      </c>
      <c r="AZ269" s="149">
        <v>0</v>
      </c>
      <c r="BA269" s="149">
        <v>0</v>
      </c>
      <c r="BB269" s="149">
        <v>0</v>
      </c>
      <c r="BC269" s="149">
        <v>0</v>
      </c>
      <c r="BD269" s="149">
        <v>0</v>
      </c>
      <c r="BE269" s="149">
        <v>0</v>
      </c>
      <c r="BF269" s="149">
        <v>0</v>
      </c>
      <c r="BG269" s="149">
        <v>0</v>
      </c>
      <c r="BH269" s="149">
        <v>0</v>
      </c>
      <c r="BI269" s="149">
        <v>0</v>
      </c>
      <c r="BJ269" s="149">
        <v>0</v>
      </c>
      <c r="BK269" s="149">
        <v>0</v>
      </c>
      <c r="BL269" s="149">
        <v>0</v>
      </c>
      <c r="BM269" s="149">
        <v>0</v>
      </c>
      <c r="BN269" s="149">
        <v>0</v>
      </c>
      <c r="BO269" s="149">
        <v>0</v>
      </c>
      <c r="BP269" s="152"/>
      <c r="BQ269" s="152"/>
      <c r="BR269" s="154" t="s">
        <v>463</v>
      </c>
      <c r="BS269" s="136">
        <v>5</v>
      </c>
      <c r="BT269" s="267"/>
      <c r="BU269" s="267">
        <f t="shared" si="20"/>
        <v>19</v>
      </c>
      <c r="BV269" s="267"/>
      <c r="BW269" s="267"/>
      <c r="BX269" s="267"/>
      <c r="BY269" s="267"/>
      <c r="BZ269" s="267"/>
      <c r="CA269" s="267"/>
      <c r="CB269" s="267"/>
      <c r="CC269" s="267"/>
      <c r="CD269" s="267"/>
      <c r="CE269" s="267"/>
      <c r="CF269" s="267"/>
      <c r="CG269" s="267"/>
      <c r="CH269" s="267"/>
      <c r="CI269" s="267"/>
      <c r="CJ269" s="267"/>
      <c r="CK269" s="267"/>
      <c r="CL269" s="267"/>
      <c r="CM269" s="267"/>
      <c r="CN269" s="101">
        <f t="shared" si="18"/>
        <v>19</v>
      </c>
      <c r="CO269" s="101">
        <f t="shared" si="19"/>
        <v>19</v>
      </c>
    </row>
    <row r="270" spans="1:93" ht="13.9" customHeight="1" x14ac:dyDescent="0.2">
      <c r="A270" s="149">
        <v>3943</v>
      </c>
      <c r="B270" s="150" t="s">
        <v>854</v>
      </c>
      <c r="C270" s="150" t="s">
        <v>996</v>
      </c>
      <c r="D270" s="150" t="s">
        <v>385</v>
      </c>
      <c r="E270" s="150" t="s">
        <v>1012</v>
      </c>
      <c r="F270" s="149">
        <v>529575</v>
      </c>
      <c r="G270" s="149">
        <v>177401</v>
      </c>
      <c r="H270" s="150" t="s">
        <v>149</v>
      </c>
      <c r="I270" s="151">
        <v>44838</v>
      </c>
      <c r="J270" s="151"/>
      <c r="K270" s="149">
        <v>0</v>
      </c>
      <c r="L270" s="149">
        <v>73</v>
      </c>
      <c r="M270" s="149">
        <v>73</v>
      </c>
      <c r="N270" s="149">
        <v>297</v>
      </c>
      <c r="O270" s="149">
        <v>297</v>
      </c>
      <c r="P270" s="152" t="s">
        <v>327</v>
      </c>
      <c r="Q270" s="150" t="s">
        <v>998</v>
      </c>
      <c r="R270" s="150" t="s">
        <v>388</v>
      </c>
      <c r="S270" s="151">
        <v>43613</v>
      </c>
      <c r="T270" s="151">
        <v>44375</v>
      </c>
      <c r="U270" s="152"/>
      <c r="V270" s="150" t="s">
        <v>330</v>
      </c>
      <c r="W270" s="151"/>
      <c r="X270" s="150" t="s">
        <v>331</v>
      </c>
      <c r="Y270" s="150" t="s">
        <v>343</v>
      </c>
      <c r="Z270" s="150" t="s">
        <v>343</v>
      </c>
      <c r="AA270" s="150" t="s">
        <v>334</v>
      </c>
      <c r="AB270" s="153">
        <v>0.79307000000000005</v>
      </c>
      <c r="AC270" s="151">
        <v>44838</v>
      </c>
      <c r="AD270" s="150"/>
      <c r="AE270" s="151"/>
      <c r="AF270" s="150" t="s">
        <v>70</v>
      </c>
      <c r="AG270" s="152" t="s">
        <v>352</v>
      </c>
      <c r="AH270" s="150" t="s">
        <v>390</v>
      </c>
      <c r="AI270" s="99"/>
      <c r="AJ270" s="149"/>
      <c r="AK270" s="138">
        <v>66</v>
      </c>
      <c r="AL270" s="149"/>
      <c r="AM270" s="138">
        <v>7</v>
      </c>
      <c r="AN270" s="149">
        <v>3</v>
      </c>
      <c r="AO270" s="149">
        <v>17</v>
      </c>
      <c r="AP270" s="149">
        <v>44</v>
      </c>
      <c r="AQ270" s="149">
        <v>9</v>
      </c>
      <c r="AR270" s="149">
        <v>0</v>
      </c>
      <c r="AS270" s="149">
        <v>0</v>
      </c>
      <c r="AT270" s="149">
        <v>0</v>
      </c>
      <c r="AU270" s="149">
        <v>3</v>
      </c>
      <c r="AV270" s="149">
        <v>17</v>
      </c>
      <c r="AW270" s="149">
        <v>44</v>
      </c>
      <c r="AX270" s="149">
        <v>9</v>
      </c>
      <c r="AY270" s="149">
        <v>0</v>
      </c>
      <c r="AZ270" s="149">
        <v>0</v>
      </c>
      <c r="BA270" s="149">
        <v>0</v>
      </c>
      <c r="BB270" s="149">
        <v>0</v>
      </c>
      <c r="BC270" s="149">
        <v>0</v>
      </c>
      <c r="BD270" s="149">
        <v>0</v>
      </c>
      <c r="BE270" s="149">
        <v>0</v>
      </c>
      <c r="BF270" s="149">
        <v>0</v>
      </c>
      <c r="BG270" s="149">
        <v>0</v>
      </c>
      <c r="BH270" s="149">
        <v>0</v>
      </c>
      <c r="BI270" s="149">
        <v>0</v>
      </c>
      <c r="BJ270" s="149">
        <v>0</v>
      </c>
      <c r="BK270" s="149">
        <v>0</v>
      </c>
      <c r="BL270" s="149">
        <v>0</v>
      </c>
      <c r="BM270" s="149">
        <v>0</v>
      </c>
      <c r="BN270" s="149">
        <v>0</v>
      </c>
      <c r="BO270" s="149">
        <v>0</v>
      </c>
      <c r="BP270" s="152"/>
      <c r="BQ270" s="152" t="s">
        <v>327</v>
      </c>
      <c r="BR270" s="154" t="s">
        <v>149</v>
      </c>
      <c r="BS270" s="136">
        <v>5</v>
      </c>
      <c r="BT270" s="267"/>
      <c r="BU270" s="267">
        <f t="shared" si="20"/>
        <v>73</v>
      </c>
      <c r="BV270" s="267"/>
      <c r="BW270" s="267"/>
      <c r="BX270" s="267"/>
      <c r="BY270" s="267"/>
      <c r="BZ270" s="267"/>
      <c r="CA270" s="267"/>
      <c r="CB270" s="267"/>
      <c r="CC270" s="267"/>
      <c r="CD270" s="267"/>
      <c r="CE270" s="267"/>
      <c r="CF270" s="267"/>
      <c r="CG270" s="267"/>
      <c r="CH270" s="267"/>
      <c r="CI270" s="267"/>
      <c r="CJ270" s="267"/>
      <c r="CK270" s="267"/>
      <c r="CL270" s="267"/>
      <c r="CM270" s="267"/>
      <c r="CN270" s="101">
        <f t="shared" si="18"/>
        <v>73</v>
      </c>
      <c r="CO270" s="101">
        <f t="shared" si="19"/>
        <v>73</v>
      </c>
    </row>
    <row r="271" spans="1:93" ht="13.9" customHeight="1" x14ac:dyDescent="0.2">
      <c r="A271" s="149">
        <v>3943</v>
      </c>
      <c r="B271" s="150" t="s">
        <v>854</v>
      </c>
      <c r="C271" s="150" t="s">
        <v>996</v>
      </c>
      <c r="D271" s="150" t="s">
        <v>385</v>
      </c>
      <c r="E271" s="150" t="s">
        <v>1013</v>
      </c>
      <c r="F271" s="149">
        <v>529575</v>
      </c>
      <c r="G271" s="149">
        <v>177401</v>
      </c>
      <c r="H271" s="150" t="s">
        <v>149</v>
      </c>
      <c r="I271" s="151">
        <v>44838</v>
      </c>
      <c r="J271" s="151"/>
      <c r="K271" s="149">
        <v>0</v>
      </c>
      <c r="L271" s="149">
        <v>57</v>
      </c>
      <c r="M271" s="149">
        <v>57</v>
      </c>
      <c r="N271" s="149">
        <v>297</v>
      </c>
      <c r="O271" s="149">
        <v>297</v>
      </c>
      <c r="P271" s="152" t="s">
        <v>327</v>
      </c>
      <c r="Q271" s="150" t="s">
        <v>998</v>
      </c>
      <c r="R271" s="150" t="s">
        <v>388</v>
      </c>
      <c r="S271" s="151">
        <v>43613</v>
      </c>
      <c r="T271" s="151">
        <v>44375</v>
      </c>
      <c r="U271" s="152"/>
      <c r="V271" s="150" t="s">
        <v>330</v>
      </c>
      <c r="W271" s="151"/>
      <c r="X271" s="150" t="s">
        <v>331</v>
      </c>
      <c r="Y271" s="150" t="s">
        <v>343</v>
      </c>
      <c r="Z271" s="150" t="s">
        <v>343</v>
      </c>
      <c r="AA271" s="150" t="s">
        <v>334</v>
      </c>
      <c r="AB271" s="153">
        <v>0.61924650000000003</v>
      </c>
      <c r="AC271" s="151">
        <v>44838</v>
      </c>
      <c r="AD271" s="150"/>
      <c r="AE271" s="151"/>
      <c r="AF271" s="150" t="s">
        <v>49</v>
      </c>
      <c r="AG271" s="152" t="s">
        <v>470</v>
      </c>
      <c r="AH271" s="150" t="s">
        <v>390</v>
      </c>
      <c r="AI271" s="99"/>
      <c r="AJ271" s="149"/>
      <c r="AK271" s="138">
        <v>51</v>
      </c>
      <c r="AL271" s="149"/>
      <c r="AM271" s="138">
        <v>6</v>
      </c>
      <c r="AN271" s="149">
        <v>0</v>
      </c>
      <c r="AO271" s="149">
        <v>8</v>
      </c>
      <c r="AP271" s="149">
        <v>31</v>
      </c>
      <c r="AQ271" s="149">
        <v>15</v>
      </c>
      <c r="AR271" s="149">
        <v>3</v>
      </c>
      <c r="AS271" s="149">
        <v>0</v>
      </c>
      <c r="AT271" s="149">
        <v>0</v>
      </c>
      <c r="AU271" s="149">
        <v>0</v>
      </c>
      <c r="AV271" s="149">
        <v>8</v>
      </c>
      <c r="AW271" s="149">
        <v>31</v>
      </c>
      <c r="AX271" s="149">
        <v>15</v>
      </c>
      <c r="AY271" s="149">
        <v>3</v>
      </c>
      <c r="AZ271" s="149">
        <v>0</v>
      </c>
      <c r="BA271" s="149">
        <v>0</v>
      </c>
      <c r="BB271" s="149">
        <v>0</v>
      </c>
      <c r="BC271" s="149">
        <v>0</v>
      </c>
      <c r="BD271" s="149">
        <v>0</v>
      </c>
      <c r="BE271" s="149">
        <v>0</v>
      </c>
      <c r="BF271" s="149">
        <v>0</v>
      </c>
      <c r="BG271" s="149">
        <v>0</v>
      </c>
      <c r="BH271" s="149">
        <v>0</v>
      </c>
      <c r="BI271" s="149">
        <v>0</v>
      </c>
      <c r="BJ271" s="149">
        <v>0</v>
      </c>
      <c r="BK271" s="149">
        <v>0</v>
      </c>
      <c r="BL271" s="149">
        <v>0</v>
      </c>
      <c r="BM271" s="149">
        <v>0</v>
      </c>
      <c r="BN271" s="149">
        <v>0</v>
      </c>
      <c r="BO271" s="149">
        <v>0</v>
      </c>
      <c r="BP271" s="152"/>
      <c r="BQ271" s="152" t="s">
        <v>327</v>
      </c>
      <c r="BR271" s="154" t="s">
        <v>149</v>
      </c>
      <c r="BS271" s="136">
        <v>5</v>
      </c>
      <c r="BT271" s="267"/>
      <c r="BU271" s="267">
        <f t="shared" si="20"/>
        <v>57</v>
      </c>
      <c r="BV271" s="267"/>
      <c r="BW271" s="267"/>
      <c r="BX271" s="267"/>
      <c r="BY271" s="267"/>
      <c r="BZ271" s="267"/>
      <c r="CA271" s="267"/>
      <c r="CB271" s="267"/>
      <c r="CC271" s="267"/>
      <c r="CD271" s="267"/>
      <c r="CE271" s="267"/>
      <c r="CF271" s="267"/>
      <c r="CG271" s="267"/>
      <c r="CH271" s="267"/>
      <c r="CI271" s="267"/>
      <c r="CJ271" s="267"/>
      <c r="CK271" s="267"/>
      <c r="CL271" s="267"/>
      <c r="CM271" s="267"/>
      <c r="CN271" s="101">
        <f t="shared" si="18"/>
        <v>57</v>
      </c>
      <c r="CO271" s="101">
        <f t="shared" si="19"/>
        <v>57</v>
      </c>
    </row>
    <row r="272" spans="1:93" ht="13.9" customHeight="1" x14ac:dyDescent="0.2">
      <c r="A272" s="149">
        <v>7362</v>
      </c>
      <c r="B272" s="150" t="s">
        <v>854</v>
      </c>
      <c r="C272" s="150" t="s">
        <v>1014</v>
      </c>
      <c r="D272" s="150" t="s">
        <v>1015</v>
      </c>
      <c r="E272" s="150" t="s">
        <v>326</v>
      </c>
      <c r="F272" s="149">
        <v>528273</v>
      </c>
      <c r="G272" s="149">
        <v>171722</v>
      </c>
      <c r="H272" s="150" t="s">
        <v>172</v>
      </c>
      <c r="I272" s="151">
        <v>44652</v>
      </c>
      <c r="J272" s="151"/>
      <c r="K272" s="149">
        <v>0</v>
      </c>
      <c r="L272" s="149">
        <v>1</v>
      </c>
      <c r="M272" s="149">
        <v>1</v>
      </c>
      <c r="N272" s="149">
        <v>1</v>
      </c>
      <c r="O272" s="149">
        <v>1</v>
      </c>
      <c r="P272" s="152"/>
      <c r="Q272" s="150" t="s">
        <v>1016</v>
      </c>
      <c r="R272" s="150" t="s">
        <v>349</v>
      </c>
      <c r="S272" s="151">
        <v>43892</v>
      </c>
      <c r="T272" s="151">
        <v>43948</v>
      </c>
      <c r="U272" s="152"/>
      <c r="V272" s="150" t="s">
        <v>330</v>
      </c>
      <c r="W272" s="151"/>
      <c r="X272" s="150" t="s">
        <v>331</v>
      </c>
      <c r="Y272" s="150" t="s">
        <v>332</v>
      </c>
      <c r="Z272" s="150" t="s">
        <v>334</v>
      </c>
      <c r="AA272" s="150" t="s">
        <v>29</v>
      </c>
      <c r="AB272" s="153">
        <v>5.0000000000000001E-3</v>
      </c>
      <c r="AC272" s="151">
        <v>44652</v>
      </c>
      <c r="AD272" s="150"/>
      <c r="AE272" s="151"/>
      <c r="AF272" s="150" t="s">
        <v>70</v>
      </c>
      <c r="AG272" s="152" t="s">
        <v>352</v>
      </c>
      <c r="AH272" s="150" t="s">
        <v>326</v>
      </c>
      <c r="AI272" s="99"/>
      <c r="AJ272" s="149"/>
      <c r="AK272" s="99"/>
      <c r="AL272" s="149"/>
      <c r="AM272" s="99"/>
      <c r="AN272" s="149">
        <v>1</v>
      </c>
      <c r="AO272" s="149">
        <v>0</v>
      </c>
      <c r="AP272" s="149">
        <v>0</v>
      </c>
      <c r="AQ272" s="149">
        <v>0</v>
      </c>
      <c r="AR272" s="149">
        <v>0</v>
      </c>
      <c r="AS272" s="149">
        <v>0</v>
      </c>
      <c r="AT272" s="149">
        <v>0</v>
      </c>
      <c r="AU272" s="149">
        <v>1</v>
      </c>
      <c r="AV272" s="149">
        <v>0</v>
      </c>
      <c r="AW272" s="149">
        <v>0</v>
      </c>
      <c r="AX272" s="149">
        <v>0</v>
      </c>
      <c r="AY272" s="149">
        <v>0</v>
      </c>
      <c r="AZ272" s="149">
        <v>0</v>
      </c>
      <c r="BA272" s="149">
        <v>0</v>
      </c>
      <c r="BB272" s="149">
        <v>0</v>
      </c>
      <c r="BC272" s="149">
        <v>0</v>
      </c>
      <c r="BD272" s="149">
        <v>0</v>
      </c>
      <c r="BE272" s="149">
        <v>0</v>
      </c>
      <c r="BF272" s="149">
        <v>0</v>
      </c>
      <c r="BG272" s="149">
        <v>0</v>
      </c>
      <c r="BH272" s="149">
        <v>0</v>
      </c>
      <c r="BI272" s="149">
        <v>0</v>
      </c>
      <c r="BJ272" s="149">
        <v>0</v>
      </c>
      <c r="BK272" s="149">
        <v>0</v>
      </c>
      <c r="BL272" s="149">
        <v>0</v>
      </c>
      <c r="BM272" s="149">
        <v>0</v>
      </c>
      <c r="BN272" s="149">
        <v>0</v>
      </c>
      <c r="BO272" s="149">
        <v>0</v>
      </c>
      <c r="BP272" s="152"/>
      <c r="BQ272" s="152"/>
      <c r="BR272" s="154" t="s">
        <v>359</v>
      </c>
      <c r="BS272" s="136">
        <v>13</v>
      </c>
      <c r="BT272" s="267"/>
      <c r="BU272" s="267">
        <f t="shared" si="20"/>
        <v>1</v>
      </c>
      <c r="BV272" s="267"/>
      <c r="BW272" s="267"/>
      <c r="BX272" s="267"/>
      <c r="BY272" s="267"/>
      <c r="BZ272" s="267"/>
      <c r="CA272" s="267"/>
      <c r="CB272" s="267"/>
      <c r="CC272" s="267"/>
      <c r="CD272" s="267"/>
      <c r="CE272" s="267"/>
      <c r="CF272" s="267"/>
      <c r="CG272" s="267"/>
      <c r="CH272" s="267"/>
      <c r="CI272" s="267"/>
      <c r="CJ272" s="267"/>
      <c r="CK272" s="267"/>
      <c r="CL272" s="267"/>
      <c r="CM272" s="267"/>
      <c r="CN272" s="101">
        <f t="shared" si="18"/>
        <v>1</v>
      </c>
      <c r="CO272" s="101">
        <f t="shared" si="19"/>
        <v>1</v>
      </c>
    </row>
    <row r="273" spans="1:93" ht="13.9" customHeight="1" x14ac:dyDescent="0.2">
      <c r="A273" s="149">
        <v>7128</v>
      </c>
      <c r="B273" s="150" t="s">
        <v>854</v>
      </c>
      <c r="C273" s="150" t="s">
        <v>1017</v>
      </c>
      <c r="D273" s="150" t="s">
        <v>1018</v>
      </c>
      <c r="E273" s="150" t="s">
        <v>326</v>
      </c>
      <c r="F273" s="149">
        <v>528017</v>
      </c>
      <c r="G273" s="149">
        <v>172376</v>
      </c>
      <c r="H273" s="150" t="s">
        <v>174</v>
      </c>
      <c r="I273" s="151">
        <v>45017</v>
      </c>
      <c r="J273" s="151"/>
      <c r="K273" s="149">
        <v>1</v>
      </c>
      <c r="L273" s="149">
        <v>4</v>
      </c>
      <c r="M273" s="149">
        <v>3</v>
      </c>
      <c r="N273" s="149">
        <v>4</v>
      </c>
      <c r="O273" s="149">
        <v>3</v>
      </c>
      <c r="P273" s="152"/>
      <c r="Q273" s="150" t="s">
        <v>1019</v>
      </c>
      <c r="R273" s="150" t="s">
        <v>349</v>
      </c>
      <c r="S273" s="151">
        <v>43923</v>
      </c>
      <c r="T273" s="151">
        <v>44034</v>
      </c>
      <c r="U273" s="152"/>
      <c r="V273" s="150" t="s">
        <v>330</v>
      </c>
      <c r="W273" s="151"/>
      <c r="X273" s="150" t="s">
        <v>331</v>
      </c>
      <c r="Y273" s="150" t="s">
        <v>343</v>
      </c>
      <c r="Z273" s="150" t="s">
        <v>334</v>
      </c>
      <c r="AA273" s="150" t="s">
        <v>363</v>
      </c>
      <c r="AB273" s="153">
        <v>1.4999999999999999E-2</v>
      </c>
      <c r="AC273" s="151">
        <v>45017</v>
      </c>
      <c r="AD273" s="152" t="s">
        <v>327</v>
      </c>
      <c r="AE273" s="151"/>
      <c r="AF273" s="150" t="s">
        <v>70</v>
      </c>
      <c r="AG273" s="152" t="s">
        <v>352</v>
      </c>
      <c r="AH273" s="150" t="s">
        <v>326</v>
      </c>
      <c r="AI273" s="99"/>
      <c r="AJ273" s="149"/>
      <c r="AK273" s="99"/>
      <c r="AL273" s="149"/>
      <c r="AM273" s="99"/>
      <c r="AN273" s="149">
        <v>0</v>
      </c>
      <c r="AO273" s="149">
        <v>0</v>
      </c>
      <c r="AP273" s="149">
        <v>4</v>
      </c>
      <c r="AQ273" s="149">
        <v>-1</v>
      </c>
      <c r="AR273" s="149">
        <v>0</v>
      </c>
      <c r="AS273" s="149">
        <v>0</v>
      </c>
      <c r="AT273" s="149">
        <v>0</v>
      </c>
      <c r="AU273" s="149">
        <v>0</v>
      </c>
      <c r="AV273" s="149">
        <v>0</v>
      </c>
      <c r="AW273" s="149">
        <v>4</v>
      </c>
      <c r="AX273" s="149">
        <v>-1</v>
      </c>
      <c r="AY273" s="149">
        <v>0</v>
      </c>
      <c r="AZ273" s="149">
        <v>0</v>
      </c>
      <c r="BA273" s="149">
        <v>0</v>
      </c>
      <c r="BB273" s="149">
        <v>0</v>
      </c>
      <c r="BC273" s="149">
        <v>0</v>
      </c>
      <c r="BD273" s="149">
        <v>0</v>
      </c>
      <c r="BE273" s="149">
        <v>0</v>
      </c>
      <c r="BF273" s="149">
        <v>0</v>
      </c>
      <c r="BG273" s="149">
        <v>0</v>
      </c>
      <c r="BH273" s="149">
        <v>0</v>
      </c>
      <c r="BI273" s="149">
        <v>0</v>
      </c>
      <c r="BJ273" s="149">
        <v>0</v>
      </c>
      <c r="BK273" s="149">
        <v>0</v>
      </c>
      <c r="BL273" s="149">
        <v>0</v>
      </c>
      <c r="BM273" s="149">
        <v>0</v>
      </c>
      <c r="BN273" s="149">
        <v>0</v>
      </c>
      <c r="BO273" s="149">
        <v>0</v>
      </c>
      <c r="BP273" s="152"/>
      <c r="BQ273" s="152"/>
      <c r="BR273" s="154" t="s">
        <v>359</v>
      </c>
      <c r="BS273" s="136">
        <v>3</v>
      </c>
      <c r="BT273" s="267"/>
      <c r="BU273" s="267">
        <f t="shared" si="20"/>
        <v>3</v>
      </c>
      <c r="BV273" s="267"/>
      <c r="BW273" s="267"/>
      <c r="BX273" s="267"/>
      <c r="BY273" s="267"/>
      <c r="BZ273" s="267"/>
      <c r="CA273" s="267"/>
      <c r="CB273" s="267"/>
      <c r="CC273" s="267"/>
      <c r="CD273" s="267"/>
      <c r="CE273" s="267"/>
      <c r="CF273" s="267"/>
      <c r="CG273" s="267"/>
      <c r="CH273" s="267"/>
      <c r="CI273" s="267"/>
      <c r="CJ273" s="267"/>
      <c r="CK273" s="267"/>
      <c r="CL273" s="267"/>
      <c r="CM273" s="267"/>
      <c r="CN273" s="101">
        <f t="shared" si="18"/>
        <v>3</v>
      </c>
      <c r="CO273" s="101">
        <f t="shared" si="19"/>
        <v>3</v>
      </c>
    </row>
    <row r="274" spans="1:93" ht="13.9" customHeight="1" x14ac:dyDescent="0.2">
      <c r="A274" s="149">
        <v>4258</v>
      </c>
      <c r="B274" s="150" t="s">
        <v>854</v>
      </c>
      <c r="C274" s="150" t="s">
        <v>1020</v>
      </c>
      <c r="D274" s="150" t="s">
        <v>1021</v>
      </c>
      <c r="E274" s="150" t="s">
        <v>326</v>
      </c>
      <c r="F274" s="149">
        <v>526831</v>
      </c>
      <c r="G274" s="149">
        <v>176179</v>
      </c>
      <c r="H274" s="150" t="s">
        <v>170</v>
      </c>
      <c r="I274" s="151">
        <v>45017</v>
      </c>
      <c r="J274" s="151"/>
      <c r="K274" s="149">
        <v>0</v>
      </c>
      <c r="L274" s="149">
        <v>6</v>
      </c>
      <c r="M274" s="149">
        <v>6</v>
      </c>
      <c r="N274" s="149">
        <v>6</v>
      </c>
      <c r="O274" s="149">
        <v>6</v>
      </c>
      <c r="P274" s="152"/>
      <c r="Q274" s="150" t="s">
        <v>1022</v>
      </c>
      <c r="R274" s="150" t="s">
        <v>349</v>
      </c>
      <c r="S274" s="151">
        <v>43922</v>
      </c>
      <c r="T274" s="151">
        <v>44488</v>
      </c>
      <c r="U274" s="152"/>
      <c r="V274" s="150" t="s">
        <v>330</v>
      </c>
      <c r="W274" s="151"/>
      <c r="X274" s="150" t="s">
        <v>331</v>
      </c>
      <c r="Y274" s="150" t="s">
        <v>343</v>
      </c>
      <c r="Z274" s="150" t="s">
        <v>334</v>
      </c>
      <c r="AA274" s="150" t="s">
        <v>363</v>
      </c>
      <c r="AB274" s="153">
        <v>5.8999999999999997E-2</v>
      </c>
      <c r="AC274" s="151">
        <v>45017</v>
      </c>
      <c r="AD274" s="152" t="s">
        <v>327</v>
      </c>
      <c r="AE274" s="151"/>
      <c r="AF274" s="150" t="s">
        <v>49</v>
      </c>
      <c r="AG274" s="152" t="s">
        <v>383</v>
      </c>
      <c r="AH274" s="150" t="s">
        <v>326</v>
      </c>
      <c r="AI274" s="138">
        <v>17320336</v>
      </c>
      <c r="AJ274" s="149"/>
      <c r="AK274" s="99"/>
      <c r="AL274" s="149"/>
      <c r="AM274" s="99"/>
      <c r="AN274" s="149">
        <v>0</v>
      </c>
      <c r="AO274" s="149">
        <v>0</v>
      </c>
      <c r="AP274" s="149">
        <v>4</v>
      </c>
      <c r="AQ274" s="149">
        <v>0</v>
      </c>
      <c r="AR274" s="149">
        <v>2</v>
      </c>
      <c r="AS274" s="149">
        <v>0</v>
      </c>
      <c r="AT274" s="149">
        <v>0</v>
      </c>
      <c r="AU274" s="149">
        <v>0</v>
      </c>
      <c r="AV274" s="149">
        <v>0</v>
      </c>
      <c r="AW274" s="149">
        <v>4</v>
      </c>
      <c r="AX274" s="149">
        <v>0</v>
      </c>
      <c r="AY274" s="149">
        <v>2</v>
      </c>
      <c r="AZ274" s="149">
        <v>0</v>
      </c>
      <c r="BA274" s="149">
        <v>0</v>
      </c>
      <c r="BB274" s="149">
        <v>0</v>
      </c>
      <c r="BC274" s="149">
        <v>0</v>
      </c>
      <c r="BD274" s="149">
        <v>0</v>
      </c>
      <c r="BE274" s="149">
        <v>0</v>
      </c>
      <c r="BF274" s="149">
        <v>0</v>
      </c>
      <c r="BG274" s="149">
        <v>0</v>
      </c>
      <c r="BH274" s="149">
        <v>0</v>
      </c>
      <c r="BI274" s="149">
        <v>0</v>
      </c>
      <c r="BJ274" s="149">
        <v>0</v>
      </c>
      <c r="BK274" s="149">
        <v>0</v>
      </c>
      <c r="BL274" s="149">
        <v>0</v>
      </c>
      <c r="BM274" s="149">
        <v>0</v>
      </c>
      <c r="BN274" s="149">
        <v>0</v>
      </c>
      <c r="BO274" s="149">
        <v>0</v>
      </c>
      <c r="BP274" s="152"/>
      <c r="BQ274" s="152"/>
      <c r="BR274" s="154" t="s">
        <v>408</v>
      </c>
      <c r="BS274" s="136">
        <v>2</v>
      </c>
      <c r="BT274" s="267"/>
      <c r="BU274" s="267">
        <f t="shared" si="20"/>
        <v>6</v>
      </c>
      <c r="BV274" s="267"/>
      <c r="BW274" s="267"/>
      <c r="BX274" s="267"/>
      <c r="BY274" s="267"/>
      <c r="BZ274" s="267"/>
      <c r="CA274" s="267"/>
      <c r="CB274" s="267"/>
      <c r="CC274" s="267"/>
      <c r="CD274" s="267"/>
      <c r="CE274" s="267"/>
      <c r="CF274" s="267"/>
      <c r="CG274" s="267"/>
      <c r="CH274" s="267"/>
      <c r="CI274" s="267"/>
      <c r="CJ274" s="267"/>
      <c r="CK274" s="267"/>
      <c r="CL274" s="267"/>
      <c r="CM274" s="267"/>
      <c r="CN274" s="101">
        <f t="shared" ref="CN274:CN309" si="21">SUM(BU274:BY274)</f>
        <v>6</v>
      </c>
      <c r="CO274" s="101">
        <f t="shared" ref="CO274:CO309" si="22">SUM(BU274:CD274)</f>
        <v>6</v>
      </c>
    </row>
    <row r="275" spans="1:93" ht="13.9" customHeight="1" x14ac:dyDescent="0.2">
      <c r="A275" s="149">
        <v>7276</v>
      </c>
      <c r="B275" s="150" t="s">
        <v>854</v>
      </c>
      <c r="C275" s="150" t="s">
        <v>1023</v>
      </c>
      <c r="D275" s="150" t="s">
        <v>1024</v>
      </c>
      <c r="E275" s="150" t="s">
        <v>326</v>
      </c>
      <c r="F275" s="149">
        <v>527309</v>
      </c>
      <c r="G275" s="149">
        <v>170807</v>
      </c>
      <c r="H275" s="150" t="s">
        <v>173</v>
      </c>
      <c r="I275" s="151">
        <v>44979</v>
      </c>
      <c r="J275" s="151"/>
      <c r="K275" s="149">
        <v>1</v>
      </c>
      <c r="L275" s="149">
        <v>5</v>
      </c>
      <c r="M275" s="149">
        <v>4</v>
      </c>
      <c r="N275" s="149">
        <v>5</v>
      </c>
      <c r="O275" s="149">
        <v>4</v>
      </c>
      <c r="P275" s="152"/>
      <c r="Q275" s="150" t="s">
        <v>1025</v>
      </c>
      <c r="R275" s="150" t="s">
        <v>349</v>
      </c>
      <c r="S275" s="151">
        <v>43941</v>
      </c>
      <c r="T275" s="151">
        <v>44057</v>
      </c>
      <c r="U275" s="152"/>
      <c r="V275" s="150" t="s">
        <v>330</v>
      </c>
      <c r="W275" s="151"/>
      <c r="X275" s="150" t="s">
        <v>331</v>
      </c>
      <c r="Y275" s="150" t="s">
        <v>343</v>
      </c>
      <c r="Z275" s="150" t="s">
        <v>334</v>
      </c>
      <c r="AA275" s="150" t="s">
        <v>16</v>
      </c>
      <c r="AB275" s="153">
        <v>7.9000000000000001E-2</v>
      </c>
      <c r="AC275" s="151">
        <v>44979</v>
      </c>
      <c r="AD275" s="150"/>
      <c r="AE275" s="151"/>
      <c r="AF275" s="150" t="s">
        <v>70</v>
      </c>
      <c r="AG275" s="152" t="s">
        <v>352</v>
      </c>
      <c r="AH275" s="150" t="s">
        <v>326</v>
      </c>
      <c r="AI275" s="99"/>
      <c r="AJ275" s="149"/>
      <c r="AK275" s="99"/>
      <c r="AL275" s="149"/>
      <c r="AM275" s="99"/>
      <c r="AN275" s="149">
        <v>0</v>
      </c>
      <c r="AO275" s="149">
        <v>1</v>
      </c>
      <c r="AP275" s="149">
        <v>2</v>
      </c>
      <c r="AQ275" s="149">
        <v>2</v>
      </c>
      <c r="AR275" s="149">
        <v>-1</v>
      </c>
      <c r="AS275" s="149">
        <v>0</v>
      </c>
      <c r="AT275" s="149">
        <v>0</v>
      </c>
      <c r="AU275" s="149">
        <v>0</v>
      </c>
      <c r="AV275" s="149">
        <v>1</v>
      </c>
      <c r="AW275" s="149">
        <v>2</v>
      </c>
      <c r="AX275" s="149">
        <v>2</v>
      </c>
      <c r="AY275" s="149">
        <v>0</v>
      </c>
      <c r="AZ275" s="149">
        <v>0</v>
      </c>
      <c r="BA275" s="149">
        <v>0</v>
      </c>
      <c r="BB275" s="149">
        <v>0</v>
      </c>
      <c r="BC275" s="149">
        <v>0</v>
      </c>
      <c r="BD275" s="149">
        <v>0</v>
      </c>
      <c r="BE275" s="149">
        <v>0</v>
      </c>
      <c r="BF275" s="149">
        <v>-1</v>
      </c>
      <c r="BG275" s="149">
        <v>0</v>
      </c>
      <c r="BH275" s="149">
        <v>0</v>
      </c>
      <c r="BI275" s="149">
        <v>0</v>
      </c>
      <c r="BJ275" s="149">
        <v>0</v>
      </c>
      <c r="BK275" s="149">
        <v>0</v>
      </c>
      <c r="BL275" s="149">
        <v>0</v>
      </c>
      <c r="BM275" s="149">
        <v>0</v>
      </c>
      <c r="BN275" s="149">
        <v>0</v>
      </c>
      <c r="BO275" s="149">
        <v>0</v>
      </c>
      <c r="BP275" s="152"/>
      <c r="BQ275" s="152"/>
      <c r="BR275" s="154" t="s">
        <v>359</v>
      </c>
      <c r="BS275" s="136">
        <v>3</v>
      </c>
      <c r="BT275" s="267"/>
      <c r="BU275" s="267">
        <f t="shared" si="20"/>
        <v>4</v>
      </c>
      <c r="BV275" s="267"/>
      <c r="BW275" s="267"/>
      <c r="BX275" s="267"/>
      <c r="BY275" s="267"/>
      <c r="BZ275" s="267"/>
      <c r="CA275" s="267"/>
      <c r="CB275" s="267"/>
      <c r="CC275" s="267"/>
      <c r="CD275" s="267"/>
      <c r="CE275" s="267"/>
      <c r="CF275" s="267"/>
      <c r="CG275" s="267"/>
      <c r="CH275" s="267"/>
      <c r="CI275" s="267"/>
      <c r="CJ275" s="267"/>
      <c r="CK275" s="267"/>
      <c r="CL275" s="267"/>
      <c r="CM275" s="267"/>
      <c r="CN275" s="101">
        <f t="shared" si="21"/>
        <v>4</v>
      </c>
      <c r="CO275" s="101">
        <f t="shared" si="22"/>
        <v>4</v>
      </c>
    </row>
    <row r="276" spans="1:93" ht="13.9" customHeight="1" x14ac:dyDescent="0.2">
      <c r="A276" s="149">
        <v>4964</v>
      </c>
      <c r="B276" s="150" t="s">
        <v>854</v>
      </c>
      <c r="C276" s="150" t="s">
        <v>1026</v>
      </c>
      <c r="D276" s="150" t="s">
        <v>1027</v>
      </c>
      <c r="E276" s="150" t="s">
        <v>326</v>
      </c>
      <c r="F276" s="149">
        <v>528166</v>
      </c>
      <c r="G276" s="149">
        <v>174896</v>
      </c>
      <c r="H276" s="150" t="s">
        <v>165</v>
      </c>
      <c r="I276" s="151">
        <v>45016</v>
      </c>
      <c r="J276" s="151"/>
      <c r="K276" s="149">
        <v>0</v>
      </c>
      <c r="L276" s="149">
        <v>1</v>
      </c>
      <c r="M276" s="149">
        <v>1</v>
      </c>
      <c r="N276" s="149">
        <v>1</v>
      </c>
      <c r="O276" s="149">
        <v>1</v>
      </c>
      <c r="P276" s="152"/>
      <c r="Q276" s="150" t="s">
        <v>1028</v>
      </c>
      <c r="R276" s="150" t="s">
        <v>435</v>
      </c>
      <c r="S276" s="151">
        <v>43969</v>
      </c>
      <c r="T276" s="151">
        <v>44005</v>
      </c>
      <c r="U276" s="152"/>
      <c r="V276" s="150" t="s">
        <v>436</v>
      </c>
      <c r="W276" s="151">
        <v>44463</v>
      </c>
      <c r="X276" s="150" t="s">
        <v>331</v>
      </c>
      <c r="Y276" s="150" t="s">
        <v>491</v>
      </c>
      <c r="Z276" s="150" t="s">
        <v>334</v>
      </c>
      <c r="AA276" s="150" t="s">
        <v>399</v>
      </c>
      <c r="AB276" s="153">
        <v>8.0000000000000002E-3</v>
      </c>
      <c r="AC276" s="151">
        <v>45016</v>
      </c>
      <c r="AD276" s="150"/>
      <c r="AE276" s="151"/>
      <c r="AF276" s="150" t="s">
        <v>70</v>
      </c>
      <c r="AG276" s="152" t="s">
        <v>352</v>
      </c>
      <c r="AH276" s="150" t="s">
        <v>326</v>
      </c>
      <c r="AI276" s="99"/>
      <c r="AJ276" s="149"/>
      <c r="AK276" s="99"/>
      <c r="AL276" s="149"/>
      <c r="AM276" s="99"/>
      <c r="AN276" s="149">
        <v>0</v>
      </c>
      <c r="AO276" s="149">
        <v>1</v>
      </c>
      <c r="AP276" s="149">
        <v>0</v>
      </c>
      <c r="AQ276" s="149">
        <v>0</v>
      </c>
      <c r="AR276" s="149">
        <v>0</v>
      </c>
      <c r="AS276" s="149">
        <v>0</v>
      </c>
      <c r="AT276" s="149">
        <v>0</v>
      </c>
      <c r="AU276" s="149">
        <v>0</v>
      </c>
      <c r="AV276" s="149">
        <v>1</v>
      </c>
      <c r="AW276" s="149">
        <v>0</v>
      </c>
      <c r="AX276" s="149">
        <v>0</v>
      </c>
      <c r="AY276" s="149">
        <v>0</v>
      </c>
      <c r="AZ276" s="149">
        <v>0</v>
      </c>
      <c r="BA276" s="149">
        <v>0</v>
      </c>
      <c r="BB276" s="149">
        <v>0</v>
      </c>
      <c r="BC276" s="149">
        <v>0</v>
      </c>
      <c r="BD276" s="149">
        <v>0</v>
      </c>
      <c r="BE276" s="149">
        <v>0</v>
      </c>
      <c r="BF276" s="149">
        <v>0</v>
      </c>
      <c r="BG276" s="149">
        <v>0</v>
      </c>
      <c r="BH276" s="149">
        <v>0</v>
      </c>
      <c r="BI276" s="149">
        <v>0</v>
      </c>
      <c r="BJ276" s="149">
        <v>0</v>
      </c>
      <c r="BK276" s="149">
        <v>0</v>
      </c>
      <c r="BL276" s="149">
        <v>0</v>
      </c>
      <c r="BM276" s="149">
        <v>0</v>
      </c>
      <c r="BN276" s="149">
        <v>0</v>
      </c>
      <c r="BO276" s="149">
        <v>0</v>
      </c>
      <c r="BP276" s="152"/>
      <c r="BQ276" s="152"/>
      <c r="BR276" s="154" t="s">
        <v>359</v>
      </c>
      <c r="BS276" s="136">
        <v>13</v>
      </c>
      <c r="BT276" s="267"/>
      <c r="BU276" s="267">
        <f t="shared" si="20"/>
        <v>1</v>
      </c>
      <c r="BV276" s="267"/>
      <c r="BW276" s="267"/>
      <c r="BX276" s="267"/>
      <c r="BY276" s="267"/>
      <c r="BZ276" s="267"/>
      <c r="CA276" s="267"/>
      <c r="CB276" s="267"/>
      <c r="CC276" s="267"/>
      <c r="CD276" s="267"/>
      <c r="CE276" s="267"/>
      <c r="CF276" s="267"/>
      <c r="CG276" s="267"/>
      <c r="CH276" s="267"/>
      <c r="CI276" s="267"/>
      <c r="CJ276" s="267"/>
      <c r="CK276" s="267"/>
      <c r="CL276" s="267"/>
      <c r="CM276" s="267"/>
      <c r="CN276" s="101">
        <f t="shared" si="21"/>
        <v>1</v>
      </c>
      <c r="CO276" s="101">
        <f t="shared" si="22"/>
        <v>1</v>
      </c>
    </row>
    <row r="277" spans="1:93" ht="13.9" customHeight="1" x14ac:dyDescent="0.2">
      <c r="A277" s="149">
        <v>7522</v>
      </c>
      <c r="B277" s="150" t="s">
        <v>854</v>
      </c>
      <c r="C277" s="150" t="s">
        <v>1029</v>
      </c>
      <c r="D277" s="150" t="s">
        <v>1030</v>
      </c>
      <c r="E277" s="150" t="s">
        <v>326</v>
      </c>
      <c r="F277" s="149">
        <v>523648</v>
      </c>
      <c r="G277" s="149">
        <v>176066</v>
      </c>
      <c r="H277" s="150" t="s">
        <v>171</v>
      </c>
      <c r="I277" s="151">
        <v>45099</v>
      </c>
      <c r="J277" s="151"/>
      <c r="K277" s="149">
        <v>0</v>
      </c>
      <c r="L277" s="149">
        <v>1</v>
      </c>
      <c r="M277" s="149">
        <v>1</v>
      </c>
      <c r="N277" s="149">
        <v>1</v>
      </c>
      <c r="O277" s="149">
        <v>1</v>
      </c>
      <c r="P277" s="152"/>
      <c r="Q277" s="150" t="s">
        <v>1031</v>
      </c>
      <c r="R277" s="150" t="s">
        <v>349</v>
      </c>
      <c r="S277" s="151">
        <v>43991</v>
      </c>
      <c r="T277" s="151">
        <v>44263</v>
      </c>
      <c r="U277" s="152"/>
      <c r="V277" s="150" t="s">
        <v>330</v>
      </c>
      <c r="W277" s="151"/>
      <c r="X277" s="150" t="s">
        <v>331</v>
      </c>
      <c r="Y277" s="150" t="s">
        <v>343</v>
      </c>
      <c r="Z277" s="150" t="s">
        <v>334</v>
      </c>
      <c r="AA277" s="150" t="s">
        <v>363</v>
      </c>
      <c r="AB277" s="153">
        <v>1.9E-2</v>
      </c>
      <c r="AC277" s="151">
        <v>45099</v>
      </c>
      <c r="AD277" s="152" t="s">
        <v>327</v>
      </c>
      <c r="AE277" s="151"/>
      <c r="AF277" s="150" t="s">
        <v>70</v>
      </c>
      <c r="AG277" s="152" t="s">
        <v>352</v>
      </c>
      <c r="AH277" s="150" t="s">
        <v>326</v>
      </c>
      <c r="AI277" s="99"/>
      <c r="AJ277" s="149"/>
      <c r="AK277" s="99"/>
      <c r="AL277" s="149"/>
      <c r="AM277" s="99"/>
      <c r="AN277" s="149">
        <v>0</v>
      </c>
      <c r="AO277" s="149">
        <v>0</v>
      </c>
      <c r="AP277" s="149">
        <v>1</v>
      </c>
      <c r="AQ277" s="149">
        <v>0</v>
      </c>
      <c r="AR277" s="149">
        <v>0</v>
      </c>
      <c r="AS277" s="149">
        <v>0</v>
      </c>
      <c r="AT277" s="149">
        <v>0</v>
      </c>
      <c r="AU277" s="149">
        <v>0</v>
      </c>
      <c r="AV277" s="149">
        <v>0</v>
      </c>
      <c r="AW277" s="149">
        <v>0</v>
      </c>
      <c r="AX277" s="149">
        <v>0</v>
      </c>
      <c r="AY277" s="149">
        <v>0</v>
      </c>
      <c r="AZ277" s="149">
        <v>0</v>
      </c>
      <c r="BA277" s="149">
        <v>0</v>
      </c>
      <c r="BB277" s="149">
        <v>0</v>
      </c>
      <c r="BC277" s="149">
        <v>0</v>
      </c>
      <c r="BD277" s="149">
        <v>1</v>
      </c>
      <c r="BE277" s="149">
        <v>0</v>
      </c>
      <c r="BF277" s="149">
        <v>0</v>
      </c>
      <c r="BG277" s="149">
        <v>0</v>
      </c>
      <c r="BH277" s="149">
        <v>0</v>
      </c>
      <c r="BI277" s="149">
        <v>0</v>
      </c>
      <c r="BJ277" s="149">
        <v>0</v>
      </c>
      <c r="BK277" s="149">
        <v>0</v>
      </c>
      <c r="BL277" s="149">
        <v>0</v>
      </c>
      <c r="BM277" s="149">
        <v>0</v>
      </c>
      <c r="BN277" s="149">
        <v>0</v>
      </c>
      <c r="BO277" s="149">
        <v>0</v>
      </c>
      <c r="BP277" s="152"/>
      <c r="BQ277" s="152"/>
      <c r="BR277" s="154" t="s">
        <v>408</v>
      </c>
      <c r="BS277" s="136">
        <v>3</v>
      </c>
      <c r="BT277" s="267"/>
      <c r="BU277" s="267">
        <f t="shared" si="20"/>
        <v>1</v>
      </c>
      <c r="BV277" s="267"/>
      <c r="BW277" s="267"/>
      <c r="BX277" s="267"/>
      <c r="BY277" s="267"/>
      <c r="BZ277" s="267"/>
      <c r="CA277" s="267"/>
      <c r="CB277" s="267"/>
      <c r="CC277" s="267"/>
      <c r="CD277" s="267"/>
      <c r="CE277" s="267"/>
      <c r="CF277" s="267"/>
      <c r="CG277" s="267"/>
      <c r="CH277" s="267"/>
      <c r="CI277" s="267"/>
      <c r="CJ277" s="267"/>
      <c r="CK277" s="267"/>
      <c r="CL277" s="267"/>
      <c r="CM277" s="267"/>
      <c r="CN277" s="101">
        <f t="shared" si="21"/>
        <v>1</v>
      </c>
      <c r="CO277" s="101">
        <f t="shared" si="22"/>
        <v>1</v>
      </c>
    </row>
    <row r="278" spans="1:93" ht="13.9" customHeight="1" x14ac:dyDescent="0.2">
      <c r="A278" s="149">
        <v>7962</v>
      </c>
      <c r="B278" s="150" t="s">
        <v>854</v>
      </c>
      <c r="C278" s="150" t="s">
        <v>1032</v>
      </c>
      <c r="D278" s="150" t="s">
        <v>1033</v>
      </c>
      <c r="E278" s="150" t="s">
        <v>326</v>
      </c>
      <c r="F278" s="149">
        <v>528809</v>
      </c>
      <c r="G278" s="149">
        <v>173792</v>
      </c>
      <c r="H278" s="150" t="s">
        <v>139</v>
      </c>
      <c r="I278" s="151">
        <v>45017</v>
      </c>
      <c r="J278" s="151"/>
      <c r="K278" s="149">
        <v>1</v>
      </c>
      <c r="L278" s="149">
        <v>1</v>
      </c>
      <c r="M278" s="149">
        <v>0</v>
      </c>
      <c r="N278" s="149">
        <v>1</v>
      </c>
      <c r="O278" s="149">
        <v>0</v>
      </c>
      <c r="P278" s="152"/>
      <c r="Q278" s="150" t="s">
        <v>1034</v>
      </c>
      <c r="R278" s="150" t="s">
        <v>349</v>
      </c>
      <c r="S278" s="151">
        <v>44021</v>
      </c>
      <c r="T278" s="151">
        <v>44116</v>
      </c>
      <c r="U278" s="152"/>
      <c r="V278" s="150" t="s">
        <v>330</v>
      </c>
      <c r="W278" s="151"/>
      <c r="X278" s="150" t="s">
        <v>331</v>
      </c>
      <c r="Y278" s="150" t="s">
        <v>332</v>
      </c>
      <c r="Z278" s="150" t="s">
        <v>334</v>
      </c>
      <c r="AA278" s="150" t="s">
        <v>29</v>
      </c>
      <c r="AB278" s="153">
        <v>4.0000000000000001E-3</v>
      </c>
      <c r="AC278" s="151">
        <v>45017</v>
      </c>
      <c r="AD278" s="152" t="s">
        <v>327</v>
      </c>
      <c r="AE278" s="151"/>
      <c r="AF278" s="150" t="s">
        <v>70</v>
      </c>
      <c r="AG278" s="152" t="s">
        <v>352</v>
      </c>
      <c r="AH278" s="150" t="s">
        <v>326</v>
      </c>
      <c r="AI278" s="99"/>
      <c r="AJ278" s="149"/>
      <c r="AK278" s="99"/>
      <c r="AL278" s="149"/>
      <c r="AM278" s="99"/>
      <c r="AN278" s="149">
        <v>0</v>
      </c>
      <c r="AO278" s="149">
        <v>-1</v>
      </c>
      <c r="AP278" s="149">
        <v>1</v>
      </c>
      <c r="AQ278" s="149">
        <v>0</v>
      </c>
      <c r="AR278" s="149">
        <v>0</v>
      </c>
      <c r="AS278" s="149">
        <v>0</v>
      </c>
      <c r="AT278" s="149">
        <v>0</v>
      </c>
      <c r="AU278" s="149">
        <v>0</v>
      </c>
      <c r="AV278" s="149">
        <v>0</v>
      </c>
      <c r="AW278" s="149">
        <v>0</v>
      </c>
      <c r="AX278" s="149">
        <v>0</v>
      </c>
      <c r="AY278" s="149">
        <v>0</v>
      </c>
      <c r="AZ278" s="149">
        <v>0</v>
      </c>
      <c r="BA278" s="149">
        <v>0</v>
      </c>
      <c r="BB278" s="149">
        <v>0</v>
      </c>
      <c r="BC278" s="149">
        <v>0</v>
      </c>
      <c r="BD278" s="149">
        <v>1</v>
      </c>
      <c r="BE278" s="149">
        <v>0</v>
      </c>
      <c r="BF278" s="149">
        <v>0</v>
      </c>
      <c r="BG278" s="149">
        <v>0</v>
      </c>
      <c r="BH278" s="149">
        <v>0</v>
      </c>
      <c r="BI278" s="149">
        <v>0</v>
      </c>
      <c r="BJ278" s="149">
        <v>-1</v>
      </c>
      <c r="BK278" s="149">
        <v>0</v>
      </c>
      <c r="BL278" s="149">
        <v>0</v>
      </c>
      <c r="BM278" s="149">
        <v>0</v>
      </c>
      <c r="BN278" s="149">
        <v>0</v>
      </c>
      <c r="BO278" s="149">
        <v>0</v>
      </c>
      <c r="BP278" s="152"/>
      <c r="BQ278" s="152"/>
      <c r="BR278" s="154" t="s">
        <v>359</v>
      </c>
      <c r="BS278" s="136">
        <v>13</v>
      </c>
      <c r="BT278" s="267"/>
      <c r="BU278" s="267">
        <f t="shared" si="20"/>
        <v>0</v>
      </c>
      <c r="BV278" s="267"/>
      <c r="BW278" s="267"/>
      <c r="BX278" s="267"/>
      <c r="BY278" s="267"/>
      <c r="BZ278" s="267"/>
      <c r="CA278" s="267"/>
      <c r="CB278" s="267"/>
      <c r="CC278" s="267"/>
      <c r="CD278" s="267"/>
      <c r="CE278" s="267"/>
      <c r="CF278" s="267"/>
      <c r="CG278" s="267"/>
      <c r="CH278" s="267"/>
      <c r="CI278" s="267"/>
      <c r="CJ278" s="267"/>
      <c r="CK278" s="267"/>
      <c r="CL278" s="267"/>
      <c r="CM278" s="267"/>
      <c r="CN278" s="101">
        <f t="shared" si="21"/>
        <v>0</v>
      </c>
      <c r="CO278" s="101">
        <f t="shared" si="22"/>
        <v>0</v>
      </c>
    </row>
    <row r="279" spans="1:93" ht="13.9" customHeight="1" x14ac:dyDescent="0.2">
      <c r="A279" s="149">
        <v>7441</v>
      </c>
      <c r="B279" s="150" t="s">
        <v>854</v>
      </c>
      <c r="C279" s="150" t="s">
        <v>1035</v>
      </c>
      <c r="D279" s="150" t="s">
        <v>1036</v>
      </c>
      <c r="E279" s="150" t="s">
        <v>326</v>
      </c>
      <c r="F279" s="149">
        <v>527417</v>
      </c>
      <c r="G279" s="149">
        <v>175225</v>
      </c>
      <c r="H279" s="150" t="s">
        <v>164</v>
      </c>
      <c r="I279" s="151">
        <v>45168</v>
      </c>
      <c r="J279" s="151"/>
      <c r="K279" s="149">
        <v>0</v>
      </c>
      <c r="L279" s="149">
        <v>7</v>
      </c>
      <c r="M279" s="149">
        <v>7</v>
      </c>
      <c r="N279" s="149">
        <v>7</v>
      </c>
      <c r="O279" s="149">
        <v>7</v>
      </c>
      <c r="P279" s="152"/>
      <c r="Q279" s="150" t="s">
        <v>1037</v>
      </c>
      <c r="R279" s="150" t="s">
        <v>349</v>
      </c>
      <c r="S279" s="151">
        <v>44022</v>
      </c>
      <c r="T279" s="151">
        <v>44137</v>
      </c>
      <c r="U279" s="152"/>
      <c r="V279" s="150" t="s">
        <v>330</v>
      </c>
      <c r="W279" s="151"/>
      <c r="X279" s="150" t="s">
        <v>331</v>
      </c>
      <c r="Y279" s="150" t="s">
        <v>332</v>
      </c>
      <c r="Z279" s="150" t="s">
        <v>334</v>
      </c>
      <c r="AA279" s="150" t="s">
        <v>26</v>
      </c>
      <c r="AB279" s="153">
        <v>1.4E-2</v>
      </c>
      <c r="AC279" s="151">
        <v>45168</v>
      </c>
      <c r="AD279" s="152" t="s">
        <v>327</v>
      </c>
      <c r="AE279" s="151"/>
      <c r="AF279" s="150" t="s">
        <v>70</v>
      </c>
      <c r="AG279" s="152" t="s">
        <v>352</v>
      </c>
      <c r="AH279" s="150" t="s">
        <v>326</v>
      </c>
      <c r="AI279" s="99"/>
      <c r="AJ279" s="149"/>
      <c r="AK279" s="99"/>
      <c r="AL279" s="149"/>
      <c r="AM279" s="99"/>
      <c r="AN279" s="149">
        <v>0</v>
      </c>
      <c r="AO279" s="149">
        <v>6</v>
      </c>
      <c r="AP279" s="149">
        <v>1</v>
      </c>
      <c r="AQ279" s="149">
        <v>0</v>
      </c>
      <c r="AR279" s="149">
        <v>0</v>
      </c>
      <c r="AS279" s="149">
        <v>0</v>
      </c>
      <c r="AT279" s="149">
        <v>0</v>
      </c>
      <c r="AU279" s="149">
        <v>0</v>
      </c>
      <c r="AV279" s="149">
        <v>6</v>
      </c>
      <c r="AW279" s="149">
        <v>1</v>
      </c>
      <c r="AX279" s="149">
        <v>0</v>
      </c>
      <c r="AY279" s="149">
        <v>0</v>
      </c>
      <c r="AZ279" s="149">
        <v>0</v>
      </c>
      <c r="BA279" s="149">
        <v>0</v>
      </c>
      <c r="BB279" s="149">
        <v>0</v>
      </c>
      <c r="BC279" s="149">
        <v>0</v>
      </c>
      <c r="BD279" s="149">
        <v>0</v>
      </c>
      <c r="BE279" s="149">
        <v>0</v>
      </c>
      <c r="BF279" s="149">
        <v>0</v>
      </c>
      <c r="BG279" s="149">
        <v>0</v>
      </c>
      <c r="BH279" s="149">
        <v>0</v>
      </c>
      <c r="BI279" s="149">
        <v>0</v>
      </c>
      <c r="BJ279" s="149">
        <v>0</v>
      </c>
      <c r="BK279" s="149">
        <v>0</v>
      </c>
      <c r="BL279" s="149">
        <v>0</v>
      </c>
      <c r="BM279" s="149">
        <v>0</v>
      </c>
      <c r="BN279" s="149">
        <v>0</v>
      </c>
      <c r="BO279" s="149">
        <v>0</v>
      </c>
      <c r="BP279" s="152" t="s">
        <v>140</v>
      </c>
      <c r="BQ279" s="152"/>
      <c r="BR279" s="154" t="s">
        <v>148</v>
      </c>
      <c r="BS279" s="136">
        <v>13</v>
      </c>
      <c r="BT279" s="267"/>
      <c r="BU279" s="267">
        <f t="shared" si="20"/>
        <v>7</v>
      </c>
      <c r="BV279" s="267"/>
      <c r="BW279" s="267"/>
      <c r="BX279" s="267"/>
      <c r="BY279" s="267"/>
      <c r="BZ279" s="267"/>
      <c r="CA279" s="267"/>
      <c r="CB279" s="267"/>
      <c r="CC279" s="267"/>
      <c r="CD279" s="267"/>
      <c r="CE279" s="267"/>
      <c r="CF279" s="267"/>
      <c r="CG279" s="267"/>
      <c r="CH279" s="267"/>
      <c r="CI279" s="267"/>
      <c r="CJ279" s="267"/>
      <c r="CK279" s="267"/>
      <c r="CL279" s="267"/>
      <c r="CM279" s="267"/>
      <c r="CN279" s="101">
        <f t="shared" si="21"/>
        <v>7</v>
      </c>
      <c r="CO279" s="101">
        <f t="shared" si="22"/>
        <v>7</v>
      </c>
    </row>
    <row r="280" spans="1:93" ht="13.9" customHeight="1" x14ac:dyDescent="0.2">
      <c r="A280" s="149">
        <v>7442</v>
      </c>
      <c r="B280" s="150" t="s">
        <v>854</v>
      </c>
      <c r="C280" s="150" t="s">
        <v>1038</v>
      </c>
      <c r="D280" s="150" t="s">
        <v>1039</v>
      </c>
      <c r="E280" s="150" t="s">
        <v>326</v>
      </c>
      <c r="F280" s="149">
        <v>528026</v>
      </c>
      <c r="G280" s="149">
        <v>175977</v>
      </c>
      <c r="H280" s="150" t="s">
        <v>167</v>
      </c>
      <c r="I280" s="151">
        <v>44805</v>
      </c>
      <c r="J280" s="151"/>
      <c r="K280" s="149">
        <v>0</v>
      </c>
      <c r="L280" s="149">
        <v>1</v>
      </c>
      <c r="M280" s="149">
        <v>1</v>
      </c>
      <c r="N280" s="149">
        <v>1</v>
      </c>
      <c r="O280" s="149">
        <v>1</v>
      </c>
      <c r="P280" s="152"/>
      <c r="Q280" s="150" t="s">
        <v>1040</v>
      </c>
      <c r="R280" s="150" t="s">
        <v>427</v>
      </c>
      <c r="S280" s="151">
        <v>44032</v>
      </c>
      <c r="T280" s="151">
        <v>44084</v>
      </c>
      <c r="U280" s="152"/>
      <c r="V280" s="150" t="s">
        <v>330</v>
      </c>
      <c r="W280" s="151"/>
      <c r="X280" s="150" t="s">
        <v>331</v>
      </c>
      <c r="Y280" s="150" t="s">
        <v>332</v>
      </c>
      <c r="Z280" s="150" t="s">
        <v>334</v>
      </c>
      <c r="AA280" s="150" t="s">
        <v>29</v>
      </c>
      <c r="AB280" s="153">
        <v>5.0000000000000001E-3</v>
      </c>
      <c r="AC280" s="151">
        <v>44805</v>
      </c>
      <c r="AD280" s="150"/>
      <c r="AE280" s="151"/>
      <c r="AF280" s="150" t="s">
        <v>70</v>
      </c>
      <c r="AG280" s="152" t="s">
        <v>352</v>
      </c>
      <c r="AH280" s="150" t="s">
        <v>326</v>
      </c>
      <c r="AI280" s="99"/>
      <c r="AJ280" s="149"/>
      <c r="AK280" s="99"/>
      <c r="AL280" s="149"/>
      <c r="AM280" s="99"/>
      <c r="AN280" s="149">
        <v>0</v>
      </c>
      <c r="AO280" s="149">
        <v>1</v>
      </c>
      <c r="AP280" s="149">
        <v>0</v>
      </c>
      <c r="AQ280" s="149">
        <v>0</v>
      </c>
      <c r="AR280" s="149">
        <v>0</v>
      </c>
      <c r="AS280" s="149">
        <v>0</v>
      </c>
      <c r="AT280" s="149">
        <v>0</v>
      </c>
      <c r="AU280" s="149">
        <v>0</v>
      </c>
      <c r="AV280" s="149">
        <v>1</v>
      </c>
      <c r="AW280" s="149">
        <v>0</v>
      </c>
      <c r="AX280" s="149">
        <v>0</v>
      </c>
      <c r="AY280" s="149">
        <v>0</v>
      </c>
      <c r="AZ280" s="149">
        <v>0</v>
      </c>
      <c r="BA280" s="149">
        <v>0</v>
      </c>
      <c r="BB280" s="149">
        <v>0</v>
      </c>
      <c r="BC280" s="149">
        <v>0</v>
      </c>
      <c r="BD280" s="149">
        <v>0</v>
      </c>
      <c r="BE280" s="149">
        <v>0</v>
      </c>
      <c r="BF280" s="149">
        <v>0</v>
      </c>
      <c r="BG280" s="149">
        <v>0</v>
      </c>
      <c r="BH280" s="149">
        <v>0</v>
      </c>
      <c r="BI280" s="149">
        <v>0</v>
      </c>
      <c r="BJ280" s="149">
        <v>0</v>
      </c>
      <c r="BK280" s="149">
        <v>0</v>
      </c>
      <c r="BL280" s="149">
        <v>0</v>
      </c>
      <c r="BM280" s="149">
        <v>0</v>
      </c>
      <c r="BN280" s="149">
        <v>0</v>
      </c>
      <c r="BO280" s="149">
        <v>0</v>
      </c>
      <c r="BP280" s="152"/>
      <c r="BQ280" s="152"/>
      <c r="BR280" s="154" t="s">
        <v>359</v>
      </c>
      <c r="BS280" s="136">
        <v>13</v>
      </c>
      <c r="BT280" s="267"/>
      <c r="BU280" s="267">
        <f t="shared" si="20"/>
        <v>1</v>
      </c>
      <c r="BV280" s="267"/>
      <c r="BW280" s="267"/>
      <c r="BX280" s="267"/>
      <c r="BY280" s="267"/>
      <c r="BZ280" s="267"/>
      <c r="CA280" s="267"/>
      <c r="CB280" s="267"/>
      <c r="CC280" s="267"/>
      <c r="CD280" s="267"/>
      <c r="CE280" s="267"/>
      <c r="CF280" s="267"/>
      <c r="CG280" s="267"/>
      <c r="CH280" s="267"/>
      <c r="CI280" s="267"/>
      <c r="CJ280" s="267"/>
      <c r="CK280" s="267"/>
      <c r="CL280" s="267"/>
      <c r="CM280" s="267"/>
      <c r="CN280" s="101">
        <f t="shared" si="21"/>
        <v>1</v>
      </c>
      <c r="CO280" s="101">
        <f t="shared" si="22"/>
        <v>1</v>
      </c>
    </row>
    <row r="281" spans="1:93" ht="13.9" customHeight="1" x14ac:dyDescent="0.2">
      <c r="A281" s="149">
        <v>7433</v>
      </c>
      <c r="B281" s="150" t="s">
        <v>854</v>
      </c>
      <c r="C281" s="150" t="s">
        <v>1041</v>
      </c>
      <c r="D281" s="150" t="s">
        <v>1042</v>
      </c>
      <c r="E281" s="150" t="s">
        <v>1043</v>
      </c>
      <c r="F281" s="149">
        <v>528136</v>
      </c>
      <c r="G281" s="149">
        <v>174080</v>
      </c>
      <c r="H281" s="150" t="s">
        <v>139</v>
      </c>
      <c r="I281" s="151">
        <v>44258</v>
      </c>
      <c r="J281" s="151"/>
      <c r="K281" s="149">
        <v>1</v>
      </c>
      <c r="L281" s="149">
        <v>1</v>
      </c>
      <c r="M281" s="149">
        <v>0</v>
      </c>
      <c r="N281" s="149">
        <v>2</v>
      </c>
      <c r="O281" s="149">
        <v>1</v>
      </c>
      <c r="P281" s="152"/>
      <c r="Q281" s="150" t="s">
        <v>1044</v>
      </c>
      <c r="R281" s="150" t="s">
        <v>349</v>
      </c>
      <c r="S281" s="151">
        <v>44043</v>
      </c>
      <c r="T281" s="151">
        <v>44165</v>
      </c>
      <c r="U281" s="152"/>
      <c r="V281" s="150" t="s">
        <v>330</v>
      </c>
      <c r="W281" s="151"/>
      <c r="X281" s="150" t="s">
        <v>331</v>
      </c>
      <c r="Y281" s="150" t="s">
        <v>343</v>
      </c>
      <c r="Z281" s="150" t="s">
        <v>334</v>
      </c>
      <c r="AA281" s="150" t="s">
        <v>363</v>
      </c>
      <c r="AB281" s="153">
        <v>3.2000000000000001E-2</v>
      </c>
      <c r="AC281" s="151">
        <v>44258</v>
      </c>
      <c r="AD281" s="150"/>
      <c r="AE281" s="151"/>
      <c r="AF281" s="150" t="s">
        <v>70</v>
      </c>
      <c r="AG281" s="152" t="s">
        <v>352</v>
      </c>
      <c r="AH281" s="150" t="s">
        <v>326</v>
      </c>
      <c r="AI281" s="99"/>
      <c r="AJ281" s="149"/>
      <c r="AK281" s="99"/>
      <c r="AL281" s="149"/>
      <c r="AM281" s="99"/>
      <c r="AN281" s="149">
        <v>0</v>
      </c>
      <c r="AO281" s="149">
        <v>0</v>
      </c>
      <c r="AP281" s="149">
        <v>0</v>
      </c>
      <c r="AQ281" s="149">
        <v>0</v>
      </c>
      <c r="AR281" s="149">
        <v>-1</v>
      </c>
      <c r="AS281" s="149">
        <v>1</v>
      </c>
      <c r="AT281" s="149">
        <v>0</v>
      </c>
      <c r="AU281" s="149">
        <v>0</v>
      </c>
      <c r="AV281" s="149">
        <v>0</v>
      </c>
      <c r="AW281" s="149">
        <v>0</v>
      </c>
      <c r="AX281" s="149">
        <v>0</v>
      </c>
      <c r="AY281" s="149">
        <v>0</v>
      </c>
      <c r="AZ281" s="149">
        <v>0</v>
      </c>
      <c r="BA281" s="149">
        <v>0</v>
      </c>
      <c r="BB281" s="149">
        <v>0</v>
      </c>
      <c r="BC281" s="149">
        <v>0</v>
      </c>
      <c r="BD281" s="149">
        <v>0</v>
      </c>
      <c r="BE281" s="149">
        <v>0</v>
      </c>
      <c r="BF281" s="149">
        <v>-1</v>
      </c>
      <c r="BG281" s="149">
        <v>1</v>
      </c>
      <c r="BH281" s="149">
        <v>0</v>
      </c>
      <c r="BI281" s="149">
        <v>0</v>
      </c>
      <c r="BJ281" s="149">
        <v>0</v>
      </c>
      <c r="BK281" s="149">
        <v>0</v>
      </c>
      <c r="BL281" s="149">
        <v>0</v>
      </c>
      <c r="BM281" s="149">
        <v>0</v>
      </c>
      <c r="BN281" s="149">
        <v>0</v>
      </c>
      <c r="BO281" s="149">
        <v>0</v>
      </c>
      <c r="BP281" s="152"/>
      <c r="BQ281" s="152"/>
      <c r="BR281" s="154" t="s">
        <v>359</v>
      </c>
      <c r="BS281" s="136">
        <v>3</v>
      </c>
      <c r="BT281" s="267"/>
      <c r="BU281" s="267">
        <f t="shared" si="20"/>
        <v>0</v>
      </c>
      <c r="BV281" s="267"/>
      <c r="BW281" s="267"/>
      <c r="BX281" s="267"/>
      <c r="BY281" s="267"/>
      <c r="BZ281" s="267"/>
      <c r="CA281" s="267"/>
      <c r="CB281" s="267"/>
      <c r="CC281" s="267"/>
      <c r="CD281" s="267"/>
      <c r="CE281" s="267"/>
      <c r="CF281" s="267"/>
      <c r="CG281" s="267"/>
      <c r="CH281" s="267"/>
      <c r="CI281" s="267"/>
      <c r="CJ281" s="267"/>
      <c r="CK281" s="267"/>
      <c r="CL281" s="267"/>
      <c r="CM281" s="267"/>
      <c r="CN281" s="101">
        <f t="shared" si="21"/>
        <v>0</v>
      </c>
      <c r="CO281" s="101">
        <f t="shared" si="22"/>
        <v>0</v>
      </c>
    </row>
    <row r="282" spans="1:93" ht="13.9" customHeight="1" x14ac:dyDescent="0.2">
      <c r="A282" s="149">
        <v>7433</v>
      </c>
      <c r="B282" s="150" t="s">
        <v>854</v>
      </c>
      <c r="C282" s="150" t="s">
        <v>1041</v>
      </c>
      <c r="D282" s="150" t="s">
        <v>1042</v>
      </c>
      <c r="E282" s="150" t="s">
        <v>1045</v>
      </c>
      <c r="F282" s="149">
        <v>528136</v>
      </c>
      <c r="G282" s="149">
        <v>174080</v>
      </c>
      <c r="H282" s="150" t="s">
        <v>139</v>
      </c>
      <c r="I282" s="151">
        <v>44258</v>
      </c>
      <c r="J282" s="151"/>
      <c r="K282" s="149">
        <v>0</v>
      </c>
      <c r="L282" s="149">
        <v>1</v>
      </c>
      <c r="M282" s="149">
        <v>1</v>
      </c>
      <c r="N282" s="149">
        <v>2</v>
      </c>
      <c r="O282" s="149">
        <v>1</v>
      </c>
      <c r="P282" s="152"/>
      <c r="Q282" s="150" t="s">
        <v>1044</v>
      </c>
      <c r="R282" s="150" t="s">
        <v>349</v>
      </c>
      <c r="S282" s="151">
        <v>44043</v>
      </c>
      <c r="T282" s="151">
        <v>44165</v>
      </c>
      <c r="U282" s="152"/>
      <c r="V282" s="150" t="s">
        <v>330</v>
      </c>
      <c r="W282" s="151"/>
      <c r="X282" s="150" t="s">
        <v>331</v>
      </c>
      <c r="Y282" s="150" t="s">
        <v>343</v>
      </c>
      <c r="Z282" s="150" t="s">
        <v>334</v>
      </c>
      <c r="AA282" s="150" t="s">
        <v>363</v>
      </c>
      <c r="AB282" s="153">
        <v>3.1E-2</v>
      </c>
      <c r="AC282" s="151">
        <v>44258</v>
      </c>
      <c r="AD282" s="150"/>
      <c r="AE282" s="151"/>
      <c r="AF282" s="150" t="s">
        <v>70</v>
      </c>
      <c r="AG282" s="152" t="s">
        <v>352</v>
      </c>
      <c r="AH282" s="150" t="s">
        <v>326</v>
      </c>
      <c r="AI282" s="99"/>
      <c r="AJ282" s="149"/>
      <c r="AK282" s="99"/>
      <c r="AL282" s="149"/>
      <c r="AM282" s="99"/>
      <c r="AN282" s="149">
        <v>0</v>
      </c>
      <c r="AO282" s="149">
        <v>0</v>
      </c>
      <c r="AP282" s="149">
        <v>0</v>
      </c>
      <c r="AQ282" s="149">
        <v>0</v>
      </c>
      <c r="AR282" s="149">
        <v>0</v>
      </c>
      <c r="AS282" s="149">
        <v>1</v>
      </c>
      <c r="AT282" s="149">
        <v>0</v>
      </c>
      <c r="AU282" s="149">
        <v>0</v>
      </c>
      <c r="AV282" s="149">
        <v>0</v>
      </c>
      <c r="AW282" s="149">
        <v>0</v>
      </c>
      <c r="AX282" s="149">
        <v>0</v>
      </c>
      <c r="AY282" s="149">
        <v>0</v>
      </c>
      <c r="AZ282" s="149">
        <v>0</v>
      </c>
      <c r="BA282" s="149">
        <v>0</v>
      </c>
      <c r="BB282" s="149">
        <v>0</v>
      </c>
      <c r="BC282" s="149">
        <v>0</v>
      </c>
      <c r="BD282" s="149">
        <v>0</v>
      </c>
      <c r="BE282" s="149">
        <v>0</v>
      </c>
      <c r="BF282" s="149">
        <v>0</v>
      </c>
      <c r="BG282" s="149">
        <v>1</v>
      </c>
      <c r="BH282" s="149">
        <v>0</v>
      </c>
      <c r="BI282" s="149">
        <v>0</v>
      </c>
      <c r="BJ282" s="149">
        <v>0</v>
      </c>
      <c r="BK282" s="149">
        <v>0</v>
      </c>
      <c r="BL282" s="149">
        <v>0</v>
      </c>
      <c r="BM282" s="149">
        <v>0</v>
      </c>
      <c r="BN282" s="149">
        <v>0</v>
      </c>
      <c r="BO282" s="149">
        <v>0</v>
      </c>
      <c r="BP282" s="152"/>
      <c r="BQ282" s="152"/>
      <c r="BR282" s="154" t="s">
        <v>359</v>
      </c>
      <c r="BS282" s="136">
        <v>3</v>
      </c>
      <c r="BT282" s="267"/>
      <c r="BU282" s="267">
        <f t="shared" si="20"/>
        <v>1</v>
      </c>
      <c r="BV282" s="267"/>
      <c r="BW282" s="267"/>
      <c r="BX282" s="267"/>
      <c r="BY282" s="267"/>
      <c r="BZ282" s="267"/>
      <c r="CA282" s="267"/>
      <c r="CB282" s="267"/>
      <c r="CC282" s="267"/>
      <c r="CD282" s="267"/>
      <c r="CE282" s="267"/>
      <c r="CF282" s="267"/>
      <c r="CG282" s="267"/>
      <c r="CH282" s="267"/>
      <c r="CI282" s="267"/>
      <c r="CJ282" s="267"/>
      <c r="CK282" s="267"/>
      <c r="CL282" s="267"/>
      <c r="CM282" s="267"/>
      <c r="CN282" s="101">
        <f t="shared" si="21"/>
        <v>1</v>
      </c>
      <c r="CO282" s="101">
        <f t="shared" si="22"/>
        <v>1</v>
      </c>
    </row>
    <row r="283" spans="1:93" ht="13.9" customHeight="1" x14ac:dyDescent="0.2">
      <c r="A283" s="149">
        <v>7432</v>
      </c>
      <c r="B283" s="150" t="s">
        <v>854</v>
      </c>
      <c r="C283" s="150" t="s">
        <v>1046</v>
      </c>
      <c r="D283" s="150" t="s">
        <v>1047</v>
      </c>
      <c r="E283" s="150" t="s">
        <v>326</v>
      </c>
      <c r="F283" s="149">
        <v>522788</v>
      </c>
      <c r="G283" s="149">
        <v>174649</v>
      </c>
      <c r="H283" s="150" t="s">
        <v>179</v>
      </c>
      <c r="I283" s="151">
        <v>44286</v>
      </c>
      <c r="J283" s="151"/>
      <c r="K283" s="149">
        <v>1</v>
      </c>
      <c r="L283" s="149">
        <v>1</v>
      </c>
      <c r="M283" s="149">
        <v>0</v>
      </c>
      <c r="N283" s="149">
        <v>1</v>
      </c>
      <c r="O283" s="149">
        <v>0</v>
      </c>
      <c r="P283" s="152"/>
      <c r="Q283" s="150" t="s">
        <v>1048</v>
      </c>
      <c r="R283" s="150" t="s">
        <v>349</v>
      </c>
      <c r="S283" s="151">
        <v>44047</v>
      </c>
      <c r="T283" s="151">
        <v>44123</v>
      </c>
      <c r="U283" s="152"/>
      <c r="V283" s="150" t="s">
        <v>330</v>
      </c>
      <c r="W283" s="151"/>
      <c r="X283" s="150" t="s">
        <v>331</v>
      </c>
      <c r="Y283" s="150" t="s">
        <v>343</v>
      </c>
      <c r="Z283" s="150" t="s">
        <v>334</v>
      </c>
      <c r="AA283" s="150" t="s">
        <v>363</v>
      </c>
      <c r="AB283" s="153">
        <v>5.0999999999999997E-2</v>
      </c>
      <c r="AC283" s="151">
        <v>44286</v>
      </c>
      <c r="AD283" s="150"/>
      <c r="AE283" s="151"/>
      <c r="AF283" s="150" t="s">
        <v>70</v>
      </c>
      <c r="AG283" s="152" t="s">
        <v>352</v>
      </c>
      <c r="AH283" s="150" t="s">
        <v>326</v>
      </c>
      <c r="AI283" s="99"/>
      <c r="AJ283" s="149"/>
      <c r="AK283" s="99"/>
      <c r="AL283" s="149"/>
      <c r="AM283" s="99"/>
      <c r="AN283" s="149">
        <v>0</v>
      </c>
      <c r="AO283" s="149">
        <v>0</v>
      </c>
      <c r="AP283" s="149">
        <v>0</v>
      </c>
      <c r="AQ283" s="149">
        <v>0</v>
      </c>
      <c r="AR283" s="149">
        <v>-1</v>
      </c>
      <c r="AS283" s="149">
        <v>1</v>
      </c>
      <c r="AT283" s="149">
        <v>0</v>
      </c>
      <c r="AU283" s="149">
        <v>0</v>
      </c>
      <c r="AV283" s="149">
        <v>0</v>
      </c>
      <c r="AW283" s="149">
        <v>0</v>
      </c>
      <c r="AX283" s="149">
        <v>0</v>
      </c>
      <c r="AY283" s="149">
        <v>0</v>
      </c>
      <c r="AZ283" s="149">
        <v>0</v>
      </c>
      <c r="BA283" s="149">
        <v>0</v>
      </c>
      <c r="BB283" s="149">
        <v>0</v>
      </c>
      <c r="BC283" s="149">
        <v>0</v>
      </c>
      <c r="BD283" s="149">
        <v>0</v>
      </c>
      <c r="BE283" s="149">
        <v>0</v>
      </c>
      <c r="BF283" s="149">
        <v>-1</v>
      </c>
      <c r="BG283" s="149">
        <v>1</v>
      </c>
      <c r="BH283" s="149">
        <v>0</v>
      </c>
      <c r="BI283" s="149">
        <v>0</v>
      </c>
      <c r="BJ283" s="149">
        <v>0</v>
      </c>
      <c r="BK283" s="149">
        <v>0</v>
      </c>
      <c r="BL283" s="149">
        <v>0</v>
      </c>
      <c r="BM283" s="149">
        <v>0</v>
      </c>
      <c r="BN283" s="149">
        <v>0</v>
      </c>
      <c r="BO283" s="149">
        <v>0</v>
      </c>
      <c r="BP283" s="152"/>
      <c r="BQ283" s="152"/>
      <c r="BR283" s="154" t="s">
        <v>359</v>
      </c>
      <c r="BS283" s="136">
        <v>3</v>
      </c>
      <c r="BT283" s="267"/>
      <c r="BU283" s="267">
        <f t="shared" si="20"/>
        <v>0</v>
      </c>
      <c r="BV283" s="267"/>
      <c r="BW283" s="267"/>
      <c r="BX283" s="267"/>
      <c r="BY283" s="267"/>
      <c r="BZ283" s="267"/>
      <c r="CA283" s="267"/>
      <c r="CB283" s="267"/>
      <c r="CC283" s="267"/>
      <c r="CD283" s="267"/>
      <c r="CE283" s="267"/>
      <c r="CF283" s="267"/>
      <c r="CG283" s="267"/>
      <c r="CH283" s="267"/>
      <c r="CI283" s="267"/>
      <c r="CJ283" s="267"/>
      <c r="CK283" s="267"/>
      <c r="CL283" s="267"/>
      <c r="CM283" s="267"/>
      <c r="CN283" s="101">
        <f t="shared" si="21"/>
        <v>0</v>
      </c>
      <c r="CO283" s="101">
        <f t="shared" si="22"/>
        <v>0</v>
      </c>
    </row>
    <row r="284" spans="1:93" ht="13.9" customHeight="1" x14ac:dyDescent="0.2">
      <c r="A284" s="149">
        <v>7435</v>
      </c>
      <c r="B284" s="150" t="s">
        <v>854</v>
      </c>
      <c r="C284" s="150" t="s">
        <v>1049</v>
      </c>
      <c r="D284" s="150" t="s">
        <v>1050</v>
      </c>
      <c r="E284" s="150" t="s">
        <v>326</v>
      </c>
      <c r="F284" s="149">
        <v>527953</v>
      </c>
      <c r="G284" s="149">
        <v>172977</v>
      </c>
      <c r="H284" s="150" t="s">
        <v>174</v>
      </c>
      <c r="I284" s="151">
        <v>45017</v>
      </c>
      <c r="J284" s="151"/>
      <c r="K284" s="149">
        <v>1</v>
      </c>
      <c r="L284" s="149">
        <v>3</v>
      </c>
      <c r="M284" s="149">
        <v>2</v>
      </c>
      <c r="N284" s="149">
        <v>3</v>
      </c>
      <c r="O284" s="149">
        <v>2</v>
      </c>
      <c r="P284" s="152"/>
      <c r="Q284" s="150" t="s">
        <v>1051</v>
      </c>
      <c r="R284" s="150" t="s">
        <v>349</v>
      </c>
      <c r="S284" s="151">
        <v>44047</v>
      </c>
      <c r="T284" s="151">
        <v>44112</v>
      </c>
      <c r="U284" s="152"/>
      <c r="V284" s="150" t="s">
        <v>330</v>
      </c>
      <c r="W284" s="151"/>
      <c r="X284" s="150" t="s">
        <v>331</v>
      </c>
      <c r="Y284" s="150" t="s">
        <v>398</v>
      </c>
      <c r="Z284" s="150" t="s">
        <v>334</v>
      </c>
      <c r="AA284" s="150" t="s">
        <v>16</v>
      </c>
      <c r="AB284" s="153">
        <v>2.7E-2</v>
      </c>
      <c r="AC284" s="151">
        <v>45017</v>
      </c>
      <c r="AD284" s="152" t="s">
        <v>327</v>
      </c>
      <c r="AE284" s="151"/>
      <c r="AF284" s="150" t="s">
        <v>70</v>
      </c>
      <c r="AG284" s="152" t="s">
        <v>352</v>
      </c>
      <c r="AH284" s="150" t="s">
        <v>326</v>
      </c>
      <c r="AI284" s="99"/>
      <c r="AJ284" s="149"/>
      <c r="AK284" s="99"/>
      <c r="AL284" s="149"/>
      <c r="AM284" s="99"/>
      <c r="AN284" s="149">
        <v>0</v>
      </c>
      <c r="AO284" s="149">
        <v>0</v>
      </c>
      <c r="AP284" s="149">
        <v>2</v>
      </c>
      <c r="AQ284" s="149">
        <v>1</v>
      </c>
      <c r="AR284" s="149">
        <v>0</v>
      </c>
      <c r="AS284" s="149">
        <v>-1</v>
      </c>
      <c r="AT284" s="149">
        <v>0</v>
      </c>
      <c r="AU284" s="149">
        <v>0</v>
      </c>
      <c r="AV284" s="149">
        <v>0</v>
      </c>
      <c r="AW284" s="149">
        <v>2</v>
      </c>
      <c r="AX284" s="149">
        <v>1</v>
      </c>
      <c r="AY284" s="149">
        <v>0</v>
      </c>
      <c r="AZ284" s="149">
        <v>0</v>
      </c>
      <c r="BA284" s="149">
        <v>0</v>
      </c>
      <c r="BB284" s="149">
        <v>0</v>
      </c>
      <c r="BC284" s="149">
        <v>0</v>
      </c>
      <c r="BD284" s="149">
        <v>0</v>
      </c>
      <c r="BE284" s="149">
        <v>0</v>
      </c>
      <c r="BF284" s="149">
        <v>0</v>
      </c>
      <c r="BG284" s="149">
        <v>-1</v>
      </c>
      <c r="BH284" s="149">
        <v>0</v>
      </c>
      <c r="BI284" s="149">
        <v>0</v>
      </c>
      <c r="BJ284" s="149">
        <v>0</v>
      </c>
      <c r="BK284" s="149">
        <v>0</v>
      </c>
      <c r="BL284" s="149">
        <v>0</v>
      </c>
      <c r="BM284" s="149">
        <v>0</v>
      </c>
      <c r="BN284" s="149">
        <v>0</v>
      </c>
      <c r="BO284" s="149">
        <v>0</v>
      </c>
      <c r="BP284" s="152"/>
      <c r="BQ284" s="152"/>
      <c r="BR284" s="154" t="s">
        <v>359</v>
      </c>
      <c r="BS284" s="136">
        <v>13</v>
      </c>
      <c r="BT284" s="267"/>
      <c r="BU284" s="267">
        <f t="shared" si="20"/>
        <v>2</v>
      </c>
      <c r="BV284" s="267"/>
      <c r="BW284" s="267"/>
      <c r="BX284" s="267"/>
      <c r="BY284" s="267"/>
      <c r="BZ284" s="267"/>
      <c r="CA284" s="267"/>
      <c r="CB284" s="267"/>
      <c r="CC284" s="267"/>
      <c r="CD284" s="267"/>
      <c r="CE284" s="267"/>
      <c r="CF284" s="267"/>
      <c r="CG284" s="267"/>
      <c r="CH284" s="267"/>
      <c r="CI284" s="267"/>
      <c r="CJ284" s="267"/>
      <c r="CK284" s="267"/>
      <c r="CL284" s="267"/>
      <c r="CM284" s="267"/>
      <c r="CN284" s="101">
        <f t="shared" si="21"/>
        <v>2</v>
      </c>
      <c r="CO284" s="101">
        <f t="shared" si="22"/>
        <v>2</v>
      </c>
    </row>
    <row r="285" spans="1:93" ht="13.9" customHeight="1" x14ac:dyDescent="0.2">
      <c r="A285" s="149">
        <v>7456</v>
      </c>
      <c r="B285" s="150" t="s">
        <v>854</v>
      </c>
      <c r="C285" s="150" t="s">
        <v>1052</v>
      </c>
      <c r="D285" s="150" t="s">
        <v>1053</v>
      </c>
      <c r="E285" s="150" t="s">
        <v>1054</v>
      </c>
      <c r="F285" s="149">
        <v>525327</v>
      </c>
      <c r="G285" s="149">
        <v>173104</v>
      </c>
      <c r="H285" s="150" t="s">
        <v>169</v>
      </c>
      <c r="I285" s="151">
        <v>44228</v>
      </c>
      <c r="J285" s="151"/>
      <c r="K285" s="149">
        <v>1</v>
      </c>
      <c r="L285" s="149">
        <v>1</v>
      </c>
      <c r="M285" s="149">
        <v>0</v>
      </c>
      <c r="N285" s="149">
        <v>2</v>
      </c>
      <c r="O285" s="149">
        <v>0</v>
      </c>
      <c r="P285" s="152"/>
      <c r="Q285" s="150" t="s">
        <v>1055</v>
      </c>
      <c r="R285" s="150" t="s">
        <v>349</v>
      </c>
      <c r="S285" s="151">
        <v>44055</v>
      </c>
      <c r="T285" s="151">
        <v>44117</v>
      </c>
      <c r="U285" s="152"/>
      <c r="V285" s="150" t="s">
        <v>330</v>
      </c>
      <c r="W285" s="151"/>
      <c r="X285" s="150" t="s">
        <v>331</v>
      </c>
      <c r="Y285" s="150" t="s">
        <v>343</v>
      </c>
      <c r="Z285" s="150" t="s">
        <v>334</v>
      </c>
      <c r="AA285" s="150" t="s">
        <v>363</v>
      </c>
      <c r="AB285" s="153">
        <v>4.5999999999999999E-2</v>
      </c>
      <c r="AC285" s="151">
        <v>44228</v>
      </c>
      <c r="AD285" s="150"/>
      <c r="AE285" s="151"/>
      <c r="AF285" s="150" t="s">
        <v>70</v>
      </c>
      <c r="AG285" s="152" t="s">
        <v>352</v>
      </c>
      <c r="AH285" s="150" t="s">
        <v>326</v>
      </c>
      <c r="AI285" s="99"/>
      <c r="AJ285" s="149"/>
      <c r="AK285" s="99"/>
      <c r="AL285" s="149"/>
      <c r="AM285" s="99"/>
      <c r="AN285" s="149">
        <v>0</v>
      </c>
      <c r="AO285" s="149">
        <v>0</v>
      </c>
      <c r="AP285" s="149">
        <v>0</v>
      </c>
      <c r="AQ285" s="149">
        <v>0</v>
      </c>
      <c r="AR285" s="149">
        <v>-1</v>
      </c>
      <c r="AS285" s="149">
        <v>1</v>
      </c>
      <c r="AT285" s="149">
        <v>0</v>
      </c>
      <c r="AU285" s="149">
        <v>0</v>
      </c>
      <c r="AV285" s="149">
        <v>0</v>
      </c>
      <c r="AW285" s="149">
        <v>0</v>
      </c>
      <c r="AX285" s="149">
        <v>0</v>
      </c>
      <c r="AY285" s="149">
        <v>0</v>
      </c>
      <c r="AZ285" s="149">
        <v>0</v>
      </c>
      <c r="BA285" s="149">
        <v>0</v>
      </c>
      <c r="BB285" s="149">
        <v>0</v>
      </c>
      <c r="BC285" s="149">
        <v>0</v>
      </c>
      <c r="BD285" s="149">
        <v>0</v>
      </c>
      <c r="BE285" s="149">
        <v>0</v>
      </c>
      <c r="BF285" s="149">
        <v>-1</v>
      </c>
      <c r="BG285" s="149">
        <v>1</v>
      </c>
      <c r="BH285" s="149">
        <v>0</v>
      </c>
      <c r="BI285" s="149">
        <v>0</v>
      </c>
      <c r="BJ285" s="149">
        <v>0</v>
      </c>
      <c r="BK285" s="149">
        <v>0</v>
      </c>
      <c r="BL285" s="149">
        <v>0</v>
      </c>
      <c r="BM285" s="149">
        <v>0</v>
      </c>
      <c r="BN285" s="149">
        <v>0</v>
      </c>
      <c r="BO285" s="149">
        <v>0</v>
      </c>
      <c r="BP285" s="152"/>
      <c r="BQ285" s="152"/>
      <c r="BR285" s="154" t="s">
        <v>151</v>
      </c>
      <c r="BS285" s="136">
        <v>3</v>
      </c>
      <c r="BT285" s="267"/>
      <c r="BU285" s="267">
        <f t="shared" si="20"/>
        <v>0</v>
      </c>
      <c r="BV285" s="267"/>
      <c r="BW285" s="267"/>
      <c r="BX285" s="267"/>
      <c r="BY285" s="267"/>
      <c r="BZ285" s="267"/>
      <c r="CA285" s="267"/>
      <c r="CB285" s="267"/>
      <c r="CC285" s="267"/>
      <c r="CD285" s="267"/>
      <c r="CE285" s="267"/>
      <c r="CF285" s="267"/>
      <c r="CG285" s="267"/>
      <c r="CH285" s="267"/>
      <c r="CI285" s="267"/>
      <c r="CJ285" s="267"/>
      <c r="CK285" s="267"/>
      <c r="CL285" s="267"/>
      <c r="CM285" s="267"/>
      <c r="CN285" s="101">
        <f t="shared" si="21"/>
        <v>0</v>
      </c>
      <c r="CO285" s="101">
        <f t="shared" si="22"/>
        <v>0</v>
      </c>
    </row>
    <row r="286" spans="1:93" ht="13.9" customHeight="1" x14ac:dyDescent="0.2">
      <c r="A286" s="149">
        <v>7456</v>
      </c>
      <c r="B286" s="150" t="s">
        <v>854</v>
      </c>
      <c r="C286" s="150" t="s">
        <v>1052</v>
      </c>
      <c r="D286" s="150" t="s">
        <v>1053</v>
      </c>
      <c r="E286" s="150" t="s">
        <v>1056</v>
      </c>
      <c r="F286" s="149">
        <v>525327</v>
      </c>
      <c r="G286" s="149">
        <v>173104</v>
      </c>
      <c r="H286" s="150" t="s">
        <v>169</v>
      </c>
      <c r="I286" s="151">
        <v>44228</v>
      </c>
      <c r="J286" s="151"/>
      <c r="K286" s="149">
        <v>1</v>
      </c>
      <c r="L286" s="149">
        <v>1</v>
      </c>
      <c r="M286" s="149">
        <v>0</v>
      </c>
      <c r="N286" s="149">
        <v>2</v>
      </c>
      <c r="O286" s="149">
        <v>0</v>
      </c>
      <c r="P286" s="152"/>
      <c r="Q286" s="150" t="s">
        <v>1055</v>
      </c>
      <c r="R286" s="150" t="s">
        <v>349</v>
      </c>
      <c r="S286" s="151">
        <v>44055</v>
      </c>
      <c r="T286" s="151">
        <v>44117</v>
      </c>
      <c r="U286" s="152"/>
      <c r="V286" s="150" t="s">
        <v>330</v>
      </c>
      <c r="W286" s="151"/>
      <c r="X286" s="150" t="s">
        <v>331</v>
      </c>
      <c r="Y286" s="150" t="s">
        <v>343</v>
      </c>
      <c r="Z286" s="150" t="s">
        <v>334</v>
      </c>
      <c r="AA286" s="150" t="s">
        <v>363</v>
      </c>
      <c r="AB286" s="153">
        <v>4.5999999999999999E-2</v>
      </c>
      <c r="AC286" s="151">
        <v>44228</v>
      </c>
      <c r="AD286" s="150"/>
      <c r="AE286" s="151"/>
      <c r="AF286" s="150" t="s">
        <v>70</v>
      </c>
      <c r="AG286" s="152" t="s">
        <v>352</v>
      </c>
      <c r="AH286" s="150" t="s">
        <v>326</v>
      </c>
      <c r="AI286" s="99"/>
      <c r="AJ286" s="149"/>
      <c r="AK286" s="99"/>
      <c r="AL286" s="149"/>
      <c r="AM286" s="99"/>
      <c r="AN286" s="149">
        <v>0</v>
      </c>
      <c r="AO286" s="149">
        <v>0</v>
      </c>
      <c r="AP286" s="149">
        <v>0</v>
      </c>
      <c r="AQ286" s="149">
        <v>0</v>
      </c>
      <c r="AR286" s="149">
        <v>-1</v>
      </c>
      <c r="AS286" s="149">
        <v>1</v>
      </c>
      <c r="AT286" s="149">
        <v>0</v>
      </c>
      <c r="AU286" s="149">
        <v>0</v>
      </c>
      <c r="AV286" s="149">
        <v>0</v>
      </c>
      <c r="AW286" s="149">
        <v>0</v>
      </c>
      <c r="AX286" s="149">
        <v>0</v>
      </c>
      <c r="AY286" s="149">
        <v>0</v>
      </c>
      <c r="AZ286" s="149">
        <v>0</v>
      </c>
      <c r="BA286" s="149">
        <v>0</v>
      </c>
      <c r="BB286" s="149">
        <v>0</v>
      </c>
      <c r="BC286" s="149">
        <v>0</v>
      </c>
      <c r="BD286" s="149">
        <v>0</v>
      </c>
      <c r="BE286" s="149">
        <v>0</v>
      </c>
      <c r="BF286" s="149">
        <v>-1</v>
      </c>
      <c r="BG286" s="149">
        <v>1</v>
      </c>
      <c r="BH286" s="149">
        <v>0</v>
      </c>
      <c r="BI286" s="149">
        <v>0</v>
      </c>
      <c r="BJ286" s="149">
        <v>0</v>
      </c>
      <c r="BK286" s="149">
        <v>0</v>
      </c>
      <c r="BL286" s="149">
        <v>0</v>
      </c>
      <c r="BM286" s="149">
        <v>0</v>
      </c>
      <c r="BN286" s="149">
        <v>0</v>
      </c>
      <c r="BO286" s="149">
        <v>0</v>
      </c>
      <c r="BP286" s="152"/>
      <c r="BQ286" s="152"/>
      <c r="BR286" s="154" t="s">
        <v>151</v>
      </c>
      <c r="BS286" s="136">
        <v>3</v>
      </c>
      <c r="BT286" s="267"/>
      <c r="BU286" s="267">
        <f t="shared" si="20"/>
        <v>0</v>
      </c>
      <c r="BV286" s="267"/>
      <c r="BW286" s="267"/>
      <c r="BX286" s="267"/>
      <c r="BY286" s="267"/>
      <c r="BZ286" s="267"/>
      <c r="CA286" s="267"/>
      <c r="CB286" s="267"/>
      <c r="CC286" s="267"/>
      <c r="CD286" s="267"/>
      <c r="CE286" s="267"/>
      <c r="CF286" s="267"/>
      <c r="CG286" s="267"/>
      <c r="CH286" s="267"/>
      <c r="CI286" s="267"/>
      <c r="CJ286" s="267"/>
      <c r="CK286" s="267"/>
      <c r="CL286" s="267"/>
      <c r="CM286" s="267"/>
      <c r="CN286" s="101">
        <f t="shared" si="21"/>
        <v>0</v>
      </c>
      <c r="CO286" s="101">
        <f t="shared" si="22"/>
        <v>0</v>
      </c>
    </row>
    <row r="287" spans="1:93" ht="13.9" customHeight="1" x14ac:dyDescent="0.2">
      <c r="A287" s="149">
        <v>7211</v>
      </c>
      <c r="B287" s="150" t="s">
        <v>854</v>
      </c>
      <c r="C287" s="150" t="s">
        <v>1057</v>
      </c>
      <c r="D287" s="150" t="s">
        <v>1007</v>
      </c>
      <c r="E287" s="150" t="s">
        <v>326</v>
      </c>
      <c r="F287" s="149">
        <v>527235</v>
      </c>
      <c r="G287" s="149">
        <v>171597</v>
      </c>
      <c r="H287" s="150" t="s">
        <v>173</v>
      </c>
      <c r="I287" s="151">
        <v>44964</v>
      </c>
      <c r="J287" s="151"/>
      <c r="K287" s="149">
        <v>1</v>
      </c>
      <c r="L287" s="149">
        <v>4</v>
      </c>
      <c r="M287" s="149">
        <v>3</v>
      </c>
      <c r="N287" s="149">
        <v>4</v>
      </c>
      <c r="O287" s="149">
        <v>3</v>
      </c>
      <c r="P287" s="152"/>
      <c r="Q287" s="150" t="s">
        <v>1058</v>
      </c>
      <c r="R287" s="150" t="s">
        <v>349</v>
      </c>
      <c r="S287" s="151">
        <v>44126</v>
      </c>
      <c r="T287" s="151">
        <v>44134</v>
      </c>
      <c r="U287" s="152"/>
      <c r="V287" s="150" t="s">
        <v>330</v>
      </c>
      <c r="W287" s="151"/>
      <c r="X287" s="150" t="s">
        <v>331</v>
      </c>
      <c r="Y287" s="150" t="s">
        <v>343</v>
      </c>
      <c r="Z287" s="150" t="s">
        <v>334</v>
      </c>
      <c r="AA287" s="150" t="s">
        <v>363</v>
      </c>
      <c r="AB287" s="153">
        <v>0.02</v>
      </c>
      <c r="AC287" s="151">
        <v>44964</v>
      </c>
      <c r="AD287" s="150"/>
      <c r="AE287" s="151"/>
      <c r="AF287" s="150" t="s">
        <v>70</v>
      </c>
      <c r="AG287" s="152" t="s">
        <v>352</v>
      </c>
      <c r="AH287" s="150" t="s">
        <v>326</v>
      </c>
      <c r="AI287" s="99"/>
      <c r="AJ287" s="149"/>
      <c r="AK287" s="99"/>
      <c r="AL287" s="149"/>
      <c r="AM287" s="99"/>
      <c r="AN287" s="149">
        <v>2</v>
      </c>
      <c r="AO287" s="149">
        <v>0</v>
      </c>
      <c r="AP287" s="149">
        <v>1</v>
      </c>
      <c r="AQ287" s="149">
        <v>0</v>
      </c>
      <c r="AR287" s="149">
        <v>0</v>
      </c>
      <c r="AS287" s="149">
        <v>0</v>
      </c>
      <c r="AT287" s="149">
        <v>0</v>
      </c>
      <c r="AU287" s="149">
        <v>2</v>
      </c>
      <c r="AV287" s="149">
        <v>0</v>
      </c>
      <c r="AW287" s="149">
        <v>1</v>
      </c>
      <c r="AX287" s="149">
        <v>1</v>
      </c>
      <c r="AY287" s="149">
        <v>0</v>
      </c>
      <c r="AZ287" s="149">
        <v>0</v>
      </c>
      <c r="BA287" s="149">
        <v>0</v>
      </c>
      <c r="BB287" s="149">
        <v>0</v>
      </c>
      <c r="BC287" s="149">
        <v>0</v>
      </c>
      <c r="BD287" s="149">
        <v>0</v>
      </c>
      <c r="BE287" s="149">
        <v>-1</v>
      </c>
      <c r="BF287" s="149">
        <v>0</v>
      </c>
      <c r="BG287" s="149">
        <v>0</v>
      </c>
      <c r="BH287" s="149">
        <v>0</v>
      </c>
      <c r="BI287" s="149">
        <v>0</v>
      </c>
      <c r="BJ287" s="149">
        <v>0</v>
      </c>
      <c r="BK287" s="149">
        <v>0</v>
      </c>
      <c r="BL287" s="149">
        <v>0</v>
      </c>
      <c r="BM287" s="149">
        <v>0</v>
      </c>
      <c r="BN287" s="149">
        <v>0</v>
      </c>
      <c r="BO287" s="149">
        <v>0</v>
      </c>
      <c r="BP287" s="152"/>
      <c r="BQ287" s="152"/>
      <c r="BR287" s="154" t="s">
        <v>142</v>
      </c>
      <c r="BS287" s="136">
        <v>3</v>
      </c>
      <c r="BT287" s="267"/>
      <c r="BU287" s="267">
        <f t="shared" si="20"/>
        <v>3</v>
      </c>
      <c r="BV287" s="267"/>
      <c r="BW287" s="267"/>
      <c r="BX287" s="267"/>
      <c r="BY287" s="267"/>
      <c r="BZ287" s="267"/>
      <c r="CA287" s="267"/>
      <c r="CB287" s="267"/>
      <c r="CC287" s="267"/>
      <c r="CD287" s="267"/>
      <c r="CE287" s="267"/>
      <c r="CF287" s="267"/>
      <c r="CG287" s="267"/>
      <c r="CH287" s="267"/>
      <c r="CI287" s="267"/>
      <c r="CJ287" s="267"/>
      <c r="CK287" s="267"/>
      <c r="CL287" s="267"/>
      <c r="CM287" s="267"/>
      <c r="CN287" s="101">
        <f t="shared" si="21"/>
        <v>3</v>
      </c>
      <c r="CO287" s="101">
        <f t="shared" si="22"/>
        <v>3</v>
      </c>
    </row>
    <row r="288" spans="1:93" ht="13.9" customHeight="1" x14ac:dyDescent="0.2">
      <c r="A288" s="149">
        <v>7466</v>
      </c>
      <c r="B288" s="150" t="s">
        <v>854</v>
      </c>
      <c r="C288" s="150" t="s">
        <v>1059</v>
      </c>
      <c r="D288" s="150" t="s">
        <v>1060</v>
      </c>
      <c r="E288" s="150" t="s">
        <v>326</v>
      </c>
      <c r="F288" s="149">
        <v>527275</v>
      </c>
      <c r="G288" s="149">
        <v>175225</v>
      </c>
      <c r="H288" s="150" t="s">
        <v>164</v>
      </c>
      <c r="I288" s="151">
        <v>45078</v>
      </c>
      <c r="J288" s="151"/>
      <c r="K288" s="149">
        <v>1</v>
      </c>
      <c r="L288" s="149">
        <v>1</v>
      </c>
      <c r="M288" s="149">
        <v>0</v>
      </c>
      <c r="N288" s="149">
        <v>2</v>
      </c>
      <c r="O288" s="149">
        <v>1</v>
      </c>
      <c r="P288" s="152"/>
      <c r="Q288" s="150" t="s">
        <v>1061</v>
      </c>
      <c r="R288" s="150" t="s">
        <v>349</v>
      </c>
      <c r="S288" s="151">
        <v>44064</v>
      </c>
      <c r="T288" s="151">
        <v>44162</v>
      </c>
      <c r="U288" s="152"/>
      <c r="V288" s="150" t="s">
        <v>330</v>
      </c>
      <c r="W288" s="151"/>
      <c r="X288" s="150" t="s">
        <v>331</v>
      </c>
      <c r="Y288" s="150" t="s">
        <v>398</v>
      </c>
      <c r="Z288" s="150" t="s">
        <v>334</v>
      </c>
      <c r="AA288" s="150" t="s">
        <v>413</v>
      </c>
      <c r="AB288" s="153">
        <v>6.0000000000000001E-3</v>
      </c>
      <c r="AC288" s="151">
        <v>45078</v>
      </c>
      <c r="AD288" s="152" t="s">
        <v>327</v>
      </c>
      <c r="AE288" s="151"/>
      <c r="AF288" s="150" t="s">
        <v>70</v>
      </c>
      <c r="AG288" s="152" t="s">
        <v>352</v>
      </c>
      <c r="AH288" s="150" t="s">
        <v>326</v>
      </c>
      <c r="AI288" s="99"/>
      <c r="AJ288" s="149"/>
      <c r="AK288" s="99"/>
      <c r="AL288" s="149"/>
      <c r="AM288" s="99"/>
      <c r="AN288" s="149">
        <v>0</v>
      </c>
      <c r="AO288" s="149">
        <v>1</v>
      </c>
      <c r="AP288" s="149">
        <v>0</v>
      </c>
      <c r="AQ288" s="149">
        <v>0</v>
      </c>
      <c r="AR288" s="149">
        <v>-1</v>
      </c>
      <c r="AS288" s="149">
        <v>0</v>
      </c>
      <c r="AT288" s="149">
        <v>0</v>
      </c>
      <c r="AU288" s="149">
        <v>0</v>
      </c>
      <c r="AV288" s="149">
        <v>1</v>
      </c>
      <c r="AW288" s="149">
        <v>0</v>
      </c>
      <c r="AX288" s="149">
        <v>0</v>
      </c>
      <c r="AY288" s="149">
        <v>-1</v>
      </c>
      <c r="AZ288" s="149">
        <v>0</v>
      </c>
      <c r="BA288" s="149">
        <v>0</v>
      </c>
      <c r="BB288" s="149">
        <v>0</v>
      </c>
      <c r="BC288" s="149">
        <v>0</v>
      </c>
      <c r="BD288" s="149">
        <v>0</v>
      </c>
      <c r="BE288" s="149">
        <v>0</v>
      </c>
      <c r="BF288" s="149">
        <v>0</v>
      </c>
      <c r="BG288" s="149">
        <v>0</v>
      </c>
      <c r="BH288" s="149">
        <v>0</v>
      </c>
      <c r="BI288" s="149">
        <v>0</v>
      </c>
      <c r="BJ288" s="149">
        <v>0</v>
      </c>
      <c r="BK288" s="149">
        <v>0</v>
      </c>
      <c r="BL288" s="149">
        <v>0</v>
      </c>
      <c r="BM288" s="149">
        <v>0</v>
      </c>
      <c r="BN288" s="149">
        <v>0</v>
      </c>
      <c r="BO288" s="149">
        <v>0</v>
      </c>
      <c r="BP288" s="152"/>
      <c r="BQ288" s="152"/>
      <c r="BR288" s="154" t="s">
        <v>148</v>
      </c>
      <c r="BS288" s="136">
        <v>13</v>
      </c>
      <c r="BT288" s="267"/>
      <c r="BU288" s="267">
        <f t="shared" si="20"/>
        <v>0</v>
      </c>
      <c r="BV288" s="267"/>
      <c r="BW288" s="267"/>
      <c r="BX288" s="267"/>
      <c r="BY288" s="267"/>
      <c r="BZ288" s="267"/>
      <c r="CA288" s="267"/>
      <c r="CB288" s="267"/>
      <c r="CC288" s="267"/>
      <c r="CD288" s="267"/>
      <c r="CE288" s="267"/>
      <c r="CF288" s="267"/>
      <c r="CG288" s="267"/>
      <c r="CH288" s="267"/>
      <c r="CI288" s="267"/>
      <c r="CJ288" s="267"/>
      <c r="CK288" s="267"/>
      <c r="CL288" s="267"/>
      <c r="CM288" s="267"/>
      <c r="CN288" s="101">
        <f t="shared" si="21"/>
        <v>0</v>
      </c>
      <c r="CO288" s="101">
        <f t="shared" si="22"/>
        <v>0</v>
      </c>
    </row>
    <row r="289" spans="1:93" ht="13.9" customHeight="1" x14ac:dyDescent="0.2">
      <c r="A289" s="149">
        <v>7466</v>
      </c>
      <c r="B289" s="150" t="s">
        <v>854</v>
      </c>
      <c r="C289" s="150" t="s">
        <v>1059</v>
      </c>
      <c r="D289" s="150" t="s">
        <v>1060</v>
      </c>
      <c r="E289" s="150" t="s">
        <v>326</v>
      </c>
      <c r="F289" s="149">
        <v>527275</v>
      </c>
      <c r="G289" s="149">
        <v>175225</v>
      </c>
      <c r="H289" s="150" t="s">
        <v>164</v>
      </c>
      <c r="I289" s="151">
        <v>45078</v>
      </c>
      <c r="J289" s="151"/>
      <c r="K289" s="149">
        <v>0</v>
      </c>
      <c r="L289" s="149">
        <v>1</v>
      </c>
      <c r="M289" s="149">
        <v>1</v>
      </c>
      <c r="N289" s="149">
        <v>2</v>
      </c>
      <c r="O289" s="149">
        <v>1</v>
      </c>
      <c r="P289" s="152"/>
      <c r="Q289" s="150" t="s">
        <v>1061</v>
      </c>
      <c r="R289" s="150" t="s">
        <v>349</v>
      </c>
      <c r="S289" s="151">
        <v>44064</v>
      </c>
      <c r="T289" s="151">
        <v>44162</v>
      </c>
      <c r="U289" s="152"/>
      <c r="V289" s="150" t="s">
        <v>330</v>
      </c>
      <c r="W289" s="151"/>
      <c r="X289" s="150" t="s">
        <v>331</v>
      </c>
      <c r="Y289" s="150" t="s">
        <v>398</v>
      </c>
      <c r="Z289" s="150" t="s">
        <v>334</v>
      </c>
      <c r="AA289" s="150" t="s">
        <v>399</v>
      </c>
      <c r="AB289" s="153">
        <v>8.9999999999999993E-3</v>
      </c>
      <c r="AC289" s="151">
        <v>45078</v>
      </c>
      <c r="AD289" s="152" t="s">
        <v>327</v>
      </c>
      <c r="AE289" s="151"/>
      <c r="AF289" s="150" t="s">
        <v>70</v>
      </c>
      <c r="AG289" s="152" t="s">
        <v>352</v>
      </c>
      <c r="AH289" s="150" t="s">
        <v>326</v>
      </c>
      <c r="AI289" s="99"/>
      <c r="AJ289" s="149"/>
      <c r="AK289" s="99"/>
      <c r="AL289" s="149"/>
      <c r="AM289" s="99"/>
      <c r="AN289" s="149">
        <v>0</v>
      </c>
      <c r="AO289" s="149">
        <v>0</v>
      </c>
      <c r="AP289" s="149">
        <v>0</v>
      </c>
      <c r="AQ289" s="149">
        <v>1</v>
      </c>
      <c r="AR289" s="149">
        <v>0</v>
      </c>
      <c r="AS289" s="149">
        <v>0</v>
      </c>
      <c r="AT289" s="149">
        <v>0</v>
      </c>
      <c r="AU289" s="149">
        <v>0</v>
      </c>
      <c r="AV289" s="149">
        <v>0</v>
      </c>
      <c r="AW289" s="149">
        <v>0</v>
      </c>
      <c r="AX289" s="149">
        <v>1</v>
      </c>
      <c r="AY289" s="149">
        <v>0</v>
      </c>
      <c r="AZ289" s="149">
        <v>0</v>
      </c>
      <c r="BA289" s="149">
        <v>0</v>
      </c>
      <c r="BB289" s="149">
        <v>0</v>
      </c>
      <c r="BC289" s="149">
        <v>0</v>
      </c>
      <c r="BD289" s="149">
        <v>0</v>
      </c>
      <c r="BE289" s="149">
        <v>0</v>
      </c>
      <c r="BF289" s="149">
        <v>0</v>
      </c>
      <c r="BG289" s="149">
        <v>0</v>
      </c>
      <c r="BH289" s="149">
        <v>0</v>
      </c>
      <c r="BI289" s="149">
        <v>0</v>
      </c>
      <c r="BJ289" s="149">
        <v>0</v>
      </c>
      <c r="BK289" s="149">
        <v>0</v>
      </c>
      <c r="BL289" s="149">
        <v>0</v>
      </c>
      <c r="BM289" s="149">
        <v>0</v>
      </c>
      <c r="BN289" s="149">
        <v>0</v>
      </c>
      <c r="BO289" s="149">
        <v>0</v>
      </c>
      <c r="BP289" s="152"/>
      <c r="BQ289" s="152"/>
      <c r="BR289" s="154" t="s">
        <v>148</v>
      </c>
      <c r="BS289" s="136">
        <v>13</v>
      </c>
      <c r="BT289" s="267"/>
      <c r="BU289" s="267">
        <f t="shared" si="20"/>
        <v>1</v>
      </c>
      <c r="BV289" s="267"/>
      <c r="BW289" s="267"/>
      <c r="BX289" s="267"/>
      <c r="BY289" s="267"/>
      <c r="BZ289" s="267"/>
      <c r="CA289" s="267"/>
      <c r="CB289" s="267"/>
      <c r="CC289" s="267"/>
      <c r="CD289" s="267"/>
      <c r="CE289" s="267"/>
      <c r="CF289" s="267"/>
      <c r="CG289" s="267"/>
      <c r="CH289" s="267"/>
      <c r="CI289" s="267"/>
      <c r="CJ289" s="267"/>
      <c r="CK289" s="267"/>
      <c r="CL289" s="267"/>
      <c r="CM289" s="267"/>
      <c r="CN289" s="101">
        <f t="shared" si="21"/>
        <v>1</v>
      </c>
      <c r="CO289" s="101">
        <f t="shared" si="22"/>
        <v>1</v>
      </c>
    </row>
    <row r="290" spans="1:93" ht="13.9" customHeight="1" x14ac:dyDescent="0.2">
      <c r="A290" s="149">
        <v>2060</v>
      </c>
      <c r="B290" s="150" t="s">
        <v>854</v>
      </c>
      <c r="C290" s="150" t="s">
        <v>1062</v>
      </c>
      <c r="D290" s="150" t="s">
        <v>1063</v>
      </c>
      <c r="E290" s="150" t="s">
        <v>326</v>
      </c>
      <c r="F290" s="149">
        <v>525346</v>
      </c>
      <c r="G290" s="149">
        <v>174649</v>
      </c>
      <c r="H290" s="150" t="s">
        <v>177</v>
      </c>
      <c r="I290" s="151">
        <v>45260</v>
      </c>
      <c r="J290" s="151"/>
      <c r="K290" s="149">
        <v>0</v>
      </c>
      <c r="L290" s="149">
        <v>3</v>
      </c>
      <c r="M290" s="149">
        <v>3</v>
      </c>
      <c r="N290" s="149">
        <v>6</v>
      </c>
      <c r="O290" s="149">
        <v>3</v>
      </c>
      <c r="P290" s="152"/>
      <c r="Q290" s="150" t="s">
        <v>1064</v>
      </c>
      <c r="R290" s="150" t="s">
        <v>349</v>
      </c>
      <c r="S290" s="151">
        <v>44071</v>
      </c>
      <c r="T290" s="151">
        <v>44127</v>
      </c>
      <c r="U290" s="152"/>
      <c r="V290" s="150" t="s">
        <v>330</v>
      </c>
      <c r="W290" s="151"/>
      <c r="X290" s="150" t="s">
        <v>331</v>
      </c>
      <c r="Y290" s="150" t="s">
        <v>398</v>
      </c>
      <c r="Z290" s="150" t="s">
        <v>334</v>
      </c>
      <c r="AA290" s="150" t="s">
        <v>413</v>
      </c>
      <c r="AB290" s="153">
        <v>6.0000000000000001E-3</v>
      </c>
      <c r="AC290" s="151">
        <v>45260</v>
      </c>
      <c r="AD290" s="152" t="s">
        <v>327</v>
      </c>
      <c r="AE290" s="151"/>
      <c r="AF290" s="150" t="s">
        <v>70</v>
      </c>
      <c r="AG290" s="152" t="s">
        <v>352</v>
      </c>
      <c r="AH290" s="150" t="s">
        <v>326</v>
      </c>
      <c r="AI290" s="99"/>
      <c r="AJ290" s="149"/>
      <c r="AK290" s="99"/>
      <c r="AL290" s="149"/>
      <c r="AM290" s="99"/>
      <c r="AN290" s="149">
        <v>0</v>
      </c>
      <c r="AO290" s="149">
        <v>3</v>
      </c>
      <c r="AP290" s="149">
        <v>0</v>
      </c>
      <c r="AQ290" s="149">
        <v>0</v>
      </c>
      <c r="AR290" s="149">
        <v>0</v>
      </c>
      <c r="AS290" s="149">
        <v>0</v>
      </c>
      <c r="AT290" s="149">
        <v>0</v>
      </c>
      <c r="AU290" s="149">
        <v>0</v>
      </c>
      <c r="AV290" s="149">
        <v>3</v>
      </c>
      <c r="AW290" s="149">
        <v>0</v>
      </c>
      <c r="AX290" s="149">
        <v>0</v>
      </c>
      <c r="AY290" s="149">
        <v>0</v>
      </c>
      <c r="AZ290" s="149">
        <v>0</v>
      </c>
      <c r="BA290" s="149">
        <v>0</v>
      </c>
      <c r="BB290" s="149">
        <v>0</v>
      </c>
      <c r="BC290" s="149">
        <v>0</v>
      </c>
      <c r="BD290" s="149">
        <v>0</v>
      </c>
      <c r="BE290" s="149">
        <v>0</v>
      </c>
      <c r="BF290" s="149">
        <v>0</v>
      </c>
      <c r="BG290" s="149">
        <v>0</v>
      </c>
      <c r="BH290" s="149">
        <v>0</v>
      </c>
      <c r="BI290" s="149">
        <v>0</v>
      </c>
      <c r="BJ290" s="149">
        <v>0</v>
      </c>
      <c r="BK290" s="149">
        <v>0</v>
      </c>
      <c r="BL290" s="149">
        <v>0</v>
      </c>
      <c r="BM290" s="149">
        <v>0</v>
      </c>
      <c r="BN290" s="149">
        <v>0</v>
      </c>
      <c r="BO290" s="149">
        <v>0</v>
      </c>
      <c r="BP290" s="152" t="s">
        <v>143</v>
      </c>
      <c r="BQ290" s="152"/>
      <c r="BR290" s="154" t="s">
        <v>463</v>
      </c>
      <c r="BS290" s="136">
        <v>14</v>
      </c>
      <c r="BT290" s="267"/>
      <c r="BU290" s="267">
        <f>M290/2</f>
        <v>1.5</v>
      </c>
      <c r="BV290" s="267">
        <f>M290/2</f>
        <v>1.5</v>
      </c>
      <c r="BW290" s="267"/>
      <c r="BX290" s="267"/>
      <c r="BY290" s="267"/>
      <c r="BZ290" s="267"/>
      <c r="CA290" s="267"/>
      <c r="CB290" s="267"/>
      <c r="CC290" s="267"/>
      <c r="CD290" s="267"/>
      <c r="CE290" s="267"/>
      <c r="CF290" s="267"/>
      <c r="CG290" s="267"/>
      <c r="CH290" s="267"/>
      <c r="CI290" s="267"/>
      <c r="CJ290" s="267"/>
      <c r="CK290" s="267"/>
      <c r="CL290" s="267"/>
      <c r="CM290" s="267"/>
      <c r="CN290" s="101">
        <f t="shared" si="21"/>
        <v>3</v>
      </c>
      <c r="CO290" s="101">
        <f t="shared" si="22"/>
        <v>3</v>
      </c>
    </row>
    <row r="291" spans="1:93" ht="13.9" customHeight="1" x14ac:dyDescent="0.2">
      <c r="A291" s="149">
        <v>2060</v>
      </c>
      <c r="B291" s="150" t="s">
        <v>854</v>
      </c>
      <c r="C291" s="150" t="s">
        <v>1062</v>
      </c>
      <c r="D291" s="150" t="s">
        <v>1063</v>
      </c>
      <c r="E291" s="150" t="s">
        <v>326</v>
      </c>
      <c r="F291" s="149">
        <v>525346</v>
      </c>
      <c r="G291" s="149">
        <v>174649</v>
      </c>
      <c r="H291" s="150" t="s">
        <v>177</v>
      </c>
      <c r="I291" s="151">
        <v>45260</v>
      </c>
      <c r="J291" s="151"/>
      <c r="K291" s="149">
        <v>3</v>
      </c>
      <c r="L291" s="149">
        <v>3</v>
      </c>
      <c r="M291" s="149">
        <v>0</v>
      </c>
      <c r="N291" s="149">
        <v>6</v>
      </c>
      <c r="O291" s="149">
        <v>3</v>
      </c>
      <c r="P291" s="152"/>
      <c r="Q291" s="150" t="s">
        <v>1064</v>
      </c>
      <c r="R291" s="150" t="s">
        <v>349</v>
      </c>
      <c r="S291" s="151">
        <v>44071</v>
      </c>
      <c r="T291" s="151">
        <v>44127</v>
      </c>
      <c r="U291" s="152"/>
      <c r="V291" s="150" t="s">
        <v>330</v>
      </c>
      <c r="W291" s="151"/>
      <c r="X291" s="150" t="s">
        <v>331</v>
      </c>
      <c r="Y291" s="150" t="s">
        <v>398</v>
      </c>
      <c r="Z291" s="150" t="s">
        <v>334</v>
      </c>
      <c r="AA291" s="150" t="s">
        <v>399</v>
      </c>
      <c r="AB291" s="153">
        <v>6.0000000000000001E-3</v>
      </c>
      <c r="AC291" s="151">
        <v>45260</v>
      </c>
      <c r="AD291" s="152" t="s">
        <v>327</v>
      </c>
      <c r="AE291" s="151"/>
      <c r="AF291" s="150" t="s">
        <v>70</v>
      </c>
      <c r="AG291" s="152" t="s">
        <v>352</v>
      </c>
      <c r="AH291" s="150" t="s">
        <v>326</v>
      </c>
      <c r="AI291" s="99"/>
      <c r="AJ291" s="149"/>
      <c r="AK291" s="99"/>
      <c r="AL291" s="149"/>
      <c r="AM291" s="99"/>
      <c r="AN291" s="149">
        <v>1</v>
      </c>
      <c r="AO291" s="149">
        <v>2</v>
      </c>
      <c r="AP291" s="149">
        <v>-1</v>
      </c>
      <c r="AQ291" s="149">
        <v>-2</v>
      </c>
      <c r="AR291" s="149">
        <v>0</v>
      </c>
      <c r="AS291" s="149">
        <v>0</v>
      </c>
      <c r="AT291" s="149">
        <v>0</v>
      </c>
      <c r="AU291" s="149">
        <v>1</v>
      </c>
      <c r="AV291" s="149">
        <v>2</v>
      </c>
      <c r="AW291" s="149">
        <v>-1</v>
      </c>
      <c r="AX291" s="149">
        <v>-2</v>
      </c>
      <c r="AY291" s="149">
        <v>0</v>
      </c>
      <c r="AZ291" s="149">
        <v>0</v>
      </c>
      <c r="BA291" s="149">
        <v>0</v>
      </c>
      <c r="BB291" s="149">
        <v>0</v>
      </c>
      <c r="BC291" s="149">
        <v>0</v>
      </c>
      <c r="BD291" s="149">
        <v>0</v>
      </c>
      <c r="BE291" s="149">
        <v>0</v>
      </c>
      <c r="BF291" s="149">
        <v>0</v>
      </c>
      <c r="BG291" s="149">
        <v>0</v>
      </c>
      <c r="BH291" s="149">
        <v>0</v>
      </c>
      <c r="BI291" s="149">
        <v>0</v>
      </c>
      <c r="BJ291" s="149">
        <v>0</v>
      </c>
      <c r="BK291" s="149">
        <v>0</v>
      </c>
      <c r="BL291" s="149">
        <v>0</v>
      </c>
      <c r="BM291" s="149">
        <v>0</v>
      </c>
      <c r="BN291" s="149">
        <v>0</v>
      </c>
      <c r="BO291" s="149">
        <v>0</v>
      </c>
      <c r="BP291" s="152" t="s">
        <v>143</v>
      </c>
      <c r="BQ291" s="152"/>
      <c r="BR291" s="154" t="s">
        <v>463</v>
      </c>
      <c r="BS291" s="136">
        <v>14</v>
      </c>
      <c r="BT291" s="267"/>
      <c r="BU291" s="267">
        <f>M291/2</f>
        <v>0</v>
      </c>
      <c r="BV291" s="267">
        <f>M291/2</f>
        <v>0</v>
      </c>
      <c r="BW291" s="267"/>
      <c r="BX291" s="267"/>
      <c r="BY291" s="267"/>
      <c r="BZ291" s="267"/>
      <c r="CA291" s="267"/>
      <c r="CB291" s="267"/>
      <c r="CC291" s="267"/>
      <c r="CD291" s="267"/>
      <c r="CE291" s="267"/>
      <c r="CF291" s="267"/>
      <c r="CG291" s="267"/>
      <c r="CH291" s="267"/>
      <c r="CI291" s="267"/>
      <c r="CJ291" s="267"/>
      <c r="CK291" s="267"/>
      <c r="CL291" s="267"/>
      <c r="CM291" s="267"/>
      <c r="CN291" s="101">
        <f t="shared" si="21"/>
        <v>0</v>
      </c>
      <c r="CO291" s="101">
        <f t="shared" si="22"/>
        <v>0</v>
      </c>
    </row>
    <row r="292" spans="1:93" ht="13.9" customHeight="1" x14ac:dyDescent="0.2">
      <c r="A292" s="149">
        <v>2767</v>
      </c>
      <c r="B292" s="150" t="s">
        <v>854</v>
      </c>
      <c r="C292" s="150" t="s">
        <v>1065</v>
      </c>
      <c r="D292" s="150" t="s">
        <v>1066</v>
      </c>
      <c r="E292" s="150" t="s">
        <v>326</v>
      </c>
      <c r="F292" s="149">
        <v>523548</v>
      </c>
      <c r="G292" s="149">
        <v>175265</v>
      </c>
      <c r="H292" s="150" t="s">
        <v>179</v>
      </c>
      <c r="I292" s="151">
        <v>45310</v>
      </c>
      <c r="J292" s="151"/>
      <c r="K292" s="149">
        <v>0</v>
      </c>
      <c r="L292" s="149">
        <v>1</v>
      </c>
      <c r="M292" s="149">
        <v>1</v>
      </c>
      <c r="N292" s="149">
        <v>1</v>
      </c>
      <c r="O292" s="149">
        <v>1</v>
      </c>
      <c r="P292" s="152"/>
      <c r="Q292" s="150" t="s">
        <v>1067</v>
      </c>
      <c r="R292" s="150" t="s">
        <v>349</v>
      </c>
      <c r="S292" s="151">
        <v>44099</v>
      </c>
      <c r="T292" s="151">
        <v>44228</v>
      </c>
      <c r="U292" s="152"/>
      <c r="V292" s="150" t="s">
        <v>330</v>
      </c>
      <c r="W292" s="151"/>
      <c r="X292" s="150" t="s">
        <v>331</v>
      </c>
      <c r="Y292" s="150" t="s">
        <v>343</v>
      </c>
      <c r="Z292" s="150" t="s">
        <v>334</v>
      </c>
      <c r="AA292" s="150" t="s">
        <v>363</v>
      </c>
      <c r="AB292" s="153">
        <v>1.2E-2</v>
      </c>
      <c r="AC292" s="151">
        <v>45310</v>
      </c>
      <c r="AD292" s="152" t="s">
        <v>327</v>
      </c>
      <c r="AE292" s="151"/>
      <c r="AF292" s="150" t="s">
        <v>70</v>
      </c>
      <c r="AG292" s="152" t="s">
        <v>352</v>
      </c>
      <c r="AH292" s="150" t="s">
        <v>326</v>
      </c>
      <c r="AI292" s="99"/>
      <c r="AJ292" s="149"/>
      <c r="AK292" s="99"/>
      <c r="AL292" s="149"/>
      <c r="AM292" s="99"/>
      <c r="AN292" s="149">
        <v>0</v>
      </c>
      <c r="AO292" s="149">
        <v>0</v>
      </c>
      <c r="AP292" s="149">
        <v>0</v>
      </c>
      <c r="AQ292" s="149">
        <v>1</v>
      </c>
      <c r="AR292" s="149">
        <v>0</v>
      </c>
      <c r="AS292" s="149">
        <v>0</v>
      </c>
      <c r="AT292" s="149">
        <v>0</v>
      </c>
      <c r="AU292" s="149">
        <v>0</v>
      </c>
      <c r="AV292" s="149">
        <v>0</v>
      </c>
      <c r="AW292" s="149">
        <v>0</v>
      </c>
      <c r="AX292" s="149">
        <v>0</v>
      </c>
      <c r="AY292" s="149">
        <v>0</v>
      </c>
      <c r="AZ292" s="149">
        <v>0</v>
      </c>
      <c r="BA292" s="149">
        <v>0</v>
      </c>
      <c r="BB292" s="149">
        <v>0</v>
      </c>
      <c r="BC292" s="149">
        <v>0</v>
      </c>
      <c r="BD292" s="149">
        <v>0</v>
      </c>
      <c r="BE292" s="149">
        <v>1</v>
      </c>
      <c r="BF292" s="149">
        <v>0</v>
      </c>
      <c r="BG292" s="149">
        <v>0</v>
      </c>
      <c r="BH292" s="149">
        <v>0</v>
      </c>
      <c r="BI292" s="149">
        <v>0</v>
      </c>
      <c r="BJ292" s="149">
        <v>0</v>
      </c>
      <c r="BK292" s="149">
        <v>0</v>
      </c>
      <c r="BL292" s="149">
        <v>0</v>
      </c>
      <c r="BM292" s="149">
        <v>0</v>
      </c>
      <c r="BN292" s="149">
        <v>0</v>
      </c>
      <c r="BO292" s="149">
        <v>0</v>
      </c>
      <c r="BP292" s="152"/>
      <c r="BQ292" s="152"/>
      <c r="BR292" s="154" t="s">
        <v>359</v>
      </c>
      <c r="BS292" s="136">
        <v>4</v>
      </c>
      <c r="BT292" s="267"/>
      <c r="BU292" s="267">
        <f>M292/2</f>
        <v>0.5</v>
      </c>
      <c r="BV292" s="267">
        <f>M292/2</f>
        <v>0.5</v>
      </c>
      <c r="BW292" s="267"/>
      <c r="BX292" s="267"/>
      <c r="BY292" s="267"/>
      <c r="BZ292" s="267"/>
      <c r="CA292" s="267"/>
      <c r="CB292" s="267"/>
      <c r="CC292" s="267"/>
      <c r="CD292" s="267"/>
      <c r="CE292" s="267"/>
      <c r="CF292" s="267"/>
      <c r="CG292" s="267"/>
      <c r="CH292" s="267"/>
      <c r="CI292" s="267"/>
      <c r="CJ292" s="267"/>
      <c r="CK292" s="267"/>
      <c r="CL292" s="267"/>
      <c r="CM292" s="267"/>
      <c r="CN292" s="101">
        <f t="shared" si="21"/>
        <v>1</v>
      </c>
      <c r="CO292" s="101">
        <f t="shared" si="22"/>
        <v>1</v>
      </c>
    </row>
    <row r="293" spans="1:93" ht="13.9" customHeight="1" x14ac:dyDescent="0.2">
      <c r="A293" s="149">
        <v>3902</v>
      </c>
      <c r="B293" s="150" t="s">
        <v>854</v>
      </c>
      <c r="C293" s="150" t="s">
        <v>1068</v>
      </c>
      <c r="D293" s="150" t="s">
        <v>1069</v>
      </c>
      <c r="E293" s="150" t="s">
        <v>326</v>
      </c>
      <c r="F293" s="149">
        <v>526710</v>
      </c>
      <c r="G293" s="149">
        <v>175659</v>
      </c>
      <c r="H293" s="150" t="s">
        <v>162</v>
      </c>
      <c r="I293" s="151">
        <v>41729</v>
      </c>
      <c r="J293" s="151"/>
      <c r="K293" s="149">
        <v>0</v>
      </c>
      <c r="L293" s="149">
        <v>8</v>
      </c>
      <c r="M293" s="149">
        <v>8</v>
      </c>
      <c r="N293" s="149">
        <v>8</v>
      </c>
      <c r="O293" s="149">
        <v>8</v>
      </c>
      <c r="P293" s="152"/>
      <c r="Q293" s="150" t="s">
        <v>1070</v>
      </c>
      <c r="R293" s="150" t="s">
        <v>427</v>
      </c>
      <c r="S293" s="151">
        <v>44124</v>
      </c>
      <c r="T293" s="151">
        <v>44208</v>
      </c>
      <c r="U293" s="152"/>
      <c r="V293" s="150" t="s">
        <v>330</v>
      </c>
      <c r="W293" s="151"/>
      <c r="X293" s="150" t="s">
        <v>331</v>
      </c>
      <c r="Y293" s="150" t="s">
        <v>491</v>
      </c>
      <c r="Z293" s="150" t="s">
        <v>334</v>
      </c>
      <c r="AA293" s="150" t="s">
        <v>363</v>
      </c>
      <c r="AB293" s="153">
        <v>2.7E-2</v>
      </c>
      <c r="AC293" s="151">
        <v>41729</v>
      </c>
      <c r="AD293" s="150"/>
      <c r="AE293" s="151"/>
      <c r="AF293" s="150" t="s">
        <v>70</v>
      </c>
      <c r="AG293" s="152" t="s">
        <v>352</v>
      </c>
      <c r="AH293" s="150" t="s">
        <v>1071</v>
      </c>
      <c r="AI293" s="99"/>
      <c r="AJ293" s="149"/>
      <c r="AK293" s="99"/>
      <c r="AL293" s="149"/>
      <c r="AM293" s="99"/>
      <c r="AN293" s="149">
        <v>0</v>
      </c>
      <c r="AO293" s="149">
        <v>0</v>
      </c>
      <c r="AP293" s="149">
        <v>8</v>
      </c>
      <c r="AQ293" s="149">
        <v>0</v>
      </c>
      <c r="AR293" s="149">
        <v>0</v>
      </c>
      <c r="AS293" s="149">
        <v>0</v>
      </c>
      <c r="AT293" s="149">
        <v>0</v>
      </c>
      <c r="AU293" s="149">
        <v>0</v>
      </c>
      <c r="AV293" s="149">
        <v>0</v>
      </c>
      <c r="AW293" s="149">
        <v>8</v>
      </c>
      <c r="AX293" s="149">
        <v>0</v>
      </c>
      <c r="AY293" s="149">
        <v>0</v>
      </c>
      <c r="AZ293" s="149">
        <v>0</v>
      </c>
      <c r="BA293" s="149">
        <v>0</v>
      </c>
      <c r="BB293" s="149">
        <v>0</v>
      </c>
      <c r="BC293" s="149">
        <v>0</v>
      </c>
      <c r="BD293" s="149">
        <v>0</v>
      </c>
      <c r="BE293" s="149">
        <v>0</v>
      </c>
      <c r="BF293" s="149">
        <v>0</v>
      </c>
      <c r="BG293" s="149">
        <v>0</v>
      </c>
      <c r="BH293" s="149">
        <v>0</v>
      </c>
      <c r="BI293" s="149">
        <v>0</v>
      </c>
      <c r="BJ293" s="149">
        <v>0</v>
      </c>
      <c r="BK293" s="149">
        <v>0</v>
      </c>
      <c r="BL293" s="149">
        <v>0</v>
      </c>
      <c r="BM293" s="149">
        <v>0</v>
      </c>
      <c r="BN293" s="149">
        <v>0</v>
      </c>
      <c r="BO293" s="149">
        <v>0</v>
      </c>
      <c r="BP293" s="152"/>
      <c r="BQ293" s="152"/>
      <c r="BR293" s="154" t="s">
        <v>148</v>
      </c>
      <c r="BS293" s="136">
        <v>13</v>
      </c>
      <c r="BT293" s="267"/>
      <c r="BU293" s="267">
        <f>M293</f>
        <v>8</v>
      </c>
      <c r="BV293" s="267"/>
      <c r="BW293" s="267"/>
      <c r="BX293" s="267"/>
      <c r="BY293" s="267"/>
      <c r="BZ293" s="267"/>
      <c r="CA293" s="267"/>
      <c r="CB293" s="267"/>
      <c r="CC293" s="267"/>
      <c r="CD293" s="267"/>
      <c r="CE293" s="267"/>
      <c r="CF293" s="267"/>
      <c r="CG293" s="267"/>
      <c r="CH293" s="267"/>
      <c r="CI293" s="267"/>
      <c r="CJ293" s="267"/>
      <c r="CK293" s="267"/>
      <c r="CL293" s="267"/>
      <c r="CM293" s="267"/>
      <c r="CN293" s="101">
        <f t="shared" si="21"/>
        <v>8</v>
      </c>
      <c r="CO293" s="101">
        <f t="shared" si="22"/>
        <v>8</v>
      </c>
    </row>
    <row r="294" spans="1:93" ht="13.9" customHeight="1" x14ac:dyDescent="0.2">
      <c r="A294" s="149">
        <v>7482</v>
      </c>
      <c r="B294" s="150" t="s">
        <v>854</v>
      </c>
      <c r="C294" s="150" t="s">
        <v>1072</v>
      </c>
      <c r="D294" s="150" t="s">
        <v>1073</v>
      </c>
      <c r="E294" s="150" t="s">
        <v>326</v>
      </c>
      <c r="F294" s="149">
        <v>528070</v>
      </c>
      <c r="G294" s="149">
        <v>174219</v>
      </c>
      <c r="H294" s="150" t="s">
        <v>165</v>
      </c>
      <c r="I294" s="151">
        <v>45382</v>
      </c>
      <c r="J294" s="151"/>
      <c r="K294" s="149">
        <v>0</v>
      </c>
      <c r="L294" s="149">
        <v>1</v>
      </c>
      <c r="M294" s="149">
        <v>1</v>
      </c>
      <c r="N294" s="149">
        <v>1</v>
      </c>
      <c r="O294" s="149">
        <v>1</v>
      </c>
      <c r="P294" s="152"/>
      <c r="Q294" s="150" t="s">
        <v>1074</v>
      </c>
      <c r="R294" s="150" t="s">
        <v>349</v>
      </c>
      <c r="S294" s="151">
        <v>44127</v>
      </c>
      <c r="T294" s="151">
        <v>44183</v>
      </c>
      <c r="U294" s="152"/>
      <c r="V294" s="150" t="s">
        <v>330</v>
      </c>
      <c r="W294" s="151"/>
      <c r="X294" s="150" t="s">
        <v>331</v>
      </c>
      <c r="Y294" s="150" t="s">
        <v>350</v>
      </c>
      <c r="Z294" s="150" t="s">
        <v>334</v>
      </c>
      <c r="AA294" s="150" t="s">
        <v>32</v>
      </c>
      <c r="AB294" s="153">
        <v>4.0000000000000001E-3</v>
      </c>
      <c r="AC294" s="151">
        <v>45382</v>
      </c>
      <c r="AD294" s="152" t="s">
        <v>327</v>
      </c>
      <c r="AE294" s="151"/>
      <c r="AF294" s="150" t="s">
        <v>70</v>
      </c>
      <c r="AG294" s="152" t="s">
        <v>352</v>
      </c>
      <c r="AH294" s="150" t="s">
        <v>326</v>
      </c>
      <c r="AI294" s="99"/>
      <c r="AJ294" s="149"/>
      <c r="AK294" s="99"/>
      <c r="AL294" s="149"/>
      <c r="AM294" s="99"/>
      <c r="AN294" s="149">
        <v>0</v>
      </c>
      <c r="AO294" s="149">
        <v>1</v>
      </c>
      <c r="AP294" s="149">
        <v>0</v>
      </c>
      <c r="AQ294" s="149">
        <v>0</v>
      </c>
      <c r="AR294" s="149">
        <v>0</v>
      </c>
      <c r="AS294" s="149">
        <v>0</v>
      </c>
      <c r="AT294" s="149">
        <v>0</v>
      </c>
      <c r="AU294" s="149">
        <v>0</v>
      </c>
      <c r="AV294" s="149">
        <v>0</v>
      </c>
      <c r="AW294" s="149">
        <v>0</v>
      </c>
      <c r="AX294" s="149">
        <v>0</v>
      </c>
      <c r="AY294" s="149">
        <v>0</v>
      </c>
      <c r="AZ294" s="149">
        <v>0</v>
      </c>
      <c r="BA294" s="149">
        <v>0</v>
      </c>
      <c r="BB294" s="149">
        <v>0</v>
      </c>
      <c r="BC294" s="149">
        <v>1</v>
      </c>
      <c r="BD294" s="149">
        <v>0</v>
      </c>
      <c r="BE294" s="149">
        <v>0</v>
      </c>
      <c r="BF294" s="149">
        <v>0</v>
      </c>
      <c r="BG294" s="149">
        <v>0</v>
      </c>
      <c r="BH294" s="149">
        <v>0</v>
      </c>
      <c r="BI294" s="149">
        <v>0</v>
      </c>
      <c r="BJ294" s="149">
        <v>0</v>
      </c>
      <c r="BK294" s="149">
        <v>0</v>
      </c>
      <c r="BL294" s="149">
        <v>0</v>
      </c>
      <c r="BM294" s="149">
        <v>0</v>
      </c>
      <c r="BN294" s="149">
        <v>0</v>
      </c>
      <c r="BO294" s="149">
        <v>0</v>
      </c>
      <c r="BP294" s="152"/>
      <c r="BQ294" s="152"/>
      <c r="BR294" s="154" t="s">
        <v>359</v>
      </c>
      <c r="BS294" s="136">
        <v>14</v>
      </c>
      <c r="BT294" s="267"/>
      <c r="BU294" s="267">
        <f>M294/2</f>
        <v>0.5</v>
      </c>
      <c r="BV294" s="267">
        <f>M294/2</f>
        <v>0.5</v>
      </c>
      <c r="BW294" s="267"/>
      <c r="BX294" s="267"/>
      <c r="BY294" s="267"/>
      <c r="BZ294" s="267"/>
      <c r="CA294" s="267"/>
      <c r="CB294" s="267"/>
      <c r="CC294" s="267"/>
      <c r="CD294" s="267"/>
      <c r="CE294" s="267"/>
      <c r="CF294" s="267"/>
      <c r="CG294" s="267"/>
      <c r="CH294" s="267"/>
      <c r="CI294" s="267"/>
      <c r="CJ294" s="267"/>
      <c r="CK294" s="267"/>
      <c r="CL294" s="267"/>
      <c r="CM294" s="267"/>
      <c r="CN294" s="101">
        <f t="shared" si="21"/>
        <v>1</v>
      </c>
      <c r="CO294" s="101">
        <f t="shared" si="22"/>
        <v>1</v>
      </c>
    </row>
    <row r="295" spans="1:93" ht="13.9" customHeight="1" x14ac:dyDescent="0.2">
      <c r="A295" s="149">
        <v>5958</v>
      </c>
      <c r="B295" s="150" t="s">
        <v>854</v>
      </c>
      <c r="C295" s="150" t="s">
        <v>1075</v>
      </c>
      <c r="D295" s="150" t="s">
        <v>1076</v>
      </c>
      <c r="E295" s="150" t="s">
        <v>326</v>
      </c>
      <c r="F295" s="149">
        <v>527576</v>
      </c>
      <c r="G295" s="149">
        <v>171713</v>
      </c>
      <c r="H295" s="150" t="s">
        <v>172</v>
      </c>
      <c r="I295" s="151">
        <v>45382</v>
      </c>
      <c r="J295" s="151"/>
      <c r="K295" s="149">
        <v>2</v>
      </c>
      <c r="L295" s="149">
        <v>1</v>
      </c>
      <c r="M295" s="149">
        <v>-1</v>
      </c>
      <c r="N295" s="149">
        <v>4</v>
      </c>
      <c r="O295" s="149">
        <v>2</v>
      </c>
      <c r="P295" s="152"/>
      <c r="Q295" s="150" t="s">
        <v>1077</v>
      </c>
      <c r="R295" s="150" t="s">
        <v>349</v>
      </c>
      <c r="S295" s="151">
        <v>44127</v>
      </c>
      <c r="T295" s="151">
        <v>44183</v>
      </c>
      <c r="U295" s="152"/>
      <c r="V295" s="150" t="s">
        <v>330</v>
      </c>
      <c r="W295" s="151"/>
      <c r="X295" s="150" t="s">
        <v>331</v>
      </c>
      <c r="Y295" s="150" t="s">
        <v>398</v>
      </c>
      <c r="Z295" s="150" t="s">
        <v>334</v>
      </c>
      <c r="AA295" s="150" t="s">
        <v>351</v>
      </c>
      <c r="AB295" s="153">
        <v>2E-3</v>
      </c>
      <c r="AC295" s="151">
        <v>45382</v>
      </c>
      <c r="AD295" s="152" t="s">
        <v>327</v>
      </c>
      <c r="AE295" s="151"/>
      <c r="AF295" s="150" t="s">
        <v>70</v>
      </c>
      <c r="AG295" s="152" t="s">
        <v>352</v>
      </c>
      <c r="AH295" s="150" t="s">
        <v>326</v>
      </c>
      <c r="AI295" s="99"/>
      <c r="AJ295" s="149"/>
      <c r="AK295" s="99"/>
      <c r="AL295" s="149"/>
      <c r="AM295" s="99"/>
      <c r="AN295" s="149">
        <v>0</v>
      </c>
      <c r="AO295" s="149">
        <v>0</v>
      </c>
      <c r="AP295" s="149">
        <v>-1</v>
      </c>
      <c r="AQ295" s="149">
        <v>0</v>
      </c>
      <c r="AR295" s="149">
        <v>0</v>
      </c>
      <c r="AS295" s="149">
        <v>0</v>
      </c>
      <c r="AT295" s="149">
        <v>0</v>
      </c>
      <c r="AU295" s="149">
        <v>0</v>
      </c>
      <c r="AV295" s="149">
        <v>0</v>
      </c>
      <c r="AW295" s="149">
        <v>-1</v>
      </c>
      <c r="AX295" s="149">
        <v>0</v>
      </c>
      <c r="AY295" s="149">
        <v>0</v>
      </c>
      <c r="AZ295" s="149">
        <v>0</v>
      </c>
      <c r="BA295" s="149">
        <v>0</v>
      </c>
      <c r="BB295" s="149">
        <v>0</v>
      </c>
      <c r="BC295" s="149">
        <v>0</v>
      </c>
      <c r="BD295" s="149">
        <v>0</v>
      </c>
      <c r="BE295" s="149">
        <v>0</v>
      </c>
      <c r="BF295" s="149">
        <v>0</v>
      </c>
      <c r="BG295" s="149">
        <v>0</v>
      </c>
      <c r="BH295" s="149">
        <v>0</v>
      </c>
      <c r="BI295" s="149">
        <v>0</v>
      </c>
      <c r="BJ295" s="149">
        <v>0</v>
      </c>
      <c r="BK295" s="149">
        <v>0</v>
      </c>
      <c r="BL295" s="149">
        <v>0</v>
      </c>
      <c r="BM295" s="149">
        <v>0</v>
      </c>
      <c r="BN295" s="149">
        <v>0</v>
      </c>
      <c r="BO295" s="149">
        <v>0</v>
      </c>
      <c r="BP295" s="152" t="s">
        <v>142</v>
      </c>
      <c r="BQ295" s="152"/>
      <c r="BR295" s="154" t="s">
        <v>142</v>
      </c>
      <c r="BS295" s="136">
        <v>14</v>
      </c>
      <c r="BT295" s="267"/>
      <c r="BU295" s="267">
        <f>M295/2</f>
        <v>-0.5</v>
      </c>
      <c r="BV295" s="267">
        <f>M295/2</f>
        <v>-0.5</v>
      </c>
      <c r="BW295" s="267"/>
      <c r="BX295" s="267"/>
      <c r="BY295" s="267"/>
      <c r="BZ295" s="267"/>
      <c r="CA295" s="267"/>
      <c r="CB295" s="267"/>
      <c r="CC295" s="267"/>
      <c r="CD295" s="267"/>
      <c r="CE295" s="267"/>
      <c r="CF295" s="267"/>
      <c r="CG295" s="267"/>
      <c r="CH295" s="267"/>
      <c r="CI295" s="267"/>
      <c r="CJ295" s="267"/>
      <c r="CK295" s="267"/>
      <c r="CL295" s="267"/>
      <c r="CM295" s="267"/>
      <c r="CN295" s="101">
        <f t="shared" si="21"/>
        <v>-1</v>
      </c>
      <c r="CO295" s="101">
        <f t="shared" si="22"/>
        <v>-1</v>
      </c>
    </row>
    <row r="296" spans="1:93" ht="13.9" customHeight="1" x14ac:dyDescent="0.2">
      <c r="A296" s="149">
        <v>5958</v>
      </c>
      <c r="B296" s="150" t="s">
        <v>854</v>
      </c>
      <c r="C296" s="150" t="s">
        <v>1075</v>
      </c>
      <c r="D296" s="150" t="s">
        <v>1076</v>
      </c>
      <c r="E296" s="150" t="s">
        <v>326</v>
      </c>
      <c r="F296" s="149">
        <v>527576</v>
      </c>
      <c r="G296" s="149">
        <v>171713</v>
      </c>
      <c r="H296" s="150" t="s">
        <v>172</v>
      </c>
      <c r="I296" s="151">
        <v>45382</v>
      </c>
      <c r="J296" s="151"/>
      <c r="K296" s="149">
        <v>0</v>
      </c>
      <c r="L296" s="149">
        <v>3</v>
      </c>
      <c r="M296" s="149">
        <v>3</v>
      </c>
      <c r="N296" s="149">
        <v>4</v>
      </c>
      <c r="O296" s="149">
        <v>2</v>
      </c>
      <c r="P296" s="152"/>
      <c r="Q296" s="150" t="s">
        <v>1077</v>
      </c>
      <c r="R296" s="150" t="s">
        <v>349</v>
      </c>
      <c r="S296" s="151">
        <v>44127</v>
      </c>
      <c r="T296" s="151">
        <v>44183</v>
      </c>
      <c r="U296" s="152"/>
      <c r="V296" s="150" t="s">
        <v>330</v>
      </c>
      <c r="W296" s="151"/>
      <c r="X296" s="150" t="s">
        <v>331</v>
      </c>
      <c r="Y296" s="150" t="s">
        <v>398</v>
      </c>
      <c r="Z296" s="150" t="s">
        <v>334</v>
      </c>
      <c r="AA296" s="150" t="s">
        <v>413</v>
      </c>
      <c r="AB296" s="153">
        <v>5.0000000000000001E-3</v>
      </c>
      <c r="AC296" s="151">
        <v>45382</v>
      </c>
      <c r="AD296" s="152" t="s">
        <v>327</v>
      </c>
      <c r="AE296" s="151"/>
      <c r="AF296" s="150" t="s">
        <v>70</v>
      </c>
      <c r="AG296" s="152" t="s">
        <v>352</v>
      </c>
      <c r="AH296" s="150" t="s">
        <v>326</v>
      </c>
      <c r="AI296" s="99"/>
      <c r="AJ296" s="149"/>
      <c r="AK296" s="99"/>
      <c r="AL296" s="149"/>
      <c r="AM296" s="99"/>
      <c r="AN296" s="149">
        <v>0</v>
      </c>
      <c r="AO296" s="149">
        <v>3</v>
      </c>
      <c r="AP296" s="149">
        <v>0</v>
      </c>
      <c r="AQ296" s="149">
        <v>0</v>
      </c>
      <c r="AR296" s="149">
        <v>0</v>
      </c>
      <c r="AS296" s="149">
        <v>0</v>
      </c>
      <c r="AT296" s="149">
        <v>0</v>
      </c>
      <c r="AU296" s="149">
        <v>0</v>
      </c>
      <c r="AV296" s="149">
        <v>3</v>
      </c>
      <c r="AW296" s="149">
        <v>0</v>
      </c>
      <c r="AX296" s="149">
        <v>0</v>
      </c>
      <c r="AY296" s="149">
        <v>0</v>
      </c>
      <c r="AZ296" s="149">
        <v>0</v>
      </c>
      <c r="BA296" s="149">
        <v>0</v>
      </c>
      <c r="BB296" s="149">
        <v>0</v>
      </c>
      <c r="BC296" s="149">
        <v>0</v>
      </c>
      <c r="BD296" s="149">
        <v>0</v>
      </c>
      <c r="BE296" s="149">
        <v>0</v>
      </c>
      <c r="BF296" s="149">
        <v>0</v>
      </c>
      <c r="BG296" s="149">
        <v>0</v>
      </c>
      <c r="BH296" s="149">
        <v>0</v>
      </c>
      <c r="BI296" s="149">
        <v>0</v>
      </c>
      <c r="BJ296" s="149">
        <v>0</v>
      </c>
      <c r="BK296" s="149">
        <v>0</v>
      </c>
      <c r="BL296" s="149">
        <v>0</v>
      </c>
      <c r="BM296" s="149">
        <v>0</v>
      </c>
      <c r="BN296" s="149">
        <v>0</v>
      </c>
      <c r="BO296" s="149">
        <v>0</v>
      </c>
      <c r="BP296" s="152" t="s">
        <v>142</v>
      </c>
      <c r="BQ296" s="152"/>
      <c r="BR296" s="154" t="s">
        <v>142</v>
      </c>
      <c r="BS296" s="136">
        <v>14</v>
      </c>
      <c r="BT296" s="267"/>
      <c r="BU296" s="267">
        <f>M296/2</f>
        <v>1.5</v>
      </c>
      <c r="BV296" s="267">
        <f>M296/2</f>
        <v>1.5</v>
      </c>
      <c r="BW296" s="267"/>
      <c r="BX296" s="267"/>
      <c r="BY296" s="267"/>
      <c r="BZ296" s="267"/>
      <c r="CA296" s="267"/>
      <c r="CB296" s="267"/>
      <c r="CC296" s="267"/>
      <c r="CD296" s="267"/>
      <c r="CE296" s="267"/>
      <c r="CF296" s="267"/>
      <c r="CG296" s="267"/>
      <c r="CH296" s="267"/>
      <c r="CI296" s="267"/>
      <c r="CJ296" s="267"/>
      <c r="CK296" s="267"/>
      <c r="CL296" s="267"/>
      <c r="CM296" s="267"/>
      <c r="CN296" s="101">
        <f t="shared" si="21"/>
        <v>3</v>
      </c>
      <c r="CO296" s="101">
        <f t="shared" si="22"/>
        <v>3</v>
      </c>
    </row>
    <row r="297" spans="1:93" ht="13.9" customHeight="1" x14ac:dyDescent="0.2">
      <c r="A297" s="149">
        <v>2304</v>
      </c>
      <c r="B297" s="150" t="s">
        <v>854</v>
      </c>
      <c r="C297" s="150" t="s">
        <v>1078</v>
      </c>
      <c r="D297" s="150" t="s">
        <v>880</v>
      </c>
      <c r="E297" s="150" t="s">
        <v>326</v>
      </c>
      <c r="F297" s="149">
        <v>528666</v>
      </c>
      <c r="G297" s="149">
        <v>177450</v>
      </c>
      <c r="H297" s="150" t="s">
        <v>160</v>
      </c>
      <c r="I297" s="151">
        <v>45382</v>
      </c>
      <c r="J297" s="151"/>
      <c r="K297" s="149">
        <v>0</v>
      </c>
      <c r="L297" s="149">
        <v>6</v>
      </c>
      <c r="M297" s="149">
        <v>6</v>
      </c>
      <c r="N297" s="149">
        <v>6</v>
      </c>
      <c r="O297" s="149">
        <v>6</v>
      </c>
      <c r="P297" s="152"/>
      <c r="Q297" s="150" t="s">
        <v>1079</v>
      </c>
      <c r="R297" s="150" t="s">
        <v>349</v>
      </c>
      <c r="S297" s="151">
        <v>44132</v>
      </c>
      <c r="T297" s="151">
        <v>44316</v>
      </c>
      <c r="U297" s="152"/>
      <c r="V297" s="150" t="s">
        <v>330</v>
      </c>
      <c r="W297" s="151"/>
      <c r="X297" s="150" t="s">
        <v>331</v>
      </c>
      <c r="Y297" s="150" t="s">
        <v>350</v>
      </c>
      <c r="Z297" s="150" t="s">
        <v>334</v>
      </c>
      <c r="AA297" s="150" t="s">
        <v>29</v>
      </c>
      <c r="AB297" s="153">
        <v>8.0000000000000002E-3</v>
      </c>
      <c r="AC297" s="151">
        <v>45382</v>
      </c>
      <c r="AD297" s="152" t="s">
        <v>327</v>
      </c>
      <c r="AE297" s="151"/>
      <c r="AF297" s="150" t="s">
        <v>70</v>
      </c>
      <c r="AG297" s="152" t="s">
        <v>352</v>
      </c>
      <c r="AH297" s="150" t="s">
        <v>326</v>
      </c>
      <c r="AI297" s="99"/>
      <c r="AJ297" s="149"/>
      <c r="AK297" s="102"/>
      <c r="AL297" s="149"/>
      <c r="AM297" s="102"/>
      <c r="AN297" s="149">
        <v>0</v>
      </c>
      <c r="AO297" s="149">
        <v>2</v>
      </c>
      <c r="AP297" s="149">
        <v>3</v>
      </c>
      <c r="AQ297" s="149">
        <v>1</v>
      </c>
      <c r="AR297" s="149">
        <v>0</v>
      </c>
      <c r="AS297" s="149">
        <v>0</v>
      </c>
      <c r="AT297" s="149">
        <v>0</v>
      </c>
      <c r="AU297" s="149">
        <v>0</v>
      </c>
      <c r="AV297" s="149">
        <v>2</v>
      </c>
      <c r="AW297" s="149">
        <v>3</v>
      </c>
      <c r="AX297" s="149">
        <v>1</v>
      </c>
      <c r="AY297" s="149">
        <v>0</v>
      </c>
      <c r="AZ297" s="149">
        <v>0</v>
      </c>
      <c r="BA297" s="149">
        <v>0</v>
      </c>
      <c r="BB297" s="149">
        <v>0</v>
      </c>
      <c r="BC297" s="149">
        <v>0</v>
      </c>
      <c r="BD297" s="149">
        <v>0</v>
      </c>
      <c r="BE297" s="149">
        <v>0</v>
      </c>
      <c r="BF297" s="149">
        <v>0</v>
      </c>
      <c r="BG297" s="149">
        <v>0</v>
      </c>
      <c r="BH297" s="149">
        <v>0</v>
      </c>
      <c r="BI297" s="149">
        <v>0</v>
      </c>
      <c r="BJ297" s="149">
        <v>0</v>
      </c>
      <c r="BK297" s="149">
        <v>0</v>
      </c>
      <c r="BL297" s="149">
        <v>0</v>
      </c>
      <c r="BM297" s="149">
        <v>0</v>
      </c>
      <c r="BN297" s="149">
        <v>0</v>
      </c>
      <c r="BO297" s="149">
        <v>0</v>
      </c>
      <c r="BP297" s="152"/>
      <c r="BQ297" s="152" t="s">
        <v>327</v>
      </c>
      <c r="BR297" s="154" t="s">
        <v>149</v>
      </c>
      <c r="BS297" s="136">
        <v>14</v>
      </c>
      <c r="BT297" s="267"/>
      <c r="BU297" s="267">
        <f>M297/2</f>
        <v>3</v>
      </c>
      <c r="BV297" s="267">
        <f>M297/2</f>
        <v>3</v>
      </c>
      <c r="BW297" s="267"/>
      <c r="BX297" s="267"/>
      <c r="BY297" s="267"/>
      <c r="BZ297" s="267"/>
      <c r="CA297" s="267"/>
      <c r="CB297" s="267"/>
      <c r="CC297" s="267"/>
      <c r="CD297" s="267"/>
      <c r="CE297" s="267"/>
      <c r="CF297" s="267"/>
      <c r="CG297" s="267"/>
      <c r="CH297" s="267"/>
      <c r="CI297" s="267"/>
      <c r="CJ297" s="267"/>
      <c r="CK297" s="267"/>
      <c r="CL297" s="267"/>
      <c r="CM297" s="267"/>
      <c r="CN297" s="101">
        <f t="shared" si="21"/>
        <v>6</v>
      </c>
      <c r="CO297" s="101">
        <f t="shared" si="22"/>
        <v>6</v>
      </c>
    </row>
    <row r="298" spans="1:93" ht="13.9" customHeight="1" x14ac:dyDescent="0.2">
      <c r="A298" s="149">
        <v>5245</v>
      </c>
      <c r="B298" s="150" t="s">
        <v>854</v>
      </c>
      <c r="C298" s="150" t="s">
        <v>1080</v>
      </c>
      <c r="D298" s="150" t="s">
        <v>1081</v>
      </c>
      <c r="E298" s="150" t="s">
        <v>326</v>
      </c>
      <c r="F298" s="149">
        <v>529554</v>
      </c>
      <c r="G298" s="149">
        <v>176699</v>
      </c>
      <c r="H298" s="150" t="s">
        <v>167</v>
      </c>
      <c r="I298" s="151">
        <v>45291</v>
      </c>
      <c r="J298" s="151"/>
      <c r="K298" s="149">
        <v>0</v>
      </c>
      <c r="L298" s="149">
        <v>17</v>
      </c>
      <c r="M298" s="149">
        <v>17</v>
      </c>
      <c r="N298" s="149">
        <v>17</v>
      </c>
      <c r="O298" s="149">
        <v>17</v>
      </c>
      <c r="P298" s="152" t="s">
        <v>327</v>
      </c>
      <c r="Q298" s="150" t="s">
        <v>1082</v>
      </c>
      <c r="R298" s="150" t="s">
        <v>329</v>
      </c>
      <c r="S298" s="151">
        <v>44442</v>
      </c>
      <c r="T298" s="151">
        <v>44930</v>
      </c>
      <c r="U298" s="152"/>
      <c r="V298" s="150" t="s">
        <v>330</v>
      </c>
      <c r="W298" s="151"/>
      <c r="X298" s="150" t="s">
        <v>331</v>
      </c>
      <c r="Y298" s="150" t="s">
        <v>343</v>
      </c>
      <c r="Z298" s="150" t="s">
        <v>343</v>
      </c>
      <c r="AA298" s="150" t="s">
        <v>334</v>
      </c>
      <c r="AB298" s="153">
        <v>3.1E-2</v>
      </c>
      <c r="AC298" s="151">
        <v>45291</v>
      </c>
      <c r="AD298" s="152" t="s">
        <v>327</v>
      </c>
      <c r="AE298" s="151"/>
      <c r="AF298" s="150" t="s">
        <v>70</v>
      </c>
      <c r="AG298" s="152" t="s">
        <v>352</v>
      </c>
      <c r="AH298" s="150" t="s">
        <v>326</v>
      </c>
      <c r="AI298" s="99"/>
      <c r="AJ298" s="149"/>
      <c r="AK298" s="149">
        <v>15</v>
      </c>
      <c r="AL298" s="149"/>
      <c r="AM298" s="138">
        <v>2</v>
      </c>
      <c r="AN298" s="149">
        <v>3</v>
      </c>
      <c r="AO298" s="149">
        <v>0</v>
      </c>
      <c r="AP298" s="149">
        <v>11</v>
      </c>
      <c r="AQ298" s="149">
        <v>3</v>
      </c>
      <c r="AR298" s="149">
        <v>0</v>
      </c>
      <c r="AS298" s="149">
        <v>0</v>
      </c>
      <c r="AT298" s="149">
        <v>0</v>
      </c>
      <c r="AU298" s="149">
        <v>3</v>
      </c>
      <c r="AV298" s="149">
        <v>0</v>
      </c>
      <c r="AW298" s="149">
        <v>11</v>
      </c>
      <c r="AX298" s="149">
        <v>3</v>
      </c>
      <c r="AY298" s="149">
        <v>0</v>
      </c>
      <c r="AZ298" s="149">
        <v>0</v>
      </c>
      <c r="BA298" s="149">
        <v>0</v>
      </c>
      <c r="BB298" s="149">
        <v>0</v>
      </c>
      <c r="BC298" s="149">
        <v>0</v>
      </c>
      <c r="BD298" s="149">
        <v>0</v>
      </c>
      <c r="BE298" s="149">
        <v>0</v>
      </c>
      <c r="BF298" s="149">
        <v>0</v>
      </c>
      <c r="BG298" s="149">
        <v>0</v>
      </c>
      <c r="BH298" s="149">
        <v>0</v>
      </c>
      <c r="BI298" s="149">
        <v>0</v>
      </c>
      <c r="BJ298" s="149">
        <v>0</v>
      </c>
      <c r="BK298" s="149">
        <v>0</v>
      </c>
      <c r="BL298" s="149">
        <v>0</v>
      </c>
      <c r="BM298" s="149">
        <v>0</v>
      </c>
      <c r="BN298" s="149">
        <v>0</v>
      </c>
      <c r="BO298" s="149">
        <v>0</v>
      </c>
      <c r="BP298" s="152"/>
      <c r="BQ298" s="152" t="s">
        <v>327</v>
      </c>
      <c r="BR298" s="154" t="s">
        <v>149</v>
      </c>
      <c r="BS298" s="136">
        <v>2</v>
      </c>
      <c r="BT298" s="267"/>
      <c r="BU298" s="267"/>
      <c r="BV298" s="267">
        <f>M298</f>
        <v>17</v>
      </c>
      <c r="BW298" s="267"/>
      <c r="BX298" s="267"/>
      <c r="BY298" s="267"/>
      <c r="BZ298" s="267"/>
      <c r="CA298" s="267"/>
      <c r="CB298" s="267"/>
      <c r="CC298" s="267"/>
      <c r="CD298" s="267"/>
      <c r="CE298" s="267"/>
      <c r="CF298" s="267"/>
      <c r="CG298" s="267"/>
      <c r="CH298" s="267"/>
      <c r="CI298" s="267"/>
      <c r="CJ298" s="267"/>
      <c r="CK298" s="267"/>
      <c r="CL298" s="267"/>
      <c r="CM298" s="267"/>
      <c r="CN298" s="101">
        <f t="shared" si="21"/>
        <v>17</v>
      </c>
      <c r="CO298" s="101">
        <f t="shared" si="22"/>
        <v>17</v>
      </c>
    </row>
    <row r="299" spans="1:93" ht="13.9" customHeight="1" x14ac:dyDescent="0.2">
      <c r="A299" s="149">
        <v>7212</v>
      </c>
      <c r="B299" s="150" t="s">
        <v>854</v>
      </c>
      <c r="C299" s="150" t="s">
        <v>1083</v>
      </c>
      <c r="D299" s="150" t="s">
        <v>1084</v>
      </c>
      <c r="E299" s="150" t="s">
        <v>326</v>
      </c>
      <c r="F299" s="149">
        <v>521190</v>
      </c>
      <c r="G299" s="149">
        <v>174507</v>
      </c>
      <c r="H299" s="150" t="s">
        <v>166</v>
      </c>
      <c r="I299" s="151">
        <v>44718</v>
      </c>
      <c r="J299" s="151"/>
      <c r="K299" s="149">
        <v>1</v>
      </c>
      <c r="L299" s="149">
        <v>1</v>
      </c>
      <c r="M299" s="149">
        <v>0</v>
      </c>
      <c r="N299" s="149">
        <v>1</v>
      </c>
      <c r="O299" s="149">
        <v>0</v>
      </c>
      <c r="P299" s="152"/>
      <c r="Q299" s="150" t="s">
        <v>1085</v>
      </c>
      <c r="R299" s="150" t="s">
        <v>349</v>
      </c>
      <c r="S299" s="151">
        <v>44189</v>
      </c>
      <c r="T299" s="151">
        <v>44245</v>
      </c>
      <c r="U299" s="152"/>
      <c r="V299" s="150" t="s">
        <v>330</v>
      </c>
      <c r="W299" s="151"/>
      <c r="X299" s="150" t="s">
        <v>331</v>
      </c>
      <c r="Y299" s="150" t="s">
        <v>343</v>
      </c>
      <c r="Z299" s="150" t="s">
        <v>334</v>
      </c>
      <c r="AA299" s="150" t="s">
        <v>363</v>
      </c>
      <c r="AB299" s="153">
        <v>0.126</v>
      </c>
      <c r="AC299" s="151">
        <v>44718</v>
      </c>
      <c r="AD299" s="150"/>
      <c r="AE299" s="151"/>
      <c r="AF299" s="150" t="s">
        <v>70</v>
      </c>
      <c r="AG299" s="152" t="s">
        <v>352</v>
      </c>
      <c r="AH299" s="150" t="s">
        <v>326</v>
      </c>
      <c r="AI299" s="99"/>
      <c r="AJ299" s="149"/>
      <c r="AK299" s="102"/>
      <c r="AL299" s="149"/>
      <c r="AM299" s="102"/>
      <c r="AN299" s="149">
        <v>0</v>
      </c>
      <c r="AO299" s="149">
        <v>0</v>
      </c>
      <c r="AP299" s="149">
        <v>0</v>
      </c>
      <c r="AQ299" s="149">
        <v>0</v>
      </c>
      <c r="AR299" s="149">
        <v>0</v>
      </c>
      <c r="AS299" s="149">
        <v>0</v>
      </c>
      <c r="AT299" s="149">
        <v>0</v>
      </c>
      <c r="AU299" s="149">
        <v>0</v>
      </c>
      <c r="AV299" s="149">
        <v>0</v>
      </c>
      <c r="AW299" s="149">
        <v>0</v>
      </c>
      <c r="AX299" s="149">
        <v>0</v>
      </c>
      <c r="AY299" s="149">
        <v>0</v>
      </c>
      <c r="AZ299" s="149">
        <v>0</v>
      </c>
      <c r="BA299" s="149">
        <v>0</v>
      </c>
      <c r="BB299" s="149">
        <v>0</v>
      </c>
      <c r="BC299" s="149">
        <v>0</v>
      </c>
      <c r="BD299" s="149">
        <v>0</v>
      </c>
      <c r="BE299" s="149">
        <v>0</v>
      </c>
      <c r="BF299" s="149">
        <v>0</v>
      </c>
      <c r="BG299" s="149">
        <v>0</v>
      </c>
      <c r="BH299" s="149">
        <v>0</v>
      </c>
      <c r="BI299" s="149">
        <v>0</v>
      </c>
      <c r="BJ299" s="149">
        <v>0</v>
      </c>
      <c r="BK299" s="149">
        <v>0</v>
      </c>
      <c r="BL299" s="149">
        <v>0</v>
      </c>
      <c r="BM299" s="149">
        <v>0</v>
      </c>
      <c r="BN299" s="149">
        <v>0</v>
      </c>
      <c r="BO299" s="149">
        <v>0</v>
      </c>
      <c r="BP299" s="152"/>
      <c r="BQ299" s="152"/>
      <c r="BR299" s="154" t="s">
        <v>359</v>
      </c>
      <c r="BS299" s="136">
        <v>3</v>
      </c>
      <c r="BT299" s="267"/>
      <c r="BU299" s="267">
        <f>M299</f>
        <v>0</v>
      </c>
      <c r="BV299" s="267"/>
      <c r="BW299" s="267"/>
      <c r="BX299" s="267"/>
      <c r="BY299" s="267"/>
      <c r="BZ299" s="267"/>
      <c r="CA299" s="267"/>
      <c r="CB299" s="267"/>
      <c r="CC299" s="267"/>
      <c r="CD299" s="267"/>
      <c r="CE299" s="267"/>
      <c r="CF299" s="267"/>
      <c r="CG299" s="267"/>
      <c r="CH299" s="267"/>
      <c r="CI299" s="267"/>
      <c r="CJ299" s="267"/>
      <c r="CK299" s="267"/>
      <c r="CL299" s="267"/>
      <c r="CM299" s="267"/>
      <c r="CN299" s="101">
        <f t="shared" si="21"/>
        <v>0</v>
      </c>
      <c r="CO299" s="101">
        <f t="shared" si="22"/>
        <v>0</v>
      </c>
    </row>
    <row r="300" spans="1:93" ht="13.9" customHeight="1" x14ac:dyDescent="0.2">
      <c r="A300" s="149">
        <v>2039</v>
      </c>
      <c r="B300" s="150" t="s">
        <v>854</v>
      </c>
      <c r="C300" s="150" t="s">
        <v>1086</v>
      </c>
      <c r="D300" s="150" t="s">
        <v>1087</v>
      </c>
      <c r="E300" s="150" t="s">
        <v>326</v>
      </c>
      <c r="F300" s="149">
        <v>523242</v>
      </c>
      <c r="G300" s="149">
        <v>175897</v>
      </c>
      <c r="H300" s="150" t="s">
        <v>171</v>
      </c>
      <c r="I300" s="151">
        <v>45261</v>
      </c>
      <c r="J300" s="151"/>
      <c r="K300" s="149">
        <v>0</v>
      </c>
      <c r="L300" s="149">
        <v>2</v>
      </c>
      <c r="M300" s="149">
        <v>2</v>
      </c>
      <c r="N300" s="149">
        <v>2</v>
      </c>
      <c r="O300" s="149">
        <v>2</v>
      </c>
      <c r="P300" s="152"/>
      <c r="Q300" s="150" t="s">
        <v>1088</v>
      </c>
      <c r="R300" s="150" t="s">
        <v>349</v>
      </c>
      <c r="S300" s="151">
        <v>44189</v>
      </c>
      <c r="T300" s="151">
        <v>44270</v>
      </c>
      <c r="U300" s="152"/>
      <c r="V300" s="150" t="s">
        <v>330</v>
      </c>
      <c r="W300" s="151"/>
      <c r="X300" s="150" t="s">
        <v>331</v>
      </c>
      <c r="Y300" s="150" t="s">
        <v>332</v>
      </c>
      <c r="Z300" s="150" t="s">
        <v>334</v>
      </c>
      <c r="AA300" s="150" t="s">
        <v>26</v>
      </c>
      <c r="AB300" s="153">
        <v>2.1700000000000001E-2</v>
      </c>
      <c r="AC300" s="151">
        <v>45261</v>
      </c>
      <c r="AD300" s="152" t="s">
        <v>327</v>
      </c>
      <c r="AE300" s="151"/>
      <c r="AF300" s="150" t="s">
        <v>70</v>
      </c>
      <c r="AG300" s="152" t="s">
        <v>352</v>
      </c>
      <c r="AH300" s="150" t="s">
        <v>326</v>
      </c>
      <c r="AI300" s="99"/>
      <c r="AJ300" s="149"/>
      <c r="AK300" s="102"/>
      <c r="AL300" s="149"/>
      <c r="AM300" s="102"/>
      <c r="AN300" s="149">
        <v>0</v>
      </c>
      <c r="AO300" s="149">
        <v>0</v>
      </c>
      <c r="AP300" s="149">
        <v>2</v>
      </c>
      <c r="AQ300" s="149">
        <v>0</v>
      </c>
      <c r="AR300" s="149">
        <v>0</v>
      </c>
      <c r="AS300" s="149">
        <v>0</v>
      </c>
      <c r="AT300" s="149">
        <v>0</v>
      </c>
      <c r="AU300" s="149">
        <v>0</v>
      </c>
      <c r="AV300" s="149">
        <v>0</v>
      </c>
      <c r="AW300" s="149">
        <v>2</v>
      </c>
      <c r="AX300" s="149">
        <v>0</v>
      </c>
      <c r="AY300" s="149">
        <v>0</v>
      </c>
      <c r="AZ300" s="149">
        <v>0</v>
      </c>
      <c r="BA300" s="149">
        <v>0</v>
      </c>
      <c r="BB300" s="149">
        <v>0</v>
      </c>
      <c r="BC300" s="149">
        <v>0</v>
      </c>
      <c r="BD300" s="149">
        <v>0</v>
      </c>
      <c r="BE300" s="149">
        <v>0</v>
      </c>
      <c r="BF300" s="149">
        <v>0</v>
      </c>
      <c r="BG300" s="149">
        <v>0</v>
      </c>
      <c r="BH300" s="149">
        <v>0</v>
      </c>
      <c r="BI300" s="149">
        <v>0</v>
      </c>
      <c r="BJ300" s="149">
        <v>0</v>
      </c>
      <c r="BK300" s="149">
        <v>0</v>
      </c>
      <c r="BL300" s="149">
        <v>0</v>
      </c>
      <c r="BM300" s="149">
        <v>0</v>
      </c>
      <c r="BN300" s="149">
        <v>0</v>
      </c>
      <c r="BO300" s="149">
        <v>0</v>
      </c>
      <c r="BP300" s="152"/>
      <c r="BQ300" s="152"/>
      <c r="BR300" s="154" t="s">
        <v>359</v>
      </c>
      <c r="BS300" s="136">
        <v>14</v>
      </c>
      <c r="BT300" s="267"/>
      <c r="BU300" s="267">
        <f>M300/2</f>
        <v>1</v>
      </c>
      <c r="BV300" s="267">
        <f>M300/2</f>
        <v>1</v>
      </c>
      <c r="BW300" s="267"/>
      <c r="BX300" s="267"/>
      <c r="BY300" s="267"/>
      <c r="BZ300" s="267"/>
      <c r="CA300" s="267"/>
      <c r="CB300" s="267"/>
      <c r="CC300" s="267"/>
      <c r="CD300" s="267"/>
      <c r="CE300" s="267"/>
      <c r="CF300" s="267"/>
      <c r="CG300" s="267"/>
      <c r="CH300" s="267"/>
      <c r="CI300" s="267"/>
      <c r="CJ300" s="267"/>
      <c r="CK300" s="267"/>
      <c r="CL300" s="267"/>
      <c r="CM300" s="267"/>
      <c r="CN300" s="101">
        <f t="shared" si="21"/>
        <v>2</v>
      </c>
      <c r="CO300" s="101">
        <f t="shared" si="22"/>
        <v>2</v>
      </c>
    </row>
    <row r="301" spans="1:93" ht="13.9" customHeight="1" x14ac:dyDescent="0.2">
      <c r="A301" s="149">
        <v>2411</v>
      </c>
      <c r="B301" s="150" t="s">
        <v>854</v>
      </c>
      <c r="C301" s="150" t="s">
        <v>1089</v>
      </c>
      <c r="D301" s="150" t="s">
        <v>1090</v>
      </c>
      <c r="E301" s="150" t="s">
        <v>1091</v>
      </c>
      <c r="F301" s="149">
        <v>528934</v>
      </c>
      <c r="G301" s="149">
        <v>177496</v>
      </c>
      <c r="H301" s="150" t="s">
        <v>149</v>
      </c>
      <c r="I301" s="151">
        <v>42506</v>
      </c>
      <c r="J301" s="151"/>
      <c r="K301" s="149">
        <v>0</v>
      </c>
      <c r="L301" s="149">
        <v>836</v>
      </c>
      <c r="M301" s="149">
        <v>836</v>
      </c>
      <c r="N301" s="149">
        <v>2027</v>
      </c>
      <c r="O301" s="149">
        <v>2027</v>
      </c>
      <c r="P301" s="152" t="s">
        <v>327</v>
      </c>
      <c r="Q301" s="150" t="s">
        <v>1092</v>
      </c>
      <c r="R301" s="150" t="s">
        <v>342</v>
      </c>
      <c r="S301" s="151">
        <v>44210</v>
      </c>
      <c r="T301" s="151">
        <v>44264</v>
      </c>
      <c r="U301" s="152"/>
      <c r="V301" s="150" t="s">
        <v>330</v>
      </c>
      <c r="W301" s="151"/>
      <c r="X301" s="150" t="s">
        <v>331</v>
      </c>
      <c r="Y301" s="150" t="s">
        <v>343</v>
      </c>
      <c r="Z301" s="150" t="s">
        <v>343</v>
      </c>
      <c r="AA301" s="150" t="s">
        <v>334</v>
      </c>
      <c r="AB301" s="153">
        <v>1.4490000000000001</v>
      </c>
      <c r="AC301" s="151">
        <v>42506</v>
      </c>
      <c r="AD301" s="150"/>
      <c r="AE301" s="151"/>
      <c r="AF301" s="150" t="s">
        <v>70</v>
      </c>
      <c r="AG301" s="152" t="s">
        <v>352</v>
      </c>
      <c r="AH301" s="150" t="s">
        <v>1093</v>
      </c>
      <c r="AI301" s="99"/>
      <c r="AJ301" s="149">
        <v>836</v>
      </c>
      <c r="AK301" s="102"/>
      <c r="AL301" s="149">
        <v>84</v>
      </c>
      <c r="AM301" s="102"/>
      <c r="AN301" s="149">
        <v>148</v>
      </c>
      <c r="AO301" s="149">
        <v>149</v>
      </c>
      <c r="AP301" s="149">
        <v>406</v>
      </c>
      <c r="AQ301" s="149">
        <v>87</v>
      </c>
      <c r="AR301" s="149">
        <v>11</v>
      </c>
      <c r="AS301" s="149">
        <v>35</v>
      </c>
      <c r="AT301" s="149">
        <v>0</v>
      </c>
      <c r="AU301" s="149">
        <v>148</v>
      </c>
      <c r="AV301" s="149">
        <v>149</v>
      </c>
      <c r="AW301" s="149">
        <v>406</v>
      </c>
      <c r="AX301" s="149">
        <v>87</v>
      </c>
      <c r="AY301" s="149">
        <v>11</v>
      </c>
      <c r="AZ301" s="149">
        <v>35</v>
      </c>
      <c r="BA301" s="149">
        <v>0</v>
      </c>
      <c r="BB301" s="149">
        <v>0</v>
      </c>
      <c r="BC301" s="149">
        <v>0</v>
      </c>
      <c r="BD301" s="149">
        <v>0</v>
      </c>
      <c r="BE301" s="149">
        <v>0</v>
      </c>
      <c r="BF301" s="149">
        <v>0</v>
      </c>
      <c r="BG301" s="149">
        <v>0</v>
      </c>
      <c r="BH301" s="149">
        <v>0</v>
      </c>
      <c r="BI301" s="149">
        <v>0</v>
      </c>
      <c r="BJ301" s="149">
        <v>0</v>
      </c>
      <c r="BK301" s="149">
        <v>0</v>
      </c>
      <c r="BL301" s="149">
        <v>0</v>
      </c>
      <c r="BM301" s="149">
        <v>0</v>
      </c>
      <c r="BN301" s="149">
        <v>0</v>
      </c>
      <c r="BO301" s="149">
        <v>0</v>
      </c>
      <c r="BP301" s="152"/>
      <c r="BQ301" s="152" t="s">
        <v>327</v>
      </c>
      <c r="BR301" s="154" t="s">
        <v>149</v>
      </c>
      <c r="BS301" s="136">
        <v>6</v>
      </c>
      <c r="BT301" s="267"/>
      <c r="BU301" s="267"/>
      <c r="BV301" s="267">
        <f>M301/4</f>
        <v>209</v>
      </c>
      <c r="BW301" s="267">
        <f>M301/4</f>
        <v>209</v>
      </c>
      <c r="BX301" s="267">
        <f>M301/4</f>
        <v>209</v>
      </c>
      <c r="BY301" s="267">
        <f>M301/4</f>
        <v>209</v>
      </c>
      <c r="BZ301" s="267"/>
      <c r="CA301" s="267"/>
      <c r="CB301" s="267"/>
      <c r="CC301" s="267"/>
      <c r="CD301" s="267"/>
      <c r="CE301" s="267"/>
      <c r="CF301" s="267"/>
      <c r="CG301" s="267"/>
      <c r="CH301" s="267"/>
      <c r="CI301" s="267"/>
      <c r="CJ301" s="267"/>
      <c r="CK301" s="267"/>
      <c r="CL301" s="267"/>
      <c r="CM301" s="267"/>
      <c r="CN301" s="101">
        <f t="shared" si="21"/>
        <v>836</v>
      </c>
      <c r="CO301" s="101">
        <f t="shared" si="22"/>
        <v>836</v>
      </c>
    </row>
    <row r="302" spans="1:93" ht="13.9" customHeight="1" x14ac:dyDescent="0.2">
      <c r="A302" s="149">
        <v>7100</v>
      </c>
      <c r="B302" s="150" t="s">
        <v>854</v>
      </c>
      <c r="C302" s="150" t="s">
        <v>1094</v>
      </c>
      <c r="D302" s="150" t="s">
        <v>1095</v>
      </c>
      <c r="E302" s="150" t="s">
        <v>326</v>
      </c>
      <c r="F302" s="149">
        <v>525939</v>
      </c>
      <c r="G302" s="149">
        <v>174515</v>
      </c>
      <c r="H302" s="150" t="s">
        <v>177</v>
      </c>
      <c r="I302" s="151">
        <v>44175</v>
      </c>
      <c r="J302" s="151"/>
      <c r="K302" s="149">
        <v>0</v>
      </c>
      <c r="L302" s="149">
        <v>20</v>
      </c>
      <c r="M302" s="149">
        <v>20</v>
      </c>
      <c r="N302" s="149">
        <v>22</v>
      </c>
      <c r="O302" s="149">
        <v>22</v>
      </c>
      <c r="P302" s="152" t="s">
        <v>327</v>
      </c>
      <c r="Q302" s="150" t="s">
        <v>1096</v>
      </c>
      <c r="R302" s="150" t="s">
        <v>329</v>
      </c>
      <c r="S302" s="151">
        <v>44214</v>
      </c>
      <c r="T302" s="151">
        <v>44495</v>
      </c>
      <c r="U302" s="152"/>
      <c r="V302" s="150" t="s">
        <v>330</v>
      </c>
      <c r="W302" s="151"/>
      <c r="X302" s="150" t="s">
        <v>331</v>
      </c>
      <c r="Y302" s="150" t="s">
        <v>398</v>
      </c>
      <c r="Z302" s="150" t="s">
        <v>343</v>
      </c>
      <c r="AA302" s="150" t="s">
        <v>334</v>
      </c>
      <c r="AB302" s="153">
        <v>5.8999999999999997E-2</v>
      </c>
      <c r="AC302" s="151">
        <v>44175</v>
      </c>
      <c r="AD302" s="150"/>
      <c r="AE302" s="151"/>
      <c r="AF302" s="150" t="s">
        <v>70</v>
      </c>
      <c r="AG302" s="152" t="s">
        <v>352</v>
      </c>
      <c r="AH302" s="150" t="s">
        <v>326</v>
      </c>
      <c r="AI302" s="99"/>
      <c r="AJ302" s="149"/>
      <c r="AK302" s="99"/>
      <c r="AL302" s="149"/>
      <c r="AM302" s="102"/>
      <c r="AN302" s="149">
        <v>0</v>
      </c>
      <c r="AO302" s="149">
        <v>12</v>
      </c>
      <c r="AP302" s="149">
        <v>6</v>
      </c>
      <c r="AQ302" s="149">
        <v>2</v>
      </c>
      <c r="AR302" s="149">
        <v>0</v>
      </c>
      <c r="AS302" s="149">
        <v>0</v>
      </c>
      <c r="AT302" s="149">
        <v>0</v>
      </c>
      <c r="AU302" s="149">
        <v>0</v>
      </c>
      <c r="AV302" s="149">
        <v>12</v>
      </c>
      <c r="AW302" s="149">
        <v>6</v>
      </c>
      <c r="AX302" s="149">
        <v>2</v>
      </c>
      <c r="AY302" s="149">
        <v>0</v>
      </c>
      <c r="AZ302" s="149">
        <v>0</v>
      </c>
      <c r="BA302" s="149">
        <v>0</v>
      </c>
      <c r="BB302" s="149">
        <v>0</v>
      </c>
      <c r="BC302" s="149">
        <v>0</v>
      </c>
      <c r="BD302" s="149">
        <v>0</v>
      </c>
      <c r="BE302" s="149">
        <v>0</v>
      </c>
      <c r="BF302" s="149">
        <v>0</v>
      </c>
      <c r="BG302" s="149">
        <v>0</v>
      </c>
      <c r="BH302" s="149">
        <v>0</v>
      </c>
      <c r="BI302" s="149">
        <v>0</v>
      </c>
      <c r="BJ302" s="149">
        <v>0</v>
      </c>
      <c r="BK302" s="149">
        <v>0</v>
      </c>
      <c r="BL302" s="149">
        <v>0</v>
      </c>
      <c r="BM302" s="149">
        <v>0</v>
      </c>
      <c r="BN302" s="149">
        <v>0</v>
      </c>
      <c r="BO302" s="149">
        <v>0</v>
      </c>
      <c r="BP302" s="152"/>
      <c r="BQ302" s="152"/>
      <c r="BR302" s="154" t="s">
        <v>463</v>
      </c>
      <c r="BS302" s="136">
        <v>13</v>
      </c>
      <c r="BT302" s="267"/>
      <c r="BU302" s="267">
        <f t="shared" ref="BU302:BU309" si="23">M302</f>
        <v>20</v>
      </c>
      <c r="BV302" s="267"/>
      <c r="BW302" s="267"/>
      <c r="BX302" s="267"/>
      <c r="BY302" s="267"/>
      <c r="BZ302" s="267"/>
      <c r="CA302" s="267"/>
      <c r="CB302" s="267"/>
      <c r="CC302" s="267"/>
      <c r="CD302" s="267"/>
      <c r="CE302" s="267"/>
      <c r="CF302" s="267"/>
      <c r="CG302" s="267"/>
      <c r="CH302" s="267"/>
      <c r="CI302" s="267"/>
      <c r="CJ302" s="267"/>
      <c r="CK302" s="267"/>
      <c r="CL302" s="267"/>
      <c r="CM302" s="267"/>
      <c r="CN302" s="101">
        <f t="shared" si="21"/>
        <v>20</v>
      </c>
      <c r="CO302" s="101">
        <f t="shared" si="22"/>
        <v>20</v>
      </c>
    </row>
    <row r="303" spans="1:93" ht="13.9" customHeight="1" x14ac:dyDescent="0.2">
      <c r="A303" s="149">
        <v>7100</v>
      </c>
      <c r="B303" s="150" t="s">
        <v>854</v>
      </c>
      <c r="C303" s="150" t="s">
        <v>1094</v>
      </c>
      <c r="D303" s="150" t="s">
        <v>1095</v>
      </c>
      <c r="E303" s="150" t="s">
        <v>326</v>
      </c>
      <c r="F303" s="149">
        <v>525939</v>
      </c>
      <c r="G303" s="149">
        <v>174515</v>
      </c>
      <c r="H303" s="150" t="s">
        <v>177</v>
      </c>
      <c r="I303" s="151">
        <v>44175</v>
      </c>
      <c r="J303" s="151"/>
      <c r="K303" s="149">
        <v>0</v>
      </c>
      <c r="L303" s="149">
        <v>2</v>
      </c>
      <c r="M303" s="149">
        <v>2</v>
      </c>
      <c r="N303" s="149">
        <v>22</v>
      </c>
      <c r="O303" s="149">
        <v>22</v>
      </c>
      <c r="P303" s="152" t="s">
        <v>327</v>
      </c>
      <c r="Q303" s="150" t="s">
        <v>1096</v>
      </c>
      <c r="R303" s="150" t="s">
        <v>329</v>
      </c>
      <c r="S303" s="151">
        <v>44214</v>
      </c>
      <c r="T303" s="151">
        <v>44495</v>
      </c>
      <c r="U303" s="152"/>
      <c r="V303" s="150" t="s">
        <v>330</v>
      </c>
      <c r="W303" s="151"/>
      <c r="X303" s="150" t="s">
        <v>331</v>
      </c>
      <c r="Y303" s="150" t="s">
        <v>398</v>
      </c>
      <c r="Z303" s="150" t="s">
        <v>343</v>
      </c>
      <c r="AA303" s="150" t="s">
        <v>334</v>
      </c>
      <c r="AB303" s="153">
        <v>5.8999999999999999E-3</v>
      </c>
      <c r="AC303" s="151">
        <v>44175</v>
      </c>
      <c r="AD303" s="150"/>
      <c r="AE303" s="151"/>
      <c r="AF303" s="150" t="s">
        <v>48</v>
      </c>
      <c r="AG303" s="152" t="s">
        <v>544</v>
      </c>
      <c r="AH303" s="150" t="s">
        <v>326</v>
      </c>
      <c r="AI303" s="99"/>
      <c r="AJ303" s="149"/>
      <c r="AK303" s="99"/>
      <c r="AL303" s="149"/>
      <c r="AM303" s="102"/>
      <c r="AN303" s="149">
        <v>0</v>
      </c>
      <c r="AO303" s="149">
        <v>1</v>
      </c>
      <c r="AP303" s="149">
        <v>1</v>
      </c>
      <c r="AQ303" s="149">
        <v>0</v>
      </c>
      <c r="AR303" s="149">
        <v>0</v>
      </c>
      <c r="AS303" s="149">
        <v>0</v>
      </c>
      <c r="AT303" s="149">
        <v>0</v>
      </c>
      <c r="AU303" s="149">
        <v>0</v>
      </c>
      <c r="AV303" s="149">
        <v>1</v>
      </c>
      <c r="AW303" s="149">
        <v>1</v>
      </c>
      <c r="AX303" s="149">
        <v>0</v>
      </c>
      <c r="AY303" s="149">
        <v>0</v>
      </c>
      <c r="AZ303" s="149">
        <v>0</v>
      </c>
      <c r="BA303" s="149">
        <v>0</v>
      </c>
      <c r="BB303" s="149">
        <v>0</v>
      </c>
      <c r="BC303" s="149">
        <v>0</v>
      </c>
      <c r="BD303" s="149">
        <v>0</v>
      </c>
      <c r="BE303" s="149">
        <v>0</v>
      </c>
      <c r="BF303" s="149">
        <v>0</v>
      </c>
      <c r="BG303" s="149">
        <v>0</v>
      </c>
      <c r="BH303" s="149">
        <v>0</v>
      </c>
      <c r="BI303" s="149">
        <v>0</v>
      </c>
      <c r="BJ303" s="149">
        <v>0</v>
      </c>
      <c r="BK303" s="149">
        <v>0</v>
      </c>
      <c r="BL303" s="149">
        <v>0</v>
      </c>
      <c r="BM303" s="149">
        <v>0</v>
      </c>
      <c r="BN303" s="149">
        <v>0</v>
      </c>
      <c r="BO303" s="149">
        <v>0</v>
      </c>
      <c r="BP303" s="152"/>
      <c r="BQ303" s="152"/>
      <c r="BR303" s="154" t="s">
        <v>463</v>
      </c>
      <c r="BS303" s="136">
        <v>13</v>
      </c>
      <c r="BT303" s="267"/>
      <c r="BU303" s="267">
        <f t="shared" si="23"/>
        <v>2</v>
      </c>
      <c r="BV303" s="267"/>
      <c r="BW303" s="267"/>
      <c r="BX303" s="267"/>
      <c r="BY303" s="267"/>
      <c r="BZ303" s="267"/>
      <c r="CA303" s="267"/>
      <c r="CB303" s="267"/>
      <c r="CC303" s="267"/>
      <c r="CD303" s="267"/>
      <c r="CE303" s="267"/>
      <c r="CF303" s="267"/>
      <c r="CG303" s="267"/>
      <c r="CH303" s="267"/>
      <c r="CI303" s="267"/>
      <c r="CJ303" s="267"/>
      <c r="CK303" s="267"/>
      <c r="CL303" s="267"/>
      <c r="CM303" s="267"/>
      <c r="CN303" s="101">
        <f t="shared" si="21"/>
        <v>2</v>
      </c>
      <c r="CO303" s="101">
        <f t="shared" si="22"/>
        <v>2</v>
      </c>
    </row>
    <row r="304" spans="1:93" ht="13.9" customHeight="1" x14ac:dyDescent="0.2">
      <c r="A304" s="149">
        <v>2502</v>
      </c>
      <c r="B304" s="150" t="s">
        <v>854</v>
      </c>
      <c r="C304" s="150" t="s">
        <v>1097</v>
      </c>
      <c r="D304" s="150" t="s">
        <v>508</v>
      </c>
      <c r="E304" s="150" t="s">
        <v>1098</v>
      </c>
      <c r="F304" s="149">
        <v>527221</v>
      </c>
      <c r="G304" s="149">
        <v>172443</v>
      </c>
      <c r="H304" s="150" t="s">
        <v>176</v>
      </c>
      <c r="I304" s="151">
        <v>44652</v>
      </c>
      <c r="J304" s="151"/>
      <c r="K304" s="149">
        <v>0</v>
      </c>
      <c r="L304" s="149">
        <v>4</v>
      </c>
      <c r="M304" s="149">
        <v>4</v>
      </c>
      <c r="N304" s="149">
        <v>109</v>
      </c>
      <c r="O304" s="149">
        <v>109</v>
      </c>
      <c r="P304" s="152" t="s">
        <v>327</v>
      </c>
      <c r="Q304" s="150" t="s">
        <v>1099</v>
      </c>
      <c r="R304" s="150" t="s">
        <v>388</v>
      </c>
      <c r="S304" s="151">
        <v>44228</v>
      </c>
      <c r="T304" s="151">
        <v>44341</v>
      </c>
      <c r="U304" s="152"/>
      <c r="V304" s="150" t="s">
        <v>330</v>
      </c>
      <c r="W304" s="151"/>
      <c r="X304" s="150" t="s">
        <v>331</v>
      </c>
      <c r="Y304" s="150" t="s">
        <v>350</v>
      </c>
      <c r="Z304" s="150" t="s">
        <v>333</v>
      </c>
      <c r="AA304" s="150" t="s">
        <v>334</v>
      </c>
      <c r="AB304" s="153">
        <v>3.696E-2</v>
      </c>
      <c r="AC304" s="151">
        <v>44652</v>
      </c>
      <c r="AD304" s="150"/>
      <c r="AE304" s="151"/>
      <c r="AF304" s="150" t="s">
        <v>70</v>
      </c>
      <c r="AG304" s="152" t="s">
        <v>352</v>
      </c>
      <c r="AH304" s="150" t="s">
        <v>511</v>
      </c>
      <c r="AI304" s="99"/>
      <c r="AJ304" s="149"/>
      <c r="AK304" s="102"/>
      <c r="AL304" s="149"/>
      <c r="AM304" s="99"/>
      <c r="AN304" s="149">
        <v>0</v>
      </c>
      <c r="AO304" s="149">
        <v>0</v>
      </c>
      <c r="AP304" s="149">
        <v>4</v>
      </c>
      <c r="AQ304" s="149">
        <v>0</v>
      </c>
      <c r="AR304" s="149">
        <v>0</v>
      </c>
      <c r="AS304" s="149">
        <v>0</v>
      </c>
      <c r="AT304" s="149">
        <v>0</v>
      </c>
      <c r="AU304" s="149">
        <v>0</v>
      </c>
      <c r="AV304" s="149">
        <v>0</v>
      </c>
      <c r="AW304" s="149">
        <v>4</v>
      </c>
      <c r="AX304" s="149">
        <v>0</v>
      </c>
      <c r="AY304" s="149">
        <v>0</v>
      </c>
      <c r="AZ304" s="149">
        <v>0</v>
      </c>
      <c r="BA304" s="149">
        <v>0</v>
      </c>
      <c r="BB304" s="149">
        <v>0</v>
      </c>
      <c r="BC304" s="149">
        <v>0</v>
      </c>
      <c r="BD304" s="149">
        <v>0</v>
      </c>
      <c r="BE304" s="149">
        <v>0</v>
      </c>
      <c r="BF304" s="149">
        <v>0</v>
      </c>
      <c r="BG304" s="149">
        <v>0</v>
      </c>
      <c r="BH304" s="149">
        <v>0</v>
      </c>
      <c r="BI304" s="149">
        <v>0</v>
      </c>
      <c r="BJ304" s="149">
        <v>0</v>
      </c>
      <c r="BK304" s="149">
        <v>0</v>
      </c>
      <c r="BL304" s="149">
        <v>0</v>
      </c>
      <c r="BM304" s="149">
        <v>0</v>
      </c>
      <c r="BN304" s="149">
        <v>0</v>
      </c>
      <c r="BO304" s="149">
        <v>0</v>
      </c>
      <c r="BP304" s="152"/>
      <c r="BQ304" s="152"/>
      <c r="BR304" s="154" t="s">
        <v>359</v>
      </c>
      <c r="BS304" s="136">
        <v>5</v>
      </c>
      <c r="BT304" s="267"/>
      <c r="BU304" s="267">
        <f t="shared" si="23"/>
        <v>4</v>
      </c>
      <c r="BV304" s="267"/>
      <c r="BW304" s="267"/>
      <c r="BX304" s="267"/>
      <c r="BY304" s="267"/>
      <c r="BZ304" s="267"/>
      <c r="CA304" s="267"/>
      <c r="CB304" s="267"/>
      <c r="CC304" s="267"/>
      <c r="CD304" s="267"/>
      <c r="CE304" s="267"/>
      <c r="CF304" s="267"/>
      <c r="CG304" s="267"/>
      <c r="CH304" s="267"/>
      <c r="CI304" s="267"/>
      <c r="CJ304" s="267"/>
      <c r="CK304" s="267"/>
      <c r="CL304" s="267"/>
      <c r="CM304" s="267"/>
      <c r="CN304" s="101">
        <f t="shared" si="21"/>
        <v>4</v>
      </c>
      <c r="CO304" s="101">
        <f t="shared" si="22"/>
        <v>4</v>
      </c>
    </row>
    <row r="305" spans="1:93" ht="13.9" customHeight="1" x14ac:dyDescent="0.2">
      <c r="A305" s="149">
        <v>2502</v>
      </c>
      <c r="B305" s="150" t="s">
        <v>854</v>
      </c>
      <c r="C305" s="150" t="s">
        <v>1097</v>
      </c>
      <c r="D305" s="150" t="s">
        <v>508</v>
      </c>
      <c r="E305" s="150" t="s">
        <v>1100</v>
      </c>
      <c r="F305" s="149">
        <v>527221</v>
      </c>
      <c r="G305" s="149">
        <v>172443</v>
      </c>
      <c r="H305" s="150" t="s">
        <v>176</v>
      </c>
      <c r="I305" s="151">
        <v>44652</v>
      </c>
      <c r="J305" s="151"/>
      <c r="K305" s="149">
        <v>0</v>
      </c>
      <c r="L305" s="149">
        <v>11</v>
      </c>
      <c r="M305" s="149">
        <v>11</v>
      </c>
      <c r="N305" s="149">
        <v>109</v>
      </c>
      <c r="O305" s="149">
        <v>109</v>
      </c>
      <c r="P305" s="152" t="s">
        <v>327</v>
      </c>
      <c r="Q305" s="150" t="s">
        <v>1099</v>
      </c>
      <c r="R305" s="150" t="s">
        <v>388</v>
      </c>
      <c r="S305" s="151">
        <v>44228</v>
      </c>
      <c r="T305" s="151">
        <v>44341</v>
      </c>
      <c r="U305" s="152"/>
      <c r="V305" s="150" t="s">
        <v>330</v>
      </c>
      <c r="W305" s="151"/>
      <c r="X305" s="150" t="s">
        <v>331</v>
      </c>
      <c r="Y305" s="150" t="s">
        <v>350</v>
      </c>
      <c r="Z305" s="150" t="s">
        <v>333</v>
      </c>
      <c r="AA305" s="150" t="s">
        <v>334</v>
      </c>
      <c r="AB305" s="153">
        <v>0.10163999999999999</v>
      </c>
      <c r="AC305" s="151">
        <v>44652</v>
      </c>
      <c r="AD305" s="150"/>
      <c r="AE305" s="151"/>
      <c r="AF305" s="150" t="s">
        <v>70</v>
      </c>
      <c r="AG305" s="152" t="s">
        <v>352</v>
      </c>
      <c r="AH305" s="150" t="s">
        <v>511</v>
      </c>
      <c r="AI305" s="99"/>
      <c r="AJ305" s="149"/>
      <c r="AK305" s="102"/>
      <c r="AL305" s="149"/>
      <c r="AM305" s="99"/>
      <c r="AN305" s="149">
        <v>1</v>
      </c>
      <c r="AO305" s="149">
        <v>1</v>
      </c>
      <c r="AP305" s="149">
        <v>6</v>
      </c>
      <c r="AQ305" s="149">
        <v>3</v>
      </c>
      <c r="AR305" s="149">
        <v>0</v>
      </c>
      <c r="AS305" s="149">
        <v>0</v>
      </c>
      <c r="AT305" s="149">
        <v>0</v>
      </c>
      <c r="AU305" s="149">
        <v>1</v>
      </c>
      <c r="AV305" s="149">
        <v>1</v>
      </c>
      <c r="AW305" s="149">
        <v>6</v>
      </c>
      <c r="AX305" s="149">
        <v>3</v>
      </c>
      <c r="AY305" s="149">
        <v>0</v>
      </c>
      <c r="AZ305" s="149">
        <v>0</v>
      </c>
      <c r="BA305" s="149">
        <v>0</v>
      </c>
      <c r="BB305" s="149">
        <v>0</v>
      </c>
      <c r="BC305" s="149">
        <v>0</v>
      </c>
      <c r="BD305" s="149">
        <v>0</v>
      </c>
      <c r="BE305" s="149">
        <v>0</v>
      </c>
      <c r="BF305" s="149">
        <v>0</v>
      </c>
      <c r="BG305" s="149">
        <v>0</v>
      </c>
      <c r="BH305" s="149">
        <v>0</v>
      </c>
      <c r="BI305" s="149">
        <v>0</v>
      </c>
      <c r="BJ305" s="149">
        <v>0</v>
      </c>
      <c r="BK305" s="149">
        <v>0</v>
      </c>
      <c r="BL305" s="149">
        <v>0</v>
      </c>
      <c r="BM305" s="149">
        <v>0</v>
      </c>
      <c r="BN305" s="149">
        <v>0</v>
      </c>
      <c r="BO305" s="149">
        <v>0</v>
      </c>
      <c r="BP305" s="152"/>
      <c r="BQ305" s="152"/>
      <c r="BR305" s="154" t="s">
        <v>359</v>
      </c>
      <c r="BS305" s="136">
        <v>5</v>
      </c>
      <c r="BT305" s="267"/>
      <c r="BU305" s="267">
        <f t="shared" si="23"/>
        <v>11</v>
      </c>
      <c r="BV305" s="267"/>
      <c r="BW305" s="267"/>
      <c r="BX305" s="267"/>
      <c r="BY305" s="267"/>
      <c r="BZ305" s="267"/>
      <c r="CA305" s="267"/>
      <c r="CB305" s="267"/>
      <c r="CC305" s="267"/>
      <c r="CD305" s="267"/>
      <c r="CE305" s="267"/>
      <c r="CF305" s="267"/>
      <c r="CG305" s="267"/>
      <c r="CH305" s="267"/>
      <c r="CI305" s="267"/>
      <c r="CJ305" s="267"/>
      <c r="CK305" s="267"/>
      <c r="CL305" s="267"/>
      <c r="CM305" s="267"/>
      <c r="CN305" s="101">
        <f t="shared" si="21"/>
        <v>11</v>
      </c>
      <c r="CO305" s="101">
        <f t="shared" si="22"/>
        <v>11</v>
      </c>
    </row>
    <row r="306" spans="1:93" ht="13.9" customHeight="1" x14ac:dyDescent="0.2">
      <c r="A306" s="149">
        <v>2502</v>
      </c>
      <c r="B306" s="150" t="s">
        <v>854</v>
      </c>
      <c r="C306" s="150" t="s">
        <v>1097</v>
      </c>
      <c r="D306" s="150" t="s">
        <v>508</v>
      </c>
      <c r="E306" s="150" t="s">
        <v>1101</v>
      </c>
      <c r="F306" s="149">
        <v>527221</v>
      </c>
      <c r="G306" s="149">
        <v>172443</v>
      </c>
      <c r="H306" s="150" t="s">
        <v>176</v>
      </c>
      <c r="I306" s="151">
        <v>44652</v>
      </c>
      <c r="J306" s="151"/>
      <c r="K306" s="149">
        <v>0</v>
      </c>
      <c r="L306" s="149">
        <v>11</v>
      </c>
      <c r="M306" s="149">
        <v>11</v>
      </c>
      <c r="N306" s="149">
        <v>109</v>
      </c>
      <c r="O306" s="149">
        <v>109</v>
      </c>
      <c r="P306" s="152" t="s">
        <v>327</v>
      </c>
      <c r="Q306" s="150" t="s">
        <v>1099</v>
      </c>
      <c r="R306" s="150" t="s">
        <v>388</v>
      </c>
      <c r="S306" s="151">
        <v>44228</v>
      </c>
      <c r="T306" s="151">
        <v>44341</v>
      </c>
      <c r="U306" s="152"/>
      <c r="V306" s="150" t="s">
        <v>330</v>
      </c>
      <c r="W306" s="151"/>
      <c r="X306" s="150" t="s">
        <v>331</v>
      </c>
      <c r="Y306" s="150" t="s">
        <v>350</v>
      </c>
      <c r="Z306" s="150" t="s">
        <v>333</v>
      </c>
      <c r="AA306" s="150" t="s">
        <v>334</v>
      </c>
      <c r="AB306" s="153">
        <v>0.10163999999999999</v>
      </c>
      <c r="AC306" s="151">
        <v>44652</v>
      </c>
      <c r="AD306" s="150"/>
      <c r="AE306" s="151"/>
      <c r="AF306" s="150" t="s">
        <v>70</v>
      </c>
      <c r="AG306" s="152" t="s">
        <v>352</v>
      </c>
      <c r="AH306" s="150" t="s">
        <v>511</v>
      </c>
      <c r="AI306" s="99"/>
      <c r="AJ306" s="149"/>
      <c r="AK306" s="102"/>
      <c r="AL306" s="149"/>
      <c r="AM306" s="99"/>
      <c r="AN306" s="149">
        <v>0</v>
      </c>
      <c r="AO306" s="149">
        <v>8</v>
      </c>
      <c r="AP306" s="149">
        <v>3</v>
      </c>
      <c r="AQ306" s="149">
        <v>0</v>
      </c>
      <c r="AR306" s="149">
        <v>0</v>
      </c>
      <c r="AS306" s="149">
        <v>0</v>
      </c>
      <c r="AT306" s="149">
        <v>0</v>
      </c>
      <c r="AU306" s="149">
        <v>0</v>
      </c>
      <c r="AV306" s="149">
        <v>8</v>
      </c>
      <c r="AW306" s="149">
        <v>3</v>
      </c>
      <c r="AX306" s="149">
        <v>0</v>
      </c>
      <c r="AY306" s="149">
        <v>0</v>
      </c>
      <c r="AZ306" s="149">
        <v>0</v>
      </c>
      <c r="BA306" s="149">
        <v>0</v>
      </c>
      <c r="BB306" s="149">
        <v>0</v>
      </c>
      <c r="BC306" s="149">
        <v>0</v>
      </c>
      <c r="BD306" s="149">
        <v>0</v>
      </c>
      <c r="BE306" s="149">
        <v>0</v>
      </c>
      <c r="BF306" s="149">
        <v>0</v>
      </c>
      <c r="BG306" s="149">
        <v>0</v>
      </c>
      <c r="BH306" s="149">
        <v>0</v>
      </c>
      <c r="BI306" s="149">
        <v>0</v>
      </c>
      <c r="BJ306" s="149">
        <v>0</v>
      </c>
      <c r="BK306" s="149">
        <v>0</v>
      </c>
      <c r="BL306" s="149">
        <v>0</v>
      </c>
      <c r="BM306" s="149">
        <v>0</v>
      </c>
      <c r="BN306" s="149">
        <v>0</v>
      </c>
      <c r="BO306" s="149">
        <v>0</v>
      </c>
      <c r="BP306" s="152"/>
      <c r="BQ306" s="152"/>
      <c r="BR306" s="154" t="s">
        <v>359</v>
      </c>
      <c r="BS306" s="136">
        <v>5</v>
      </c>
      <c r="BT306" s="267"/>
      <c r="BU306" s="267">
        <f t="shared" si="23"/>
        <v>11</v>
      </c>
      <c r="BV306" s="267"/>
      <c r="BW306" s="267"/>
      <c r="BX306" s="267"/>
      <c r="BY306" s="267"/>
      <c r="BZ306" s="267"/>
      <c r="CA306" s="267"/>
      <c r="CB306" s="267"/>
      <c r="CC306" s="267"/>
      <c r="CD306" s="267"/>
      <c r="CE306" s="267"/>
      <c r="CF306" s="267"/>
      <c r="CG306" s="267"/>
      <c r="CH306" s="267"/>
      <c r="CI306" s="267"/>
      <c r="CJ306" s="267"/>
      <c r="CK306" s="267"/>
      <c r="CL306" s="267"/>
      <c r="CM306" s="267"/>
      <c r="CN306" s="101">
        <f t="shared" si="21"/>
        <v>11</v>
      </c>
      <c r="CO306" s="101">
        <f t="shared" si="22"/>
        <v>11</v>
      </c>
    </row>
    <row r="307" spans="1:93" ht="13.9" customHeight="1" x14ac:dyDescent="0.2">
      <c r="A307" s="149">
        <v>2502</v>
      </c>
      <c r="B307" s="150" t="s">
        <v>854</v>
      </c>
      <c r="C307" s="150" t="s">
        <v>1097</v>
      </c>
      <c r="D307" s="150" t="s">
        <v>508</v>
      </c>
      <c r="E307" s="150" t="s">
        <v>1102</v>
      </c>
      <c r="F307" s="149">
        <v>527221</v>
      </c>
      <c r="G307" s="149">
        <v>172443</v>
      </c>
      <c r="H307" s="150" t="s">
        <v>176</v>
      </c>
      <c r="I307" s="151">
        <v>44652</v>
      </c>
      <c r="J307" s="151"/>
      <c r="K307" s="149">
        <v>0</v>
      </c>
      <c r="L307" s="149">
        <v>20</v>
      </c>
      <c r="M307" s="149">
        <v>20</v>
      </c>
      <c r="N307" s="149">
        <v>109</v>
      </c>
      <c r="O307" s="149">
        <v>109</v>
      </c>
      <c r="P307" s="152" t="s">
        <v>327</v>
      </c>
      <c r="Q307" s="150" t="s">
        <v>1099</v>
      </c>
      <c r="R307" s="150" t="s">
        <v>388</v>
      </c>
      <c r="S307" s="151">
        <v>44228</v>
      </c>
      <c r="T307" s="151">
        <v>44341</v>
      </c>
      <c r="U307" s="152"/>
      <c r="V307" s="150" t="s">
        <v>330</v>
      </c>
      <c r="W307" s="151"/>
      <c r="X307" s="150" t="s">
        <v>331</v>
      </c>
      <c r="Y307" s="150" t="s">
        <v>350</v>
      </c>
      <c r="Z307" s="150" t="s">
        <v>333</v>
      </c>
      <c r="AA307" s="150" t="s">
        <v>334</v>
      </c>
      <c r="AB307" s="153">
        <v>0.18479999999999999</v>
      </c>
      <c r="AC307" s="151">
        <v>44652</v>
      </c>
      <c r="AD307" s="150"/>
      <c r="AE307" s="151"/>
      <c r="AF307" s="150" t="s">
        <v>70</v>
      </c>
      <c r="AG307" s="152" t="s">
        <v>352</v>
      </c>
      <c r="AH307" s="150" t="s">
        <v>511</v>
      </c>
      <c r="AI307" s="99"/>
      <c r="AJ307" s="149"/>
      <c r="AK307" s="99"/>
      <c r="AL307" s="149"/>
      <c r="AM307" s="99"/>
      <c r="AN307" s="149">
        <v>0</v>
      </c>
      <c r="AO307" s="149">
        <v>10</v>
      </c>
      <c r="AP307" s="149">
        <v>10</v>
      </c>
      <c r="AQ307" s="149">
        <v>0</v>
      </c>
      <c r="AR307" s="149">
        <v>0</v>
      </c>
      <c r="AS307" s="149">
        <v>0</v>
      </c>
      <c r="AT307" s="149">
        <v>0</v>
      </c>
      <c r="AU307" s="149">
        <v>0</v>
      </c>
      <c r="AV307" s="149">
        <v>10</v>
      </c>
      <c r="AW307" s="149">
        <v>10</v>
      </c>
      <c r="AX307" s="149">
        <v>0</v>
      </c>
      <c r="AY307" s="149">
        <v>0</v>
      </c>
      <c r="AZ307" s="149">
        <v>0</v>
      </c>
      <c r="BA307" s="149">
        <v>0</v>
      </c>
      <c r="BB307" s="149">
        <v>0</v>
      </c>
      <c r="BC307" s="149">
        <v>0</v>
      </c>
      <c r="BD307" s="149">
        <v>0</v>
      </c>
      <c r="BE307" s="149">
        <v>0</v>
      </c>
      <c r="BF307" s="149">
        <v>0</v>
      </c>
      <c r="BG307" s="149">
        <v>0</v>
      </c>
      <c r="BH307" s="149">
        <v>0</v>
      </c>
      <c r="BI307" s="149">
        <v>0</v>
      </c>
      <c r="BJ307" s="149">
        <v>0</v>
      </c>
      <c r="BK307" s="149">
        <v>0</v>
      </c>
      <c r="BL307" s="149">
        <v>0</v>
      </c>
      <c r="BM307" s="149">
        <v>0</v>
      </c>
      <c r="BN307" s="149">
        <v>0</v>
      </c>
      <c r="BO307" s="149">
        <v>0</v>
      </c>
      <c r="BP307" s="152"/>
      <c r="BQ307" s="152"/>
      <c r="BR307" s="154" t="s">
        <v>359</v>
      </c>
      <c r="BS307" s="136">
        <v>5</v>
      </c>
      <c r="BT307" s="267"/>
      <c r="BU307" s="267">
        <f t="shared" si="23"/>
        <v>20</v>
      </c>
      <c r="BV307" s="267"/>
      <c r="BW307" s="267"/>
      <c r="BX307" s="267"/>
      <c r="BY307" s="267"/>
      <c r="BZ307" s="267"/>
      <c r="CA307" s="267"/>
      <c r="CB307" s="267"/>
      <c r="CC307" s="267"/>
      <c r="CD307" s="267"/>
      <c r="CE307" s="267"/>
      <c r="CF307" s="267"/>
      <c r="CG307" s="267"/>
      <c r="CH307" s="267"/>
      <c r="CI307" s="267"/>
      <c r="CJ307" s="267"/>
      <c r="CK307" s="267"/>
      <c r="CL307" s="267"/>
      <c r="CM307" s="267"/>
      <c r="CN307" s="101">
        <f t="shared" si="21"/>
        <v>20</v>
      </c>
      <c r="CO307" s="101">
        <f t="shared" si="22"/>
        <v>20</v>
      </c>
    </row>
    <row r="308" spans="1:93" ht="13.9" customHeight="1" x14ac:dyDescent="0.2">
      <c r="A308" s="149">
        <v>2502</v>
      </c>
      <c r="B308" s="150" t="s">
        <v>854</v>
      </c>
      <c r="C308" s="150" t="s">
        <v>1097</v>
      </c>
      <c r="D308" s="150" t="s">
        <v>508</v>
      </c>
      <c r="E308" s="150" t="s">
        <v>1103</v>
      </c>
      <c r="F308" s="149">
        <v>527221</v>
      </c>
      <c r="G308" s="149">
        <v>172443</v>
      </c>
      <c r="H308" s="150" t="s">
        <v>176</v>
      </c>
      <c r="I308" s="151">
        <v>44652</v>
      </c>
      <c r="J308" s="151"/>
      <c r="K308" s="149">
        <v>0</v>
      </c>
      <c r="L308" s="149">
        <v>2</v>
      </c>
      <c r="M308" s="149">
        <v>2</v>
      </c>
      <c r="N308" s="149">
        <v>109</v>
      </c>
      <c r="O308" s="149">
        <v>109</v>
      </c>
      <c r="P308" s="152" t="s">
        <v>327</v>
      </c>
      <c r="Q308" s="150" t="s">
        <v>1099</v>
      </c>
      <c r="R308" s="150" t="s">
        <v>388</v>
      </c>
      <c r="S308" s="151">
        <v>44228</v>
      </c>
      <c r="T308" s="151">
        <v>44341</v>
      </c>
      <c r="U308" s="152"/>
      <c r="V308" s="150" t="s">
        <v>330</v>
      </c>
      <c r="W308" s="151"/>
      <c r="X308" s="150" t="s">
        <v>331</v>
      </c>
      <c r="Y308" s="150" t="s">
        <v>350</v>
      </c>
      <c r="Z308" s="150" t="s">
        <v>333</v>
      </c>
      <c r="AA308" s="150" t="s">
        <v>334</v>
      </c>
      <c r="AB308" s="153">
        <v>1.848E-2</v>
      </c>
      <c r="AC308" s="151">
        <v>44652</v>
      </c>
      <c r="AD308" s="150"/>
      <c r="AE308" s="151"/>
      <c r="AF308" s="150" t="s">
        <v>70</v>
      </c>
      <c r="AG308" s="152" t="s">
        <v>352</v>
      </c>
      <c r="AH308" s="150" t="s">
        <v>511</v>
      </c>
      <c r="AI308" s="99"/>
      <c r="AJ308" s="149"/>
      <c r="AK308" s="99"/>
      <c r="AL308" s="149"/>
      <c r="AM308" s="102"/>
      <c r="AN308" s="149">
        <v>0</v>
      </c>
      <c r="AO308" s="149">
        <v>1</v>
      </c>
      <c r="AP308" s="149">
        <v>0</v>
      </c>
      <c r="AQ308" s="149">
        <v>1</v>
      </c>
      <c r="AR308" s="149">
        <v>0</v>
      </c>
      <c r="AS308" s="149">
        <v>0</v>
      </c>
      <c r="AT308" s="149">
        <v>0</v>
      </c>
      <c r="AU308" s="149">
        <v>0</v>
      </c>
      <c r="AV308" s="149">
        <v>1</v>
      </c>
      <c r="AW308" s="149">
        <v>0</v>
      </c>
      <c r="AX308" s="149">
        <v>1</v>
      </c>
      <c r="AY308" s="149">
        <v>0</v>
      </c>
      <c r="AZ308" s="149">
        <v>0</v>
      </c>
      <c r="BA308" s="149">
        <v>0</v>
      </c>
      <c r="BB308" s="149">
        <v>0</v>
      </c>
      <c r="BC308" s="149">
        <v>0</v>
      </c>
      <c r="BD308" s="149">
        <v>0</v>
      </c>
      <c r="BE308" s="149">
        <v>0</v>
      </c>
      <c r="BF308" s="149">
        <v>0</v>
      </c>
      <c r="BG308" s="149">
        <v>0</v>
      </c>
      <c r="BH308" s="149">
        <v>0</v>
      </c>
      <c r="BI308" s="149">
        <v>0</v>
      </c>
      <c r="BJ308" s="149">
        <v>0</v>
      </c>
      <c r="BK308" s="149">
        <v>0</v>
      </c>
      <c r="BL308" s="149">
        <v>0</v>
      </c>
      <c r="BM308" s="149">
        <v>0</v>
      </c>
      <c r="BN308" s="149">
        <v>0</v>
      </c>
      <c r="BO308" s="149">
        <v>0</v>
      </c>
      <c r="BP308" s="152"/>
      <c r="BQ308" s="152"/>
      <c r="BR308" s="154" t="s">
        <v>359</v>
      </c>
      <c r="BS308" s="136">
        <v>5</v>
      </c>
      <c r="BT308" s="267"/>
      <c r="BU308" s="267">
        <f t="shared" si="23"/>
        <v>2</v>
      </c>
      <c r="BV308" s="267"/>
      <c r="BW308" s="267"/>
      <c r="BX308" s="267"/>
      <c r="BY308" s="267"/>
      <c r="BZ308" s="267"/>
      <c r="CA308" s="267"/>
      <c r="CB308" s="267"/>
      <c r="CC308" s="267"/>
      <c r="CD308" s="267"/>
      <c r="CE308" s="267"/>
      <c r="CF308" s="267"/>
      <c r="CG308" s="267"/>
      <c r="CH308" s="267"/>
      <c r="CI308" s="267"/>
      <c r="CJ308" s="267"/>
      <c r="CK308" s="267"/>
      <c r="CL308" s="267"/>
      <c r="CM308" s="267"/>
      <c r="CN308" s="101">
        <f t="shared" si="21"/>
        <v>2</v>
      </c>
      <c r="CO308" s="101">
        <f t="shared" si="22"/>
        <v>2</v>
      </c>
    </row>
    <row r="309" spans="1:93" ht="13.9" customHeight="1" x14ac:dyDescent="0.2">
      <c r="A309" s="149">
        <v>2502</v>
      </c>
      <c r="B309" s="150" t="s">
        <v>854</v>
      </c>
      <c r="C309" s="150" t="s">
        <v>1097</v>
      </c>
      <c r="D309" s="150" t="s">
        <v>508</v>
      </c>
      <c r="E309" s="150" t="s">
        <v>1104</v>
      </c>
      <c r="F309" s="149">
        <v>527221</v>
      </c>
      <c r="G309" s="149">
        <v>172443</v>
      </c>
      <c r="H309" s="150" t="s">
        <v>176</v>
      </c>
      <c r="I309" s="151">
        <v>44652</v>
      </c>
      <c r="J309" s="151"/>
      <c r="K309" s="149">
        <v>0</v>
      </c>
      <c r="L309" s="149">
        <v>1</v>
      </c>
      <c r="M309" s="149">
        <v>1</v>
      </c>
      <c r="N309" s="149">
        <v>109</v>
      </c>
      <c r="O309" s="149">
        <v>109</v>
      </c>
      <c r="P309" s="152" t="s">
        <v>327</v>
      </c>
      <c r="Q309" s="150" t="s">
        <v>1099</v>
      </c>
      <c r="R309" s="150" t="s">
        <v>388</v>
      </c>
      <c r="S309" s="151">
        <v>44228</v>
      </c>
      <c r="T309" s="151">
        <v>44341</v>
      </c>
      <c r="U309" s="152"/>
      <c r="V309" s="150" t="s">
        <v>330</v>
      </c>
      <c r="W309" s="151"/>
      <c r="X309" s="150" t="s">
        <v>331</v>
      </c>
      <c r="Y309" s="150" t="s">
        <v>350</v>
      </c>
      <c r="Z309" s="150" t="s">
        <v>333</v>
      </c>
      <c r="AA309" s="150" t="s">
        <v>334</v>
      </c>
      <c r="AB309" s="153">
        <v>9.2399999999999999E-3</v>
      </c>
      <c r="AC309" s="151">
        <v>44652</v>
      </c>
      <c r="AD309" s="150"/>
      <c r="AE309" s="151"/>
      <c r="AF309" s="150" t="s">
        <v>70</v>
      </c>
      <c r="AG309" s="152" t="s">
        <v>352</v>
      </c>
      <c r="AH309" s="150" t="s">
        <v>511</v>
      </c>
      <c r="AI309" s="99"/>
      <c r="AJ309" s="149"/>
      <c r="AK309" s="99"/>
      <c r="AL309" s="149"/>
      <c r="AM309" s="99"/>
      <c r="AN309" s="149">
        <v>0</v>
      </c>
      <c r="AO309" s="149">
        <v>0</v>
      </c>
      <c r="AP309" s="149">
        <v>1</v>
      </c>
      <c r="AQ309" s="149">
        <v>0</v>
      </c>
      <c r="AR309" s="149">
        <v>0</v>
      </c>
      <c r="AS309" s="149">
        <v>0</v>
      </c>
      <c r="AT309" s="149">
        <v>0</v>
      </c>
      <c r="AU309" s="149">
        <v>0</v>
      </c>
      <c r="AV309" s="149">
        <v>0</v>
      </c>
      <c r="AW309" s="149">
        <v>1</v>
      </c>
      <c r="AX309" s="149">
        <v>0</v>
      </c>
      <c r="AY309" s="149">
        <v>0</v>
      </c>
      <c r="AZ309" s="149">
        <v>0</v>
      </c>
      <c r="BA309" s="149">
        <v>0</v>
      </c>
      <c r="BB309" s="149">
        <v>0</v>
      </c>
      <c r="BC309" s="149">
        <v>0</v>
      </c>
      <c r="BD309" s="149">
        <v>0</v>
      </c>
      <c r="BE309" s="149">
        <v>0</v>
      </c>
      <c r="BF309" s="149">
        <v>0</v>
      </c>
      <c r="BG309" s="149">
        <v>0</v>
      </c>
      <c r="BH309" s="149">
        <v>0</v>
      </c>
      <c r="BI309" s="149">
        <v>0</v>
      </c>
      <c r="BJ309" s="149">
        <v>0</v>
      </c>
      <c r="BK309" s="149">
        <v>0</v>
      </c>
      <c r="BL309" s="149">
        <v>0</v>
      </c>
      <c r="BM309" s="149">
        <v>0</v>
      </c>
      <c r="BN309" s="149">
        <v>0</v>
      </c>
      <c r="BO309" s="149">
        <v>0</v>
      </c>
      <c r="BP309" s="152"/>
      <c r="BQ309" s="152"/>
      <c r="BR309" s="154" t="s">
        <v>359</v>
      </c>
      <c r="BS309" s="136">
        <v>5</v>
      </c>
      <c r="BT309" s="267"/>
      <c r="BU309" s="267">
        <f t="shared" si="23"/>
        <v>1</v>
      </c>
      <c r="BV309" s="267"/>
      <c r="BW309" s="267"/>
      <c r="BX309" s="267"/>
      <c r="BY309" s="267"/>
      <c r="BZ309" s="267"/>
      <c r="CA309" s="267"/>
      <c r="CB309" s="267"/>
      <c r="CC309" s="267"/>
      <c r="CD309" s="267"/>
      <c r="CE309" s="267"/>
      <c r="CF309" s="267"/>
      <c r="CG309" s="267"/>
      <c r="CH309" s="267"/>
      <c r="CI309" s="267"/>
      <c r="CJ309" s="267"/>
      <c r="CK309" s="267"/>
      <c r="CL309" s="267"/>
      <c r="CM309" s="267"/>
      <c r="CN309" s="101">
        <f t="shared" si="21"/>
        <v>1</v>
      </c>
      <c r="CO309" s="101">
        <f t="shared" si="22"/>
        <v>1</v>
      </c>
    </row>
    <row r="310" spans="1:93" ht="13.9" customHeight="1" x14ac:dyDescent="0.2">
      <c r="A310" s="149">
        <v>2502</v>
      </c>
      <c r="B310" s="150" t="s">
        <v>854</v>
      </c>
      <c r="C310" s="150" t="s">
        <v>1097</v>
      </c>
      <c r="D310" s="150" t="s">
        <v>508</v>
      </c>
      <c r="E310" s="150" t="s">
        <v>1105</v>
      </c>
      <c r="F310" s="149">
        <v>527221</v>
      </c>
      <c r="G310" s="149">
        <v>172443</v>
      </c>
      <c r="H310" s="150" t="s">
        <v>176</v>
      </c>
      <c r="I310" s="151">
        <v>44652</v>
      </c>
      <c r="J310" s="151"/>
      <c r="K310" s="149">
        <v>0</v>
      </c>
      <c r="L310" s="149">
        <v>60</v>
      </c>
      <c r="M310" s="149">
        <v>60</v>
      </c>
      <c r="N310" s="149">
        <v>109</v>
      </c>
      <c r="O310" s="149">
        <v>109</v>
      </c>
      <c r="P310" s="152" t="s">
        <v>327</v>
      </c>
      <c r="Q310" s="150" t="s">
        <v>1099</v>
      </c>
      <c r="R310" s="150" t="s">
        <v>388</v>
      </c>
      <c r="S310" s="151">
        <v>44228</v>
      </c>
      <c r="T310" s="151">
        <v>44341</v>
      </c>
      <c r="U310" s="152"/>
      <c r="V310" s="150" t="s">
        <v>330</v>
      </c>
      <c r="W310" s="151"/>
      <c r="X310" s="150" t="s">
        <v>331</v>
      </c>
      <c r="Y310" s="150" t="s">
        <v>350</v>
      </c>
      <c r="Z310" s="150" t="s">
        <v>333</v>
      </c>
      <c r="AA310" s="150" t="s">
        <v>334</v>
      </c>
      <c r="AB310" s="153">
        <v>0.5544</v>
      </c>
      <c r="AC310" s="151">
        <v>44652</v>
      </c>
      <c r="AD310" s="150"/>
      <c r="AE310" s="151"/>
      <c r="AF310" s="150" t="s">
        <v>70</v>
      </c>
      <c r="AG310" s="152" t="s">
        <v>352</v>
      </c>
      <c r="AH310" s="150" t="s">
        <v>511</v>
      </c>
      <c r="AI310" s="99"/>
      <c r="AJ310" s="149"/>
      <c r="AK310" s="99"/>
      <c r="AL310" s="149"/>
      <c r="AM310" s="99"/>
      <c r="AN310" s="149">
        <v>0</v>
      </c>
      <c r="AO310" s="149">
        <v>29</v>
      </c>
      <c r="AP310" s="149">
        <v>27</v>
      </c>
      <c r="AQ310" s="149">
        <v>4</v>
      </c>
      <c r="AR310" s="149">
        <v>0</v>
      </c>
      <c r="AS310" s="149">
        <v>0</v>
      </c>
      <c r="AT310" s="149">
        <v>0</v>
      </c>
      <c r="AU310" s="149">
        <v>0</v>
      </c>
      <c r="AV310" s="149">
        <v>29</v>
      </c>
      <c r="AW310" s="149">
        <v>27</v>
      </c>
      <c r="AX310" s="149">
        <v>4</v>
      </c>
      <c r="AY310" s="149">
        <v>0</v>
      </c>
      <c r="AZ310" s="149">
        <v>0</v>
      </c>
      <c r="BA310" s="149">
        <v>0</v>
      </c>
      <c r="BB310" s="149">
        <v>0</v>
      </c>
      <c r="BC310" s="149">
        <v>0</v>
      </c>
      <c r="BD310" s="149">
        <v>0</v>
      </c>
      <c r="BE310" s="149">
        <v>0</v>
      </c>
      <c r="BF310" s="149">
        <v>0</v>
      </c>
      <c r="BG310" s="149">
        <v>0</v>
      </c>
      <c r="BH310" s="149">
        <v>0</v>
      </c>
      <c r="BI310" s="149">
        <v>0</v>
      </c>
      <c r="BJ310" s="149">
        <v>0</v>
      </c>
      <c r="BK310" s="149">
        <v>0</v>
      </c>
      <c r="BL310" s="149">
        <v>0</v>
      </c>
      <c r="BM310" s="149">
        <v>0</v>
      </c>
      <c r="BN310" s="149">
        <v>0</v>
      </c>
      <c r="BO310" s="149">
        <v>0</v>
      </c>
      <c r="BP310" s="152"/>
      <c r="BQ310" s="152"/>
      <c r="BR310" s="154" t="s">
        <v>359</v>
      </c>
      <c r="BS310" s="136">
        <v>5</v>
      </c>
      <c r="BT310" s="267"/>
      <c r="BV310" s="267">
        <f>M310</f>
        <v>60</v>
      </c>
      <c r="BW310" s="267"/>
      <c r="BX310" s="267"/>
      <c r="BY310" s="267"/>
      <c r="BZ310" s="267"/>
      <c r="CA310" s="267"/>
      <c r="CB310" s="267"/>
      <c r="CC310" s="267"/>
      <c r="CD310" s="267"/>
      <c r="CE310" s="267"/>
      <c r="CF310" s="267"/>
      <c r="CG310" s="267"/>
      <c r="CH310" s="267"/>
      <c r="CI310" s="267"/>
      <c r="CJ310" s="267"/>
      <c r="CK310" s="267"/>
      <c r="CL310" s="267"/>
      <c r="CM310" s="267"/>
      <c r="CN310" s="101">
        <f>SUM(BV310:BY310)</f>
        <v>60</v>
      </c>
      <c r="CO310" s="101">
        <f>SUM(BV310:CD310)</f>
        <v>60</v>
      </c>
    </row>
    <row r="311" spans="1:93" ht="13.9" customHeight="1" x14ac:dyDescent="0.2">
      <c r="A311" s="149">
        <v>6628</v>
      </c>
      <c r="B311" s="150" t="s">
        <v>854</v>
      </c>
      <c r="C311" s="150" t="s">
        <v>1106</v>
      </c>
      <c r="D311" s="150" t="s">
        <v>1107</v>
      </c>
      <c r="E311" s="150" t="s">
        <v>1108</v>
      </c>
      <c r="F311" s="149">
        <v>522237</v>
      </c>
      <c r="G311" s="149">
        <v>173213</v>
      </c>
      <c r="H311" s="150" t="s">
        <v>166</v>
      </c>
      <c r="I311" s="151">
        <v>45382</v>
      </c>
      <c r="J311" s="151"/>
      <c r="K311" s="149">
        <v>3</v>
      </c>
      <c r="L311" s="149">
        <v>6</v>
      </c>
      <c r="M311" s="149">
        <v>3</v>
      </c>
      <c r="N311" s="149">
        <v>8</v>
      </c>
      <c r="O311" s="149">
        <v>5</v>
      </c>
      <c r="P311" s="152"/>
      <c r="Q311" s="150" t="s">
        <v>1109</v>
      </c>
      <c r="R311" s="150" t="s">
        <v>381</v>
      </c>
      <c r="S311" s="151">
        <v>44987</v>
      </c>
      <c r="T311" s="151">
        <v>45070</v>
      </c>
      <c r="U311" s="152" t="s">
        <v>327</v>
      </c>
      <c r="V311" s="150" t="s">
        <v>330</v>
      </c>
      <c r="W311" s="151"/>
      <c r="X311" s="150" t="s">
        <v>331</v>
      </c>
      <c r="Y311" s="150" t="s">
        <v>398</v>
      </c>
      <c r="Z311" s="150" t="s">
        <v>334</v>
      </c>
      <c r="AA311" s="150" t="s">
        <v>399</v>
      </c>
      <c r="AB311" s="153">
        <v>1.4999999999999999E-2</v>
      </c>
      <c r="AC311" s="151">
        <v>45382</v>
      </c>
      <c r="AD311" s="152" t="s">
        <v>327</v>
      </c>
      <c r="AE311" s="151"/>
      <c r="AF311" s="150" t="s">
        <v>70</v>
      </c>
      <c r="AG311" s="152" t="s">
        <v>352</v>
      </c>
      <c r="AH311" s="150" t="s">
        <v>326</v>
      </c>
      <c r="AI311" s="99"/>
      <c r="AJ311" s="149"/>
      <c r="AK311" s="99"/>
      <c r="AL311" s="149"/>
      <c r="AM311" s="99"/>
      <c r="AN311" s="149">
        <v>0</v>
      </c>
      <c r="AO311" s="149">
        <v>2</v>
      </c>
      <c r="AP311" s="149">
        <v>2</v>
      </c>
      <c r="AQ311" s="149">
        <v>-1</v>
      </c>
      <c r="AR311" s="149">
        <v>0</v>
      </c>
      <c r="AS311" s="149">
        <v>0</v>
      </c>
      <c r="AT311" s="149">
        <v>0</v>
      </c>
      <c r="AU311" s="149">
        <v>0</v>
      </c>
      <c r="AV311" s="149">
        <v>2</v>
      </c>
      <c r="AW311" s="149">
        <v>2</v>
      </c>
      <c r="AX311" s="149">
        <v>-1</v>
      </c>
      <c r="AY311" s="149">
        <v>0</v>
      </c>
      <c r="AZ311" s="149">
        <v>0</v>
      </c>
      <c r="BA311" s="149">
        <v>0</v>
      </c>
      <c r="BB311" s="149">
        <v>0</v>
      </c>
      <c r="BC311" s="149">
        <v>0</v>
      </c>
      <c r="BD311" s="149">
        <v>0</v>
      </c>
      <c r="BE311" s="149">
        <v>0</v>
      </c>
      <c r="BF311" s="149">
        <v>0</v>
      </c>
      <c r="BG311" s="149">
        <v>0</v>
      </c>
      <c r="BH311" s="149">
        <v>0</v>
      </c>
      <c r="BI311" s="149">
        <v>0</v>
      </c>
      <c r="BJ311" s="149">
        <v>0</v>
      </c>
      <c r="BK311" s="149">
        <v>0</v>
      </c>
      <c r="BL311" s="149">
        <v>0</v>
      </c>
      <c r="BM311" s="149">
        <v>0</v>
      </c>
      <c r="BN311" s="149">
        <v>0</v>
      </c>
      <c r="BO311" s="149">
        <v>0</v>
      </c>
      <c r="BP311" s="152"/>
      <c r="BQ311" s="152"/>
      <c r="BR311" s="154" t="s">
        <v>359</v>
      </c>
      <c r="BS311" s="136">
        <v>12</v>
      </c>
      <c r="BT311" s="267"/>
      <c r="BU311" s="267"/>
      <c r="BV311" s="267"/>
      <c r="BW311" s="267">
        <f>M311</f>
        <v>3</v>
      </c>
      <c r="BX311" s="267"/>
      <c r="BY311" s="267"/>
      <c r="BZ311" s="267"/>
      <c r="CA311" s="267"/>
      <c r="CB311" s="267"/>
      <c r="CC311" s="267"/>
      <c r="CD311" s="267"/>
      <c r="CE311" s="267"/>
      <c r="CF311" s="267"/>
      <c r="CG311" s="267"/>
      <c r="CH311" s="267"/>
      <c r="CI311" s="267"/>
      <c r="CJ311" s="267"/>
      <c r="CK311" s="267"/>
      <c r="CL311" s="267"/>
      <c r="CM311" s="267"/>
      <c r="CN311" s="101">
        <f t="shared" ref="CN311:CN374" si="24">SUM(BU311:BY311)</f>
        <v>3</v>
      </c>
      <c r="CO311" s="101">
        <f t="shared" ref="CO311:CO374" si="25">SUM(BU311:CD311)</f>
        <v>3</v>
      </c>
    </row>
    <row r="312" spans="1:93" ht="13.9" customHeight="1" x14ac:dyDescent="0.2">
      <c r="A312" s="149">
        <v>6628</v>
      </c>
      <c r="B312" s="150" t="s">
        <v>854</v>
      </c>
      <c r="C312" s="150" t="s">
        <v>1106</v>
      </c>
      <c r="D312" s="150" t="s">
        <v>1107</v>
      </c>
      <c r="E312" s="150" t="s">
        <v>1110</v>
      </c>
      <c r="F312" s="149">
        <v>522237</v>
      </c>
      <c r="G312" s="149">
        <v>173213</v>
      </c>
      <c r="H312" s="150" t="s">
        <v>166</v>
      </c>
      <c r="I312" s="151">
        <v>45382</v>
      </c>
      <c r="J312" s="151"/>
      <c r="K312" s="149">
        <v>0</v>
      </c>
      <c r="L312" s="149">
        <v>2</v>
      </c>
      <c r="M312" s="149">
        <v>2</v>
      </c>
      <c r="N312" s="149">
        <v>8</v>
      </c>
      <c r="O312" s="149">
        <v>5</v>
      </c>
      <c r="P312" s="152"/>
      <c r="Q312" s="150" t="s">
        <v>1109</v>
      </c>
      <c r="R312" s="150" t="s">
        <v>381</v>
      </c>
      <c r="S312" s="151">
        <v>44987</v>
      </c>
      <c r="T312" s="151">
        <v>45070</v>
      </c>
      <c r="U312" s="152" t="s">
        <v>327</v>
      </c>
      <c r="V312" s="150" t="s">
        <v>330</v>
      </c>
      <c r="W312" s="151"/>
      <c r="X312" s="150" t="s">
        <v>331</v>
      </c>
      <c r="Y312" s="150" t="s">
        <v>398</v>
      </c>
      <c r="Z312" s="150" t="s">
        <v>334</v>
      </c>
      <c r="AA312" s="150" t="s">
        <v>363</v>
      </c>
      <c r="AB312" s="153">
        <v>0.01</v>
      </c>
      <c r="AC312" s="151">
        <v>45382</v>
      </c>
      <c r="AD312" s="152" t="s">
        <v>327</v>
      </c>
      <c r="AE312" s="151"/>
      <c r="AF312" s="150" t="s">
        <v>70</v>
      </c>
      <c r="AG312" s="152" t="s">
        <v>352</v>
      </c>
      <c r="AH312" s="150" t="s">
        <v>326</v>
      </c>
      <c r="AI312" s="99"/>
      <c r="AJ312" s="149"/>
      <c r="AK312" s="99"/>
      <c r="AL312" s="149"/>
      <c r="AM312" s="99"/>
      <c r="AN312" s="149">
        <v>0</v>
      </c>
      <c r="AO312" s="149">
        <v>0</v>
      </c>
      <c r="AP312" s="149">
        <v>2</v>
      </c>
      <c r="AQ312" s="149">
        <v>0</v>
      </c>
      <c r="AR312" s="149">
        <v>0</v>
      </c>
      <c r="AS312" s="149">
        <v>0</v>
      </c>
      <c r="AT312" s="149">
        <v>0</v>
      </c>
      <c r="AU312" s="149">
        <v>0</v>
      </c>
      <c r="AV312" s="149">
        <v>0</v>
      </c>
      <c r="AW312" s="149">
        <v>0</v>
      </c>
      <c r="AX312" s="149">
        <v>0</v>
      </c>
      <c r="AY312" s="149">
        <v>0</v>
      </c>
      <c r="AZ312" s="149">
        <v>0</v>
      </c>
      <c r="BA312" s="149">
        <v>0</v>
      </c>
      <c r="BB312" s="149">
        <v>0</v>
      </c>
      <c r="BC312" s="149">
        <v>0</v>
      </c>
      <c r="BD312" s="149">
        <v>2</v>
      </c>
      <c r="BE312" s="149">
        <v>0</v>
      </c>
      <c r="BF312" s="149">
        <v>0</v>
      </c>
      <c r="BG312" s="149">
        <v>0</v>
      </c>
      <c r="BH312" s="149">
        <v>0</v>
      </c>
      <c r="BI312" s="149">
        <v>0</v>
      </c>
      <c r="BJ312" s="149">
        <v>0</v>
      </c>
      <c r="BK312" s="149">
        <v>0</v>
      </c>
      <c r="BL312" s="149">
        <v>0</v>
      </c>
      <c r="BM312" s="149">
        <v>0</v>
      </c>
      <c r="BN312" s="149">
        <v>0</v>
      </c>
      <c r="BO312" s="149">
        <v>0</v>
      </c>
      <c r="BP312" s="152"/>
      <c r="BQ312" s="152"/>
      <c r="BR312" s="154" t="s">
        <v>359</v>
      </c>
      <c r="BS312" s="136">
        <v>12</v>
      </c>
      <c r="BT312" s="267"/>
      <c r="BU312" s="267"/>
      <c r="BV312" s="267"/>
      <c r="BW312" s="267">
        <f>M312</f>
        <v>2</v>
      </c>
      <c r="BX312" s="267"/>
      <c r="BY312" s="267"/>
      <c r="BZ312" s="267"/>
      <c r="CA312" s="267"/>
      <c r="CB312" s="267"/>
      <c r="CC312" s="267"/>
      <c r="CD312" s="267"/>
      <c r="CE312" s="267"/>
      <c r="CF312" s="267"/>
      <c r="CG312" s="267"/>
      <c r="CH312" s="267"/>
      <c r="CI312" s="267"/>
      <c r="CJ312" s="267"/>
      <c r="CK312" s="267"/>
      <c r="CL312" s="267"/>
      <c r="CM312" s="267"/>
      <c r="CN312" s="101">
        <f t="shared" si="24"/>
        <v>2</v>
      </c>
      <c r="CO312" s="101">
        <f t="shared" si="25"/>
        <v>2</v>
      </c>
    </row>
    <row r="313" spans="1:93" ht="13.9" customHeight="1" x14ac:dyDescent="0.2">
      <c r="A313" s="149">
        <v>2502</v>
      </c>
      <c r="B313" s="150" t="s">
        <v>854</v>
      </c>
      <c r="C313" s="150" t="s">
        <v>870</v>
      </c>
      <c r="D313" s="150" t="s">
        <v>508</v>
      </c>
      <c r="E313" s="150" t="s">
        <v>1111</v>
      </c>
      <c r="F313" s="149">
        <v>527221</v>
      </c>
      <c r="G313" s="149">
        <v>172443</v>
      </c>
      <c r="H313" s="150" t="s">
        <v>176</v>
      </c>
      <c r="I313" s="151">
        <v>45382</v>
      </c>
      <c r="J313" s="151"/>
      <c r="K313" s="149">
        <v>0</v>
      </c>
      <c r="L313" s="149">
        <v>34</v>
      </c>
      <c r="M313" s="149">
        <v>34</v>
      </c>
      <c r="N313" s="149">
        <v>253</v>
      </c>
      <c r="O313" s="149">
        <v>253</v>
      </c>
      <c r="P313" s="152" t="s">
        <v>327</v>
      </c>
      <c r="Q313" s="150" t="s">
        <v>872</v>
      </c>
      <c r="R313" s="150" t="s">
        <v>388</v>
      </c>
      <c r="S313" s="151">
        <v>44887</v>
      </c>
      <c r="T313" s="151">
        <v>45042</v>
      </c>
      <c r="U313" s="152" t="s">
        <v>327</v>
      </c>
      <c r="V313" s="150" t="s">
        <v>330</v>
      </c>
      <c r="W313" s="151"/>
      <c r="X313" s="150" t="s">
        <v>331</v>
      </c>
      <c r="Y313" s="150" t="s">
        <v>343</v>
      </c>
      <c r="Z313" s="150" t="s">
        <v>343</v>
      </c>
      <c r="AA313" s="150" t="s">
        <v>334</v>
      </c>
      <c r="AB313" s="153">
        <v>0.57699999999999996</v>
      </c>
      <c r="AC313" s="151">
        <v>45382</v>
      </c>
      <c r="AD313" s="152" t="s">
        <v>327</v>
      </c>
      <c r="AE313" s="151"/>
      <c r="AF313" s="150" t="s">
        <v>70</v>
      </c>
      <c r="AG313" s="152" t="s">
        <v>352</v>
      </c>
      <c r="AH313" s="150" t="s">
        <v>511</v>
      </c>
      <c r="AI313" s="99"/>
      <c r="AJ313" s="149"/>
      <c r="AK313" s="99"/>
      <c r="AL313" s="149"/>
      <c r="AM313" s="99"/>
      <c r="AN313" s="149">
        <v>0</v>
      </c>
      <c r="AO313" s="149">
        <v>3</v>
      </c>
      <c r="AP313" s="149">
        <v>19</v>
      </c>
      <c r="AQ313" s="149">
        <v>10</v>
      </c>
      <c r="AR313" s="149">
        <v>2</v>
      </c>
      <c r="AS313" s="149">
        <v>0</v>
      </c>
      <c r="AT313" s="149">
        <v>0</v>
      </c>
      <c r="AU313" s="149">
        <v>0</v>
      </c>
      <c r="AV313" s="149">
        <v>3</v>
      </c>
      <c r="AW313" s="149">
        <v>19</v>
      </c>
      <c r="AX313" s="149">
        <v>0</v>
      </c>
      <c r="AY313" s="149">
        <v>0</v>
      </c>
      <c r="AZ313" s="149">
        <v>0</v>
      </c>
      <c r="BA313" s="149">
        <v>0</v>
      </c>
      <c r="BB313" s="149">
        <v>0</v>
      </c>
      <c r="BC313" s="149">
        <v>0</v>
      </c>
      <c r="BD313" s="149">
        <v>0</v>
      </c>
      <c r="BE313" s="149">
        <v>10</v>
      </c>
      <c r="BF313" s="149">
        <v>2</v>
      </c>
      <c r="BG313" s="149">
        <v>0</v>
      </c>
      <c r="BH313" s="149">
        <v>0</v>
      </c>
      <c r="BI313" s="149">
        <v>0</v>
      </c>
      <c r="BJ313" s="149">
        <v>0</v>
      </c>
      <c r="BK313" s="149">
        <v>0</v>
      </c>
      <c r="BL313" s="149">
        <v>0</v>
      </c>
      <c r="BM313" s="149">
        <v>0</v>
      </c>
      <c r="BN313" s="149">
        <v>0</v>
      </c>
      <c r="BO313" s="149">
        <v>0</v>
      </c>
      <c r="BP313" s="152"/>
      <c r="BQ313" s="152"/>
      <c r="BR313" s="154" t="s">
        <v>359</v>
      </c>
      <c r="BS313" s="136">
        <v>5</v>
      </c>
      <c r="BT313" s="267"/>
      <c r="BU313" s="267"/>
      <c r="BV313" s="267"/>
      <c r="BW313" s="267">
        <f>M313</f>
        <v>34</v>
      </c>
      <c r="BX313" s="267"/>
      <c r="BY313" s="267"/>
      <c r="BZ313" s="267"/>
      <c r="CA313" s="267"/>
      <c r="CB313" s="267"/>
      <c r="CC313" s="267"/>
      <c r="CD313" s="267"/>
      <c r="CE313" s="267"/>
      <c r="CF313" s="267"/>
      <c r="CG313" s="267"/>
      <c r="CH313" s="267"/>
      <c r="CI313" s="267"/>
      <c r="CJ313" s="267"/>
      <c r="CK313" s="267"/>
      <c r="CL313" s="267"/>
      <c r="CM313" s="267"/>
      <c r="CN313" s="101">
        <f t="shared" si="24"/>
        <v>34</v>
      </c>
      <c r="CO313" s="101">
        <f t="shared" si="25"/>
        <v>34</v>
      </c>
    </row>
    <row r="314" spans="1:93" ht="13.9" customHeight="1" x14ac:dyDescent="0.2">
      <c r="A314" s="149">
        <v>3511</v>
      </c>
      <c r="B314" s="150" t="s">
        <v>854</v>
      </c>
      <c r="C314" s="150" t="s">
        <v>1112</v>
      </c>
      <c r="D314" s="150" t="s">
        <v>598</v>
      </c>
      <c r="E314" s="150" t="s">
        <v>1113</v>
      </c>
      <c r="F314" s="149">
        <v>529369</v>
      </c>
      <c r="G314" s="149">
        <v>177317</v>
      </c>
      <c r="H314" s="150" t="s">
        <v>149</v>
      </c>
      <c r="I314" s="151">
        <v>43800</v>
      </c>
      <c r="J314" s="151"/>
      <c r="K314" s="149">
        <v>0</v>
      </c>
      <c r="L314" s="149">
        <v>102</v>
      </c>
      <c r="M314" s="149">
        <v>102</v>
      </c>
      <c r="N314" s="149">
        <v>607</v>
      </c>
      <c r="O314" s="149">
        <v>607</v>
      </c>
      <c r="P314" s="152" t="s">
        <v>327</v>
      </c>
      <c r="Q314" s="150" t="s">
        <v>1114</v>
      </c>
      <c r="R314" s="150" t="s">
        <v>342</v>
      </c>
      <c r="S314" s="151">
        <v>45212</v>
      </c>
      <c r="T314" s="151">
        <v>45250</v>
      </c>
      <c r="U314" s="152" t="s">
        <v>327</v>
      </c>
      <c r="V314" s="150" t="s">
        <v>330</v>
      </c>
      <c r="W314" s="151"/>
      <c r="X314" s="150" t="s">
        <v>331</v>
      </c>
      <c r="Y314" s="150" t="s">
        <v>343</v>
      </c>
      <c r="Z314" s="150" t="s">
        <v>343</v>
      </c>
      <c r="AA314" s="150" t="s">
        <v>334</v>
      </c>
      <c r="AB314" s="153">
        <v>0</v>
      </c>
      <c r="AC314" s="151">
        <v>43800</v>
      </c>
      <c r="AD314" s="150"/>
      <c r="AE314" s="151"/>
      <c r="AF314" s="150" t="s">
        <v>70</v>
      </c>
      <c r="AG314" s="152" t="s">
        <v>352</v>
      </c>
      <c r="AH314" s="150" t="s">
        <v>601</v>
      </c>
      <c r="AI314" s="99"/>
      <c r="AJ314" s="149"/>
      <c r="AK314" s="99"/>
      <c r="AL314" s="149"/>
      <c r="AM314" s="138">
        <v>16</v>
      </c>
      <c r="AN314" s="149">
        <v>10</v>
      </c>
      <c r="AO314" s="149">
        <v>12</v>
      </c>
      <c r="AP314" s="149">
        <v>54</v>
      </c>
      <c r="AQ314" s="149">
        <v>25</v>
      </c>
      <c r="AR314" s="149">
        <v>1</v>
      </c>
      <c r="AS314" s="149">
        <v>0</v>
      </c>
      <c r="AT314" s="149">
        <v>0</v>
      </c>
      <c r="AU314" s="149">
        <v>10</v>
      </c>
      <c r="AV314" s="149">
        <v>12</v>
      </c>
      <c r="AW314" s="149">
        <v>54</v>
      </c>
      <c r="AX314" s="149">
        <v>25</v>
      </c>
      <c r="AY314" s="149">
        <v>1</v>
      </c>
      <c r="AZ314" s="149">
        <v>0</v>
      </c>
      <c r="BA314" s="149">
        <v>0</v>
      </c>
      <c r="BB314" s="149">
        <v>0</v>
      </c>
      <c r="BC314" s="149">
        <v>0</v>
      </c>
      <c r="BD314" s="149">
        <v>0</v>
      </c>
      <c r="BE314" s="149">
        <v>0</v>
      </c>
      <c r="BF314" s="149">
        <v>0</v>
      </c>
      <c r="BG314" s="149">
        <v>0</v>
      </c>
      <c r="BH314" s="149">
        <v>0</v>
      </c>
      <c r="BI314" s="149">
        <v>0</v>
      </c>
      <c r="BJ314" s="149">
        <v>0</v>
      </c>
      <c r="BK314" s="149">
        <v>0</v>
      </c>
      <c r="BL314" s="149">
        <v>0</v>
      </c>
      <c r="BM314" s="149">
        <v>0</v>
      </c>
      <c r="BN314" s="149">
        <v>0</v>
      </c>
      <c r="BO314" s="149">
        <v>0</v>
      </c>
      <c r="BP314" s="152"/>
      <c r="BQ314" s="152" t="s">
        <v>327</v>
      </c>
      <c r="BR314" s="154" t="s">
        <v>149</v>
      </c>
      <c r="BS314" s="136">
        <v>5</v>
      </c>
      <c r="BT314" s="267"/>
      <c r="BU314" s="267"/>
      <c r="BV314" s="267"/>
      <c r="BW314" s="267"/>
      <c r="BX314" s="267"/>
      <c r="BY314" s="267">
        <f>M314</f>
        <v>102</v>
      </c>
      <c r="BZ314" s="267"/>
      <c r="CA314" s="267"/>
      <c r="CB314" s="267"/>
      <c r="CC314" s="267"/>
      <c r="CD314" s="267"/>
      <c r="CE314" s="267"/>
      <c r="CF314" s="267"/>
      <c r="CG314" s="267"/>
      <c r="CH314" s="267"/>
      <c r="CI314" s="267"/>
      <c r="CJ314" s="267"/>
      <c r="CK314" s="267"/>
      <c r="CL314" s="267"/>
      <c r="CM314" s="267"/>
      <c r="CN314" s="101">
        <f t="shared" si="24"/>
        <v>102</v>
      </c>
      <c r="CO314" s="101">
        <f t="shared" si="25"/>
        <v>102</v>
      </c>
    </row>
    <row r="315" spans="1:93" ht="13.9" customHeight="1" x14ac:dyDescent="0.2">
      <c r="A315" s="149">
        <v>3511</v>
      </c>
      <c r="B315" s="150" t="s">
        <v>854</v>
      </c>
      <c r="C315" s="150" t="s">
        <v>1112</v>
      </c>
      <c r="D315" s="150" t="s">
        <v>598</v>
      </c>
      <c r="E315" s="150" t="s">
        <v>1115</v>
      </c>
      <c r="F315" s="149">
        <v>529369</v>
      </c>
      <c r="G315" s="149">
        <v>177317</v>
      </c>
      <c r="H315" s="150" t="s">
        <v>149</v>
      </c>
      <c r="I315" s="151">
        <v>43800</v>
      </c>
      <c r="J315" s="151"/>
      <c r="K315" s="149">
        <v>0</v>
      </c>
      <c r="L315" s="149">
        <v>100</v>
      </c>
      <c r="M315" s="149">
        <v>100</v>
      </c>
      <c r="N315" s="149">
        <v>607</v>
      </c>
      <c r="O315" s="149">
        <v>607</v>
      </c>
      <c r="P315" s="152" t="s">
        <v>327</v>
      </c>
      <c r="Q315" s="150" t="s">
        <v>1114</v>
      </c>
      <c r="R315" s="150" t="s">
        <v>342</v>
      </c>
      <c r="S315" s="151">
        <v>45212</v>
      </c>
      <c r="T315" s="151">
        <v>45250</v>
      </c>
      <c r="U315" s="152" t="s">
        <v>327</v>
      </c>
      <c r="V315" s="150" t="s">
        <v>330</v>
      </c>
      <c r="W315" s="151"/>
      <c r="X315" s="150" t="s">
        <v>331</v>
      </c>
      <c r="Y315" s="150" t="s">
        <v>343</v>
      </c>
      <c r="Z315" s="150" t="s">
        <v>343</v>
      </c>
      <c r="AA315" s="150" t="s">
        <v>334</v>
      </c>
      <c r="AB315" s="153">
        <v>0</v>
      </c>
      <c r="AC315" s="151">
        <v>43800</v>
      </c>
      <c r="AD315" s="150"/>
      <c r="AE315" s="151"/>
      <c r="AF315" s="150" t="s">
        <v>70</v>
      </c>
      <c r="AG315" s="152" t="s">
        <v>352</v>
      </c>
      <c r="AH315" s="150" t="s">
        <v>601</v>
      </c>
      <c r="AI315" s="99"/>
      <c r="AJ315" s="149"/>
      <c r="AK315" s="102"/>
      <c r="AL315" s="149"/>
      <c r="AM315" s="149">
        <v>8</v>
      </c>
      <c r="AN315" s="149">
        <v>0</v>
      </c>
      <c r="AO315" s="149">
        <v>59</v>
      </c>
      <c r="AP315" s="149">
        <v>23</v>
      </c>
      <c r="AQ315" s="149">
        <v>16</v>
      </c>
      <c r="AR315" s="149">
        <v>2</v>
      </c>
      <c r="AS315" s="149">
        <v>0</v>
      </c>
      <c r="AT315" s="149">
        <v>0</v>
      </c>
      <c r="AU315" s="149">
        <v>0</v>
      </c>
      <c r="AV315" s="149">
        <v>59</v>
      </c>
      <c r="AW315" s="149">
        <v>23</v>
      </c>
      <c r="AX315" s="149">
        <v>16</v>
      </c>
      <c r="AY315" s="149">
        <v>2</v>
      </c>
      <c r="AZ315" s="149">
        <v>0</v>
      </c>
      <c r="BA315" s="149">
        <v>0</v>
      </c>
      <c r="BB315" s="149">
        <v>0</v>
      </c>
      <c r="BC315" s="149">
        <v>0</v>
      </c>
      <c r="BD315" s="149">
        <v>0</v>
      </c>
      <c r="BE315" s="149">
        <v>0</v>
      </c>
      <c r="BF315" s="149">
        <v>0</v>
      </c>
      <c r="BG315" s="149">
        <v>0</v>
      </c>
      <c r="BH315" s="149">
        <v>0</v>
      </c>
      <c r="BI315" s="149">
        <v>0</v>
      </c>
      <c r="BJ315" s="149">
        <v>0</v>
      </c>
      <c r="BK315" s="149">
        <v>0</v>
      </c>
      <c r="BL315" s="149">
        <v>0</v>
      </c>
      <c r="BM315" s="149">
        <v>0</v>
      </c>
      <c r="BN315" s="149">
        <v>0</v>
      </c>
      <c r="BO315" s="149">
        <v>0</v>
      </c>
      <c r="BP315" s="152"/>
      <c r="BQ315" s="152" t="s">
        <v>327</v>
      </c>
      <c r="BR315" s="154" t="s">
        <v>149</v>
      </c>
      <c r="BS315" s="136">
        <v>5</v>
      </c>
      <c r="BT315" s="267"/>
      <c r="BU315" s="267"/>
      <c r="BV315" s="267"/>
      <c r="BW315" s="267"/>
      <c r="BX315" s="267"/>
      <c r="BY315" s="267">
        <f>M315</f>
        <v>100</v>
      </c>
      <c r="BZ315" s="267"/>
      <c r="CA315" s="267"/>
      <c r="CB315" s="267"/>
      <c r="CC315" s="267"/>
      <c r="CD315" s="267"/>
      <c r="CE315" s="267"/>
      <c r="CF315" s="267"/>
      <c r="CG315" s="267"/>
      <c r="CH315" s="267"/>
      <c r="CI315" s="267"/>
      <c r="CJ315" s="267"/>
      <c r="CK315" s="267"/>
      <c r="CL315" s="267"/>
      <c r="CM315" s="267"/>
      <c r="CN315" s="101">
        <f t="shared" si="24"/>
        <v>100</v>
      </c>
      <c r="CO315" s="101">
        <f t="shared" si="25"/>
        <v>100</v>
      </c>
    </row>
    <row r="316" spans="1:93" ht="13.9" customHeight="1" x14ac:dyDescent="0.2">
      <c r="A316" s="149">
        <v>3511</v>
      </c>
      <c r="B316" s="150" t="s">
        <v>854</v>
      </c>
      <c r="C316" s="150" t="s">
        <v>1112</v>
      </c>
      <c r="D316" s="150" t="s">
        <v>598</v>
      </c>
      <c r="E316" s="150" t="s">
        <v>1116</v>
      </c>
      <c r="F316" s="149">
        <v>529369</v>
      </c>
      <c r="G316" s="149">
        <v>177317</v>
      </c>
      <c r="H316" s="150" t="s">
        <v>149</v>
      </c>
      <c r="I316" s="151">
        <v>43800</v>
      </c>
      <c r="J316" s="151"/>
      <c r="K316" s="149">
        <v>0</v>
      </c>
      <c r="L316" s="149">
        <v>145</v>
      </c>
      <c r="M316" s="149">
        <v>145</v>
      </c>
      <c r="N316" s="149">
        <v>607</v>
      </c>
      <c r="O316" s="149">
        <v>607</v>
      </c>
      <c r="P316" s="152" t="s">
        <v>327</v>
      </c>
      <c r="Q316" s="150" t="s">
        <v>1114</v>
      </c>
      <c r="R316" s="150" t="s">
        <v>342</v>
      </c>
      <c r="S316" s="151">
        <v>45212</v>
      </c>
      <c r="T316" s="151">
        <v>45250</v>
      </c>
      <c r="U316" s="152" t="s">
        <v>327</v>
      </c>
      <c r="V316" s="150" t="s">
        <v>330</v>
      </c>
      <c r="W316" s="151"/>
      <c r="X316" s="150" t="s">
        <v>331</v>
      </c>
      <c r="Y316" s="150" t="s">
        <v>343</v>
      </c>
      <c r="Z316" s="150" t="s">
        <v>343</v>
      </c>
      <c r="AA316" s="150" t="s">
        <v>334</v>
      </c>
      <c r="AB316" s="153">
        <v>0</v>
      </c>
      <c r="AC316" s="151">
        <v>43800</v>
      </c>
      <c r="AD316" s="150"/>
      <c r="AE316" s="151"/>
      <c r="AF316" s="150" t="s">
        <v>70</v>
      </c>
      <c r="AG316" s="152" t="s">
        <v>352</v>
      </c>
      <c r="AH316" s="150" t="s">
        <v>601</v>
      </c>
      <c r="AI316" s="99"/>
      <c r="AJ316" s="149"/>
      <c r="AK316" s="99"/>
      <c r="AL316" s="149"/>
      <c r="AM316" s="99"/>
      <c r="AN316" s="149">
        <v>22</v>
      </c>
      <c r="AO316" s="149">
        <v>44</v>
      </c>
      <c r="AP316" s="149">
        <v>77</v>
      </c>
      <c r="AQ316" s="149">
        <v>2</v>
      </c>
      <c r="AR316" s="149">
        <v>0</v>
      </c>
      <c r="AS316" s="149">
        <v>0</v>
      </c>
      <c r="AT316" s="149">
        <v>0</v>
      </c>
      <c r="AU316" s="149">
        <v>22</v>
      </c>
      <c r="AV316" s="149">
        <v>44</v>
      </c>
      <c r="AW316" s="149">
        <v>77</v>
      </c>
      <c r="AX316" s="149">
        <v>2</v>
      </c>
      <c r="AY316" s="149">
        <v>0</v>
      </c>
      <c r="AZ316" s="149">
        <v>0</v>
      </c>
      <c r="BA316" s="149">
        <v>0</v>
      </c>
      <c r="BB316" s="149">
        <v>0</v>
      </c>
      <c r="BC316" s="149">
        <v>0</v>
      </c>
      <c r="BD316" s="149">
        <v>0</v>
      </c>
      <c r="BE316" s="149">
        <v>0</v>
      </c>
      <c r="BF316" s="149">
        <v>0</v>
      </c>
      <c r="BG316" s="149">
        <v>0</v>
      </c>
      <c r="BH316" s="149">
        <v>0</v>
      </c>
      <c r="BI316" s="149">
        <v>0</v>
      </c>
      <c r="BJ316" s="149">
        <v>0</v>
      </c>
      <c r="BK316" s="149">
        <v>0</v>
      </c>
      <c r="BL316" s="149">
        <v>0</v>
      </c>
      <c r="BM316" s="149">
        <v>0</v>
      </c>
      <c r="BN316" s="149">
        <v>0</v>
      </c>
      <c r="BO316" s="149">
        <v>0</v>
      </c>
      <c r="BP316" s="152"/>
      <c r="BQ316" s="152" t="s">
        <v>327</v>
      </c>
      <c r="BR316" s="154" t="s">
        <v>149</v>
      </c>
      <c r="BS316" s="136">
        <v>5</v>
      </c>
      <c r="BT316" s="267"/>
      <c r="BU316" s="267"/>
      <c r="BV316" s="267"/>
      <c r="BW316" s="267"/>
      <c r="BX316" s="267">
        <f>M316</f>
        <v>145</v>
      </c>
      <c r="BY316" s="267"/>
      <c r="BZ316" s="267"/>
      <c r="CA316" s="267"/>
      <c r="CB316" s="267"/>
      <c r="CC316" s="267"/>
      <c r="CD316" s="267"/>
      <c r="CE316" s="267"/>
      <c r="CF316" s="267"/>
      <c r="CG316" s="267"/>
      <c r="CH316" s="267"/>
      <c r="CI316" s="267"/>
      <c r="CJ316" s="267"/>
      <c r="CK316" s="267"/>
      <c r="CL316" s="267"/>
      <c r="CM316" s="267"/>
      <c r="CN316" s="101">
        <f t="shared" si="24"/>
        <v>145</v>
      </c>
      <c r="CO316" s="101">
        <f t="shared" si="25"/>
        <v>145</v>
      </c>
    </row>
    <row r="317" spans="1:93" ht="13.9" customHeight="1" x14ac:dyDescent="0.2">
      <c r="A317" s="149">
        <v>3511</v>
      </c>
      <c r="B317" s="150" t="s">
        <v>854</v>
      </c>
      <c r="C317" s="150" t="s">
        <v>1112</v>
      </c>
      <c r="D317" s="150" t="s">
        <v>598</v>
      </c>
      <c r="E317" s="150" t="s">
        <v>1117</v>
      </c>
      <c r="F317" s="149">
        <v>529369</v>
      </c>
      <c r="G317" s="149">
        <v>177317</v>
      </c>
      <c r="H317" s="150" t="s">
        <v>149</v>
      </c>
      <c r="I317" s="151">
        <v>43800</v>
      </c>
      <c r="J317" s="151"/>
      <c r="K317" s="149">
        <v>0</v>
      </c>
      <c r="L317" s="149">
        <v>85</v>
      </c>
      <c r="M317" s="149">
        <v>85</v>
      </c>
      <c r="N317" s="149">
        <v>607</v>
      </c>
      <c r="O317" s="149">
        <v>607</v>
      </c>
      <c r="P317" s="152" t="s">
        <v>327</v>
      </c>
      <c r="Q317" s="150" t="s">
        <v>1114</v>
      </c>
      <c r="R317" s="150" t="s">
        <v>342</v>
      </c>
      <c r="S317" s="151">
        <v>45212</v>
      </c>
      <c r="T317" s="151">
        <v>45250</v>
      </c>
      <c r="U317" s="152" t="s">
        <v>327</v>
      </c>
      <c r="V317" s="150" t="s">
        <v>330</v>
      </c>
      <c r="W317" s="151"/>
      <c r="X317" s="150" t="s">
        <v>331</v>
      </c>
      <c r="Y317" s="150" t="s">
        <v>343</v>
      </c>
      <c r="Z317" s="150" t="s">
        <v>343</v>
      </c>
      <c r="AA317" s="150" t="s">
        <v>334</v>
      </c>
      <c r="AB317" s="153">
        <v>0</v>
      </c>
      <c r="AC317" s="151">
        <v>43800</v>
      </c>
      <c r="AD317" s="150"/>
      <c r="AE317" s="151"/>
      <c r="AF317" s="150" t="s">
        <v>70</v>
      </c>
      <c r="AG317" s="152" t="s">
        <v>352</v>
      </c>
      <c r="AH317" s="150" t="s">
        <v>601</v>
      </c>
      <c r="AI317" s="99"/>
      <c r="AJ317" s="149"/>
      <c r="AK317" s="99"/>
      <c r="AL317" s="149"/>
      <c r="AM317" s="99"/>
      <c r="AN317" s="149">
        <v>0</v>
      </c>
      <c r="AO317" s="149">
        <v>43</v>
      </c>
      <c r="AP317" s="149">
        <v>29</v>
      </c>
      <c r="AQ317" s="149">
        <v>10</v>
      </c>
      <c r="AR317" s="149">
        <v>3</v>
      </c>
      <c r="AS317" s="149">
        <v>0</v>
      </c>
      <c r="AT317" s="149">
        <v>0</v>
      </c>
      <c r="AU317" s="149">
        <v>0</v>
      </c>
      <c r="AV317" s="149">
        <v>43</v>
      </c>
      <c r="AW317" s="149">
        <v>29</v>
      </c>
      <c r="AX317" s="149">
        <v>10</v>
      </c>
      <c r="AY317" s="149">
        <v>3</v>
      </c>
      <c r="AZ317" s="149">
        <v>0</v>
      </c>
      <c r="BA317" s="149">
        <v>0</v>
      </c>
      <c r="BB317" s="149">
        <v>0</v>
      </c>
      <c r="BC317" s="149">
        <v>0</v>
      </c>
      <c r="BD317" s="149">
        <v>0</v>
      </c>
      <c r="BE317" s="149">
        <v>0</v>
      </c>
      <c r="BF317" s="149">
        <v>0</v>
      </c>
      <c r="BG317" s="149">
        <v>0</v>
      </c>
      <c r="BH317" s="149">
        <v>0</v>
      </c>
      <c r="BI317" s="149">
        <v>0</v>
      </c>
      <c r="BJ317" s="149">
        <v>0</v>
      </c>
      <c r="BK317" s="149">
        <v>0</v>
      </c>
      <c r="BL317" s="149">
        <v>0</v>
      </c>
      <c r="BM317" s="149">
        <v>0</v>
      </c>
      <c r="BN317" s="149">
        <v>0</v>
      </c>
      <c r="BO317" s="149">
        <v>0</v>
      </c>
      <c r="BP317" s="152"/>
      <c r="BQ317" s="152" t="s">
        <v>327</v>
      </c>
      <c r="BR317" s="154" t="s">
        <v>149</v>
      </c>
      <c r="BS317" s="136">
        <v>5</v>
      </c>
      <c r="BT317" s="267"/>
      <c r="BU317" s="267"/>
      <c r="BV317" s="267"/>
      <c r="BW317" s="267"/>
      <c r="BX317" s="267">
        <f>M317</f>
        <v>85</v>
      </c>
      <c r="BY317" s="267"/>
      <c r="BZ317" s="267"/>
      <c r="CA317" s="267"/>
      <c r="CB317" s="267"/>
      <c r="CC317" s="267"/>
      <c r="CD317" s="267"/>
      <c r="CE317" s="267"/>
      <c r="CF317" s="267"/>
      <c r="CG317" s="267"/>
      <c r="CH317" s="267"/>
      <c r="CI317" s="267"/>
      <c r="CJ317" s="267"/>
      <c r="CK317" s="267"/>
      <c r="CL317" s="267"/>
      <c r="CM317" s="267"/>
      <c r="CN317" s="101">
        <f t="shared" si="24"/>
        <v>85</v>
      </c>
      <c r="CO317" s="101">
        <f t="shared" si="25"/>
        <v>85</v>
      </c>
    </row>
    <row r="318" spans="1:93" ht="13.9" customHeight="1" x14ac:dyDescent="0.2">
      <c r="A318" s="149">
        <v>6657</v>
      </c>
      <c r="B318" s="150" t="s">
        <v>854</v>
      </c>
      <c r="C318" s="150" t="s">
        <v>1118</v>
      </c>
      <c r="D318" s="150" t="s">
        <v>1119</v>
      </c>
      <c r="E318" s="150" t="s">
        <v>1120</v>
      </c>
      <c r="F318" s="149">
        <v>525999</v>
      </c>
      <c r="G318" s="149">
        <v>173647</v>
      </c>
      <c r="H318" s="150" t="s">
        <v>175</v>
      </c>
      <c r="I318" s="151">
        <v>44581</v>
      </c>
      <c r="J318" s="151"/>
      <c r="K318" s="149">
        <v>0</v>
      </c>
      <c r="L318" s="149">
        <v>14</v>
      </c>
      <c r="M318" s="149">
        <v>14</v>
      </c>
      <c r="N318" s="149">
        <v>193</v>
      </c>
      <c r="O318" s="149">
        <v>182</v>
      </c>
      <c r="P318" s="152" t="s">
        <v>327</v>
      </c>
      <c r="Q318" s="150" t="s">
        <v>1121</v>
      </c>
      <c r="R318" s="150" t="s">
        <v>850</v>
      </c>
      <c r="S318" s="151">
        <v>44260</v>
      </c>
      <c r="T318" s="151">
        <v>44396</v>
      </c>
      <c r="U318" s="152"/>
      <c r="V318" s="150" t="s">
        <v>330</v>
      </c>
      <c r="W318" s="151"/>
      <c r="X318" s="150" t="s">
        <v>331</v>
      </c>
      <c r="Y318" s="150" t="s">
        <v>343</v>
      </c>
      <c r="Z318" s="150" t="s">
        <v>343</v>
      </c>
      <c r="AA318" s="150" t="s">
        <v>334</v>
      </c>
      <c r="AB318" s="153">
        <v>1.4E-2</v>
      </c>
      <c r="AC318" s="151">
        <v>44581</v>
      </c>
      <c r="AD318" s="150"/>
      <c r="AE318" s="151"/>
      <c r="AF318" s="150" t="s">
        <v>70</v>
      </c>
      <c r="AG318" s="152" t="s">
        <v>352</v>
      </c>
      <c r="AH318" s="150" t="s">
        <v>326</v>
      </c>
      <c r="AI318" s="99"/>
      <c r="AJ318" s="149"/>
      <c r="AK318" s="138">
        <v>16</v>
      </c>
      <c r="AL318" s="149"/>
      <c r="AM318" s="99"/>
      <c r="AN318" s="149">
        <v>0</v>
      </c>
      <c r="AO318" s="149">
        <v>0</v>
      </c>
      <c r="AP318" s="149">
        <v>0</v>
      </c>
      <c r="AQ318" s="149">
        <v>0</v>
      </c>
      <c r="AR318" s="149">
        <v>14</v>
      </c>
      <c r="AS318" s="149">
        <v>0</v>
      </c>
      <c r="AT318" s="149">
        <v>0</v>
      </c>
      <c r="AU318" s="149">
        <v>0</v>
      </c>
      <c r="AV318" s="149">
        <v>0</v>
      </c>
      <c r="AW318" s="149">
        <v>0</v>
      </c>
      <c r="AX318" s="149">
        <v>0</v>
      </c>
      <c r="AY318" s="149">
        <v>0</v>
      </c>
      <c r="AZ318" s="149">
        <v>0</v>
      </c>
      <c r="BA318" s="149">
        <v>0</v>
      </c>
      <c r="BB318" s="149">
        <v>0</v>
      </c>
      <c r="BC318" s="149">
        <v>0</v>
      </c>
      <c r="BD318" s="149">
        <v>0</v>
      </c>
      <c r="BE318" s="149">
        <v>0</v>
      </c>
      <c r="BF318" s="149">
        <v>14</v>
      </c>
      <c r="BG318" s="149">
        <v>0</v>
      </c>
      <c r="BH318" s="149">
        <v>0</v>
      </c>
      <c r="BI318" s="149">
        <v>0</v>
      </c>
      <c r="BJ318" s="149">
        <v>0</v>
      </c>
      <c r="BK318" s="149">
        <v>0</v>
      </c>
      <c r="BL318" s="149">
        <v>0</v>
      </c>
      <c r="BM318" s="149">
        <v>0</v>
      </c>
      <c r="BN318" s="149">
        <v>0</v>
      </c>
      <c r="BO318" s="149">
        <v>0</v>
      </c>
      <c r="BP318" s="152"/>
      <c r="BQ318" s="152"/>
      <c r="BR318" s="154" t="s">
        <v>359</v>
      </c>
      <c r="BS318" s="136">
        <v>5</v>
      </c>
      <c r="BT318" s="267"/>
      <c r="BU318" s="267">
        <f>M318/2</f>
        <v>7</v>
      </c>
      <c r="BV318" s="267">
        <f>M318/2</f>
        <v>7</v>
      </c>
      <c r="BW318" s="267"/>
      <c r="BX318" s="267"/>
      <c r="BY318" s="267"/>
      <c r="BZ318" s="267"/>
      <c r="CA318" s="267"/>
      <c r="CB318" s="267"/>
      <c r="CC318" s="267"/>
      <c r="CD318" s="267"/>
      <c r="CE318" s="267"/>
      <c r="CF318" s="267"/>
      <c r="CG318" s="267"/>
      <c r="CH318" s="267"/>
      <c r="CI318" s="267"/>
      <c r="CJ318" s="267"/>
      <c r="CK318" s="267"/>
      <c r="CL318" s="267"/>
      <c r="CM318" s="267"/>
      <c r="CN318" s="101">
        <f t="shared" si="24"/>
        <v>14</v>
      </c>
      <c r="CO318" s="101">
        <f t="shared" si="25"/>
        <v>14</v>
      </c>
    </row>
    <row r="319" spans="1:93" ht="13.9" customHeight="1" x14ac:dyDescent="0.2">
      <c r="A319" s="149">
        <v>6657</v>
      </c>
      <c r="B319" s="150" t="s">
        <v>854</v>
      </c>
      <c r="C319" s="150" t="s">
        <v>1118</v>
      </c>
      <c r="D319" s="150" t="s">
        <v>1119</v>
      </c>
      <c r="E319" s="150" t="s">
        <v>1120</v>
      </c>
      <c r="F319" s="149">
        <v>525999</v>
      </c>
      <c r="G319" s="149">
        <v>173647</v>
      </c>
      <c r="H319" s="150" t="s">
        <v>175</v>
      </c>
      <c r="I319" s="151">
        <v>44581</v>
      </c>
      <c r="J319" s="151"/>
      <c r="K319" s="149">
        <v>0</v>
      </c>
      <c r="L319" s="149">
        <v>9</v>
      </c>
      <c r="M319" s="149">
        <v>9</v>
      </c>
      <c r="N319" s="149">
        <v>193</v>
      </c>
      <c r="O319" s="149">
        <v>182</v>
      </c>
      <c r="P319" s="152" t="s">
        <v>327</v>
      </c>
      <c r="Q319" s="150" t="s">
        <v>1121</v>
      </c>
      <c r="R319" s="150" t="s">
        <v>850</v>
      </c>
      <c r="S319" s="151">
        <v>44260</v>
      </c>
      <c r="T319" s="151">
        <v>44396</v>
      </c>
      <c r="U319" s="152"/>
      <c r="V319" s="150" t="s">
        <v>330</v>
      </c>
      <c r="W319" s="151"/>
      <c r="X319" s="150" t="s">
        <v>331</v>
      </c>
      <c r="Y319" s="150" t="s">
        <v>343</v>
      </c>
      <c r="Z319" s="150" t="s">
        <v>343</v>
      </c>
      <c r="AA319" s="150" t="s">
        <v>334</v>
      </c>
      <c r="AB319" s="153">
        <v>6.0000000000000001E-3</v>
      </c>
      <c r="AC319" s="151">
        <v>44581</v>
      </c>
      <c r="AD319" s="150"/>
      <c r="AE319" s="151"/>
      <c r="AF319" s="150" t="s">
        <v>49</v>
      </c>
      <c r="AG319" s="152" t="s">
        <v>481</v>
      </c>
      <c r="AH319" s="150" t="s">
        <v>326</v>
      </c>
      <c r="AI319" s="99"/>
      <c r="AJ319" s="149"/>
      <c r="AK319" s="138">
        <v>7</v>
      </c>
      <c r="AL319" s="149"/>
      <c r="AM319" s="99"/>
      <c r="AN319" s="149">
        <v>0</v>
      </c>
      <c r="AO319" s="149">
        <v>0</v>
      </c>
      <c r="AP319" s="149">
        <v>0</v>
      </c>
      <c r="AQ319" s="149">
        <v>1</v>
      </c>
      <c r="AR319" s="149">
        <v>8</v>
      </c>
      <c r="AS319" s="149">
        <v>0</v>
      </c>
      <c r="AT319" s="149">
        <v>0</v>
      </c>
      <c r="AU319" s="149">
        <v>0</v>
      </c>
      <c r="AV319" s="149">
        <v>0</v>
      </c>
      <c r="AW319" s="149">
        <v>0</v>
      </c>
      <c r="AX319" s="149">
        <v>0</v>
      </c>
      <c r="AY319" s="149">
        <v>0</v>
      </c>
      <c r="AZ319" s="149">
        <v>0</v>
      </c>
      <c r="BA319" s="149">
        <v>0</v>
      </c>
      <c r="BB319" s="149">
        <v>0</v>
      </c>
      <c r="BC319" s="149">
        <v>0</v>
      </c>
      <c r="BD319" s="149">
        <v>0</v>
      </c>
      <c r="BE319" s="149">
        <v>1</v>
      </c>
      <c r="BF319" s="149">
        <v>8</v>
      </c>
      <c r="BG319" s="149">
        <v>0</v>
      </c>
      <c r="BH319" s="149">
        <v>0</v>
      </c>
      <c r="BI319" s="149">
        <v>0</v>
      </c>
      <c r="BJ319" s="149">
        <v>0</v>
      </c>
      <c r="BK319" s="149">
        <v>0</v>
      </c>
      <c r="BL319" s="149">
        <v>0</v>
      </c>
      <c r="BM319" s="149">
        <v>0</v>
      </c>
      <c r="BN319" s="149">
        <v>0</v>
      </c>
      <c r="BO319" s="149">
        <v>0</v>
      </c>
      <c r="BP319" s="152"/>
      <c r="BQ319" s="152"/>
      <c r="BR319" s="154" t="s">
        <v>359</v>
      </c>
      <c r="BS319" s="136">
        <v>5</v>
      </c>
      <c r="BT319" s="267"/>
      <c r="BU319" s="267">
        <f>M319/2</f>
        <v>4.5</v>
      </c>
      <c r="BV319" s="267">
        <f>M319/2</f>
        <v>4.5</v>
      </c>
      <c r="BW319" s="267"/>
      <c r="BX319" s="267"/>
      <c r="BY319" s="267"/>
      <c r="BZ319" s="267"/>
      <c r="CA319" s="267"/>
      <c r="CB319" s="267"/>
      <c r="CC319" s="267"/>
      <c r="CD319" s="267"/>
      <c r="CE319" s="267"/>
      <c r="CF319" s="267"/>
      <c r="CG319" s="267"/>
      <c r="CH319" s="267"/>
      <c r="CI319" s="267"/>
      <c r="CJ319" s="267"/>
      <c r="CK319" s="267"/>
      <c r="CL319" s="267"/>
      <c r="CM319" s="267"/>
      <c r="CN319" s="101">
        <f t="shared" si="24"/>
        <v>9</v>
      </c>
      <c r="CO319" s="101">
        <f t="shared" si="25"/>
        <v>9</v>
      </c>
    </row>
    <row r="320" spans="1:93" ht="13.9" customHeight="1" x14ac:dyDescent="0.2">
      <c r="A320" s="149">
        <v>6657</v>
      </c>
      <c r="B320" s="150" t="s">
        <v>854</v>
      </c>
      <c r="C320" s="150" t="s">
        <v>1118</v>
      </c>
      <c r="D320" s="150" t="s">
        <v>1119</v>
      </c>
      <c r="E320" s="150" t="s">
        <v>1122</v>
      </c>
      <c r="F320" s="149">
        <v>525999</v>
      </c>
      <c r="G320" s="149">
        <v>173647</v>
      </c>
      <c r="H320" s="150" t="s">
        <v>175</v>
      </c>
      <c r="I320" s="151">
        <v>44581</v>
      </c>
      <c r="J320" s="151"/>
      <c r="K320" s="149">
        <v>0</v>
      </c>
      <c r="L320" s="149">
        <v>25</v>
      </c>
      <c r="M320" s="149">
        <v>25</v>
      </c>
      <c r="N320" s="149">
        <v>193</v>
      </c>
      <c r="O320" s="149">
        <v>182</v>
      </c>
      <c r="P320" s="152" t="s">
        <v>327</v>
      </c>
      <c r="Q320" s="150" t="s">
        <v>1121</v>
      </c>
      <c r="R320" s="150" t="s">
        <v>850</v>
      </c>
      <c r="S320" s="151">
        <v>44260</v>
      </c>
      <c r="T320" s="151">
        <v>44396</v>
      </c>
      <c r="U320" s="152"/>
      <c r="V320" s="150" t="s">
        <v>330</v>
      </c>
      <c r="W320" s="151"/>
      <c r="X320" s="150" t="s">
        <v>331</v>
      </c>
      <c r="Y320" s="150" t="s">
        <v>343</v>
      </c>
      <c r="Z320" s="150" t="s">
        <v>343</v>
      </c>
      <c r="AA320" s="150" t="s">
        <v>334</v>
      </c>
      <c r="AB320" s="153">
        <v>2.1999999999999999E-2</v>
      </c>
      <c r="AC320" s="151">
        <v>44581</v>
      </c>
      <c r="AD320" s="150"/>
      <c r="AE320" s="151"/>
      <c r="AF320" s="150" t="s">
        <v>48</v>
      </c>
      <c r="AG320" s="152" t="s">
        <v>544</v>
      </c>
      <c r="AH320" s="150" t="s">
        <v>326</v>
      </c>
      <c r="AI320" s="99"/>
      <c r="AJ320" s="149"/>
      <c r="AK320" s="138">
        <v>21</v>
      </c>
      <c r="AL320" s="149"/>
      <c r="AM320" s="138">
        <v>4</v>
      </c>
      <c r="AN320" s="149">
        <v>0</v>
      </c>
      <c r="AO320" s="149">
        <v>11</v>
      </c>
      <c r="AP320" s="149">
        <v>10</v>
      </c>
      <c r="AQ320" s="149">
        <v>4</v>
      </c>
      <c r="AR320" s="149">
        <v>0</v>
      </c>
      <c r="AS320" s="149">
        <v>0</v>
      </c>
      <c r="AT320" s="149">
        <v>0</v>
      </c>
      <c r="AU320" s="149">
        <v>0</v>
      </c>
      <c r="AV320" s="149">
        <v>11</v>
      </c>
      <c r="AW320" s="149">
        <v>10</v>
      </c>
      <c r="AX320" s="149">
        <v>4</v>
      </c>
      <c r="AY320" s="149">
        <v>0</v>
      </c>
      <c r="AZ320" s="149">
        <v>0</v>
      </c>
      <c r="BA320" s="149">
        <v>0</v>
      </c>
      <c r="BB320" s="149">
        <v>0</v>
      </c>
      <c r="BC320" s="149">
        <v>0</v>
      </c>
      <c r="BD320" s="149">
        <v>0</v>
      </c>
      <c r="BE320" s="149">
        <v>0</v>
      </c>
      <c r="BF320" s="149">
        <v>0</v>
      </c>
      <c r="BG320" s="149">
        <v>0</v>
      </c>
      <c r="BH320" s="149">
        <v>0</v>
      </c>
      <c r="BI320" s="149">
        <v>0</v>
      </c>
      <c r="BJ320" s="149">
        <v>0</v>
      </c>
      <c r="BK320" s="149">
        <v>0</v>
      </c>
      <c r="BL320" s="149">
        <v>0</v>
      </c>
      <c r="BM320" s="149">
        <v>0</v>
      </c>
      <c r="BN320" s="149">
        <v>0</v>
      </c>
      <c r="BO320" s="149">
        <v>0</v>
      </c>
      <c r="BP320" s="152"/>
      <c r="BQ320" s="152"/>
      <c r="BR320" s="154" t="s">
        <v>359</v>
      </c>
      <c r="BS320" s="136">
        <v>5</v>
      </c>
      <c r="BT320" s="267"/>
      <c r="BU320" s="267">
        <f>M320</f>
        <v>25</v>
      </c>
      <c r="BV320" s="267"/>
      <c r="BW320" s="267"/>
      <c r="BX320" s="267"/>
      <c r="BY320" s="267"/>
      <c r="BZ320" s="267"/>
      <c r="CA320" s="267"/>
      <c r="CB320" s="267"/>
      <c r="CC320" s="267"/>
      <c r="CD320" s="267"/>
      <c r="CE320" s="267"/>
      <c r="CF320" s="267"/>
      <c r="CG320" s="267"/>
      <c r="CH320" s="267"/>
      <c r="CI320" s="267"/>
      <c r="CJ320" s="267"/>
      <c r="CK320" s="267"/>
      <c r="CL320" s="267"/>
      <c r="CM320" s="267"/>
      <c r="CN320" s="101">
        <f t="shared" si="24"/>
        <v>25</v>
      </c>
      <c r="CO320" s="101">
        <f t="shared" si="25"/>
        <v>25</v>
      </c>
    </row>
    <row r="321" spans="1:93" ht="13.9" customHeight="1" x14ac:dyDescent="0.2">
      <c r="A321" s="149">
        <v>6657</v>
      </c>
      <c r="B321" s="150" t="s">
        <v>854</v>
      </c>
      <c r="C321" s="150" t="s">
        <v>1118</v>
      </c>
      <c r="D321" s="150" t="s">
        <v>1119</v>
      </c>
      <c r="E321" s="150" t="s">
        <v>1123</v>
      </c>
      <c r="F321" s="149">
        <v>525999</v>
      </c>
      <c r="G321" s="149">
        <v>173647</v>
      </c>
      <c r="H321" s="150" t="s">
        <v>175</v>
      </c>
      <c r="I321" s="151">
        <v>44581</v>
      </c>
      <c r="J321" s="151"/>
      <c r="K321" s="149">
        <v>0</v>
      </c>
      <c r="L321" s="149">
        <v>22</v>
      </c>
      <c r="M321" s="149">
        <v>22</v>
      </c>
      <c r="N321" s="149">
        <v>193</v>
      </c>
      <c r="O321" s="149">
        <v>182</v>
      </c>
      <c r="P321" s="152" t="s">
        <v>327</v>
      </c>
      <c r="Q321" s="150" t="s">
        <v>1121</v>
      </c>
      <c r="R321" s="150" t="s">
        <v>850</v>
      </c>
      <c r="S321" s="151">
        <v>44260</v>
      </c>
      <c r="T321" s="151">
        <v>44396</v>
      </c>
      <c r="U321" s="152"/>
      <c r="V321" s="150" t="s">
        <v>330</v>
      </c>
      <c r="W321" s="151"/>
      <c r="X321" s="150" t="s">
        <v>331</v>
      </c>
      <c r="Y321" s="150" t="s">
        <v>343</v>
      </c>
      <c r="Z321" s="150" t="s">
        <v>343</v>
      </c>
      <c r="AA321" s="150" t="s">
        <v>334</v>
      </c>
      <c r="AB321" s="153">
        <v>0.02</v>
      </c>
      <c r="AC321" s="151">
        <v>44581</v>
      </c>
      <c r="AD321" s="150"/>
      <c r="AE321" s="151"/>
      <c r="AF321" s="150" t="s">
        <v>70</v>
      </c>
      <c r="AG321" s="152" t="s">
        <v>352</v>
      </c>
      <c r="AH321" s="150" t="s">
        <v>326</v>
      </c>
      <c r="AI321" s="99"/>
      <c r="AJ321" s="149"/>
      <c r="AK321" s="138">
        <v>20</v>
      </c>
      <c r="AL321" s="149"/>
      <c r="AM321" s="149">
        <v>2</v>
      </c>
      <c r="AN321" s="149">
        <v>0</v>
      </c>
      <c r="AO321" s="149">
        <v>2</v>
      </c>
      <c r="AP321" s="149">
        <v>19</v>
      </c>
      <c r="AQ321" s="149">
        <v>1</v>
      </c>
      <c r="AR321" s="149">
        <v>0</v>
      </c>
      <c r="AS321" s="149">
        <v>0</v>
      </c>
      <c r="AT321" s="149">
        <v>0</v>
      </c>
      <c r="AU321" s="149">
        <v>0</v>
      </c>
      <c r="AV321" s="149">
        <v>2</v>
      </c>
      <c r="AW321" s="149">
        <v>19</v>
      </c>
      <c r="AX321" s="149">
        <v>1</v>
      </c>
      <c r="AY321" s="149">
        <v>0</v>
      </c>
      <c r="AZ321" s="149">
        <v>0</v>
      </c>
      <c r="BA321" s="149">
        <v>0</v>
      </c>
      <c r="BB321" s="149">
        <v>0</v>
      </c>
      <c r="BC321" s="149">
        <v>0</v>
      </c>
      <c r="BD321" s="149">
        <v>0</v>
      </c>
      <c r="BE321" s="149">
        <v>0</v>
      </c>
      <c r="BF321" s="149">
        <v>0</v>
      </c>
      <c r="BG321" s="149">
        <v>0</v>
      </c>
      <c r="BH321" s="149">
        <v>0</v>
      </c>
      <c r="BI321" s="149">
        <v>0</v>
      </c>
      <c r="BJ321" s="149">
        <v>0</v>
      </c>
      <c r="BK321" s="149">
        <v>0</v>
      </c>
      <c r="BL321" s="149">
        <v>0</v>
      </c>
      <c r="BM321" s="149">
        <v>0</v>
      </c>
      <c r="BN321" s="149">
        <v>0</v>
      </c>
      <c r="BO321" s="149">
        <v>0</v>
      </c>
      <c r="BP321" s="152"/>
      <c r="BQ321" s="152"/>
      <c r="BR321" s="154" t="s">
        <v>359</v>
      </c>
      <c r="BS321" s="136">
        <v>5</v>
      </c>
      <c r="BT321" s="267"/>
      <c r="BU321" s="267">
        <f>M321</f>
        <v>22</v>
      </c>
      <c r="BV321" s="267"/>
      <c r="BW321" s="267"/>
      <c r="BX321" s="267"/>
      <c r="BY321" s="267"/>
      <c r="BZ321" s="267"/>
      <c r="CA321" s="267"/>
      <c r="CB321" s="267"/>
      <c r="CC321" s="267"/>
      <c r="CD321" s="267"/>
      <c r="CE321" s="267"/>
      <c r="CF321" s="267"/>
      <c r="CG321" s="267"/>
      <c r="CH321" s="267"/>
      <c r="CI321" s="267"/>
      <c r="CJ321" s="267"/>
      <c r="CK321" s="267"/>
      <c r="CL321" s="267"/>
      <c r="CM321" s="267"/>
      <c r="CN321" s="101">
        <f t="shared" si="24"/>
        <v>22</v>
      </c>
      <c r="CO321" s="101">
        <f t="shared" si="25"/>
        <v>22</v>
      </c>
    </row>
    <row r="322" spans="1:93" ht="13.9" customHeight="1" x14ac:dyDescent="0.2">
      <c r="A322" s="149">
        <v>6657</v>
      </c>
      <c r="B322" s="150" t="s">
        <v>854</v>
      </c>
      <c r="C322" s="150" t="s">
        <v>1118</v>
      </c>
      <c r="D322" s="150" t="s">
        <v>1119</v>
      </c>
      <c r="E322" s="150" t="s">
        <v>1124</v>
      </c>
      <c r="F322" s="149">
        <v>525999</v>
      </c>
      <c r="G322" s="149">
        <v>173647</v>
      </c>
      <c r="H322" s="150" t="s">
        <v>175</v>
      </c>
      <c r="I322" s="151">
        <v>44581</v>
      </c>
      <c r="J322" s="151"/>
      <c r="K322" s="149">
        <v>0</v>
      </c>
      <c r="L322" s="149">
        <v>21</v>
      </c>
      <c r="M322" s="149">
        <v>21</v>
      </c>
      <c r="N322" s="149">
        <v>193</v>
      </c>
      <c r="O322" s="149">
        <v>182</v>
      </c>
      <c r="P322" s="152" t="s">
        <v>327</v>
      </c>
      <c r="Q322" s="150" t="s">
        <v>1121</v>
      </c>
      <c r="R322" s="150" t="s">
        <v>850</v>
      </c>
      <c r="S322" s="151">
        <v>44260</v>
      </c>
      <c r="T322" s="151">
        <v>44396</v>
      </c>
      <c r="U322" s="152"/>
      <c r="V322" s="150" t="s">
        <v>330</v>
      </c>
      <c r="W322" s="151"/>
      <c r="X322" s="150" t="s">
        <v>331</v>
      </c>
      <c r="Y322" s="150" t="s">
        <v>343</v>
      </c>
      <c r="Z322" s="150" t="s">
        <v>343</v>
      </c>
      <c r="AA322" s="150" t="s">
        <v>334</v>
      </c>
      <c r="AB322" s="153">
        <v>1.9E-2</v>
      </c>
      <c r="AC322" s="151">
        <v>44581</v>
      </c>
      <c r="AD322" s="150"/>
      <c r="AE322" s="151"/>
      <c r="AF322" s="150" t="s">
        <v>48</v>
      </c>
      <c r="AG322" s="152" t="s">
        <v>544</v>
      </c>
      <c r="AH322" s="150" t="s">
        <v>326</v>
      </c>
      <c r="AI322" s="99"/>
      <c r="AJ322" s="149"/>
      <c r="AK322" s="138">
        <v>18</v>
      </c>
      <c r="AL322" s="149"/>
      <c r="AM322" s="138">
        <v>3</v>
      </c>
      <c r="AN322" s="149">
        <v>0</v>
      </c>
      <c r="AO322" s="149">
        <v>5</v>
      </c>
      <c r="AP322" s="149">
        <v>16</v>
      </c>
      <c r="AQ322" s="149">
        <v>0</v>
      </c>
      <c r="AR322" s="149">
        <v>0</v>
      </c>
      <c r="AS322" s="149">
        <v>0</v>
      </c>
      <c r="AT322" s="149">
        <v>0</v>
      </c>
      <c r="AU322" s="149">
        <v>0</v>
      </c>
      <c r="AV322" s="149">
        <v>5</v>
      </c>
      <c r="AW322" s="149">
        <v>16</v>
      </c>
      <c r="AX322" s="149">
        <v>0</v>
      </c>
      <c r="AY322" s="149">
        <v>0</v>
      </c>
      <c r="AZ322" s="149">
        <v>0</v>
      </c>
      <c r="BA322" s="149">
        <v>0</v>
      </c>
      <c r="BB322" s="149">
        <v>0</v>
      </c>
      <c r="BC322" s="149">
        <v>0</v>
      </c>
      <c r="BD322" s="149">
        <v>0</v>
      </c>
      <c r="BE322" s="149">
        <v>0</v>
      </c>
      <c r="BF322" s="149">
        <v>0</v>
      </c>
      <c r="BG322" s="149">
        <v>0</v>
      </c>
      <c r="BH322" s="149">
        <v>0</v>
      </c>
      <c r="BI322" s="149">
        <v>0</v>
      </c>
      <c r="BJ322" s="149">
        <v>0</v>
      </c>
      <c r="BK322" s="149">
        <v>0</v>
      </c>
      <c r="BL322" s="149">
        <v>0</v>
      </c>
      <c r="BM322" s="149">
        <v>0</v>
      </c>
      <c r="BN322" s="149">
        <v>0</v>
      </c>
      <c r="BO322" s="149">
        <v>0</v>
      </c>
      <c r="BP322" s="152"/>
      <c r="BQ322" s="152"/>
      <c r="BR322" s="154" t="s">
        <v>359</v>
      </c>
      <c r="BS322" s="136">
        <v>5</v>
      </c>
      <c r="BT322" s="267"/>
      <c r="BU322" s="267">
        <f>M322</f>
        <v>21</v>
      </c>
      <c r="BV322" s="267"/>
      <c r="BW322" s="267"/>
      <c r="BX322" s="267"/>
      <c r="BY322" s="267"/>
      <c r="BZ322" s="267"/>
      <c r="CA322" s="267"/>
      <c r="CB322" s="267"/>
      <c r="CC322" s="267"/>
      <c r="CD322" s="267"/>
      <c r="CE322" s="267"/>
      <c r="CF322" s="267"/>
      <c r="CG322" s="267"/>
      <c r="CH322" s="267"/>
      <c r="CI322" s="267"/>
      <c r="CJ322" s="267"/>
      <c r="CK322" s="267"/>
      <c r="CL322" s="267"/>
      <c r="CM322" s="267"/>
      <c r="CN322" s="101">
        <f t="shared" si="24"/>
        <v>21</v>
      </c>
      <c r="CO322" s="101">
        <f t="shared" si="25"/>
        <v>21</v>
      </c>
    </row>
    <row r="323" spans="1:93" ht="13.9" customHeight="1" x14ac:dyDescent="0.2">
      <c r="A323" s="149">
        <v>6016</v>
      </c>
      <c r="B323" s="150" t="s">
        <v>854</v>
      </c>
      <c r="C323" s="150" t="s">
        <v>1125</v>
      </c>
      <c r="D323" s="150" t="s">
        <v>1126</v>
      </c>
      <c r="E323" s="150" t="s">
        <v>326</v>
      </c>
      <c r="F323" s="149">
        <v>525206</v>
      </c>
      <c r="G323" s="149">
        <v>173428</v>
      </c>
      <c r="H323" s="150" t="s">
        <v>169</v>
      </c>
      <c r="I323" s="151">
        <v>45382</v>
      </c>
      <c r="J323" s="151"/>
      <c r="K323" s="149">
        <v>0</v>
      </c>
      <c r="L323" s="149">
        <v>2</v>
      </c>
      <c r="M323" s="149">
        <v>2</v>
      </c>
      <c r="N323" s="149">
        <v>2</v>
      </c>
      <c r="O323" s="149">
        <v>2</v>
      </c>
      <c r="P323" s="152"/>
      <c r="Q323" s="150" t="s">
        <v>1127</v>
      </c>
      <c r="R323" s="150" t="s">
        <v>427</v>
      </c>
      <c r="S323" s="151">
        <v>44286</v>
      </c>
      <c r="T323" s="151">
        <v>44340</v>
      </c>
      <c r="U323" s="152"/>
      <c r="V323" s="150" t="s">
        <v>330</v>
      </c>
      <c r="W323" s="151"/>
      <c r="X323" s="150" t="s">
        <v>331</v>
      </c>
      <c r="Y323" s="150" t="s">
        <v>332</v>
      </c>
      <c r="Z323" s="150" t="s">
        <v>334</v>
      </c>
      <c r="AA323" s="150" t="s">
        <v>26</v>
      </c>
      <c r="AB323" s="153">
        <v>5.0000000000000001E-3</v>
      </c>
      <c r="AC323" s="151">
        <v>45382</v>
      </c>
      <c r="AD323" s="152" t="s">
        <v>327</v>
      </c>
      <c r="AE323" s="151"/>
      <c r="AF323" s="150" t="s">
        <v>70</v>
      </c>
      <c r="AG323" s="152" t="s">
        <v>352</v>
      </c>
      <c r="AH323" s="150" t="s">
        <v>326</v>
      </c>
      <c r="AI323" s="99"/>
      <c r="AJ323" s="149"/>
      <c r="AK323" s="99"/>
      <c r="AL323" s="149"/>
      <c r="AM323" s="99"/>
      <c r="AN323" s="149">
        <v>0</v>
      </c>
      <c r="AO323" s="149">
        <v>2</v>
      </c>
      <c r="AP323" s="149">
        <v>0</v>
      </c>
      <c r="AQ323" s="149">
        <v>0</v>
      </c>
      <c r="AR323" s="149">
        <v>0</v>
      </c>
      <c r="AS323" s="149">
        <v>0</v>
      </c>
      <c r="AT323" s="149">
        <v>0</v>
      </c>
      <c r="AU323" s="149">
        <v>0</v>
      </c>
      <c r="AV323" s="149">
        <v>2</v>
      </c>
      <c r="AW323" s="149">
        <v>0</v>
      </c>
      <c r="AX323" s="149">
        <v>0</v>
      </c>
      <c r="AY323" s="149">
        <v>0</v>
      </c>
      <c r="AZ323" s="149">
        <v>0</v>
      </c>
      <c r="BA323" s="149">
        <v>0</v>
      </c>
      <c r="BB323" s="149">
        <v>0</v>
      </c>
      <c r="BC323" s="149">
        <v>0</v>
      </c>
      <c r="BD323" s="149">
        <v>0</v>
      </c>
      <c r="BE323" s="149">
        <v>0</v>
      </c>
      <c r="BF323" s="149">
        <v>0</v>
      </c>
      <c r="BG323" s="149">
        <v>0</v>
      </c>
      <c r="BH323" s="149">
        <v>0</v>
      </c>
      <c r="BI323" s="149">
        <v>0</v>
      </c>
      <c r="BJ323" s="149">
        <v>0</v>
      </c>
      <c r="BK323" s="149">
        <v>0</v>
      </c>
      <c r="BL323" s="149">
        <v>0</v>
      </c>
      <c r="BM323" s="149">
        <v>0</v>
      </c>
      <c r="BN323" s="149">
        <v>0</v>
      </c>
      <c r="BO323" s="149">
        <v>0</v>
      </c>
      <c r="BP323" s="152"/>
      <c r="BQ323" s="152"/>
      <c r="BR323" s="154" t="s">
        <v>359</v>
      </c>
      <c r="BS323" s="136">
        <v>14</v>
      </c>
      <c r="BT323" s="267"/>
      <c r="BU323" s="267">
        <f>M323/2</f>
        <v>1</v>
      </c>
      <c r="BV323" s="267">
        <f>M323/2</f>
        <v>1</v>
      </c>
      <c r="BW323" s="267"/>
      <c r="BX323" s="267"/>
      <c r="BY323" s="267"/>
      <c r="BZ323" s="267"/>
      <c r="CA323" s="267"/>
      <c r="CB323" s="267"/>
      <c r="CC323" s="267"/>
      <c r="CD323" s="267"/>
      <c r="CE323" s="267"/>
      <c r="CF323" s="267"/>
      <c r="CG323" s="267"/>
      <c r="CH323" s="267"/>
      <c r="CI323" s="267"/>
      <c r="CJ323" s="267"/>
      <c r="CK323" s="267"/>
      <c r="CL323" s="267"/>
      <c r="CM323" s="267"/>
      <c r="CN323" s="101">
        <f t="shared" si="24"/>
        <v>2</v>
      </c>
      <c r="CO323" s="101">
        <f t="shared" si="25"/>
        <v>2</v>
      </c>
    </row>
    <row r="324" spans="1:93" ht="13.9" customHeight="1" x14ac:dyDescent="0.2">
      <c r="A324" s="149">
        <v>7629</v>
      </c>
      <c r="B324" s="150" t="s">
        <v>854</v>
      </c>
      <c r="C324" s="150" t="s">
        <v>1128</v>
      </c>
      <c r="D324" s="150" t="s">
        <v>1129</v>
      </c>
      <c r="E324" s="150" t="s">
        <v>48</v>
      </c>
      <c r="F324" s="149">
        <v>527264</v>
      </c>
      <c r="G324" s="149">
        <v>176919</v>
      </c>
      <c r="H324" s="150" t="s">
        <v>160</v>
      </c>
      <c r="I324" s="151">
        <v>44743</v>
      </c>
      <c r="J324" s="151"/>
      <c r="K324" s="149">
        <v>0</v>
      </c>
      <c r="L324" s="149">
        <v>9</v>
      </c>
      <c r="M324" s="149">
        <v>9</v>
      </c>
      <c r="N324" s="149">
        <v>24</v>
      </c>
      <c r="O324" s="149">
        <v>24</v>
      </c>
      <c r="P324" s="152" t="s">
        <v>327</v>
      </c>
      <c r="Q324" s="150" t="s">
        <v>1130</v>
      </c>
      <c r="R324" s="150" t="s">
        <v>329</v>
      </c>
      <c r="S324" s="151">
        <v>44299</v>
      </c>
      <c r="T324" s="151">
        <v>44701</v>
      </c>
      <c r="U324" s="152"/>
      <c r="V324" s="150" t="s">
        <v>330</v>
      </c>
      <c r="W324" s="151"/>
      <c r="X324" s="150" t="s">
        <v>331</v>
      </c>
      <c r="Y324" s="150" t="s">
        <v>343</v>
      </c>
      <c r="Z324" s="150" t="s">
        <v>343</v>
      </c>
      <c r="AA324" s="150" t="s">
        <v>334</v>
      </c>
      <c r="AB324" s="153">
        <v>8.3000000000000004E-2</v>
      </c>
      <c r="AC324" s="151">
        <v>44743</v>
      </c>
      <c r="AD324" s="150"/>
      <c r="AE324" s="151"/>
      <c r="AF324" s="150" t="s">
        <v>48</v>
      </c>
      <c r="AG324" s="152" t="s">
        <v>544</v>
      </c>
      <c r="AH324" s="150" t="s">
        <v>326</v>
      </c>
      <c r="AI324" s="99"/>
      <c r="AJ324" s="149"/>
      <c r="AK324" s="99"/>
      <c r="AL324" s="149"/>
      <c r="AM324" s="138">
        <v>2</v>
      </c>
      <c r="AN324" s="149">
        <v>0</v>
      </c>
      <c r="AO324" s="149">
        <v>4</v>
      </c>
      <c r="AP324" s="149">
        <v>5</v>
      </c>
      <c r="AQ324" s="149">
        <v>0</v>
      </c>
      <c r="AR324" s="149">
        <v>0</v>
      </c>
      <c r="AS324" s="149">
        <v>0</v>
      </c>
      <c r="AT324" s="149">
        <v>0</v>
      </c>
      <c r="AU324" s="149">
        <v>0</v>
      </c>
      <c r="AV324" s="149">
        <v>4</v>
      </c>
      <c r="AW324" s="149">
        <v>5</v>
      </c>
      <c r="AX324" s="149">
        <v>0</v>
      </c>
      <c r="AY324" s="149">
        <v>0</v>
      </c>
      <c r="AZ324" s="149">
        <v>0</v>
      </c>
      <c r="BA324" s="149">
        <v>0</v>
      </c>
      <c r="BB324" s="149">
        <v>0</v>
      </c>
      <c r="BC324" s="149">
        <v>0</v>
      </c>
      <c r="BD324" s="149">
        <v>0</v>
      </c>
      <c r="BE324" s="149">
        <v>0</v>
      </c>
      <c r="BF324" s="149">
        <v>0</v>
      </c>
      <c r="BG324" s="149">
        <v>0</v>
      </c>
      <c r="BH324" s="149">
        <v>0</v>
      </c>
      <c r="BI324" s="149">
        <v>0</v>
      </c>
      <c r="BJ324" s="149">
        <v>0</v>
      </c>
      <c r="BK324" s="149">
        <v>0</v>
      </c>
      <c r="BL324" s="149">
        <v>0</v>
      </c>
      <c r="BM324" s="149">
        <v>0</v>
      </c>
      <c r="BN324" s="149">
        <v>0</v>
      </c>
      <c r="BO324" s="149">
        <v>0</v>
      </c>
      <c r="BP324" s="152"/>
      <c r="BQ324" s="152"/>
      <c r="BR324" s="154" t="s">
        <v>359</v>
      </c>
      <c r="BS324" s="136">
        <v>6</v>
      </c>
      <c r="BT324" s="267"/>
      <c r="BU324" s="267"/>
      <c r="BV324" s="267">
        <f>M324/4</f>
        <v>2.25</v>
      </c>
      <c r="BW324" s="267">
        <f>M324/4</f>
        <v>2.25</v>
      </c>
      <c r="BX324" s="267">
        <f>M324/4</f>
        <v>2.25</v>
      </c>
      <c r="BY324" s="267">
        <f>M324/4</f>
        <v>2.25</v>
      </c>
      <c r="BZ324" s="267"/>
      <c r="CA324" s="267"/>
      <c r="CB324" s="267"/>
      <c r="CC324" s="267"/>
      <c r="CD324" s="267"/>
      <c r="CE324" s="267"/>
      <c r="CF324" s="267"/>
      <c r="CG324" s="267"/>
      <c r="CH324" s="267"/>
      <c r="CI324" s="267"/>
      <c r="CJ324" s="267"/>
      <c r="CK324" s="267"/>
      <c r="CL324" s="267"/>
      <c r="CM324" s="267"/>
      <c r="CN324" s="101">
        <f t="shared" si="24"/>
        <v>9</v>
      </c>
      <c r="CO324" s="101">
        <f t="shared" si="25"/>
        <v>9</v>
      </c>
    </row>
    <row r="325" spans="1:93" ht="13.9" customHeight="1" x14ac:dyDescent="0.2">
      <c r="A325" s="149">
        <v>7629</v>
      </c>
      <c r="B325" s="150" t="s">
        <v>854</v>
      </c>
      <c r="C325" s="150" t="s">
        <v>1128</v>
      </c>
      <c r="D325" s="150" t="s">
        <v>1129</v>
      </c>
      <c r="E325" s="150" t="s">
        <v>183</v>
      </c>
      <c r="F325" s="149">
        <v>527264</v>
      </c>
      <c r="G325" s="149">
        <v>176919</v>
      </c>
      <c r="H325" s="150" t="s">
        <v>160</v>
      </c>
      <c r="I325" s="151">
        <v>44743</v>
      </c>
      <c r="J325" s="151"/>
      <c r="K325" s="149">
        <v>0</v>
      </c>
      <c r="L325" s="149">
        <v>15</v>
      </c>
      <c r="M325" s="149">
        <v>15</v>
      </c>
      <c r="N325" s="149">
        <v>24</v>
      </c>
      <c r="O325" s="149">
        <v>24</v>
      </c>
      <c r="P325" s="152" t="s">
        <v>327</v>
      </c>
      <c r="Q325" s="150" t="s">
        <v>1130</v>
      </c>
      <c r="R325" s="150" t="s">
        <v>329</v>
      </c>
      <c r="S325" s="151">
        <v>44299</v>
      </c>
      <c r="T325" s="151">
        <v>44701</v>
      </c>
      <c r="U325" s="152"/>
      <c r="V325" s="150" t="s">
        <v>330</v>
      </c>
      <c r="W325" s="151"/>
      <c r="X325" s="150" t="s">
        <v>331</v>
      </c>
      <c r="Y325" s="150" t="s">
        <v>343</v>
      </c>
      <c r="Z325" s="150" t="s">
        <v>343</v>
      </c>
      <c r="AA325" s="150" t="s">
        <v>334</v>
      </c>
      <c r="AB325" s="153">
        <v>0.13800000000000001</v>
      </c>
      <c r="AC325" s="151">
        <v>44743</v>
      </c>
      <c r="AD325" s="150"/>
      <c r="AE325" s="151"/>
      <c r="AF325" s="150" t="s">
        <v>70</v>
      </c>
      <c r="AG325" s="152" t="s">
        <v>352</v>
      </c>
      <c r="AH325" s="150" t="s">
        <v>326</v>
      </c>
      <c r="AI325" s="99"/>
      <c r="AJ325" s="149"/>
      <c r="AK325" s="99"/>
      <c r="AL325" s="149"/>
      <c r="AM325" s="99"/>
      <c r="AN325" s="149">
        <v>2</v>
      </c>
      <c r="AO325" s="149">
        <v>2</v>
      </c>
      <c r="AP325" s="149">
        <v>9</v>
      </c>
      <c r="AQ325" s="149">
        <v>2</v>
      </c>
      <c r="AR325" s="149">
        <v>0</v>
      </c>
      <c r="AS325" s="149">
        <v>0</v>
      </c>
      <c r="AT325" s="149">
        <v>0</v>
      </c>
      <c r="AU325" s="149">
        <v>2</v>
      </c>
      <c r="AV325" s="149">
        <v>2</v>
      </c>
      <c r="AW325" s="149">
        <v>9</v>
      </c>
      <c r="AX325" s="149">
        <v>2</v>
      </c>
      <c r="AY325" s="149">
        <v>0</v>
      </c>
      <c r="AZ325" s="149">
        <v>0</v>
      </c>
      <c r="BA325" s="149">
        <v>0</v>
      </c>
      <c r="BB325" s="149">
        <v>0</v>
      </c>
      <c r="BC325" s="149">
        <v>0</v>
      </c>
      <c r="BD325" s="149">
        <v>0</v>
      </c>
      <c r="BE325" s="149">
        <v>0</v>
      </c>
      <c r="BF325" s="149">
        <v>0</v>
      </c>
      <c r="BG325" s="149">
        <v>0</v>
      </c>
      <c r="BH325" s="149">
        <v>0</v>
      </c>
      <c r="BI325" s="149">
        <v>0</v>
      </c>
      <c r="BJ325" s="149">
        <v>0</v>
      </c>
      <c r="BK325" s="149">
        <v>0</v>
      </c>
      <c r="BL325" s="149">
        <v>0</v>
      </c>
      <c r="BM325" s="149">
        <v>0</v>
      </c>
      <c r="BN325" s="149">
        <v>0</v>
      </c>
      <c r="BO325" s="149">
        <v>0</v>
      </c>
      <c r="BP325" s="152"/>
      <c r="BQ325" s="152"/>
      <c r="BR325" s="154" t="s">
        <v>359</v>
      </c>
      <c r="BS325" s="136">
        <v>6</v>
      </c>
      <c r="BT325" s="267"/>
      <c r="BU325" s="267"/>
      <c r="BV325" s="267">
        <f>M325/4</f>
        <v>3.75</v>
      </c>
      <c r="BW325" s="267">
        <f>M325/4</f>
        <v>3.75</v>
      </c>
      <c r="BX325" s="267">
        <f>M325/4</f>
        <v>3.75</v>
      </c>
      <c r="BY325" s="267">
        <f>M325/4</f>
        <v>3.75</v>
      </c>
      <c r="BZ325" s="267"/>
      <c r="CA325" s="267"/>
      <c r="CB325" s="267"/>
      <c r="CC325" s="267"/>
      <c r="CD325" s="267"/>
      <c r="CE325" s="267"/>
      <c r="CF325" s="267"/>
      <c r="CG325" s="267"/>
      <c r="CH325" s="267"/>
      <c r="CI325" s="267"/>
      <c r="CJ325" s="267"/>
      <c r="CK325" s="267"/>
      <c r="CL325" s="267"/>
      <c r="CM325" s="267"/>
      <c r="CN325" s="101">
        <f t="shared" si="24"/>
        <v>15</v>
      </c>
      <c r="CO325" s="101">
        <f t="shared" si="25"/>
        <v>15</v>
      </c>
    </row>
    <row r="326" spans="1:93" ht="13.9" customHeight="1" x14ac:dyDescent="0.2">
      <c r="A326" s="149">
        <v>6657</v>
      </c>
      <c r="B326" s="150" t="s">
        <v>854</v>
      </c>
      <c r="C326" s="150" t="s">
        <v>1118</v>
      </c>
      <c r="D326" s="150" t="s">
        <v>1119</v>
      </c>
      <c r="E326" s="150" t="s">
        <v>1131</v>
      </c>
      <c r="F326" s="149">
        <v>525999</v>
      </c>
      <c r="G326" s="149">
        <v>173647</v>
      </c>
      <c r="H326" s="150" t="s">
        <v>175</v>
      </c>
      <c r="I326" s="151">
        <v>44581</v>
      </c>
      <c r="J326" s="151"/>
      <c r="K326" s="149">
        <v>0</v>
      </c>
      <c r="L326" s="149">
        <v>6</v>
      </c>
      <c r="M326" s="149">
        <v>6</v>
      </c>
      <c r="N326" s="149">
        <v>193</v>
      </c>
      <c r="O326" s="149">
        <v>182</v>
      </c>
      <c r="P326" s="152" t="s">
        <v>327</v>
      </c>
      <c r="Q326" s="150" t="s">
        <v>1121</v>
      </c>
      <c r="R326" s="150" t="s">
        <v>850</v>
      </c>
      <c r="S326" s="151">
        <v>44260</v>
      </c>
      <c r="T326" s="151">
        <v>44396</v>
      </c>
      <c r="U326" s="152"/>
      <c r="V326" s="150" t="s">
        <v>330</v>
      </c>
      <c r="W326" s="151"/>
      <c r="X326" s="150" t="s">
        <v>331</v>
      </c>
      <c r="Y326" s="150" t="s">
        <v>343</v>
      </c>
      <c r="Z326" s="150" t="s">
        <v>343</v>
      </c>
      <c r="AA326" s="150" t="s">
        <v>334</v>
      </c>
      <c r="AB326" s="153">
        <v>5.0000000000000001E-3</v>
      </c>
      <c r="AC326" s="151">
        <v>45017</v>
      </c>
      <c r="AD326" s="152" t="s">
        <v>327</v>
      </c>
      <c r="AE326" s="151"/>
      <c r="AF326" s="150" t="s">
        <v>48</v>
      </c>
      <c r="AG326" s="152" t="s">
        <v>544</v>
      </c>
      <c r="AH326" s="150" t="s">
        <v>326</v>
      </c>
      <c r="AI326" s="99"/>
      <c r="AJ326" s="149"/>
      <c r="AK326" s="102"/>
      <c r="AL326" s="149"/>
      <c r="AM326" s="149">
        <v>2</v>
      </c>
      <c r="AN326" s="149">
        <v>0</v>
      </c>
      <c r="AO326" s="149">
        <v>0</v>
      </c>
      <c r="AP326" s="149">
        <v>6</v>
      </c>
      <c r="AQ326" s="149">
        <v>0</v>
      </c>
      <c r="AR326" s="149">
        <v>0</v>
      </c>
      <c r="AS326" s="149">
        <v>0</v>
      </c>
      <c r="AT326" s="149">
        <v>0</v>
      </c>
      <c r="AU326" s="149">
        <v>0</v>
      </c>
      <c r="AV326" s="149">
        <v>0</v>
      </c>
      <c r="AW326" s="149">
        <v>6</v>
      </c>
      <c r="AX326" s="149">
        <v>0</v>
      </c>
      <c r="AY326" s="149">
        <v>0</v>
      </c>
      <c r="AZ326" s="149">
        <v>0</v>
      </c>
      <c r="BA326" s="149">
        <v>0</v>
      </c>
      <c r="BB326" s="149">
        <v>0</v>
      </c>
      <c r="BC326" s="149">
        <v>0</v>
      </c>
      <c r="BD326" s="149">
        <v>0</v>
      </c>
      <c r="BE326" s="149">
        <v>0</v>
      </c>
      <c r="BF326" s="149">
        <v>0</v>
      </c>
      <c r="BG326" s="149">
        <v>0</v>
      </c>
      <c r="BH326" s="149">
        <v>0</v>
      </c>
      <c r="BI326" s="149">
        <v>0</v>
      </c>
      <c r="BJ326" s="149">
        <v>0</v>
      </c>
      <c r="BK326" s="149">
        <v>0</v>
      </c>
      <c r="BL326" s="149">
        <v>0</v>
      </c>
      <c r="BM326" s="149">
        <v>0</v>
      </c>
      <c r="BN326" s="149">
        <v>0</v>
      </c>
      <c r="BO326" s="149">
        <v>0</v>
      </c>
      <c r="BP326" s="152"/>
      <c r="BQ326" s="152"/>
      <c r="BR326" s="154" t="s">
        <v>359</v>
      </c>
      <c r="BS326" s="136">
        <v>5</v>
      </c>
      <c r="BT326" s="267"/>
      <c r="BU326" s="267">
        <f>M326</f>
        <v>6</v>
      </c>
      <c r="BV326" s="267"/>
      <c r="BW326" s="267"/>
      <c r="BX326" s="267"/>
      <c r="BY326" s="267"/>
      <c r="BZ326" s="267"/>
      <c r="CA326" s="267"/>
      <c r="CB326" s="267"/>
      <c r="CC326" s="267"/>
      <c r="CD326" s="267"/>
      <c r="CE326" s="267"/>
      <c r="CF326" s="267"/>
      <c r="CG326" s="267"/>
      <c r="CH326" s="267"/>
      <c r="CI326" s="267"/>
      <c r="CJ326" s="267"/>
      <c r="CK326" s="267"/>
      <c r="CL326" s="267"/>
      <c r="CM326" s="267"/>
      <c r="CN326" s="101">
        <f t="shared" si="24"/>
        <v>6</v>
      </c>
      <c r="CO326" s="101">
        <f t="shared" si="25"/>
        <v>6</v>
      </c>
    </row>
    <row r="327" spans="1:93" ht="13.9" customHeight="1" x14ac:dyDescent="0.2">
      <c r="A327" s="149">
        <v>7709</v>
      </c>
      <c r="B327" s="150" t="s">
        <v>854</v>
      </c>
      <c r="C327" s="150" t="s">
        <v>1132</v>
      </c>
      <c r="D327" s="150" t="s">
        <v>1133</v>
      </c>
      <c r="E327" s="150" t="s">
        <v>326</v>
      </c>
      <c r="F327" s="149">
        <v>527842</v>
      </c>
      <c r="G327" s="149">
        <v>174955</v>
      </c>
      <c r="H327" s="150" t="s">
        <v>165</v>
      </c>
      <c r="I327" s="151">
        <v>45017</v>
      </c>
      <c r="J327" s="151"/>
      <c r="K327" s="149">
        <v>1</v>
      </c>
      <c r="L327" s="149">
        <v>1</v>
      </c>
      <c r="M327" s="149">
        <v>0</v>
      </c>
      <c r="N327" s="149">
        <v>1</v>
      </c>
      <c r="O327" s="149">
        <v>0</v>
      </c>
      <c r="P327" s="152"/>
      <c r="Q327" s="150" t="s">
        <v>1134</v>
      </c>
      <c r="R327" s="150" t="s">
        <v>349</v>
      </c>
      <c r="S327" s="151">
        <v>44344</v>
      </c>
      <c r="T327" s="151">
        <v>44417</v>
      </c>
      <c r="U327" s="152"/>
      <c r="V327" s="150" t="s">
        <v>330</v>
      </c>
      <c r="W327" s="151"/>
      <c r="X327" s="150" t="s">
        <v>331</v>
      </c>
      <c r="Y327" s="150" t="s">
        <v>398</v>
      </c>
      <c r="Z327" s="150" t="s">
        <v>334</v>
      </c>
      <c r="AA327" s="150" t="s">
        <v>363</v>
      </c>
      <c r="AB327" s="153">
        <v>6.3749999999999996E-3</v>
      </c>
      <c r="AC327" s="151">
        <v>45017</v>
      </c>
      <c r="AD327" s="152" t="s">
        <v>327</v>
      </c>
      <c r="AE327" s="151"/>
      <c r="AF327" s="150" t="s">
        <v>70</v>
      </c>
      <c r="AG327" s="152" t="s">
        <v>352</v>
      </c>
      <c r="AH327" s="150" t="s">
        <v>326</v>
      </c>
      <c r="AI327" s="99"/>
      <c r="AJ327" s="149"/>
      <c r="AK327" s="99"/>
      <c r="AL327" s="149"/>
      <c r="AM327" s="99"/>
      <c r="AN327" s="149">
        <v>0</v>
      </c>
      <c r="AO327" s="149">
        <v>0</v>
      </c>
      <c r="AP327" s="149">
        <v>0</v>
      </c>
      <c r="AQ327" s="149">
        <v>0</v>
      </c>
      <c r="AR327" s="149">
        <v>-1</v>
      </c>
      <c r="AS327" s="149">
        <v>1</v>
      </c>
      <c r="AT327" s="149">
        <v>0</v>
      </c>
      <c r="AU327" s="149">
        <v>0</v>
      </c>
      <c r="AV327" s="149">
        <v>0</v>
      </c>
      <c r="AW327" s="149">
        <v>0</v>
      </c>
      <c r="AX327" s="149">
        <v>0</v>
      </c>
      <c r="AY327" s="149">
        <v>0</v>
      </c>
      <c r="AZ327" s="149">
        <v>0</v>
      </c>
      <c r="BA327" s="149">
        <v>0</v>
      </c>
      <c r="BB327" s="149">
        <v>0</v>
      </c>
      <c r="BC327" s="149">
        <v>0</v>
      </c>
      <c r="BD327" s="149">
        <v>0</v>
      </c>
      <c r="BE327" s="149">
        <v>0</v>
      </c>
      <c r="BF327" s="149">
        <v>-1</v>
      </c>
      <c r="BG327" s="149">
        <v>1</v>
      </c>
      <c r="BH327" s="149">
        <v>0</v>
      </c>
      <c r="BI327" s="149">
        <v>0</v>
      </c>
      <c r="BJ327" s="149">
        <v>0</v>
      </c>
      <c r="BK327" s="149">
        <v>0</v>
      </c>
      <c r="BL327" s="149">
        <v>0</v>
      </c>
      <c r="BM327" s="149">
        <v>0</v>
      </c>
      <c r="BN327" s="149">
        <v>0</v>
      </c>
      <c r="BO327" s="149">
        <v>0</v>
      </c>
      <c r="BP327" s="152"/>
      <c r="BQ327" s="152"/>
      <c r="BR327" s="154" t="s">
        <v>359</v>
      </c>
      <c r="BS327" s="136">
        <v>13</v>
      </c>
      <c r="BT327" s="267"/>
      <c r="BU327" s="267">
        <f>M327</f>
        <v>0</v>
      </c>
      <c r="BV327" s="267"/>
      <c r="BW327" s="267"/>
      <c r="BX327" s="267"/>
      <c r="BY327" s="267"/>
      <c r="BZ327" s="267"/>
      <c r="CA327" s="267"/>
      <c r="CB327" s="267"/>
      <c r="CC327" s="267"/>
      <c r="CD327" s="267"/>
      <c r="CE327" s="267"/>
      <c r="CF327" s="267"/>
      <c r="CG327" s="267"/>
      <c r="CH327" s="267"/>
      <c r="CI327" s="267"/>
      <c r="CJ327" s="267"/>
      <c r="CK327" s="267"/>
      <c r="CL327" s="267"/>
      <c r="CM327" s="267"/>
      <c r="CN327" s="101">
        <f t="shared" si="24"/>
        <v>0</v>
      </c>
      <c r="CO327" s="101">
        <f t="shared" si="25"/>
        <v>0</v>
      </c>
    </row>
    <row r="328" spans="1:93" ht="13.9" customHeight="1" x14ac:dyDescent="0.2">
      <c r="A328" s="149">
        <v>5410</v>
      </c>
      <c r="B328" s="150" t="s">
        <v>854</v>
      </c>
      <c r="C328" s="150" t="s">
        <v>1135</v>
      </c>
      <c r="D328" s="150" t="s">
        <v>1136</v>
      </c>
      <c r="E328" s="150" t="s">
        <v>326</v>
      </c>
      <c r="F328" s="149">
        <v>524095</v>
      </c>
      <c r="G328" s="149">
        <v>173645</v>
      </c>
      <c r="H328" s="150" t="s">
        <v>178</v>
      </c>
      <c r="I328" s="151">
        <v>45175</v>
      </c>
      <c r="J328" s="151"/>
      <c r="K328" s="149">
        <v>0</v>
      </c>
      <c r="L328" s="149">
        <v>3</v>
      </c>
      <c r="M328" s="149">
        <v>3</v>
      </c>
      <c r="N328" s="149">
        <v>3</v>
      </c>
      <c r="O328" s="149">
        <v>3</v>
      </c>
      <c r="P328" s="152"/>
      <c r="Q328" s="150" t="s">
        <v>1137</v>
      </c>
      <c r="R328" s="150" t="s">
        <v>329</v>
      </c>
      <c r="S328" s="151">
        <v>44376</v>
      </c>
      <c r="T328" s="151">
        <v>44672</v>
      </c>
      <c r="U328" s="152"/>
      <c r="V328" s="150" t="s">
        <v>330</v>
      </c>
      <c r="W328" s="151"/>
      <c r="X328" s="150" t="s">
        <v>331</v>
      </c>
      <c r="Y328" s="150" t="s">
        <v>491</v>
      </c>
      <c r="Z328" s="150" t="s">
        <v>334</v>
      </c>
      <c r="AA328" s="150" t="s">
        <v>413</v>
      </c>
      <c r="AB328" s="153">
        <v>2.8400000000000002E-2</v>
      </c>
      <c r="AC328" s="151">
        <v>45175</v>
      </c>
      <c r="AD328" s="152" t="s">
        <v>327</v>
      </c>
      <c r="AE328" s="151"/>
      <c r="AF328" s="150" t="s">
        <v>70</v>
      </c>
      <c r="AG328" s="152" t="s">
        <v>352</v>
      </c>
      <c r="AH328" s="150" t="s">
        <v>326</v>
      </c>
      <c r="AI328" s="99"/>
      <c r="AJ328" s="149"/>
      <c r="AK328" s="99"/>
      <c r="AL328" s="149"/>
      <c r="AM328" s="99"/>
      <c r="AN328" s="149">
        <v>0</v>
      </c>
      <c r="AO328" s="149">
        <v>1</v>
      </c>
      <c r="AP328" s="149">
        <v>1</v>
      </c>
      <c r="AQ328" s="149">
        <v>1</v>
      </c>
      <c r="AR328" s="149">
        <v>0</v>
      </c>
      <c r="AS328" s="149">
        <v>0</v>
      </c>
      <c r="AT328" s="149">
        <v>0</v>
      </c>
      <c r="AU328" s="149">
        <v>0</v>
      </c>
      <c r="AV328" s="149">
        <v>1</v>
      </c>
      <c r="AW328" s="149">
        <v>1</v>
      </c>
      <c r="AX328" s="149">
        <v>1</v>
      </c>
      <c r="AY328" s="149">
        <v>0</v>
      </c>
      <c r="AZ328" s="149">
        <v>0</v>
      </c>
      <c r="BA328" s="149">
        <v>0</v>
      </c>
      <c r="BB328" s="149">
        <v>0</v>
      </c>
      <c r="BC328" s="149">
        <v>0</v>
      </c>
      <c r="BD328" s="149">
        <v>0</v>
      </c>
      <c r="BE328" s="149">
        <v>0</v>
      </c>
      <c r="BF328" s="149">
        <v>0</v>
      </c>
      <c r="BG328" s="149">
        <v>0</v>
      </c>
      <c r="BH328" s="149">
        <v>0</v>
      </c>
      <c r="BI328" s="149">
        <v>0</v>
      </c>
      <c r="BJ328" s="149">
        <v>0</v>
      </c>
      <c r="BK328" s="149">
        <v>0</v>
      </c>
      <c r="BL328" s="149">
        <v>0</v>
      </c>
      <c r="BM328" s="149">
        <v>0</v>
      </c>
      <c r="BN328" s="149">
        <v>0</v>
      </c>
      <c r="BO328" s="149">
        <v>0</v>
      </c>
      <c r="BP328" s="152"/>
      <c r="BQ328" s="152"/>
      <c r="BR328" s="154" t="s">
        <v>359</v>
      </c>
      <c r="BS328" s="136">
        <v>13</v>
      </c>
      <c r="BT328" s="267"/>
      <c r="BU328" s="267">
        <f>M328</f>
        <v>3</v>
      </c>
      <c r="BV328" s="267"/>
      <c r="BW328" s="267"/>
      <c r="BX328" s="267"/>
      <c r="BY328" s="267"/>
      <c r="BZ328" s="267"/>
      <c r="CA328" s="267"/>
      <c r="CB328" s="267"/>
      <c r="CC328" s="267"/>
      <c r="CD328" s="267"/>
      <c r="CE328" s="267"/>
      <c r="CF328" s="267"/>
      <c r="CG328" s="267"/>
      <c r="CH328" s="267"/>
      <c r="CI328" s="267"/>
      <c r="CJ328" s="267"/>
      <c r="CK328" s="267"/>
      <c r="CL328" s="267"/>
      <c r="CM328" s="267"/>
      <c r="CN328" s="101">
        <f t="shared" si="24"/>
        <v>3</v>
      </c>
      <c r="CO328" s="101">
        <f t="shared" si="25"/>
        <v>3</v>
      </c>
    </row>
    <row r="329" spans="1:93" ht="13.9" customHeight="1" x14ac:dyDescent="0.2">
      <c r="A329" s="149">
        <v>7674</v>
      </c>
      <c r="B329" s="150" t="s">
        <v>854</v>
      </c>
      <c r="C329" s="150" t="s">
        <v>1138</v>
      </c>
      <c r="D329" s="150" t="s">
        <v>1139</v>
      </c>
      <c r="E329" s="150" t="s">
        <v>326</v>
      </c>
      <c r="F329" s="149">
        <v>523951</v>
      </c>
      <c r="G329" s="149">
        <v>175632</v>
      </c>
      <c r="H329" s="150" t="s">
        <v>171</v>
      </c>
      <c r="I329" s="151">
        <v>45350</v>
      </c>
      <c r="J329" s="151"/>
      <c r="K329" s="149">
        <v>0</v>
      </c>
      <c r="L329" s="149">
        <v>4</v>
      </c>
      <c r="M329" s="149">
        <v>4</v>
      </c>
      <c r="N329" s="149">
        <v>4</v>
      </c>
      <c r="O329" s="149">
        <v>4</v>
      </c>
      <c r="P329" s="152"/>
      <c r="Q329" s="150" t="s">
        <v>1140</v>
      </c>
      <c r="R329" s="150" t="s">
        <v>349</v>
      </c>
      <c r="S329" s="151">
        <v>44371</v>
      </c>
      <c r="T329" s="151">
        <v>44550</v>
      </c>
      <c r="U329" s="152"/>
      <c r="V329" s="150" t="s">
        <v>330</v>
      </c>
      <c r="W329" s="151"/>
      <c r="X329" s="150" t="s">
        <v>331</v>
      </c>
      <c r="Y329" s="150" t="s">
        <v>343</v>
      </c>
      <c r="Z329" s="150" t="s">
        <v>334</v>
      </c>
      <c r="AA329" s="150" t="s">
        <v>363</v>
      </c>
      <c r="AB329" s="153">
        <v>1.2E-2</v>
      </c>
      <c r="AC329" s="151">
        <v>45350</v>
      </c>
      <c r="AD329" s="152" t="s">
        <v>327</v>
      </c>
      <c r="AE329" s="151"/>
      <c r="AF329" s="150" t="s">
        <v>70</v>
      </c>
      <c r="AG329" s="152" t="s">
        <v>352</v>
      </c>
      <c r="AH329" s="150" t="s">
        <v>326</v>
      </c>
      <c r="AI329" s="99"/>
      <c r="AJ329" s="149"/>
      <c r="AK329" s="99"/>
      <c r="AL329" s="149"/>
      <c r="AM329" s="99"/>
      <c r="AN329" s="149">
        <v>0</v>
      </c>
      <c r="AO329" s="149">
        <v>2</v>
      </c>
      <c r="AP329" s="149">
        <v>2</v>
      </c>
      <c r="AQ329" s="149">
        <v>0</v>
      </c>
      <c r="AR329" s="149">
        <v>0</v>
      </c>
      <c r="AS329" s="149">
        <v>0</v>
      </c>
      <c r="AT329" s="149">
        <v>0</v>
      </c>
      <c r="AU329" s="149">
        <v>0</v>
      </c>
      <c r="AV329" s="149">
        <v>2</v>
      </c>
      <c r="AW329" s="149">
        <v>2</v>
      </c>
      <c r="AX329" s="149">
        <v>0</v>
      </c>
      <c r="AY329" s="149">
        <v>0</v>
      </c>
      <c r="AZ329" s="149">
        <v>0</v>
      </c>
      <c r="BA329" s="149">
        <v>0</v>
      </c>
      <c r="BB329" s="149">
        <v>0</v>
      </c>
      <c r="BC329" s="149">
        <v>0</v>
      </c>
      <c r="BD329" s="149">
        <v>0</v>
      </c>
      <c r="BE329" s="149">
        <v>0</v>
      </c>
      <c r="BF329" s="149">
        <v>0</v>
      </c>
      <c r="BG329" s="149">
        <v>0</v>
      </c>
      <c r="BH329" s="149">
        <v>0</v>
      </c>
      <c r="BI329" s="149">
        <v>0</v>
      </c>
      <c r="BJ329" s="149">
        <v>0</v>
      </c>
      <c r="BK329" s="149">
        <v>0</v>
      </c>
      <c r="BL329" s="149">
        <v>0</v>
      </c>
      <c r="BM329" s="149">
        <v>0</v>
      </c>
      <c r="BN329" s="149">
        <v>0</v>
      </c>
      <c r="BO329" s="149">
        <v>0</v>
      </c>
      <c r="BP329" s="152"/>
      <c r="BQ329" s="152"/>
      <c r="BR329" s="154" t="s">
        <v>359</v>
      </c>
      <c r="BS329" s="136">
        <v>4</v>
      </c>
      <c r="BT329" s="267"/>
      <c r="BU329" s="267">
        <f>M329/2</f>
        <v>2</v>
      </c>
      <c r="BV329" s="267">
        <f>M329/2</f>
        <v>2</v>
      </c>
      <c r="BW329" s="267"/>
      <c r="BX329" s="267"/>
      <c r="BY329" s="267"/>
      <c r="BZ329" s="267"/>
      <c r="CA329" s="267"/>
      <c r="CB329" s="267"/>
      <c r="CC329" s="267"/>
      <c r="CD329" s="267"/>
      <c r="CE329" s="267"/>
      <c r="CF329" s="267"/>
      <c r="CG329" s="267"/>
      <c r="CH329" s="267"/>
      <c r="CI329" s="267"/>
      <c r="CJ329" s="267"/>
      <c r="CK329" s="267"/>
      <c r="CL329" s="267"/>
      <c r="CM329" s="267"/>
      <c r="CN329" s="101">
        <f t="shared" si="24"/>
        <v>4</v>
      </c>
      <c r="CO329" s="101">
        <f t="shared" si="25"/>
        <v>4</v>
      </c>
    </row>
    <row r="330" spans="1:93" ht="13.9" customHeight="1" x14ac:dyDescent="0.2">
      <c r="A330" s="149">
        <v>7622</v>
      </c>
      <c r="B330" s="150" t="s">
        <v>854</v>
      </c>
      <c r="C330" s="150" t="s">
        <v>1141</v>
      </c>
      <c r="D330" s="150" t="s">
        <v>1142</v>
      </c>
      <c r="E330" s="150" t="s">
        <v>326</v>
      </c>
      <c r="F330" s="149">
        <v>529505</v>
      </c>
      <c r="G330" s="149">
        <v>177593</v>
      </c>
      <c r="H330" s="150" t="s">
        <v>149</v>
      </c>
      <c r="I330" s="151">
        <v>45382</v>
      </c>
      <c r="J330" s="151"/>
      <c r="K330" s="149">
        <v>2</v>
      </c>
      <c r="L330" s="149">
        <v>1</v>
      </c>
      <c r="M330" s="149">
        <v>-1</v>
      </c>
      <c r="N330" s="149">
        <v>1</v>
      </c>
      <c r="O330" s="149">
        <v>-1</v>
      </c>
      <c r="P330" s="152"/>
      <c r="Q330" s="150" t="s">
        <v>1143</v>
      </c>
      <c r="R330" s="150" t="s">
        <v>349</v>
      </c>
      <c r="S330" s="151">
        <v>44365</v>
      </c>
      <c r="T330" s="151">
        <v>44439</v>
      </c>
      <c r="U330" s="152"/>
      <c r="V330" s="150" t="s">
        <v>330</v>
      </c>
      <c r="W330" s="151"/>
      <c r="X330" s="150" t="s">
        <v>331</v>
      </c>
      <c r="Y330" s="150" t="s">
        <v>350</v>
      </c>
      <c r="Z330" s="150" t="s">
        <v>334</v>
      </c>
      <c r="AA330" s="150" t="s">
        <v>351</v>
      </c>
      <c r="AB330" s="153">
        <v>1.9099999999999999E-2</v>
      </c>
      <c r="AC330" s="151">
        <v>45382</v>
      </c>
      <c r="AD330" s="152" t="s">
        <v>327</v>
      </c>
      <c r="AE330" s="151"/>
      <c r="AF330" s="150" t="s">
        <v>70</v>
      </c>
      <c r="AG330" s="152" t="s">
        <v>352</v>
      </c>
      <c r="AH330" s="150" t="s">
        <v>1144</v>
      </c>
      <c r="AI330" s="99"/>
      <c r="AJ330" s="149"/>
      <c r="AK330" s="99"/>
      <c r="AL330" s="149"/>
      <c r="AM330" s="99"/>
      <c r="AN330" s="149">
        <v>0</v>
      </c>
      <c r="AO330" s="149">
        <v>0</v>
      </c>
      <c r="AP330" s="149">
        <v>-2</v>
      </c>
      <c r="AQ330" s="149">
        <v>0</v>
      </c>
      <c r="AR330" s="149">
        <v>1</v>
      </c>
      <c r="AS330" s="149">
        <v>0</v>
      </c>
      <c r="AT330" s="149">
        <v>0</v>
      </c>
      <c r="AU330" s="149">
        <v>0</v>
      </c>
      <c r="AV330" s="149">
        <v>0</v>
      </c>
      <c r="AW330" s="149">
        <v>-2</v>
      </c>
      <c r="AX330" s="149">
        <v>0</v>
      </c>
      <c r="AY330" s="149">
        <v>1</v>
      </c>
      <c r="AZ330" s="149">
        <v>0</v>
      </c>
      <c r="BA330" s="149">
        <v>0</v>
      </c>
      <c r="BB330" s="149">
        <v>0</v>
      </c>
      <c r="BC330" s="149">
        <v>0</v>
      </c>
      <c r="BD330" s="149">
        <v>0</v>
      </c>
      <c r="BE330" s="149">
        <v>0</v>
      </c>
      <c r="BF330" s="149">
        <v>0</v>
      </c>
      <c r="BG330" s="149">
        <v>0</v>
      </c>
      <c r="BH330" s="149">
        <v>0</v>
      </c>
      <c r="BI330" s="149">
        <v>0</v>
      </c>
      <c r="BJ330" s="149">
        <v>0</v>
      </c>
      <c r="BK330" s="149">
        <v>0</v>
      </c>
      <c r="BL330" s="149">
        <v>0</v>
      </c>
      <c r="BM330" s="149">
        <v>0</v>
      </c>
      <c r="BN330" s="149">
        <v>0</v>
      </c>
      <c r="BO330" s="149">
        <v>0</v>
      </c>
      <c r="BP330" s="152"/>
      <c r="BQ330" s="152" t="s">
        <v>327</v>
      </c>
      <c r="BR330" s="154" t="s">
        <v>149</v>
      </c>
      <c r="BS330" s="136">
        <v>14</v>
      </c>
      <c r="BT330" s="267"/>
      <c r="BU330" s="267">
        <f>M330/2</f>
        <v>-0.5</v>
      </c>
      <c r="BV330" s="267">
        <f>M330/2</f>
        <v>-0.5</v>
      </c>
      <c r="BW330" s="267"/>
      <c r="BX330" s="267"/>
      <c r="BY330" s="267"/>
      <c r="BZ330" s="267"/>
      <c r="CA330" s="267"/>
      <c r="CB330" s="267"/>
      <c r="CC330" s="267"/>
      <c r="CD330" s="267"/>
      <c r="CE330" s="267"/>
      <c r="CF330" s="267"/>
      <c r="CG330" s="267"/>
      <c r="CH330" s="267"/>
      <c r="CI330" s="267"/>
      <c r="CJ330" s="267"/>
      <c r="CK330" s="267"/>
      <c r="CL330" s="267"/>
      <c r="CM330" s="267"/>
      <c r="CN330" s="101">
        <f t="shared" si="24"/>
        <v>-1</v>
      </c>
      <c r="CO330" s="101">
        <f t="shared" si="25"/>
        <v>-1</v>
      </c>
    </row>
    <row r="331" spans="1:93" ht="13.9" customHeight="1" x14ac:dyDescent="0.2">
      <c r="A331" s="149">
        <v>6657</v>
      </c>
      <c r="B331" s="150" t="s">
        <v>854</v>
      </c>
      <c r="C331" s="150" t="s">
        <v>1118</v>
      </c>
      <c r="D331" s="150" t="s">
        <v>1119</v>
      </c>
      <c r="E331" s="150" t="s">
        <v>1123</v>
      </c>
      <c r="F331" s="149">
        <v>525999</v>
      </c>
      <c r="G331" s="149">
        <v>173647</v>
      </c>
      <c r="H331" s="150" t="s">
        <v>175</v>
      </c>
      <c r="I331" s="151">
        <v>44581</v>
      </c>
      <c r="J331" s="151"/>
      <c r="K331" s="149">
        <v>0</v>
      </c>
      <c r="L331" s="149">
        <v>5</v>
      </c>
      <c r="M331" s="149">
        <v>5</v>
      </c>
      <c r="N331" s="149">
        <v>193</v>
      </c>
      <c r="O331" s="149">
        <v>182</v>
      </c>
      <c r="P331" s="152" t="s">
        <v>327</v>
      </c>
      <c r="Q331" s="150" t="s">
        <v>1121</v>
      </c>
      <c r="R331" s="150" t="s">
        <v>850</v>
      </c>
      <c r="S331" s="151">
        <v>44260</v>
      </c>
      <c r="T331" s="151">
        <v>44396</v>
      </c>
      <c r="U331" s="152"/>
      <c r="V331" s="150" t="s">
        <v>330</v>
      </c>
      <c r="W331" s="151"/>
      <c r="X331" s="150" t="s">
        <v>331</v>
      </c>
      <c r="Y331" s="150" t="s">
        <v>343</v>
      </c>
      <c r="Z331" s="150" t="s">
        <v>343</v>
      </c>
      <c r="AA331" s="150" t="s">
        <v>334</v>
      </c>
      <c r="AB331" s="153">
        <v>4.0000000000000001E-3</v>
      </c>
      <c r="AC331" s="151">
        <v>44581</v>
      </c>
      <c r="AD331" s="150"/>
      <c r="AE331" s="151"/>
      <c r="AF331" s="150" t="s">
        <v>48</v>
      </c>
      <c r="AG331" s="152" t="s">
        <v>544</v>
      </c>
      <c r="AH331" s="150" t="s">
        <v>326</v>
      </c>
      <c r="AI331" s="99"/>
      <c r="AJ331" s="149"/>
      <c r="AK331" s="138">
        <v>5</v>
      </c>
      <c r="AL331" s="149"/>
      <c r="AM331" s="99"/>
      <c r="AN331" s="149">
        <v>0</v>
      </c>
      <c r="AO331" s="149">
        <v>2</v>
      </c>
      <c r="AP331" s="149">
        <v>3</v>
      </c>
      <c r="AQ331" s="149">
        <v>0</v>
      </c>
      <c r="AR331" s="149">
        <v>0</v>
      </c>
      <c r="AS331" s="149">
        <v>0</v>
      </c>
      <c r="AT331" s="149">
        <v>0</v>
      </c>
      <c r="AU331" s="149">
        <v>0</v>
      </c>
      <c r="AV331" s="149">
        <v>2</v>
      </c>
      <c r="AW331" s="149">
        <v>3</v>
      </c>
      <c r="AX331" s="149">
        <v>0</v>
      </c>
      <c r="AY331" s="149">
        <v>0</v>
      </c>
      <c r="AZ331" s="149">
        <v>0</v>
      </c>
      <c r="BA331" s="149">
        <v>0</v>
      </c>
      <c r="BB331" s="149">
        <v>0</v>
      </c>
      <c r="BC331" s="149">
        <v>0</v>
      </c>
      <c r="BD331" s="149">
        <v>0</v>
      </c>
      <c r="BE331" s="149">
        <v>0</v>
      </c>
      <c r="BF331" s="149">
        <v>0</v>
      </c>
      <c r="BG331" s="149">
        <v>0</v>
      </c>
      <c r="BH331" s="149">
        <v>0</v>
      </c>
      <c r="BI331" s="149">
        <v>0</v>
      </c>
      <c r="BJ331" s="149">
        <v>0</v>
      </c>
      <c r="BK331" s="149">
        <v>0</v>
      </c>
      <c r="BL331" s="149">
        <v>0</v>
      </c>
      <c r="BM331" s="149">
        <v>0</v>
      </c>
      <c r="BN331" s="149">
        <v>0</v>
      </c>
      <c r="BO331" s="149">
        <v>0</v>
      </c>
      <c r="BP331" s="152"/>
      <c r="BQ331" s="152"/>
      <c r="BR331" s="154" t="s">
        <v>359</v>
      </c>
      <c r="BS331" s="136">
        <v>5</v>
      </c>
      <c r="BT331" s="267"/>
      <c r="BU331" s="267">
        <f>M331</f>
        <v>5</v>
      </c>
      <c r="BV331" s="267"/>
      <c r="BW331" s="267"/>
      <c r="BX331" s="267"/>
      <c r="BY331" s="267"/>
      <c r="BZ331" s="267"/>
      <c r="CA331" s="267"/>
      <c r="CB331" s="267"/>
      <c r="CC331" s="267"/>
      <c r="CD331" s="267"/>
      <c r="CE331" s="267"/>
      <c r="CF331" s="267"/>
      <c r="CG331" s="267"/>
      <c r="CH331" s="267"/>
      <c r="CI331" s="267"/>
      <c r="CJ331" s="267"/>
      <c r="CK331" s="267"/>
      <c r="CL331" s="267"/>
      <c r="CM331" s="267"/>
      <c r="CN331" s="101">
        <f t="shared" si="24"/>
        <v>5</v>
      </c>
      <c r="CO331" s="101">
        <f t="shared" si="25"/>
        <v>5</v>
      </c>
    </row>
    <row r="332" spans="1:93" ht="13.9" customHeight="1" x14ac:dyDescent="0.2">
      <c r="A332" s="149">
        <v>6767</v>
      </c>
      <c r="B332" s="150" t="s">
        <v>854</v>
      </c>
      <c r="C332" s="150" t="s">
        <v>1145</v>
      </c>
      <c r="D332" s="150" t="s">
        <v>1146</v>
      </c>
      <c r="E332" s="150" t="s">
        <v>326</v>
      </c>
      <c r="F332" s="149">
        <v>527493</v>
      </c>
      <c r="G332" s="149">
        <v>173327</v>
      </c>
      <c r="H332" s="150" t="s">
        <v>174</v>
      </c>
      <c r="I332" s="151">
        <v>44287</v>
      </c>
      <c r="J332" s="151"/>
      <c r="K332" s="149">
        <v>1</v>
      </c>
      <c r="L332" s="149">
        <v>4</v>
      </c>
      <c r="M332" s="149">
        <v>3</v>
      </c>
      <c r="N332" s="149">
        <v>4</v>
      </c>
      <c r="O332" s="149">
        <v>3</v>
      </c>
      <c r="P332" s="152"/>
      <c r="Q332" s="150" t="s">
        <v>1147</v>
      </c>
      <c r="R332" s="150" t="s">
        <v>349</v>
      </c>
      <c r="S332" s="151">
        <v>44368</v>
      </c>
      <c r="T332" s="151">
        <v>44743</v>
      </c>
      <c r="U332" s="152"/>
      <c r="V332" s="150" t="s">
        <v>330</v>
      </c>
      <c r="W332" s="151"/>
      <c r="X332" s="150" t="s">
        <v>331</v>
      </c>
      <c r="Y332" s="150" t="s">
        <v>398</v>
      </c>
      <c r="Z332" s="150" t="s">
        <v>334</v>
      </c>
      <c r="AA332" s="150" t="s">
        <v>413</v>
      </c>
      <c r="AB332" s="153">
        <v>7.0000000000000001E-3</v>
      </c>
      <c r="AC332" s="151">
        <v>44287</v>
      </c>
      <c r="AD332" s="150"/>
      <c r="AE332" s="151"/>
      <c r="AF332" s="150" t="s">
        <v>70</v>
      </c>
      <c r="AG332" s="152" t="s">
        <v>352</v>
      </c>
      <c r="AH332" s="150" t="s">
        <v>326</v>
      </c>
      <c r="AI332" s="99"/>
      <c r="AJ332" s="149"/>
      <c r="AK332" s="99"/>
      <c r="AL332" s="149"/>
      <c r="AM332" s="99"/>
      <c r="AN332" s="149">
        <v>0</v>
      </c>
      <c r="AO332" s="149">
        <v>1</v>
      </c>
      <c r="AP332" s="149">
        <v>1</v>
      </c>
      <c r="AQ332" s="149">
        <v>2</v>
      </c>
      <c r="AR332" s="149">
        <v>-1</v>
      </c>
      <c r="AS332" s="149">
        <v>0</v>
      </c>
      <c r="AT332" s="149">
        <v>0</v>
      </c>
      <c r="AU332" s="149">
        <v>0</v>
      </c>
      <c r="AV332" s="149">
        <v>1</v>
      </c>
      <c r="AW332" s="149">
        <v>1</v>
      </c>
      <c r="AX332" s="149">
        <v>2</v>
      </c>
      <c r="AY332" s="149">
        <v>0</v>
      </c>
      <c r="AZ332" s="149">
        <v>0</v>
      </c>
      <c r="BA332" s="149">
        <v>0</v>
      </c>
      <c r="BB332" s="149">
        <v>0</v>
      </c>
      <c r="BC332" s="149">
        <v>0</v>
      </c>
      <c r="BD332" s="149">
        <v>0</v>
      </c>
      <c r="BE332" s="149">
        <v>0</v>
      </c>
      <c r="BF332" s="149">
        <v>-1</v>
      </c>
      <c r="BG332" s="149">
        <v>0</v>
      </c>
      <c r="BH332" s="149">
        <v>0</v>
      </c>
      <c r="BI332" s="149">
        <v>0</v>
      </c>
      <c r="BJ332" s="149">
        <v>0</v>
      </c>
      <c r="BK332" s="149">
        <v>0</v>
      </c>
      <c r="BL332" s="149">
        <v>0</v>
      </c>
      <c r="BM332" s="149">
        <v>0</v>
      </c>
      <c r="BN332" s="149">
        <v>0</v>
      </c>
      <c r="BO332" s="149">
        <v>0</v>
      </c>
      <c r="BP332" s="152"/>
      <c r="BQ332" s="152"/>
      <c r="BR332" s="154" t="s">
        <v>359</v>
      </c>
      <c r="BS332" s="136">
        <v>13</v>
      </c>
      <c r="BT332" s="267"/>
      <c r="BU332" s="267">
        <f>M332</f>
        <v>3</v>
      </c>
      <c r="BV332" s="267"/>
      <c r="BW332" s="267"/>
      <c r="BX332" s="267"/>
      <c r="BY332" s="267"/>
      <c r="BZ332" s="267"/>
      <c r="CA332" s="267"/>
      <c r="CB332" s="267"/>
      <c r="CC332" s="267"/>
      <c r="CD332" s="267"/>
      <c r="CE332" s="267"/>
      <c r="CF332" s="267"/>
      <c r="CG332" s="267"/>
      <c r="CH332" s="267"/>
      <c r="CI332" s="267"/>
      <c r="CJ332" s="267"/>
      <c r="CK332" s="267"/>
      <c r="CL332" s="267"/>
      <c r="CM332" s="267"/>
      <c r="CN332" s="101">
        <f t="shared" si="24"/>
        <v>3</v>
      </c>
      <c r="CO332" s="101">
        <f t="shared" si="25"/>
        <v>3</v>
      </c>
    </row>
    <row r="333" spans="1:93" ht="13.9" customHeight="1" x14ac:dyDescent="0.2">
      <c r="A333" s="149">
        <v>7679</v>
      </c>
      <c r="B333" s="150" t="s">
        <v>854</v>
      </c>
      <c r="C333" s="150" t="s">
        <v>1148</v>
      </c>
      <c r="D333" s="150" t="s">
        <v>1149</v>
      </c>
      <c r="E333" s="150" t="s">
        <v>326</v>
      </c>
      <c r="F333" s="149">
        <v>529371</v>
      </c>
      <c r="G333" s="149">
        <v>171218</v>
      </c>
      <c r="H333" s="150" t="s">
        <v>163</v>
      </c>
      <c r="I333" s="151">
        <v>44869</v>
      </c>
      <c r="J333" s="151"/>
      <c r="K333" s="149">
        <v>0</v>
      </c>
      <c r="L333" s="149">
        <v>9</v>
      </c>
      <c r="M333" s="149">
        <v>9</v>
      </c>
      <c r="N333" s="149">
        <v>9</v>
      </c>
      <c r="O333" s="149">
        <v>9</v>
      </c>
      <c r="P333" s="152"/>
      <c r="Q333" s="150" t="s">
        <v>1150</v>
      </c>
      <c r="R333" s="150" t="s">
        <v>427</v>
      </c>
      <c r="S333" s="151">
        <v>44376</v>
      </c>
      <c r="T333" s="151">
        <v>44447</v>
      </c>
      <c r="U333" s="152"/>
      <c r="V333" s="150" t="s">
        <v>330</v>
      </c>
      <c r="W333" s="151"/>
      <c r="X333" s="150" t="s">
        <v>331</v>
      </c>
      <c r="Y333" s="150" t="s">
        <v>343</v>
      </c>
      <c r="Z333" s="150" t="s">
        <v>334</v>
      </c>
      <c r="AA333" s="150" t="s">
        <v>363</v>
      </c>
      <c r="AB333" s="153">
        <v>1.6E-2</v>
      </c>
      <c r="AC333" s="151">
        <v>44869</v>
      </c>
      <c r="AD333" s="150"/>
      <c r="AE333" s="151"/>
      <c r="AF333" s="150" t="s">
        <v>70</v>
      </c>
      <c r="AG333" s="152" t="s">
        <v>352</v>
      </c>
      <c r="AH333" s="150" t="s">
        <v>326</v>
      </c>
      <c r="AI333" s="99"/>
      <c r="AJ333" s="149"/>
      <c r="AK333" s="102"/>
      <c r="AL333" s="149"/>
      <c r="AM333" s="99"/>
      <c r="AN333" s="149">
        <v>0</v>
      </c>
      <c r="AO333" s="149">
        <v>8</v>
      </c>
      <c r="AP333" s="149">
        <v>1</v>
      </c>
      <c r="AQ333" s="149">
        <v>0</v>
      </c>
      <c r="AR333" s="149">
        <v>0</v>
      </c>
      <c r="AS333" s="149">
        <v>0</v>
      </c>
      <c r="AT333" s="149">
        <v>0</v>
      </c>
      <c r="AU333" s="149">
        <v>0</v>
      </c>
      <c r="AV333" s="149">
        <v>8</v>
      </c>
      <c r="AW333" s="149">
        <v>1</v>
      </c>
      <c r="AX333" s="149">
        <v>0</v>
      </c>
      <c r="AY333" s="149">
        <v>0</v>
      </c>
      <c r="AZ333" s="149">
        <v>0</v>
      </c>
      <c r="BA333" s="149">
        <v>0</v>
      </c>
      <c r="BB333" s="149">
        <v>0</v>
      </c>
      <c r="BC333" s="149">
        <v>0</v>
      </c>
      <c r="BD333" s="149">
        <v>0</v>
      </c>
      <c r="BE333" s="149">
        <v>0</v>
      </c>
      <c r="BF333" s="149">
        <v>0</v>
      </c>
      <c r="BG333" s="149">
        <v>0</v>
      </c>
      <c r="BH333" s="149">
        <v>0</v>
      </c>
      <c r="BI333" s="149">
        <v>0</v>
      </c>
      <c r="BJ333" s="149">
        <v>0</v>
      </c>
      <c r="BK333" s="149">
        <v>0</v>
      </c>
      <c r="BL333" s="149">
        <v>0</v>
      </c>
      <c r="BM333" s="149">
        <v>0</v>
      </c>
      <c r="BN333" s="149">
        <v>0</v>
      </c>
      <c r="BO333" s="149">
        <v>0</v>
      </c>
      <c r="BP333" s="152"/>
      <c r="BQ333" s="152"/>
      <c r="BR333" s="154" t="s">
        <v>359</v>
      </c>
      <c r="BS333" s="136">
        <v>3</v>
      </c>
      <c r="BT333" s="267"/>
      <c r="BU333" s="267">
        <f>M333</f>
        <v>9</v>
      </c>
      <c r="BV333" s="267"/>
      <c r="BW333" s="267"/>
      <c r="BX333" s="267"/>
      <c r="BY333" s="267"/>
      <c r="BZ333" s="267"/>
      <c r="CA333" s="267"/>
      <c r="CB333" s="267"/>
      <c r="CC333" s="267"/>
      <c r="CD333" s="267"/>
      <c r="CE333" s="267"/>
      <c r="CF333" s="267"/>
      <c r="CG333" s="267"/>
      <c r="CH333" s="267"/>
      <c r="CI333" s="267"/>
      <c r="CJ333" s="267"/>
      <c r="CK333" s="267"/>
      <c r="CL333" s="267"/>
      <c r="CM333" s="267"/>
      <c r="CN333" s="101">
        <f t="shared" si="24"/>
        <v>9</v>
      </c>
      <c r="CO333" s="101">
        <f t="shared" si="25"/>
        <v>9</v>
      </c>
    </row>
    <row r="334" spans="1:93" ht="13.9" customHeight="1" x14ac:dyDescent="0.2">
      <c r="A334" s="149">
        <v>7740</v>
      </c>
      <c r="B334" s="150" t="s">
        <v>854</v>
      </c>
      <c r="C334" s="150" t="s">
        <v>1151</v>
      </c>
      <c r="D334" s="150" t="s">
        <v>1152</v>
      </c>
      <c r="E334" s="150" t="s">
        <v>326</v>
      </c>
      <c r="F334" s="149">
        <v>526967</v>
      </c>
      <c r="G334" s="149">
        <v>171687</v>
      </c>
      <c r="H334" s="150" t="s">
        <v>173</v>
      </c>
      <c r="I334" s="151">
        <v>44651</v>
      </c>
      <c r="J334" s="151"/>
      <c r="K334" s="149">
        <v>1</v>
      </c>
      <c r="L334" s="149">
        <v>2</v>
      </c>
      <c r="M334" s="149">
        <v>1</v>
      </c>
      <c r="N334" s="149">
        <v>2</v>
      </c>
      <c r="O334" s="149">
        <v>1</v>
      </c>
      <c r="P334" s="152"/>
      <c r="Q334" s="150" t="s">
        <v>1153</v>
      </c>
      <c r="R334" s="150" t="s">
        <v>349</v>
      </c>
      <c r="S334" s="151">
        <v>44385</v>
      </c>
      <c r="T334" s="151">
        <v>44441</v>
      </c>
      <c r="U334" s="152"/>
      <c r="V334" s="150" t="s">
        <v>330</v>
      </c>
      <c r="W334" s="151"/>
      <c r="X334" s="150" t="s">
        <v>331</v>
      </c>
      <c r="Y334" s="150" t="s">
        <v>491</v>
      </c>
      <c r="Z334" s="150" t="s">
        <v>334</v>
      </c>
      <c r="AA334" s="150" t="s">
        <v>413</v>
      </c>
      <c r="AB334" s="153">
        <v>5.0000000000000001E-3</v>
      </c>
      <c r="AC334" s="151">
        <v>44651</v>
      </c>
      <c r="AD334" s="150"/>
      <c r="AE334" s="151"/>
      <c r="AF334" s="150" t="s">
        <v>70</v>
      </c>
      <c r="AG334" s="152" t="s">
        <v>352</v>
      </c>
      <c r="AH334" s="150" t="s">
        <v>326</v>
      </c>
      <c r="AI334" s="99"/>
      <c r="AJ334" s="149"/>
      <c r="AK334" s="99"/>
      <c r="AL334" s="149"/>
      <c r="AM334" s="99"/>
      <c r="AN334" s="149">
        <v>0</v>
      </c>
      <c r="AO334" s="149">
        <v>1</v>
      </c>
      <c r="AP334" s="149">
        <v>0</v>
      </c>
      <c r="AQ334" s="149">
        <v>0</v>
      </c>
      <c r="AR334" s="149">
        <v>0</v>
      </c>
      <c r="AS334" s="149">
        <v>0</v>
      </c>
      <c r="AT334" s="149">
        <v>0</v>
      </c>
      <c r="AU334" s="149">
        <v>0</v>
      </c>
      <c r="AV334" s="149">
        <v>1</v>
      </c>
      <c r="AW334" s="149">
        <v>0</v>
      </c>
      <c r="AX334" s="149">
        <v>0</v>
      </c>
      <c r="AY334" s="149">
        <v>0</v>
      </c>
      <c r="AZ334" s="149">
        <v>0</v>
      </c>
      <c r="BA334" s="149">
        <v>0</v>
      </c>
      <c r="BB334" s="149">
        <v>0</v>
      </c>
      <c r="BC334" s="149">
        <v>0</v>
      </c>
      <c r="BD334" s="149">
        <v>0</v>
      </c>
      <c r="BE334" s="149">
        <v>0</v>
      </c>
      <c r="BF334" s="149">
        <v>0</v>
      </c>
      <c r="BG334" s="149">
        <v>0</v>
      </c>
      <c r="BH334" s="149">
        <v>0</v>
      </c>
      <c r="BI334" s="149">
        <v>0</v>
      </c>
      <c r="BJ334" s="149">
        <v>0</v>
      </c>
      <c r="BK334" s="149">
        <v>0</v>
      </c>
      <c r="BL334" s="149">
        <v>0</v>
      </c>
      <c r="BM334" s="149">
        <v>0</v>
      </c>
      <c r="BN334" s="149">
        <v>0</v>
      </c>
      <c r="BO334" s="149">
        <v>0</v>
      </c>
      <c r="BP334" s="152"/>
      <c r="BQ334" s="152"/>
      <c r="BR334" s="154" t="s">
        <v>359</v>
      </c>
      <c r="BS334" s="136">
        <v>13</v>
      </c>
      <c r="BT334" s="267"/>
      <c r="BU334" s="267">
        <f>M334</f>
        <v>1</v>
      </c>
      <c r="BV334" s="267"/>
      <c r="BW334" s="267"/>
      <c r="BX334" s="267"/>
      <c r="BY334" s="267"/>
      <c r="BZ334" s="267"/>
      <c r="CA334" s="267"/>
      <c r="CB334" s="267"/>
      <c r="CC334" s="267"/>
      <c r="CD334" s="267"/>
      <c r="CE334" s="267"/>
      <c r="CF334" s="267"/>
      <c r="CG334" s="267"/>
      <c r="CH334" s="267"/>
      <c r="CI334" s="267"/>
      <c r="CJ334" s="267"/>
      <c r="CK334" s="267"/>
      <c r="CL334" s="267"/>
      <c r="CM334" s="267"/>
      <c r="CN334" s="101">
        <f t="shared" si="24"/>
        <v>1</v>
      </c>
      <c r="CO334" s="101">
        <f t="shared" si="25"/>
        <v>1</v>
      </c>
    </row>
    <row r="335" spans="1:93" ht="13.9" customHeight="1" x14ac:dyDescent="0.2">
      <c r="A335" s="149">
        <v>7662</v>
      </c>
      <c r="B335" s="150" t="s">
        <v>854</v>
      </c>
      <c r="C335" s="150" t="s">
        <v>1154</v>
      </c>
      <c r="D335" s="150" t="s">
        <v>1155</v>
      </c>
      <c r="E335" s="150" t="s">
        <v>326</v>
      </c>
      <c r="F335" s="149">
        <v>527933</v>
      </c>
      <c r="G335" s="149">
        <v>174081</v>
      </c>
      <c r="H335" s="150" t="s">
        <v>139</v>
      </c>
      <c r="I335" s="151">
        <v>45017</v>
      </c>
      <c r="J335" s="151"/>
      <c r="K335" s="149">
        <v>2</v>
      </c>
      <c r="L335" s="149">
        <v>2</v>
      </c>
      <c r="M335" s="149">
        <v>0</v>
      </c>
      <c r="N335" s="149">
        <v>2</v>
      </c>
      <c r="O335" s="149">
        <v>0</v>
      </c>
      <c r="P335" s="152"/>
      <c r="Q335" s="150" t="s">
        <v>1156</v>
      </c>
      <c r="R335" s="150" t="s">
        <v>349</v>
      </c>
      <c r="S335" s="151">
        <v>44383</v>
      </c>
      <c r="T335" s="151">
        <v>44552</v>
      </c>
      <c r="U335" s="152"/>
      <c r="V335" s="150" t="s">
        <v>330</v>
      </c>
      <c r="W335" s="151"/>
      <c r="X335" s="150" t="s">
        <v>331</v>
      </c>
      <c r="Y335" s="150" t="s">
        <v>343</v>
      </c>
      <c r="Z335" s="150" t="s">
        <v>334</v>
      </c>
      <c r="AA335" s="150" t="s">
        <v>363</v>
      </c>
      <c r="AB335" s="153">
        <v>1.7874999999999999E-2</v>
      </c>
      <c r="AC335" s="151">
        <v>45260</v>
      </c>
      <c r="AD335" s="152" t="s">
        <v>327</v>
      </c>
      <c r="AE335" s="151"/>
      <c r="AF335" s="150" t="s">
        <v>70</v>
      </c>
      <c r="AG335" s="152" t="s">
        <v>352</v>
      </c>
      <c r="AH335" s="150" t="s">
        <v>326</v>
      </c>
      <c r="AI335" s="99"/>
      <c r="AJ335" s="149"/>
      <c r="AK335" s="99"/>
      <c r="AL335" s="149"/>
      <c r="AM335" s="99"/>
      <c r="AN335" s="149">
        <v>0</v>
      </c>
      <c r="AO335" s="149">
        <v>0</v>
      </c>
      <c r="AP335" s="149">
        <v>0</v>
      </c>
      <c r="AQ335" s="149">
        <v>-2</v>
      </c>
      <c r="AR335" s="149">
        <v>2</v>
      </c>
      <c r="AS335" s="149">
        <v>0</v>
      </c>
      <c r="AT335" s="149">
        <v>0</v>
      </c>
      <c r="AU335" s="149">
        <v>0</v>
      </c>
      <c r="AV335" s="149">
        <v>0</v>
      </c>
      <c r="AW335" s="149">
        <v>0</v>
      </c>
      <c r="AX335" s="149">
        <v>0</v>
      </c>
      <c r="AY335" s="149">
        <v>0</v>
      </c>
      <c r="AZ335" s="149">
        <v>0</v>
      </c>
      <c r="BA335" s="149">
        <v>0</v>
      </c>
      <c r="BB335" s="149">
        <v>0</v>
      </c>
      <c r="BC335" s="149">
        <v>0</v>
      </c>
      <c r="BD335" s="149">
        <v>0</v>
      </c>
      <c r="BE335" s="149">
        <v>-2</v>
      </c>
      <c r="BF335" s="149">
        <v>2</v>
      </c>
      <c r="BG335" s="149">
        <v>0</v>
      </c>
      <c r="BH335" s="149">
        <v>0</v>
      </c>
      <c r="BI335" s="149">
        <v>0</v>
      </c>
      <c r="BJ335" s="149">
        <v>0</v>
      </c>
      <c r="BK335" s="149">
        <v>0</v>
      </c>
      <c r="BL335" s="149">
        <v>0</v>
      </c>
      <c r="BM335" s="149">
        <v>0</v>
      </c>
      <c r="BN335" s="149">
        <v>0</v>
      </c>
      <c r="BO335" s="149">
        <v>0</v>
      </c>
      <c r="BP335" s="152"/>
      <c r="BQ335" s="152"/>
      <c r="BR335" s="154" t="s">
        <v>359</v>
      </c>
      <c r="BS335" s="136">
        <v>4</v>
      </c>
      <c r="BT335" s="267"/>
      <c r="BU335" s="267">
        <f>M335/2</f>
        <v>0</v>
      </c>
      <c r="BV335" s="267">
        <f>M335/2</f>
        <v>0</v>
      </c>
      <c r="BW335" s="267"/>
      <c r="BX335" s="267"/>
      <c r="BY335" s="267"/>
      <c r="BZ335" s="267"/>
      <c r="CA335" s="267"/>
      <c r="CB335" s="267"/>
      <c r="CC335" s="267"/>
      <c r="CD335" s="267"/>
      <c r="CE335" s="267"/>
      <c r="CF335" s="267"/>
      <c r="CG335" s="267"/>
      <c r="CH335" s="267"/>
      <c r="CI335" s="267"/>
      <c r="CJ335" s="267"/>
      <c r="CK335" s="267"/>
      <c r="CL335" s="267"/>
      <c r="CM335" s="267"/>
      <c r="CN335" s="101">
        <f t="shared" si="24"/>
        <v>0</v>
      </c>
      <c r="CO335" s="101">
        <f t="shared" si="25"/>
        <v>0</v>
      </c>
    </row>
    <row r="336" spans="1:93" ht="13.9" customHeight="1" x14ac:dyDescent="0.2">
      <c r="A336" s="149">
        <v>5353</v>
      </c>
      <c r="B336" s="150" t="s">
        <v>854</v>
      </c>
      <c r="C336" s="150" t="s">
        <v>1157</v>
      </c>
      <c r="D336" s="150" t="s">
        <v>1158</v>
      </c>
      <c r="E336" s="150" t="s">
        <v>326</v>
      </c>
      <c r="F336" s="149">
        <v>527084</v>
      </c>
      <c r="G336" s="149">
        <v>170956</v>
      </c>
      <c r="H336" s="150" t="s">
        <v>173</v>
      </c>
      <c r="I336" s="151">
        <v>45293</v>
      </c>
      <c r="J336" s="151"/>
      <c r="K336" s="149">
        <v>1</v>
      </c>
      <c r="L336" s="149">
        <v>1</v>
      </c>
      <c r="M336" s="149">
        <v>0</v>
      </c>
      <c r="N336" s="149">
        <v>1</v>
      </c>
      <c r="O336" s="149">
        <v>0</v>
      </c>
      <c r="P336" s="152"/>
      <c r="Q336" s="150" t="s">
        <v>1159</v>
      </c>
      <c r="R336" s="150" t="s">
        <v>349</v>
      </c>
      <c r="S336" s="151">
        <v>44412</v>
      </c>
      <c r="T336" s="151">
        <v>44503</v>
      </c>
      <c r="U336" s="152"/>
      <c r="V336" s="150" t="s">
        <v>330</v>
      </c>
      <c r="W336" s="151"/>
      <c r="X336" s="150" t="s">
        <v>331</v>
      </c>
      <c r="Y336" s="150" t="s">
        <v>398</v>
      </c>
      <c r="Z336" s="150" t="s">
        <v>334</v>
      </c>
      <c r="AA336" s="150" t="s">
        <v>26</v>
      </c>
      <c r="AB336" s="153">
        <v>1.17E-2</v>
      </c>
      <c r="AC336" s="151">
        <v>45293</v>
      </c>
      <c r="AD336" s="152" t="s">
        <v>327</v>
      </c>
      <c r="AE336" s="151"/>
      <c r="AF336" s="150" t="s">
        <v>70</v>
      </c>
      <c r="AG336" s="152" t="s">
        <v>352</v>
      </c>
      <c r="AH336" s="150" t="s">
        <v>326</v>
      </c>
      <c r="AI336" s="99"/>
      <c r="AJ336" s="149"/>
      <c r="AK336" s="99"/>
      <c r="AL336" s="149"/>
      <c r="AM336" s="99"/>
      <c r="AN336" s="149">
        <v>0</v>
      </c>
      <c r="AO336" s="149">
        <v>0</v>
      </c>
      <c r="AP336" s="149">
        <v>-1</v>
      </c>
      <c r="AQ336" s="149">
        <v>1</v>
      </c>
      <c r="AR336" s="149">
        <v>0</v>
      </c>
      <c r="AS336" s="149">
        <v>0</v>
      </c>
      <c r="AT336" s="149">
        <v>0</v>
      </c>
      <c r="AU336" s="149">
        <v>0</v>
      </c>
      <c r="AV336" s="149">
        <v>0</v>
      </c>
      <c r="AW336" s="149">
        <v>-1</v>
      </c>
      <c r="AX336" s="149">
        <v>0</v>
      </c>
      <c r="AY336" s="149">
        <v>0</v>
      </c>
      <c r="AZ336" s="149">
        <v>0</v>
      </c>
      <c r="BA336" s="149">
        <v>0</v>
      </c>
      <c r="BB336" s="149">
        <v>0</v>
      </c>
      <c r="BC336" s="149">
        <v>0</v>
      </c>
      <c r="BD336" s="149">
        <v>0</v>
      </c>
      <c r="BE336" s="149">
        <v>1</v>
      </c>
      <c r="BF336" s="149">
        <v>0</v>
      </c>
      <c r="BG336" s="149">
        <v>0</v>
      </c>
      <c r="BH336" s="149">
        <v>0</v>
      </c>
      <c r="BI336" s="149">
        <v>0</v>
      </c>
      <c r="BJ336" s="149">
        <v>0</v>
      </c>
      <c r="BK336" s="149">
        <v>0</v>
      </c>
      <c r="BL336" s="149">
        <v>0</v>
      </c>
      <c r="BM336" s="149">
        <v>0</v>
      </c>
      <c r="BN336" s="149">
        <v>0</v>
      </c>
      <c r="BO336" s="149">
        <v>0</v>
      </c>
      <c r="BP336" s="152"/>
      <c r="BQ336" s="152"/>
      <c r="BR336" s="154" t="s">
        <v>359</v>
      </c>
      <c r="BS336" s="136">
        <v>14</v>
      </c>
      <c r="BT336" s="267"/>
      <c r="BU336" s="267">
        <f>M336/2</f>
        <v>0</v>
      </c>
      <c r="BV336" s="267">
        <f>M336/2</f>
        <v>0</v>
      </c>
      <c r="BW336" s="267"/>
      <c r="BX336" s="267"/>
      <c r="BY336" s="267"/>
      <c r="BZ336" s="267"/>
      <c r="CA336" s="267"/>
      <c r="CB336" s="267"/>
      <c r="CC336" s="267"/>
      <c r="CD336" s="267"/>
      <c r="CE336" s="267"/>
      <c r="CF336" s="267"/>
      <c r="CG336" s="267"/>
      <c r="CH336" s="267"/>
      <c r="CI336" s="267"/>
      <c r="CJ336" s="267"/>
      <c r="CK336" s="267"/>
      <c r="CL336" s="267"/>
      <c r="CM336" s="267"/>
      <c r="CN336" s="101">
        <f t="shared" si="24"/>
        <v>0</v>
      </c>
      <c r="CO336" s="101">
        <f t="shared" si="25"/>
        <v>0</v>
      </c>
    </row>
    <row r="337" spans="1:93" ht="13.9" customHeight="1" x14ac:dyDescent="0.2">
      <c r="A337" s="149">
        <v>6657</v>
      </c>
      <c r="B337" s="150" t="s">
        <v>854</v>
      </c>
      <c r="C337" s="150" t="s">
        <v>1118</v>
      </c>
      <c r="D337" s="150" t="s">
        <v>1119</v>
      </c>
      <c r="E337" s="150" t="s">
        <v>1131</v>
      </c>
      <c r="F337" s="149">
        <v>525999</v>
      </c>
      <c r="G337" s="149">
        <v>173647</v>
      </c>
      <c r="H337" s="150" t="s">
        <v>175</v>
      </c>
      <c r="I337" s="151">
        <v>44581</v>
      </c>
      <c r="J337" s="151"/>
      <c r="K337" s="149">
        <v>0</v>
      </c>
      <c r="L337" s="149">
        <v>2</v>
      </c>
      <c r="M337" s="149">
        <v>2</v>
      </c>
      <c r="N337" s="149">
        <v>193</v>
      </c>
      <c r="O337" s="149">
        <v>182</v>
      </c>
      <c r="P337" s="152" t="s">
        <v>327</v>
      </c>
      <c r="Q337" s="150" t="s">
        <v>1121</v>
      </c>
      <c r="R337" s="150" t="s">
        <v>850</v>
      </c>
      <c r="S337" s="151">
        <v>44260</v>
      </c>
      <c r="T337" s="151">
        <v>44396</v>
      </c>
      <c r="U337" s="152"/>
      <c r="V337" s="150" t="s">
        <v>330</v>
      </c>
      <c r="W337" s="151"/>
      <c r="X337" s="150" t="s">
        <v>331</v>
      </c>
      <c r="Y337" s="150" t="s">
        <v>343</v>
      </c>
      <c r="Z337" s="150" t="s">
        <v>343</v>
      </c>
      <c r="AA337" s="150" t="s">
        <v>334</v>
      </c>
      <c r="AB337" s="153">
        <v>2E-3</v>
      </c>
      <c r="AC337" s="151">
        <v>45017</v>
      </c>
      <c r="AD337" s="152" t="s">
        <v>327</v>
      </c>
      <c r="AE337" s="151"/>
      <c r="AF337" s="150" t="s">
        <v>49</v>
      </c>
      <c r="AG337" s="152" t="s">
        <v>481</v>
      </c>
      <c r="AH337" s="150" t="s">
        <v>326</v>
      </c>
      <c r="AI337" s="99"/>
      <c r="AJ337" s="149"/>
      <c r="AK337" s="99"/>
      <c r="AL337" s="149"/>
      <c r="AM337" s="138">
        <v>2</v>
      </c>
      <c r="AN337" s="149">
        <v>0</v>
      </c>
      <c r="AO337" s="149">
        <v>0</v>
      </c>
      <c r="AP337" s="149">
        <v>2</v>
      </c>
      <c r="AQ337" s="149">
        <v>0</v>
      </c>
      <c r="AR337" s="149">
        <v>0</v>
      </c>
      <c r="AS337" s="149">
        <v>0</v>
      </c>
      <c r="AT337" s="149">
        <v>0</v>
      </c>
      <c r="AU337" s="149">
        <v>0</v>
      </c>
      <c r="AV337" s="149">
        <v>0</v>
      </c>
      <c r="AW337" s="149">
        <v>2</v>
      </c>
      <c r="AX337" s="149">
        <v>0</v>
      </c>
      <c r="AY337" s="149">
        <v>0</v>
      </c>
      <c r="AZ337" s="149">
        <v>0</v>
      </c>
      <c r="BA337" s="149">
        <v>0</v>
      </c>
      <c r="BB337" s="149">
        <v>0</v>
      </c>
      <c r="BC337" s="149">
        <v>0</v>
      </c>
      <c r="BD337" s="149">
        <v>0</v>
      </c>
      <c r="BE337" s="149">
        <v>0</v>
      </c>
      <c r="BF337" s="149">
        <v>0</v>
      </c>
      <c r="BG337" s="149">
        <v>0</v>
      </c>
      <c r="BH337" s="149">
        <v>0</v>
      </c>
      <c r="BI337" s="149">
        <v>0</v>
      </c>
      <c r="BJ337" s="149">
        <v>0</v>
      </c>
      <c r="BK337" s="149">
        <v>0</v>
      </c>
      <c r="BL337" s="149">
        <v>0</v>
      </c>
      <c r="BM337" s="149">
        <v>0</v>
      </c>
      <c r="BN337" s="149">
        <v>0</v>
      </c>
      <c r="BO337" s="149">
        <v>0</v>
      </c>
      <c r="BP337" s="152"/>
      <c r="BQ337" s="152"/>
      <c r="BR337" s="154" t="s">
        <v>359</v>
      </c>
      <c r="BS337" s="136">
        <v>5</v>
      </c>
      <c r="BT337" s="267"/>
      <c r="BU337" s="267">
        <f t="shared" ref="BU337:BU343" si="26">M337</f>
        <v>2</v>
      </c>
      <c r="BV337" s="267"/>
      <c r="BW337" s="267"/>
      <c r="BX337" s="267"/>
      <c r="BY337" s="267"/>
      <c r="BZ337" s="267"/>
      <c r="CA337" s="267"/>
      <c r="CB337" s="267"/>
      <c r="CC337" s="267"/>
      <c r="CD337" s="267"/>
      <c r="CE337" s="267"/>
      <c r="CF337" s="267"/>
      <c r="CG337" s="267"/>
      <c r="CH337" s="267"/>
      <c r="CI337" s="267"/>
      <c r="CJ337" s="267"/>
      <c r="CK337" s="267"/>
      <c r="CL337" s="267"/>
      <c r="CM337" s="267"/>
      <c r="CN337" s="101">
        <f t="shared" si="24"/>
        <v>2</v>
      </c>
      <c r="CO337" s="101">
        <f t="shared" si="25"/>
        <v>2</v>
      </c>
    </row>
    <row r="338" spans="1:93" ht="13.9" customHeight="1" x14ac:dyDescent="0.2">
      <c r="A338" s="149">
        <v>2708</v>
      </c>
      <c r="B338" s="150" t="s">
        <v>854</v>
      </c>
      <c r="C338" s="150" t="s">
        <v>1160</v>
      </c>
      <c r="D338" s="150" t="s">
        <v>1161</v>
      </c>
      <c r="E338" s="150" t="s">
        <v>326</v>
      </c>
      <c r="F338" s="149">
        <v>528946</v>
      </c>
      <c r="G338" s="149">
        <v>172480</v>
      </c>
      <c r="H338" s="150" t="s">
        <v>168</v>
      </c>
      <c r="I338" s="151">
        <v>44075</v>
      </c>
      <c r="J338" s="151"/>
      <c r="K338" s="149">
        <v>0</v>
      </c>
      <c r="L338" s="149">
        <v>1</v>
      </c>
      <c r="M338" s="149">
        <v>1</v>
      </c>
      <c r="N338" s="149">
        <v>1</v>
      </c>
      <c r="O338" s="149">
        <v>1</v>
      </c>
      <c r="P338" s="152"/>
      <c r="Q338" s="150" t="s">
        <v>1162</v>
      </c>
      <c r="R338" s="150" t="s">
        <v>349</v>
      </c>
      <c r="S338" s="151">
        <v>44398</v>
      </c>
      <c r="T338" s="151">
        <v>44512</v>
      </c>
      <c r="U338" s="152"/>
      <c r="V338" s="150" t="s">
        <v>330</v>
      </c>
      <c r="W338" s="151"/>
      <c r="X338" s="150" t="s">
        <v>331</v>
      </c>
      <c r="Y338" s="150" t="s">
        <v>343</v>
      </c>
      <c r="Z338" s="150" t="s">
        <v>334</v>
      </c>
      <c r="AA338" s="150" t="s">
        <v>363</v>
      </c>
      <c r="AB338" s="153">
        <v>4.73333E-3</v>
      </c>
      <c r="AC338" s="151">
        <v>44075</v>
      </c>
      <c r="AD338" s="150"/>
      <c r="AE338" s="151"/>
      <c r="AF338" s="150" t="s">
        <v>70</v>
      </c>
      <c r="AG338" s="152" t="s">
        <v>352</v>
      </c>
      <c r="AH338" s="150" t="s">
        <v>326</v>
      </c>
      <c r="AI338" s="99"/>
      <c r="AJ338" s="149"/>
      <c r="AK338" s="99"/>
      <c r="AL338" s="149"/>
      <c r="AM338" s="99"/>
      <c r="AN338" s="149">
        <v>0</v>
      </c>
      <c r="AO338" s="149">
        <v>0</v>
      </c>
      <c r="AP338" s="149">
        <v>1</v>
      </c>
      <c r="AQ338" s="149">
        <v>0</v>
      </c>
      <c r="AR338" s="149">
        <v>0</v>
      </c>
      <c r="AS338" s="149">
        <v>0</v>
      </c>
      <c r="AT338" s="149">
        <v>0</v>
      </c>
      <c r="AU338" s="149">
        <v>0</v>
      </c>
      <c r="AV338" s="149">
        <v>0</v>
      </c>
      <c r="AW338" s="149">
        <v>0</v>
      </c>
      <c r="AX338" s="149">
        <v>0</v>
      </c>
      <c r="AY338" s="149">
        <v>0</v>
      </c>
      <c r="AZ338" s="149">
        <v>0</v>
      </c>
      <c r="BA338" s="149">
        <v>0</v>
      </c>
      <c r="BB338" s="149">
        <v>0</v>
      </c>
      <c r="BC338" s="149">
        <v>0</v>
      </c>
      <c r="BD338" s="149">
        <v>1</v>
      </c>
      <c r="BE338" s="149">
        <v>0</v>
      </c>
      <c r="BF338" s="149">
        <v>0</v>
      </c>
      <c r="BG338" s="149">
        <v>0</v>
      </c>
      <c r="BH338" s="149">
        <v>0</v>
      </c>
      <c r="BI338" s="149">
        <v>0</v>
      </c>
      <c r="BJ338" s="149">
        <v>0</v>
      </c>
      <c r="BK338" s="149">
        <v>0</v>
      </c>
      <c r="BL338" s="149">
        <v>0</v>
      </c>
      <c r="BM338" s="149">
        <v>0</v>
      </c>
      <c r="BN338" s="149">
        <v>0</v>
      </c>
      <c r="BO338" s="149">
        <v>0</v>
      </c>
      <c r="BP338" s="152"/>
      <c r="BQ338" s="152"/>
      <c r="BR338" s="154" t="s">
        <v>359</v>
      </c>
      <c r="BS338" s="136">
        <v>3</v>
      </c>
      <c r="BT338" s="267"/>
      <c r="BU338" s="267">
        <f t="shared" si="26"/>
        <v>1</v>
      </c>
      <c r="BV338" s="267"/>
      <c r="BW338" s="267"/>
      <c r="BX338" s="267"/>
      <c r="BY338" s="267"/>
      <c r="BZ338" s="267"/>
      <c r="CA338" s="267"/>
      <c r="CB338" s="267"/>
      <c r="CC338" s="267"/>
      <c r="CD338" s="267"/>
      <c r="CE338" s="267"/>
      <c r="CF338" s="267"/>
      <c r="CG338" s="267"/>
      <c r="CH338" s="267"/>
      <c r="CI338" s="267"/>
      <c r="CJ338" s="267"/>
      <c r="CK338" s="267"/>
      <c r="CL338" s="267"/>
      <c r="CM338" s="267"/>
      <c r="CN338" s="101">
        <f t="shared" si="24"/>
        <v>1</v>
      </c>
      <c r="CO338" s="101">
        <f t="shared" si="25"/>
        <v>1</v>
      </c>
    </row>
    <row r="339" spans="1:93" ht="13.9" customHeight="1" x14ac:dyDescent="0.2">
      <c r="A339" s="149">
        <v>7737</v>
      </c>
      <c r="B339" s="150" t="s">
        <v>854</v>
      </c>
      <c r="C339" s="150" t="s">
        <v>1163</v>
      </c>
      <c r="D339" s="150" t="s">
        <v>1164</v>
      </c>
      <c r="E339" s="150" t="s">
        <v>326</v>
      </c>
      <c r="F339" s="149">
        <v>527150</v>
      </c>
      <c r="G339" s="149">
        <v>176534</v>
      </c>
      <c r="H339" s="150" t="s">
        <v>170</v>
      </c>
      <c r="I339" s="151">
        <v>45016</v>
      </c>
      <c r="J339" s="151"/>
      <c r="K339" s="149">
        <v>1</v>
      </c>
      <c r="L339" s="149">
        <v>1</v>
      </c>
      <c r="M339" s="149">
        <v>0</v>
      </c>
      <c r="N339" s="149">
        <v>1</v>
      </c>
      <c r="O339" s="149">
        <v>0</v>
      </c>
      <c r="P339" s="152"/>
      <c r="Q339" s="150" t="s">
        <v>1165</v>
      </c>
      <c r="R339" s="150" t="s">
        <v>349</v>
      </c>
      <c r="S339" s="151">
        <v>44404</v>
      </c>
      <c r="T339" s="151">
        <v>44621</v>
      </c>
      <c r="U339" s="152"/>
      <c r="V339" s="150" t="s">
        <v>330</v>
      </c>
      <c r="W339" s="151"/>
      <c r="X339" s="150" t="s">
        <v>331</v>
      </c>
      <c r="Y339" s="150" t="s">
        <v>343</v>
      </c>
      <c r="Z339" s="150" t="s">
        <v>334</v>
      </c>
      <c r="AA339" s="150" t="s">
        <v>363</v>
      </c>
      <c r="AB339" s="153">
        <v>8.9999999999999993E-3</v>
      </c>
      <c r="AC339" s="151">
        <v>45016</v>
      </c>
      <c r="AD339" s="150"/>
      <c r="AE339" s="151"/>
      <c r="AF339" s="150" t="s">
        <v>70</v>
      </c>
      <c r="AG339" s="152" t="s">
        <v>352</v>
      </c>
      <c r="AH339" s="150" t="s">
        <v>326</v>
      </c>
      <c r="AI339" s="99"/>
      <c r="AJ339" s="149"/>
      <c r="AK339" s="99"/>
      <c r="AL339" s="149"/>
      <c r="AM339" s="99"/>
      <c r="AN339" s="149">
        <v>0</v>
      </c>
      <c r="AO339" s="149">
        <v>0</v>
      </c>
      <c r="AP339" s="149">
        <v>0</v>
      </c>
      <c r="AQ339" s="149">
        <v>0</v>
      </c>
      <c r="AR339" s="149">
        <v>0</v>
      </c>
      <c r="AS339" s="149">
        <v>0</v>
      </c>
      <c r="AT339" s="149">
        <v>0</v>
      </c>
      <c r="AU339" s="149">
        <v>0</v>
      </c>
      <c r="AV339" s="149">
        <v>0</v>
      </c>
      <c r="AW339" s="149">
        <v>0</v>
      </c>
      <c r="AX339" s="149">
        <v>0</v>
      </c>
      <c r="AY339" s="149">
        <v>0</v>
      </c>
      <c r="AZ339" s="149">
        <v>0</v>
      </c>
      <c r="BA339" s="149">
        <v>0</v>
      </c>
      <c r="BB339" s="149">
        <v>0</v>
      </c>
      <c r="BC339" s="149">
        <v>0</v>
      </c>
      <c r="BD339" s="149">
        <v>0</v>
      </c>
      <c r="BE339" s="149">
        <v>0</v>
      </c>
      <c r="BF339" s="149">
        <v>0</v>
      </c>
      <c r="BG339" s="149">
        <v>0</v>
      </c>
      <c r="BH339" s="149">
        <v>0</v>
      </c>
      <c r="BI339" s="149">
        <v>0</v>
      </c>
      <c r="BJ339" s="149">
        <v>0</v>
      </c>
      <c r="BK339" s="149">
        <v>0</v>
      </c>
      <c r="BL339" s="149">
        <v>0</v>
      </c>
      <c r="BM339" s="149">
        <v>0</v>
      </c>
      <c r="BN339" s="149">
        <v>0</v>
      </c>
      <c r="BO339" s="149">
        <v>0</v>
      </c>
      <c r="BP339" s="152"/>
      <c r="BQ339" s="152"/>
      <c r="BR339" s="154" t="s">
        <v>359</v>
      </c>
      <c r="BS339" s="136">
        <v>3</v>
      </c>
      <c r="BT339" s="267"/>
      <c r="BU339" s="267">
        <f t="shared" si="26"/>
        <v>0</v>
      </c>
      <c r="BV339" s="267"/>
      <c r="BW339" s="267"/>
      <c r="BX339" s="267"/>
      <c r="BY339" s="267"/>
      <c r="BZ339" s="267"/>
      <c r="CA339" s="267"/>
      <c r="CB339" s="267"/>
      <c r="CC339" s="267"/>
      <c r="CD339" s="267"/>
      <c r="CE339" s="267"/>
      <c r="CF339" s="267"/>
      <c r="CG339" s="267"/>
      <c r="CH339" s="267"/>
      <c r="CI339" s="267"/>
      <c r="CJ339" s="267"/>
      <c r="CK339" s="267"/>
      <c r="CL339" s="267"/>
      <c r="CM339" s="267"/>
      <c r="CN339" s="101">
        <f t="shared" si="24"/>
        <v>0</v>
      </c>
      <c r="CO339" s="101">
        <f t="shared" si="25"/>
        <v>0</v>
      </c>
    </row>
    <row r="340" spans="1:93" ht="13.9" customHeight="1" x14ac:dyDescent="0.2">
      <c r="A340" s="149">
        <v>7715</v>
      </c>
      <c r="B340" s="150" t="s">
        <v>854</v>
      </c>
      <c r="C340" s="150" t="s">
        <v>1166</v>
      </c>
      <c r="D340" s="150" t="s">
        <v>1167</v>
      </c>
      <c r="E340" s="150" t="s">
        <v>326</v>
      </c>
      <c r="F340" s="149">
        <v>525439</v>
      </c>
      <c r="G340" s="149">
        <v>174719</v>
      </c>
      <c r="H340" s="150" t="s">
        <v>177</v>
      </c>
      <c r="I340" s="151">
        <v>44809</v>
      </c>
      <c r="J340" s="151"/>
      <c r="K340" s="149">
        <v>0</v>
      </c>
      <c r="L340" s="149">
        <v>9</v>
      </c>
      <c r="M340" s="149">
        <v>9</v>
      </c>
      <c r="N340" s="149">
        <v>9</v>
      </c>
      <c r="O340" s="149">
        <v>9</v>
      </c>
      <c r="P340" s="152"/>
      <c r="Q340" s="150" t="s">
        <v>1168</v>
      </c>
      <c r="R340" s="150" t="s">
        <v>349</v>
      </c>
      <c r="S340" s="151">
        <v>44405</v>
      </c>
      <c r="T340" s="151">
        <v>44678</v>
      </c>
      <c r="U340" s="152"/>
      <c r="V340" s="150" t="s">
        <v>330</v>
      </c>
      <c r="W340" s="151"/>
      <c r="X340" s="150" t="s">
        <v>331</v>
      </c>
      <c r="Y340" s="150" t="s">
        <v>343</v>
      </c>
      <c r="Z340" s="150" t="s">
        <v>334</v>
      </c>
      <c r="AA340" s="150" t="s">
        <v>363</v>
      </c>
      <c r="AB340" s="153">
        <v>1.2999999999999999E-2</v>
      </c>
      <c r="AC340" s="151">
        <v>44809</v>
      </c>
      <c r="AD340" s="150"/>
      <c r="AE340" s="151"/>
      <c r="AF340" s="150" t="s">
        <v>70</v>
      </c>
      <c r="AG340" s="152" t="s">
        <v>352</v>
      </c>
      <c r="AH340" s="150" t="s">
        <v>326</v>
      </c>
      <c r="AI340" s="99"/>
      <c r="AJ340" s="149"/>
      <c r="AK340" s="99"/>
      <c r="AL340" s="149"/>
      <c r="AM340" s="99"/>
      <c r="AN340" s="149">
        <v>0</v>
      </c>
      <c r="AO340" s="149">
        <v>6</v>
      </c>
      <c r="AP340" s="149">
        <v>1</v>
      </c>
      <c r="AQ340" s="149">
        <v>2</v>
      </c>
      <c r="AR340" s="149">
        <v>0</v>
      </c>
      <c r="AS340" s="149">
        <v>0</v>
      </c>
      <c r="AT340" s="149">
        <v>0</v>
      </c>
      <c r="AU340" s="149">
        <v>0</v>
      </c>
      <c r="AV340" s="149">
        <v>6</v>
      </c>
      <c r="AW340" s="149">
        <v>1</v>
      </c>
      <c r="AX340" s="149">
        <v>2</v>
      </c>
      <c r="AY340" s="149">
        <v>0</v>
      </c>
      <c r="AZ340" s="149">
        <v>0</v>
      </c>
      <c r="BA340" s="149">
        <v>0</v>
      </c>
      <c r="BB340" s="149">
        <v>0</v>
      </c>
      <c r="BC340" s="149">
        <v>0</v>
      </c>
      <c r="BD340" s="149">
        <v>0</v>
      </c>
      <c r="BE340" s="149">
        <v>0</v>
      </c>
      <c r="BF340" s="149">
        <v>0</v>
      </c>
      <c r="BG340" s="149">
        <v>0</v>
      </c>
      <c r="BH340" s="149">
        <v>0</v>
      </c>
      <c r="BI340" s="149">
        <v>0</v>
      </c>
      <c r="BJ340" s="149">
        <v>0</v>
      </c>
      <c r="BK340" s="149">
        <v>0</v>
      </c>
      <c r="BL340" s="149">
        <v>0</v>
      </c>
      <c r="BM340" s="149">
        <v>0</v>
      </c>
      <c r="BN340" s="149">
        <v>0</v>
      </c>
      <c r="BO340" s="149">
        <v>0</v>
      </c>
      <c r="BP340" s="152" t="s">
        <v>143</v>
      </c>
      <c r="BQ340" s="152"/>
      <c r="BR340" s="154" t="s">
        <v>463</v>
      </c>
      <c r="BS340" s="136">
        <v>3</v>
      </c>
      <c r="BT340" s="267"/>
      <c r="BU340" s="267">
        <f t="shared" si="26"/>
        <v>9</v>
      </c>
      <c r="BV340" s="267"/>
      <c r="BW340" s="267"/>
      <c r="BX340" s="267"/>
      <c r="BY340" s="267"/>
      <c r="BZ340" s="267"/>
      <c r="CA340" s="267"/>
      <c r="CB340" s="267"/>
      <c r="CC340" s="267"/>
      <c r="CD340" s="267"/>
      <c r="CE340" s="267"/>
      <c r="CF340" s="267"/>
      <c r="CG340" s="267"/>
      <c r="CH340" s="267"/>
      <c r="CI340" s="267"/>
      <c r="CJ340" s="267"/>
      <c r="CK340" s="267"/>
      <c r="CL340" s="267"/>
      <c r="CM340" s="267"/>
      <c r="CN340" s="101">
        <f t="shared" si="24"/>
        <v>9</v>
      </c>
      <c r="CO340" s="101">
        <f t="shared" si="25"/>
        <v>9</v>
      </c>
    </row>
    <row r="341" spans="1:93" ht="13.9" customHeight="1" x14ac:dyDescent="0.2">
      <c r="A341" s="149">
        <v>6657</v>
      </c>
      <c r="B341" s="150" t="s">
        <v>854</v>
      </c>
      <c r="C341" s="150" t="s">
        <v>1118</v>
      </c>
      <c r="D341" s="150" t="s">
        <v>1119</v>
      </c>
      <c r="E341" s="150" t="s">
        <v>1120</v>
      </c>
      <c r="F341" s="149">
        <v>525999</v>
      </c>
      <c r="G341" s="149">
        <v>173647</v>
      </c>
      <c r="H341" s="150" t="s">
        <v>175</v>
      </c>
      <c r="I341" s="151">
        <v>44581</v>
      </c>
      <c r="J341" s="151"/>
      <c r="K341" s="149">
        <v>0</v>
      </c>
      <c r="L341" s="149">
        <v>2</v>
      </c>
      <c r="M341" s="149">
        <v>2</v>
      </c>
      <c r="N341" s="149">
        <v>193</v>
      </c>
      <c r="O341" s="149">
        <v>182</v>
      </c>
      <c r="P341" s="152" t="s">
        <v>327</v>
      </c>
      <c r="Q341" s="150" t="s">
        <v>1121</v>
      </c>
      <c r="R341" s="150" t="s">
        <v>850</v>
      </c>
      <c r="S341" s="151">
        <v>44260</v>
      </c>
      <c r="T341" s="151">
        <v>44396</v>
      </c>
      <c r="U341" s="152"/>
      <c r="V341" s="150" t="s">
        <v>330</v>
      </c>
      <c r="W341" s="151"/>
      <c r="X341" s="150" t="s">
        <v>331</v>
      </c>
      <c r="Y341" s="150" t="s">
        <v>343</v>
      </c>
      <c r="Z341" s="150" t="s">
        <v>343</v>
      </c>
      <c r="AA341" s="150" t="s">
        <v>334</v>
      </c>
      <c r="AB341" s="153">
        <v>2E-3</v>
      </c>
      <c r="AC341" s="151">
        <v>44581</v>
      </c>
      <c r="AD341" s="150"/>
      <c r="AE341" s="151"/>
      <c r="AF341" s="150" t="s">
        <v>48</v>
      </c>
      <c r="AG341" s="152" t="s">
        <v>544</v>
      </c>
      <c r="AH341" s="150" t="s">
        <v>326</v>
      </c>
      <c r="AI341" s="99"/>
      <c r="AJ341" s="149"/>
      <c r="AK341" s="138">
        <v>2</v>
      </c>
      <c r="AL341" s="149"/>
      <c r="AM341" s="99"/>
      <c r="AN341" s="149">
        <v>0</v>
      </c>
      <c r="AO341" s="149">
        <v>0</v>
      </c>
      <c r="AP341" s="149">
        <v>0</v>
      </c>
      <c r="AQ341" s="149">
        <v>2</v>
      </c>
      <c r="AR341" s="149">
        <v>0</v>
      </c>
      <c r="AS341" s="149">
        <v>0</v>
      </c>
      <c r="AT341" s="149">
        <v>0</v>
      </c>
      <c r="AU341" s="149">
        <v>0</v>
      </c>
      <c r="AV341" s="149">
        <v>0</v>
      </c>
      <c r="AW341" s="149">
        <v>0</v>
      </c>
      <c r="AX341" s="149">
        <v>0</v>
      </c>
      <c r="AY341" s="149">
        <v>0</v>
      </c>
      <c r="AZ341" s="149">
        <v>0</v>
      </c>
      <c r="BA341" s="149">
        <v>0</v>
      </c>
      <c r="BB341" s="149">
        <v>0</v>
      </c>
      <c r="BC341" s="149">
        <v>0</v>
      </c>
      <c r="BD341" s="149">
        <v>0</v>
      </c>
      <c r="BE341" s="149">
        <v>2</v>
      </c>
      <c r="BF341" s="149">
        <v>0</v>
      </c>
      <c r="BG341" s="149">
        <v>0</v>
      </c>
      <c r="BH341" s="149">
        <v>0</v>
      </c>
      <c r="BI341" s="149">
        <v>0</v>
      </c>
      <c r="BJ341" s="149">
        <v>0</v>
      </c>
      <c r="BK341" s="149">
        <v>0</v>
      </c>
      <c r="BL341" s="149">
        <v>0</v>
      </c>
      <c r="BM341" s="149">
        <v>0</v>
      </c>
      <c r="BN341" s="149">
        <v>0</v>
      </c>
      <c r="BO341" s="149">
        <v>0</v>
      </c>
      <c r="BP341" s="152"/>
      <c r="BQ341" s="152"/>
      <c r="BR341" s="154" t="s">
        <v>359</v>
      </c>
      <c r="BS341" s="136">
        <v>5</v>
      </c>
      <c r="BT341" s="267"/>
      <c r="BU341" s="267">
        <f t="shared" si="26"/>
        <v>2</v>
      </c>
      <c r="BV341" s="267"/>
      <c r="BW341" s="267"/>
      <c r="BX341" s="267"/>
      <c r="BY341" s="267"/>
      <c r="BZ341" s="267"/>
      <c r="CA341" s="267"/>
      <c r="CB341" s="267"/>
      <c r="CC341" s="267"/>
      <c r="CD341" s="267"/>
      <c r="CE341" s="267"/>
      <c r="CF341" s="267"/>
      <c r="CG341" s="267"/>
      <c r="CH341" s="267"/>
      <c r="CI341" s="267"/>
      <c r="CJ341" s="267"/>
      <c r="CK341" s="267"/>
      <c r="CL341" s="267"/>
      <c r="CM341" s="267"/>
      <c r="CN341" s="101">
        <f t="shared" si="24"/>
        <v>2</v>
      </c>
      <c r="CO341" s="101">
        <f t="shared" si="25"/>
        <v>2</v>
      </c>
    </row>
    <row r="342" spans="1:93" ht="13.9" customHeight="1" x14ac:dyDescent="0.2">
      <c r="A342" s="149">
        <v>6657</v>
      </c>
      <c r="B342" s="150" t="s">
        <v>854</v>
      </c>
      <c r="C342" s="150" t="s">
        <v>1118</v>
      </c>
      <c r="D342" s="150" t="s">
        <v>1119</v>
      </c>
      <c r="E342" s="150" t="s">
        <v>1122</v>
      </c>
      <c r="F342" s="149">
        <v>525999</v>
      </c>
      <c r="G342" s="149">
        <v>173647</v>
      </c>
      <c r="H342" s="150" t="s">
        <v>175</v>
      </c>
      <c r="I342" s="151">
        <v>44581</v>
      </c>
      <c r="J342" s="151"/>
      <c r="K342" s="149">
        <v>11</v>
      </c>
      <c r="L342" s="149">
        <v>2</v>
      </c>
      <c r="M342" s="149">
        <v>-9</v>
      </c>
      <c r="N342" s="149">
        <v>193</v>
      </c>
      <c r="O342" s="149">
        <v>182</v>
      </c>
      <c r="P342" s="152" t="s">
        <v>327</v>
      </c>
      <c r="Q342" s="150" t="s">
        <v>1121</v>
      </c>
      <c r="R342" s="150" t="s">
        <v>850</v>
      </c>
      <c r="S342" s="151">
        <v>44260</v>
      </c>
      <c r="T342" s="151">
        <v>44396</v>
      </c>
      <c r="U342" s="152"/>
      <c r="V342" s="150" t="s">
        <v>330</v>
      </c>
      <c r="W342" s="151"/>
      <c r="X342" s="150" t="s">
        <v>331</v>
      </c>
      <c r="Y342" s="150" t="s">
        <v>343</v>
      </c>
      <c r="Z342" s="150" t="s">
        <v>343</v>
      </c>
      <c r="AA342" s="150" t="s">
        <v>334</v>
      </c>
      <c r="AB342" s="153">
        <v>2E-3</v>
      </c>
      <c r="AC342" s="151">
        <v>44581</v>
      </c>
      <c r="AD342" s="150"/>
      <c r="AE342" s="151"/>
      <c r="AF342" s="150" t="s">
        <v>48</v>
      </c>
      <c r="AG342" s="152" t="s">
        <v>335</v>
      </c>
      <c r="AH342" s="150" t="s">
        <v>326</v>
      </c>
      <c r="AI342" s="99"/>
      <c r="AJ342" s="149"/>
      <c r="AK342" s="138">
        <v>1</v>
      </c>
      <c r="AL342" s="149"/>
      <c r="AM342" s="138">
        <v>1</v>
      </c>
      <c r="AN342" s="149">
        <v>0</v>
      </c>
      <c r="AO342" s="149">
        <v>0</v>
      </c>
      <c r="AP342" s="149">
        <v>-5</v>
      </c>
      <c r="AQ342" s="149">
        <v>-4</v>
      </c>
      <c r="AR342" s="149">
        <v>0</v>
      </c>
      <c r="AS342" s="149">
        <v>0</v>
      </c>
      <c r="AT342" s="149">
        <v>0</v>
      </c>
      <c r="AU342" s="149">
        <v>0</v>
      </c>
      <c r="AV342" s="149">
        <v>0</v>
      </c>
      <c r="AW342" s="149">
        <v>-5</v>
      </c>
      <c r="AX342" s="149">
        <v>2</v>
      </c>
      <c r="AY342" s="149">
        <v>0</v>
      </c>
      <c r="AZ342" s="149">
        <v>0</v>
      </c>
      <c r="BA342" s="149">
        <v>0</v>
      </c>
      <c r="BB342" s="149">
        <v>0</v>
      </c>
      <c r="BC342" s="149">
        <v>0</v>
      </c>
      <c r="BD342" s="149">
        <v>0</v>
      </c>
      <c r="BE342" s="149">
        <v>-6</v>
      </c>
      <c r="BF342" s="149">
        <v>0</v>
      </c>
      <c r="BG342" s="149">
        <v>0</v>
      </c>
      <c r="BH342" s="149">
        <v>0</v>
      </c>
      <c r="BI342" s="149">
        <v>0</v>
      </c>
      <c r="BJ342" s="149">
        <v>0</v>
      </c>
      <c r="BK342" s="149">
        <v>0</v>
      </c>
      <c r="BL342" s="149">
        <v>0</v>
      </c>
      <c r="BM342" s="149">
        <v>0</v>
      </c>
      <c r="BN342" s="149">
        <v>0</v>
      </c>
      <c r="BO342" s="149">
        <v>0</v>
      </c>
      <c r="BP342" s="152"/>
      <c r="BQ342" s="152"/>
      <c r="BR342" s="154" t="s">
        <v>359</v>
      </c>
      <c r="BS342" s="136">
        <v>5</v>
      </c>
      <c r="BT342" s="267"/>
      <c r="BU342" s="267">
        <f t="shared" si="26"/>
        <v>-9</v>
      </c>
      <c r="BV342" s="267"/>
      <c r="BW342" s="267"/>
      <c r="BX342" s="267"/>
      <c r="BY342" s="267"/>
      <c r="BZ342" s="267"/>
      <c r="CA342" s="267"/>
      <c r="CB342" s="267"/>
      <c r="CC342" s="267"/>
      <c r="CD342" s="267"/>
      <c r="CE342" s="267"/>
      <c r="CF342" s="267"/>
      <c r="CG342" s="267"/>
      <c r="CH342" s="267"/>
      <c r="CI342" s="267"/>
      <c r="CJ342" s="267"/>
      <c r="CK342" s="267"/>
      <c r="CL342" s="267"/>
      <c r="CM342" s="267"/>
      <c r="CN342" s="101">
        <f t="shared" si="24"/>
        <v>-9</v>
      </c>
      <c r="CO342" s="101">
        <f t="shared" si="25"/>
        <v>-9</v>
      </c>
    </row>
    <row r="343" spans="1:93" ht="13.9" customHeight="1" x14ac:dyDescent="0.2">
      <c r="A343" s="149">
        <v>7335</v>
      </c>
      <c r="B343" s="150" t="s">
        <v>854</v>
      </c>
      <c r="C343" s="150" t="s">
        <v>1169</v>
      </c>
      <c r="D343" s="150" t="s">
        <v>1170</v>
      </c>
      <c r="E343" s="150" t="s">
        <v>326</v>
      </c>
      <c r="F343" s="149">
        <v>525930</v>
      </c>
      <c r="G343" s="149">
        <v>173172</v>
      </c>
      <c r="H343" s="150" t="s">
        <v>175</v>
      </c>
      <c r="I343" s="151">
        <v>45016</v>
      </c>
      <c r="J343" s="151"/>
      <c r="K343" s="149">
        <v>1</v>
      </c>
      <c r="L343" s="149">
        <v>3</v>
      </c>
      <c r="M343" s="149">
        <v>2</v>
      </c>
      <c r="N343" s="149">
        <v>3</v>
      </c>
      <c r="O343" s="149">
        <v>2</v>
      </c>
      <c r="P343" s="152"/>
      <c r="Q343" s="150" t="s">
        <v>1171</v>
      </c>
      <c r="R343" s="150" t="s">
        <v>349</v>
      </c>
      <c r="S343" s="151">
        <v>44426</v>
      </c>
      <c r="T343" s="151">
        <v>44487</v>
      </c>
      <c r="U343" s="152"/>
      <c r="V343" s="150" t="s">
        <v>330</v>
      </c>
      <c r="W343" s="151"/>
      <c r="X343" s="150" t="s">
        <v>331</v>
      </c>
      <c r="Y343" s="150" t="s">
        <v>491</v>
      </c>
      <c r="Z343" s="150" t="s">
        <v>334</v>
      </c>
      <c r="AA343" s="150" t="s">
        <v>413</v>
      </c>
      <c r="AB343" s="153">
        <v>4.0000000000000001E-3</v>
      </c>
      <c r="AC343" s="151">
        <v>45016</v>
      </c>
      <c r="AD343" s="150"/>
      <c r="AE343" s="151"/>
      <c r="AF343" s="150" t="s">
        <v>70</v>
      </c>
      <c r="AG343" s="152" t="s">
        <v>352</v>
      </c>
      <c r="AH343" s="150" t="s">
        <v>326</v>
      </c>
      <c r="AI343" s="99"/>
      <c r="AJ343" s="149"/>
      <c r="AK343" s="99"/>
      <c r="AL343" s="149"/>
      <c r="AM343" s="99"/>
      <c r="AN343" s="149">
        <v>0</v>
      </c>
      <c r="AO343" s="149">
        <v>3</v>
      </c>
      <c r="AP343" s="149">
        <v>0</v>
      </c>
      <c r="AQ343" s="149">
        <v>0</v>
      </c>
      <c r="AR343" s="149">
        <v>0</v>
      </c>
      <c r="AS343" s="149">
        <v>-1</v>
      </c>
      <c r="AT343" s="149">
        <v>0</v>
      </c>
      <c r="AU343" s="149">
        <v>0</v>
      </c>
      <c r="AV343" s="149">
        <v>3</v>
      </c>
      <c r="AW343" s="149">
        <v>0</v>
      </c>
      <c r="AX343" s="149">
        <v>0</v>
      </c>
      <c r="AY343" s="149">
        <v>0</v>
      </c>
      <c r="AZ343" s="149">
        <v>-1</v>
      </c>
      <c r="BA343" s="149">
        <v>0</v>
      </c>
      <c r="BB343" s="149">
        <v>0</v>
      </c>
      <c r="BC343" s="149">
        <v>0</v>
      </c>
      <c r="BD343" s="149">
        <v>0</v>
      </c>
      <c r="BE343" s="149">
        <v>0</v>
      </c>
      <c r="BF343" s="149">
        <v>0</v>
      </c>
      <c r="BG343" s="149">
        <v>0</v>
      </c>
      <c r="BH343" s="149">
        <v>0</v>
      </c>
      <c r="BI343" s="149">
        <v>0</v>
      </c>
      <c r="BJ343" s="149">
        <v>0</v>
      </c>
      <c r="BK343" s="149">
        <v>0</v>
      </c>
      <c r="BL343" s="149">
        <v>0</v>
      </c>
      <c r="BM343" s="149">
        <v>0</v>
      </c>
      <c r="BN343" s="149">
        <v>0</v>
      </c>
      <c r="BO343" s="149">
        <v>0</v>
      </c>
      <c r="BP343" s="152"/>
      <c r="BQ343" s="152"/>
      <c r="BR343" s="154" t="s">
        <v>151</v>
      </c>
      <c r="BS343" s="136">
        <v>13</v>
      </c>
      <c r="BT343" s="267"/>
      <c r="BU343" s="267">
        <f t="shared" si="26"/>
        <v>2</v>
      </c>
      <c r="BV343" s="267"/>
      <c r="BW343" s="267"/>
      <c r="BX343" s="267"/>
      <c r="BY343" s="267"/>
      <c r="BZ343" s="267"/>
      <c r="CA343" s="267"/>
      <c r="CB343" s="267"/>
      <c r="CC343" s="267"/>
      <c r="CD343" s="267"/>
      <c r="CE343" s="267"/>
      <c r="CF343" s="267"/>
      <c r="CG343" s="267"/>
      <c r="CH343" s="267"/>
      <c r="CI343" s="267"/>
      <c r="CJ343" s="267"/>
      <c r="CK343" s="267"/>
      <c r="CL343" s="267"/>
      <c r="CM343" s="267"/>
      <c r="CN343" s="101">
        <f t="shared" si="24"/>
        <v>2</v>
      </c>
      <c r="CO343" s="101">
        <f t="shared" si="25"/>
        <v>2</v>
      </c>
    </row>
    <row r="344" spans="1:93" ht="13.9" customHeight="1" x14ac:dyDescent="0.2">
      <c r="A344" s="149">
        <v>2846</v>
      </c>
      <c r="B344" s="150" t="s">
        <v>854</v>
      </c>
      <c r="C344" s="150" t="s">
        <v>1172</v>
      </c>
      <c r="D344" s="150" t="s">
        <v>1173</v>
      </c>
      <c r="E344" s="150" t="s">
        <v>326</v>
      </c>
      <c r="F344" s="149">
        <v>523883</v>
      </c>
      <c r="G344" s="149">
        <v>175563</v>
      </c>
      <c r="H344" s="150" t="s">
        <v>171</v>
      </c>
      <c r="I344" s="151">
        <v>45287</v>
      </c>
      <c r="J344" s="151"/>
      <c r="K344" s="149">
        <v>1</v>
      </c>
      <c r="L344" s="149">
        <v>1</v>
      </c>
      <c r="M344" s="149">
        <v>0</v>
      </c>
      <c r="N344" s="149">
        <v>1</v>
      </c>
      <c r="O344" s="149">
        <v>0</v>
      </c>
      <c r="P344" s="152"/>
      <c r="Q344" s="150" t="s">
        <v>1174</v>
      </c>
      <c r="R344" s="150" t="s">
        <v>349</v>
      </c>
      <c r="S344" s="151">
        <v>44461</v>
      </c>
      <c r="T344" s="151">
        <v>44586</v>
      </c>
      <c r="U344" s="152"/>
      <c r="V344" s="150" t="s">
        <v>330</v>
      </c>
      <c r="W344" s="151"/>
      <c r="X344" s="150" t="s">
        <v>331</v>
      </c>
      <c r="Y344" s="150" t="s">
        <v>350</v>
      </c>
      <c r="Z344" s="150" t="s">
        <v>334</v>
      </c>
      <c r="AA344" s="150" t="s">
        <v>18</v>
      </c>
      <c r="AB344" s="153">
        <v>3.3600000000000001E-3</v>
      </c>
      <c r="AC344" s="151">
        <v>45287</v>
      </c>
      <c r="AD344" s="152" t="s">
        <v>327</v>
      </c>
      <c r="AE344" s="151"/>
      <c r="AF344" s="150" t="s">
        <v>70</v>
      </c>
      <c r="AG344" s="152" t="s">
        <v>337</v>
      </c>
      <c r="AH344" s="150" t="s">
        <v>326</v>
      </c>
      <c r="AI344" s="99"/>
      <c r="AJ344" s="149"/>
      <c r="AK344" s="99"/>
      <c r="AL344" s="149"/>
      <c r="AM344" s="99"/>
      <c r="AN344" s="149">
        <v>0</v>
      </c>
      <c r="AO344" s="149">
        <v>0</v>
      </c>
      <c r="AP344" s="149">
        <v>-1</v>
      </c>
      <c r="AQ344" s="149">
        <v>0</v>
      </c>
      <c r="AR344" s="149">
        <v>0</v>
      </c>
      <c r="AS344" s="149">
        <v>1</v>
      </c>
      <c r="AT344" s="149">
        <v>0</v>
      </c>
      <c r="AU344" s="149">
        <v>0</v>
      </c>
      <c r="AV344" s="149">
        <v>0</v>
      </c>
      <c r="AW344" s="149">
        <v>-1</v>
      </c>
      <c r="AX344" s="149">
        <v>0</v>
      </c>
      <c r="AY344" s="149">
        <v>0</v>
      </c>
      <c r="AZ344" s="149">
        <v>0</v>
      </c>
      <c r="BA344" s="149">
        <v>0</v>
      </c>
      <c r="BB344" s="149">
        <v>0</v>
      </c>
      <c r="BC344" s="149">
        <v>0</v>
      </c>
      <c r="BD344" s="149">
        <v>0</v>
      </c>
      <c r="BE344" s="149">
        <v>0</v>
      </c>
      <c r="BF344" s="149">
        <v>0</v>
      </c>
      <c r="BG344" s="149">
        <v>1</v>
      </c>
      <c r="BH344" s="149">
        <v>0</v>
      </c>
      <c r="BI344" s="149">
        <v>0</v>
      </c>
      <c r="BJ344" s="149">
        <v>0</v>
      </c>
      <c r="BK344" s="149">
        <v>0</v>
      </c>
      <c r="BL344" s="149">
        <v>0</v>
      </c>
      <c r="BM344" s="149">
        <v>0</v>
      </c>
      <c r="BN344" s="149">
        <v>0</v>
      </c>
      <c r="BO344" s="149">
        <v>0</v>
      </c>
      <c r="BP344" s="152"/>
      <c r="BQ344" s="152"/>
      <c r="BR344" s="154" t="s">
        <v>359</v>
      </c>
      <c r="BS344" s="136">
        <v>14</v>
      </c>
      <c r="BT344" s="267"/>
      <c r="BU344" s="267">
        <f>M344/2</f>
        <v>0</v>
      </c>
      <c r="BV344" s="267">
        <f>M344/2</f>
        <v>0</v>
      </c>
      <c r="BW344" s="267"/>
      <c r="BX344" s="267"/>
      <c r="BY344" s="267"/>
      <c r="BZ344" s="267"/>
      <c r="CA344" s="267"/>
      <c r="CB344" s="267"/>
      <c r="CC344" s="267"/>
      <c r="CD344" s="267"/>
      <c r="CE344" s="267"/>
      <c r="CF344" s="267"/>
      <c r="CG344" s="267"/>
      <c r="CH344" s="267"/>
      <c r="CI344" s="267"/>
      <c r="CJ344" s="267"/>
      <c r="CK344" s="267"/>
      <c r="CL344" s="267"/>
      <c r="CM344" s="267"/>
      <c r="CN344" s="101">
        <f t="shared" si="24"/>
        <v>0</v>
      </c>
      <c r="CO344" s="101">
        <f t="shared" si="25"/>
        <v>0</v>
      </c>
    </row>
    <row r="345" spans="1:93" ht="13.9" customHeight="1" x14ac:dyDescent="0.2">
      <c r="A345" s="149">
        <v>7669</v>
      </c>
      <c r="B345" s="150" t="s">
        <v>854</v>
      </c>
      <c r="C345" s="150" t="s">
        <v>1175</v>
      </c>
      <c r="D345" s="150" t="s">
        <v>1176</v>
      </c>
      <c r="E345" s="150" t="s">
        <v>326</v>
      </c>
      <c r="F345" s="149">
        <v>524351</v>
      </c>
      <c r="G345" s="149">
        <v>175325</v>
      </c>
      <c r="H345" s="150" t="s">
        <v>171</v>
      </c>
      <c r="I345" s="151">
        <v>45098</v>
      </c>
      <c r="J345" s="151"/>
      <c r="K345" s="149">
        <v>2</v>
      </c>
      <c r="L345" s="149">
        <v>3</v>
      </c>
      <c r="M345" s="149">
        <v>1</v>
      </c>
      <c r="N345" s="149">
        <v>3</v>
      </c>
      <c r="O345" s="149">
        <v>1</v>
      </c>
      <c r="P345" s="152"/>
      <c r="Q345" s="150" t="s">
        <v>1177</v>
      </c>
      <c r="R345" s="150" t="s">
        <v>349</v>
      </c>
      <c r="S345" s="151">
        <v>44482</v>
      </c>
      <c r="T345" s="151">
        <v>44573</v>
      </c>
      <c r="U345" s="152"/>
      <c r="V345" s="150" t="s">
        <v>330</v>
      </c>
      <c r="W345" s="151"/>
      <c r="X345" s="150" t="s">
        <v>331</v>
      </c>
      <c r="Y345" s="150" t="s">
        <v>491</v>
      </c>
      <c r="Z345" s="150" t="s">
        <v>334</v>
      </c>
      <c r="AA345" s="150" t="s">
        <v>413</v>
      </c>
      <c r="AB345" s="153">
        <v>3.9332999999999998E-3</v>
      </c>
      <c r="AC345" s="151">
        <v>45098</v>
      </c>
      <c r="AD345" s="152" t="s">
        <v>327</v>
      </c>
      <c r="AE345" s="151"/>
      <c r="AF345" s="150" t="s">
        <v>70</v>
      </c>
      <c r="AG345" s="152" t="s">
        <v>352</v>
      </c>
      <c r="AH345" s="150" t="s">
        <v>326</v>
      </c>
      <c r="AI345" s="99"/>
      <c r="AJ345" s="149"/>
      <c r="AK345" s="99"/>
      <c r="AL345" s="149"/>
      <c r="AM345" s="99"/>
      <c r="AN345" s="149">
        <v>0</v>
      </c>
      <c r="AO345" s="149">
        <v>1</v>
      </c>
      <c r="AP345" s="149">
        <v>0</v>
      </c>
      <c r="AQ345" s="149">
        <v>0</v>
      </c>
      <c r="AR345" s="149">
        <v>0</v>
      </c>
      <c r="AS345" s="149">
        <v>0</v>
      </c>
      <c r="AT345" s="149">
        <v>0</v>
      </c>
      <c r="AU345" s="149">
        <v>0</v>
      </c>
      <c r="AV345" s="149">
        <v>1</v>
      </c>
      <c r="AW345" s="149">
        <v>0</v>
      </c>
      <c r="AX345" s="149">
        <v>0</v>
      </c>
      <c r="AY345" s="149">
        <v>0</v>
      </c>
      <c r="AZ345" s="149">
        <v>0</v>
      </c>
      <c r="BA345" s="149">
        <v>0</v>
      </c>
      <c r="BB345" s="149">
        <v>0</v>
      </c>
      <c r="BC345" s="149">
        <v>0</v>
      </c>
      <c r="BD345" s="149">
        <v>0</v>
      </c>
      <c r="BE345" s="149">
        <v>0</v>
      </c>
      <c r="BF345" s="149">
        <v>0</v>
      </c>
      <c r="BG345" s="149">
        <v>0</v>
      </c>
      <c r="BH345" s="149">
        <v>0</v>
      </c>
      <c r="BI345" s="149">
        <v>0</v>
      </c>
      <c r="BJ345" s="149">
        <v>0</v>
      </c>
      <c r="BK345" s="149">
        <v>0</v>
      </c>
      <c r="BL345" s="149">
        <v>0</v>
      </c>
      <c r="BM345" s="149">
        <v>0</v>
      </c>
      <c r="BN345" s="149">
        <v>0</v>
      </c>
      <c r="BO345" s="149">
        <v>0</v>
      </c>
      <c r="BP345" s="152"/>
      <c r="BQ345" s="152"/>
      <c r="BR345" s="154" t="s">
        <v>359</v>
      </c>
      <c r="BS345" s="136">
        <v>13</v>
      </c>
      <c r="BT345" s="267"/>
      <c r="BU345" s="267">
        <f>M345</f>
        <v>1</v>
      </c>
      <c r="BV345" s="267"/>
      <c r="BW345" s="267"/>
      <c r="BX345" s="267"/>
      <c r="BY345" s="267"/>
      <c r="BZ345" s="267"/>
      <c r="CA345" s="267"/>
      <c r="CB345" s="267"/>
      <c r="CC345" s="267"/>
      <c r="CD345" s="267"/>
      <c r="CE345" s="267"/>
      <c r="CF345" s="267"/>
      <c r="CG345" s="267"/>
      <c r="CH345" s="267"/>
      <c r="CI345" s="267"/>
      <c r="CJ345" s="267"/>
      <c r="CK345" s="267"/>
      <c r="CL345" s="267"/>
      <c r="CM345" s="267"/>
      <c r="CN345" s="101">
        <f t="shared" si="24"/>
        <v>1</v>
      </c>
      <c r="CO345" s="101">
        <f t="shared" si="25"/>
        <v>1</v>
      </c>
    </row>
    <row r="346" spans="1:93" ht="13.9" customHeight="1" x14ac:dyDescent="0.2">
      <c r="A346" s="149">
        <v>7593</v>
      </c>
      <c r="B346" s="150" t="s">
        <v>854</v>
      </c>
      <c r="C346" s="150" t="s">
        <v>670</v>
      </c>
      <c r="D346" s="150" t="s">
        <v>671</v>
      </c>
      <c r="E346" s="150" t="s">
        <v>326</v>
      </c>
      <c r="F346" s="149">
        <v>524313</v>
      </c>
      <c r="G346" s="149">
        <v>175351</v>
      </c>
      <c r="H346" s="150" t="s">
        <v>171</v>
      </c>
      <c r="I346" s="151">
        <v>44651</v>
      </c>
      <c r="J346" s="151"/>
      <c r="K346" s="149">
        <v>0</v>
      </c>
      <c r="L346" s="149">
        <v>1</v>
      </c>
      <c r="M346" s="149">
        <v>1</v>
      </c>
      <c r="N346" s="149">
        <v>3</v>
      </c>
      <c r="O346" s="149">
        <v>3</v>
      </c>
      <c r="P346" s="152"/>
      <c r="Q346" s="150" t="s">
        <v>672</v>
      </c>
      <c r="R346" s="150" t="s">
        <v>349</v>
      </c>
      <c r="S346" s="151">
        <v>44474</v>
      </c>
      <c r="T346" s="151">
        <v>44553</v>
      </c>
      <c r="U346" s="152"/>
      <c r="V346" s="150" t="s">
        <v>330</v>
      </c>
      <c r="W346" s="151"/>
      <c r="X346" s="150" t="s">
        <v>331</v>
      </c>
      <c r="Y346" s="150" t="s">
        <v>398</v>
      </c>
      <c r="Z346" s="150" t="s">
        <v>334</v>
      </c>
      <c r="AA346" s="150" t="s">
        <v>26</v>
      </c>
      <c r="AB346" s="153">
        <v>0.01</v>
      </c>
      <c r="AC346" s="151">
        <v>44651</v>
      </c>
      <c r="AD346" s="150"/>
      <c r="AE346" s="151"/>
      <c r="AF346" s="150" t="s">
        <v>70</v>
      </c>
      <c r="AG346" s="152" t="s">
        <v>352</v>
      </c>
      <c r="AH346" s="150" t="s">
        <v>326</v>
      </c>
      <c r="AI346" s="99"/>
      <c r="AJ346" s="149"/>
      <c r="AK346" s="99"/>
      <c r="AL346" s="149"/>
      <c r="AM346" s="99"/>
      <c r="AN346" s="149">
        <v>0</v>
      </c>
      <c r="AO346" s="149">
        <v>0</v>
      </c>
      <c r="AP346" s="149">
        <v>0</v>
      </c>
      <c r="AQ346" s="149">
        <v>1</v>
      </c>
      <c r="AR346" s="149">
        <v>0</v>
      </c>
      <c r="AS346" s="149">
        <v>0</v>
      </c>
      <c r="AT346" s="149">
        <v>0</v>
      </c>
      <c r="AU346" s="149">
        <v>0</v>
      </c>
      <c r="AV346" s="149">
        <v>0</v>
      </c>
      <c r="AW346" s="149">
        <v>0</v>
      </c>
      <c r="AX346" s="149">
        <v>1</v>
      </c>
      <c r="AY346" s="149">
        <v>0</v>
      </c>
      <c r="AZ346" s="149">
        <v>0</v>
      </c>
      <c r="BA346" s="149">
        <v>0</v>
      </c>
      <c r="BB346" s="149">
        <v>0</v>
      </c>
      <c r="BC346" s="149">
        <v>0</v>
      </c>
      <c r="BD346" s="149">
        <v>0</v>
      </c>
      <c r="BE346" s="149">
        <v>0</v>
      </c>
      <c r="BF346" s="149">
        <v>0</v>
      </c>
      <c r="BG346" s="149">
        <v>0</v>
      </c>
      <c r="BH346" s="149">
        <v>0</v>
      </c>
      <c r="BI346" s="149">
        <v>0</v>
      </c>
      <c r="BJ346" s="149">
        <v>0</v>
      </c>
      <c r="BK346" s="149">
        <v>0</v>
      </c>
      <c r="BL346" s="149">
        <v>0</v>
      </c>
      <c r="BM346" s="149">
        <v>0</v>
      </c>
      <c r="BN346" s="149">
        <v>0</v>
      </c>
      <c r="BO346" s="149">
        <v>0</v>
      </c>
      <c r="BP346" s="152"/>
      <c r="BQ346" s="152"/>
      <c r="BR346" s="154" t="s">
        <v>359</v>
      </c>
      <c r="BS346" s="136">
        <v>13</v>
      </c>
      <c r="BT346" s="267"/>
      <c r="BU346" s="267">
        <f>M346</f>
        <v>1</v>
      </c>
      <c r="BV346" s="267"/>
      <c r="BW346" s="267"/>
      <c r="BX346" s="267"/>
      <c r="BY346" s="267"/>
      <c r="BZ346" s="267"/>
      <c r="CA346" s="267"/>
      <c r="CB346" s="267"/>
      <c r="CC346" s="267"/>
      <c r="CD346" s="267"/>
      <c r="CE346" s="267"/>
      <c r="CF346" s="267"/>
      <c r="CG346" s="267"/>
      <c r="CH346" s="267"/>
      <c r="CI346" s="267"/>
      <c r="CJ346" s="267"/>
      <c r="CK346" s="267"/>
      <c r="CL346" s="267"/>
      <c r="CM346" s="267"/>
      <c r="CN346" s="101">
        <f t="shared" si="24"/>
        <v>1</v>
      </c>
      <c r="CO346" s="101">
        <f t="shared" si="25"/>
        <v>1</v>
      </c>
    </row>
    <row r="347" spans="1:93" ht="13.9" customHeight="1" x14ac:dyDescent="0.2">
      <c r="A347" s="149">
        <v>7347</v>
      </c>
      <c r="B347" s="150" t="s">
        <v>854</v>
      </c>
      <c r="C347" s="150" t="s">
        <v>1178</v>
      </c>
      <c r="D347" s="150" t="s">
        <v>1179</v>
      </c>
      <c r="E347" s="150" t="s">
        <v>1180</v>
      </c>
      <c r="F347" s="149">
        <v>529142</v>
      </c>
      <c r="G347" s="149">
        <v>170477</v>
      </c>
      <c r="H347" s="150" t="s">
        <v>163</v>
      </c>
      <c r="I347" s="151">
        <v>44651</v>
      </c>
      <c r="J347" s="151"/>
      <c r="K347" s="149">
        <v>0</v>
      </c>
      <c r="L347" s="149">
        <v>6</v>
      </c>
      <c r="M347" s="149">
        <v>6</v>
      </c>
      <c r="N347" s="149">
        <v>29</v>
      </c>
      <c r="O347" s="149">
        <v>29</v>
      </c>
      <c r="P347" s="152" t="s">
        <v>327</v>
      </c>
      <c r="Q347" s="150" t="s">
        <v>1181</v>
      </c>
      <c r="R347" s="150" t="s">
        <v>342</v>
      </c>
      <c r="S347" s="151">
        <v>44476</v>
      </c>
      <c r="T347" s="151">
        <v>44509</v>
      </c>
      <c r="U347" s="152"/>
      <c r="V347" s="150" t="s">
        <v>330</v>
      </c>
      <c r="W347" s="151"/>
      <c r="X347" s="150" t="s">
        <v>331</v>
      </c>
      <c r="Y347" s="150" t="s">
        <v>343</v>
      </c>
      <c r="Z347" s="150" t="s">
        <v>343</v>
      </c>
      <c r="AA347" s="150" t="s">
        <v>334</v>
      </c>
      <c r="AB347" s="153">
        <v>4.4172000000000003E-2</v>
      </c>
      <c r="AC347" s="151">
        <v>44652</v>
      </c>
      <c r="AD347" s="150"/>
      <c r="AE347" s="151"/>
      <c r="AF347" s="150" t="s">
        <v>48</v>
      </c>
      <c r="AG347" s="152" t="s">
        <v>344</v>
      </c>
      <c r="AH347" s="150" t="s">
        <v>326</v>
      </c>
      <c r="AI347" s="99"/>
      <c r="AJ347" s="149"/>
      <c r="AK347" s="99"/>
      <c r="AL347" s="149"/>
      <c r="AM347" s="99"/>
      <c r="AN347" s="149">
        <v>1</v>
      </c>
      <c r="AO347" s="149">
        <v>1</v>
      </c>
      <c r="AP347" s="149">
        <v>3</v>
      </c>
      <c r="AQ347" s="149">
        <v>1</v>
      </c>
      <c r="AR347" s="149">
        <v>0</v>
      </c>
      <c r="AS347" s="149">
        <v>0</v>
      </c>
      <c r="AT347" s="149">
        <v>0</v>
      </c>
      <c r="AU347" s="149">
        <v>1</v>
      </c>
      <c r="AV347" s="149">
        <v>1</v>
      </c>
      <c r="AW347" s="149">
        <v>3</v>
      </c>
      <c r="AX347" s="149">
        <v>1</v>
      </c>
      <c r="AY347" s="149">
        <v>0</v>
      </c>
      <c r="AZ347" s="149">
        <v>0</v>
      </c>
      <c r="BA347" s="149">
        <v>0</v>
      </c>
      <c r="BB347" s="149">
        <v>0</v>
      </c>
      <c r="BC347" s="149">
        <v>0</v>
      </c>
      <c r="BD347" s="149">
        <v>0</v>
      </c>
      <c r="BE347" s="149">
        <v>0</v>
      </c>
      <c r="BF347" s="149">
        <v>0</v>
      </c>
      <c r="BG347" s="149">
        <v>0</v>
      </c>
      <c r="BH347" s="149">
        <v>0</v>
      </c>
      <c r="BI347" s="149">
        <v>0</v>
      </c>
      <c r="BJ347" s="149">
        <v>0</v>
      </c>
      <c r="BK347" s="149">
        <v>0</v>
      </c>
      <c r="BL347" s="149">
        <v>0</v>
      </c>
      <c r="BM347" s="149">
        <v>0</v>
      </c>
      <c r="BN347" s="149">
        <v>0</v>
      </c>
      <c r="BO347" s="149">
        <v>0</v>
      </c>
      <c r="BP347" s="152"/>
      <c r="BQ347" s="152"/>
      <c r="BR347" s="154" t="s">
        <v>359</v>
      </c>
      <c r="BS347" s="136">
        <v>6</v>
      </c>
      <c r="BT347" s="267"/>
      <c r="BU347" s="267"/>
      <c r="BV347" s="267">
        <f>M347/4</f>
        <v>1.5</v>
      </c>
      <c r="BW347" s="267">
        <f>M347/4</f>
        <v>1.5</v>
      </c>
      <c r="BX347" s="267">
        <f>M347/4</f>
        <v>1.5</v>
      </c>
      <c r="BY347" s="267">
        <f>M347/4</f>
        <v>1.5</v>
      </c>
      <c r="BZ347" s="267"/>
      <c r="CA347" s="267"/>
      <c r="CB347" s="267"/>
      <c r="CC347" s="267"/>
      <c r="CD347" s="267"/>
      <c r="CE347" s="267"/>
      <c r="CF347" s="267"/>
      <c r="CG347" s="267"/>
      <c r="CH347" s="267"/>
      <c r="CI347" s="267"/>
      <c r="CJ347" s="267"/>
      <c r="CK347" s="267"/>
      <c r="CL347" s="267"/>
      <c r="CM347" s="267"/>
      <c r="CN347" s="101">
        <f t="shared" si="24"/>
        <v>6</v>
      </c>
      <c r="CO347" s="101">
        <f t="shared" si="25"/>
        <v>6</v>
      </c>
    </row>
    <row r="348" spans="1:93" ht="13.9" customHeight="1" x14ac:dyDescent="0.2">
      <c r="A348" s="149">
        <v>7347</v>
      </c>
      <c r="B348" s="150" t="s">
        <v>854</v>
      </c>
      <c r="C348" s="150" t="s">
        <v>1178</v>
      </c>
      <c r="D348" s="150" t="s">
        <v>1179</v>
      </c>
      <c r="E348" s="150" t="s">
        <v>1182</v>
      </c>
      <c r="F348" s="149">
        <v>529142</v>
      </c>
      <c r="G348" s="149">
        <v>170477</v>
      </c>
      <c r="H348" s="150" t="s">
        <v>163</v>
      </c>
      <c r="I348" s="151">
        <v>44651</v>
      </c>
      <c r="J348" s="151"/>
      <c r="K348" s="149">
        <v>0</v>
      </c>
      <c r="L348" s="149">
        <v>23</v>
      </c>
      <c r="M348" s="149">
        <v>23</v>
      </c>
      <c r="N348" s="149">
        <v>29</v>
      </c>
      <c r="O348" s="149">
        <v>29</v>
      </c>
      <c r="P348" s="152" t="s">
        <v>327</v>
      </c>
      <c r="Q348" s="150" t="s">
        <v>1181</v>
      </c>
      <c r="R348" s="150" t="s">
        <v>342</v>
      </c>
      <c r="S348" s="151">
        <v>44476</v>
      </c>
      <c r="T348" s="151">
        <v>44509</v>
      </c>
      <c r="U348" s="152"/>
      <c r="V348" s="150" t="s">
        <v>330</v>
      </c>
      <c r="W348" s="151"/>
      <c r="X348" s="150" t="s">
        <v>331</v>
      </c>
      <c r="Y348" s="150" t="s">
        <v>343</v>
      </c>
      <c r="Z348" s="150" t="s">
        <v>343</v>
      </c>
      <c r="AA348" s="150" t="s">
        <v>334</v>
      </c>
      <c r="AB348" s="153">
        <v>0.169326</v>
      </c>
      <c r="AC348" s="151">
        <v>44652</v>
      </c>
      <c r="AD348" s="150"/>
      <c r="AE348" s="151"/>
      <c r="AF348" s="150" t="s">
        <v>70</v>
      </c>
      <c r="AG348" s="152" t="s">
        <v>352</v>
      </c>
      <c r="AH348" s="150" t="s">
        <v>326</v>
      </c>
      <c r="AI348" s="99"/>
      <c r="AJ348" s="149"/>
      <c r="AK348" s="99"/>
      <c r="AL348" s="149"/>
      <c r="AM348" s="99"/>
      <c r="AN348" s="149">
        <v>0</v>
      </c>
      <c r="AO348" s="149">
        <v>5</v>
      </c>
      <c r="AP348" s="149">
        <v>17</v>
      </c>
      <c r="AQ348" s="149">
        <v>1</v>
      </c>
      <c r="AR348" s="149">
        <v>0</v>
      </c>
      <c r="AS348" s="149">
        <v>0</v>
      </c>
      <c r="AT348" s="149">
        <v>0</v>
      </c>
      <c r="AU348" s="149">
        <v>0</v>
      </c>
      <c r="AV348" s="149">
        <v>5</v>
      </c>
      <c r="AW348" s="149">
        <v>17</v>
      </c>
      <c r="AX348" s="149">
        <v>1</v>
      </c>
      <c r="AY348" s="149">
        <v>0</v>
      </c>
      <c r="AZ348" s="149">
        <v>0</v>
      </c>
      <c r="BA348" s="149">
        <v>0</v>
      </c>
      <c r="BB348" s="149">
        <v>0</v>
      </c>
      <c r="BC348" s="149">
        <v>0</v>
      </c>
      <c r="BD348" s="149">
        <v>0</v>
      </c>
      <c r="BE348" s="149">
        <v>0</v>
      </c>
      <c r="BF348" s="149">
        <v>0</v>
      </c>
      <c r="BG348" s="149">
        <v>0</v>
      </c>
      <c r="BH348" s="149">
        <v>0</v>
      </c>
      <c r="BI348" s="149">
        <v>0</v>
      </c>
      <c r="BJ348" s="149">
        <v>0</v>
      </c>
      <c r="BK348" s="149">
        <v>0</v>
      </c>
      <c r="BL348" s="149">
        <v>0</v>
      </c>
      <c r="BM348" s="149">
        <v>0</v>
      </c>
      <c r="BN348" s="149">
        <v>0</v>
      </c>
      <c r="BO348" s="149">
        <v>0</v>
      </c>
      <c r="BP348" s="152"/>
      <c r="BQ348" s="152"/>
      <c r="BR348" s="154" t="s">
        <v>359</v>
      </c>
      <c r="BS348" s="136">
        <v>6</v>
      </c>
      <c r="BT348" s="267"/>
      <c r="BU348" s="267"/>
      <c r="BV348" s="267">
        <f>M348/4</f>
        <v>5.75</v>
      </c>
      <c r="BW348" s="267">
        <f>M348/4</f>
        <v>5.75</v>
      </c>
      <c r="BX348" s="267">
        <f>M348/4</f>
        <v>5.75</v>
      </c>
      <c r="BY348" s="267">
        <f>M348/4</f>
        <v>5.75</v>
      </c>
      <c r="BZ348" s="267"/>
      <c r="CA348" s="267"/>
      <c r="CB348" s="267"/>
      <c r="CC348" s="267"/>
      <c r="CD348" s="267"/>
      <c r="CE348" s="267"/>
      <c r="CF348" s="267"/>
      <c r="CG348" s="267"/>
      <c r="CH348" s="267"/>
      <c r="CI348" s="267"/>
      <c r="CJ348" s="267"/>
      <c r="CK348" s="267"/>
      <c r="CL348" s="267"/>
      <c r="CM348" s="267"/>
      <c r="CN348" s="101">
        <f t="shared" si="24"/>
        <v>23</v>
      </c>
      <c r="CO348" s="101">
        <f t="shared" si="25"/>
        <v>23</v>
      </c>
    </row>
    <row r="349" spans="1:93" ht="13.9" customHeight="1" x14ac:dyDescent="0.2">
      <c r="A349" s="149">
        <v>7686</v>
      </c>
      <c r="B349" s="150" t="s">
        <v>854</v>
      </c>
      <c r="C349" s="150" t="s">
        <v>1183</v>
      </c>
      <c r="D349" s="150" t="s">
        <v>1184</v>
      </c>
      <c r="E349" s="150" t="s">
        <v>326</v>
      </c>
      <c r="F349" s="149">
        <v>524336</v>
      </c>
      <c r="G349" s="149">
        <v>173815</v>
      </c>
      <c r="H349" s="150" t="s">
        <v>178</v>
      </c>
      <c r="I349" s="151">
        <v>45307</v>
      </c>
      <c r="J349" s="151"/>
      <c r="K349" s="149">
        <v>0</v>
      </c>
      <c r="L349" s="149">
        <v>4</v>
      </c>
      <c r="M349" s="149">
        <v>4</v>
      </c>
      <c r="N349" s="149">
        <v>4</v>
      </c>
      <c r="O349" s="149">
        <v>4</v>
      </c>
      <c r="P349" s="152"/>
      <c r="Q349" s="150" t="s">
        <v>1185</v>
      </c>
      <c r="R349" s="150" t="s">
        <v>349</v>
      </c>
      <c r="S349" s="151">
        <v>44497</v>
      </c>
      <c r="T349" s="151">
        <v>44586</v>
      </c>
      <c r="U349" s="152"/>
      <c r="V349" s="150" t="s">
        <v>330</v>
      </c>
      <c r="W349" s="151"/>
      <c r="X349" s="150" t="s">
        <v>331</v>
      </c>
      <c r="Y349" s="150" t="s">
        <v>343</v>
      </c>
      <c r="Z349" s="150" t="s">
        <v>334</v>
      </c>
      <c r="AA349" s="150" t="s">
        <v>363</v>
      </c>
      <c r="AB349" s="153">
        <v>1.2E-2</v>
      </c>
      <c r="AC349" s="151">
        <v>45307</v>
      </c>
      <c r="AD349" s="152" t="s">
        <v>327</v>
      </c>
      <c r="AE349" s="151"/>
      <c r="AF349" s="150" t="s">
        <v>70</v>
      </c>
      <c r="AG349" s="152" t="s">
        <v>352</v>
      </c>
      <c r="AH349" s="150" t="s">
        <v>326</v>
      </c>
      <c r="AI349" s="99"/>
      <c r="AJ349" s="149"/>
      <c r="AK349" s="138">
        <v>2</v>
      </c>
      <c r="AL349" s="149"/>
      <c r="AM349" s="99"/>
      <c r="AN349" s="149">
        <v>0</v>
      </c>
      <c r="AO349" s="149">
        <v>2</v>
      </c>
      <c r="AP349" s="149">
        <v>2</v>
      </c>
      <c r="AQ349" s="149">
        <v>0</v>
      </c>
      <c r="AR349" s="149">
        <v>0</v>
      </c>
      <c r="AS349" s="149">
        <v>0</v>
      </c>
      <c r="AT349" s="149">
        <v>0</v>
      </c>
      <c r="AU349" s="149">
        <v>0</v>
      </c>
      <c r="AV349" s="149">
        <v>2</v>
      </c>
      <c r="AW349" s="149">
        <v>2</v>
      </c>
      <c r="AX349" s="149">
        <v>0</v>
      </c>
      <c r="AY349" s="149">
        <v>0</v>
      </c>
      <c r="AZ349" s="149">
        <v>0</v>
      </c>
      <c r="BA349" s="149">
        <v>0</v>
      </c>
      <c r="BB349" s="149">
        <v>0</v>
      </c>
      <c r="BC349" s="149">
        <v>0</v>
      </c>
      <c r="BD349" s="149">
        <v>0</v>
      </c>
      <c r="BE349" s="149">
        <v>0</v>
      </c>
      <c r="BF349" s="149">
        <v>0</v>
      </c>
      <c r="BG349" s="149">
        <v>0</v>
      </c>
      <c r="BH349" s="149">
        <v>0</v>
      </c>
      <c r="BI349" s="149">
        <v>0</v>
      </c>
      <c r="BJ349" s="149">
        <v>0</v>
      </c>
      <c r="BK349" s="149">
        <v>0</v>
      </c>
      <c r="BL349" s="149">
        <v>0</v>
      </c>
      <c r="BM349" s="149">
        <v>0</v>
      </c>
      <c r="BN349" s="149">
        <v>0</v>
      </c>
      <c r="BO349" s="149">
        <v>0</v>
      </c>
      <c r="BP349" s="152"/>
      <c r="BQ349" s="152"/>
      <c r="BR349" s="154" t="s">
        <v>359</v>
      </c>
      <c r="BS349" s="136">
        <v>4</v>
      </c>
      <c r="BT349" s="267"/>
      <c r="BU349" s="267">
        <f>M349/2</f>
        <v>2</v>
      </c>
      <c r="BV349" s="267">
        <f>M349/2</f>
        <v>2</v>
      </c>
      <c r="BW349" s="267"/>
      <c r="BX349" s="267"/>
      <c r="BY349" s="267"/>
      <c r="BZ349" s="267"/>
      <c r="CA349" s="267"/>
      <c r="CB349" s="267"/>
      <c r="CC349" s="267"/>
      <c r="CD349" s="267"/>
      <c r="CE349" s="267"/>
      <c r="CF349" s="267"/>
      <c r="CG349" s="267"/>
      <c r="CH349" s="267"/>
      <c r="CI349" s="267"/>
      <c r="CJ349" s="267"/>
      <c r="CK349" s="267"/>
      <c r="CL349" s="267"/>
      <c r="CM349" s="267"/>
      <c r="CN349" s="101">
        <f t="shared" si="24"/>
        <v>4</v>
      </c>
      <c r="CO349" s="101">
        <f t="shared" si="25"/>
        <v>4</v>
      </c>
    </row>
    <row r="350" spans="1:93" ht="13.9" customHeight="1" x14ac:dyDescent="0.2">
      <c r="A350" s="149">
        <v>7626</v>
      </c>
      <c r="B350" s="150" t="s">
        <v>854</v>
      </c>
      <c r="C350" s="150" t="s">
        <v>1186</v>
      </c>
      <c r="D350" s="150" t="s">
        <v>1187</v>
      </c>
      <c r="E350" s="150" t="s">
        <v>326</v>
      </c>
      <c r="F350" s="149">
        <v>526794</v>
      </c>
      <c r="G350" s="149">
        <v>174584</v>
      </c>
      <c r="H350" s="150" t="s">
        <v>177</v>
      </c>
      <c r="I350" s="151">
        <v>44707</v>
      </c>
      <c r="J350" s="151"/>
      <c r="K350" s="149">
        <v>2</v>
      </c>
      <c r="L350" s="149">
        <v>1</v>
      </c>
      <c r="M350" s="149">
        <v>-1</v>
      </c>
      <c r="N350" s="149">
        <v>1</v>
      </c>
      <c r="O350" s="149">
        <v>-1</v>
      </c>
      <c r="P350" s="152"/>
      <c r="Q350" s="150" t="s">
        <v>1188</v>
      </c>
      <c r="R350" s="150" t="s">
        <v>349</v>
      </c>
      <c r="S350" s="151">
        <v>44512</v>
      </c>
      <c r="T350" s="151">
        <v>44568</v>
      </c>
      <c r="U350" s="152"/>
      <c r="V350" s="150" t="s">
        <v>330</v>
      </c>
      <c r="W350" s="151"/>
      <c r="X350" s="150" t="s">
        <v>331</v>
      </c>
      <c r="Y350" s="150" t="s">
        <v>350</v>
      </c>
      <c r="Z350" s="150" t="s">
        <v>334</v>
      </c>
      <c r="AA350" s="150" t="s">
        <v>18</v>
      </c>
      <c r="AB350" s="153">
        <v>2E-3</v>
      </c>
      <c r="AC350" s="151">
        <v>44707</v>
      </c>
      <c r="AD350" s="150"/>
      <c r="AE350" s="151"/>
      <c r="AF350" s="150" t="s">
        <v>70</v>
      </c>
      <c r="AG350" s="152" t="s">
        <v>352</v>
      </c>
      <c r="AH350" s="150" t="s">
        <v>326</v>
      </c>
      <c r="AI350" s="99"/>
      <c r="AJ350" s="149"/>
      <c r="AK350" s="99"/>
      <c r="AL350" s="149"/>
      <c r="AM350" s="99"/>
      <c r="AN350" s="149">
        <v>0</v>
      </c>
      <c r="AO350" s="149">
        <v>-1</v>
      </c>
      <c r="AP350" s="149">
        <v>0</v>
      </c>
      <c r="AQ350" s="149">
        <v>0</v>
      </c>
      <c r="AR350" s="149">
        <v>0</v>
      </c>
      <c r="AS350" s="149">
        <v>0</v>
      </c>
      <c r="AT350" s="149">
        <v>0</v>
      </c>
      <c r="AU350" s="149">
        <v>0</v>
      </c>
      <c r="AV350" s="149">
        <v>-1</v>
      </c>
      <c r="AW350" s="149">
        <v>0</v>
      </c>
      <c r="AX350" s="149">
        <v>0</v>
      </c>
      <c r="AY350" s="149">
        <v>0</v>
      </c>
      <c r="AZ350" s="149">
        <v>-1</v>
      </c>
      <c r="BA350" s="149">
        <v>0</v>
      </c>
      <c r="BB350" s="149">
        <v>0</v>
      </c>
      <c r="BC350" s="149">
        <v>0</v>
      </c>
      <c r="BD350" s="149">
        <v>0</v>
      </c>
      <c r="BE350" s="149">
        <v>0</v>
      </c>
      <c r="BF350" s="149">
        <v>0</v>
      </c>
      <c r="BG350" s="149">
        <v>1</v>
      </c>
      <c r="BH350" s="149">
        <v>0</v>
      </c>
      <c r="BI350" s="149">
        <v>0</v>
      </c>
      <c r="BJ350" s="149">
        <v>0</v>
      </c>
      <c r="BK350" s="149">
        <v>0</v>
      </c>
      <c r="BL350" s="149">
        <v>0</v>
      </c>
      <c r="BM350" s="149">
        <v>0</v>
      </c>
      <c r="BN350" s="149">
        <v>0</v>
      </c>
      <c r="BO350" s="149">
        <v>0</v>
      </c>
      <c r="BP350" s="152"/>
      <c r="BQ350" s="152"/>
      <c r="BR350" s="154" t="s">
        <v>359</v>
      </c>
      <c r="BS350" s="136">
        <v>13</v>
      </c>
      <c r="BT350" s="267"/>
      <c r="BU350" s="267">
        <f t="shared" ref="BU350:BU359" si="27">M350</f>
        <v>-1</v>
      </c>
      <c r="BV350" s="267"/>
      <c r="BW350" s="267"/>
      <c r="BX350" s="267"/>
      <c r="BY350" s="267"/>
      <c r="BZ350" s="267"/>
      <c r="CA350" s="267"/>
      <c r="CB350" s="267"/>
      <c r="CC350" s="267"/>
      <c r="CD350" s="267"/>
      <c r="CE350" s="267"/>
      <c r="CF350" s="267"/>
      <c r="CG350" s="267"/>
      <c r="CH350" s="267"/>
      <c r="CI350" s="267"/>
      <c r="CJ350" s="267"/>
      <c r="CK350" s="267"/>
      <c r="CL350" s="267"/>
      <c r="CM350" s="267"/>
      <c r="CN350" s="101">
        <f t="shared" si="24"/>
        <v>-1</v>
      </c>
      <c r="CO350" s="101">
        <f t="shared" si="25"/>
        <v>-1</v>
      </c>
    </row>
    <row r="351" spans="1:93" ht="13.9" customHeight="1" x14ac:dyDescent="0.2">
      <c r="A351" s="149">
        <v>7691</v>
      </c>
      <c r="B351" s="150" t="s">
        <v>854</v>
      </c>
      <c r="C351" s="150" t="s">
        <v>1189</v>
      </c>
      <c r="D351" s="150" t="s">
        <v>1190</v>
      </c>
      <c r="E351" s="150" t="s">
        <v>326</v>
      </c>
      <c r="F351" s="149">
        <v>526952</v>
      </c>
      <c r="G351" s="149">
        <v>171670</v>
      </c>
      <c r="H351" s="150" t="s">
        <v>173</v>
      </c>
      <c r="I351" s="151">
        <v>45152</v>
      </c>
      <c r="J351" s="151"/>
      <c r="K351" s="149">
        <v>0</v>
      </c>
      <c r="L351" s="149">
        <v>1</v>
      </c>
      <c r="M351" s="149">
        <v>1</v>
      </c>
      <c r="N351" s="149">
        <v>1</v>
      </c>
      <c r="O351" s="149">
        <v>1</v>
      </c>
      <c r="P351" s="152"/>
      <c r="Q351" s="150" t="s">
        <v>1191</v>
      </c>
      <c r="R351" s="150" t="s">
        <v>349</v>
      </c>
      <c r="S351" s="151">
        <v>44498</v>
      </c>
      <c r="T351" s="151">
        <v>44552</v>
      </c>
      <c r="U351" s="152"/>
      <c r="V351" s="150" t="s">
        <v>330</v>
      </c>
      <c r="W351" s="151"/>
      <c r="X351" s="150" t="s">
        <v>331</v>
      </c>
      <c r="Y351" s="150" t="s">
        <v>491</v>
      </c>
      <c r="Z351" s="150" t="s">
        <v>334</v>
      </c>
      <c r="AA351" s="150" t="s">
        <v>413</v>
      </c>
      <c r="AB351" s="153">
        <v>3.7000000000000002E-3</v>
      </c>
      <c r="AC351" s="151">
        <v>45152</v>
      </c>
      <c r="AD351" s="152" t="s">
        <v>327</v>
      </c>
      <c r="AE351" s="151"/>
      <c r="AF351" s="150" t="s">
        <v>70</v>
      </c>
      <c r="AG351" s="152" t="s">
        <v>352</v>
      </c>
      <c r="AH351" s="150" t="s">
        <v>326</v>
      </c>
      <c r="AI351" s="99"/>
      <c r="AJ351" s="149"/>
      <c r="AK351" s="99"/>
      <c r="AL351" s="149"/>
      <c r="AM351" s="99"/>
      <c r="AN351" s="149">
        <v>0</v>
      </c>
      <c r="AO351" s="149">
        <v>1</v>
      </c>
      <c r="AP351" s="149">
        <v>0</v>
      </c>
      <c r="AQ351" s="149">
        <v>0</v>
      </c>
      <c r="AR351" s="149">
        <v>0</v>
      </c>
      <c r="AS351" s="149">
        <v>0</v>
      </c>
      <c r="AT351" s="149">
        <v>0</v>
      </c>
      <c r="AU351" s="149">
        <v>0</v>
      </c>
      <c r="AV351" s="149">
        <v>1</v>
      </c>
      <c r="AW351" s="149">
        <v>0</v>
      </c>
      <c r="AX351" s="149">
        <v>0</v>
      </c>
      <c r="AY351" s="149">
        <v>0</v>
      </c>
      <c r="AZ351" s="149">
        <v>0</v>
      </c>
      <c r="BA351" s="149">
        <v>0</v>
      </c>
      <c r="BB351" s="149">
        <v>0</v>
      </c>
      <c r="BC351" s="149">
        <v>0</v>
      </c>
      <c r="BD351" s="149">
        <v>0</v>
      </c>
      <c r="BE351" s="149">
        <v>0</v>
      </c>
      <c r="BF351" s="149">
        <v>0</v>
      </c>
      <c r="BG351" s="149">
        <v>0</v>
      </c>
      <c r="BH351" s="149">
        <v>0</v>
      </c>
      <c r="BI351" s="149">
        <v>0</v>
      </c>
      <c r="BJ351" s="149">
        <v>0</v>
      </c>
      <c r="BK351" s="149">
        <v>0</v>
      </c>
      <c r="BL351" s="149">
        <v>0</v>
      </c>
      <c r="BM351" s="149">
        <v>0</v>
      </c>
      <c r="BN351" s="149">
        <v>0</v>
      </c>
      <c r="BO351" s="149">
        <v>0</v>
      </c>
      <c r="BP351" s="152"/>
      <c r="BQ351" s="152"/>
      <c r="BR351" s="154" t="s">
        <v>359</v>
      </c>
      <c r="BS351" s="136">
        <v>13</v>
      </c>
      <c r="BT351" s="267"/>
      <c r="BU351" s="267">
        <f t="shared" si="27"/>
        <v>1</v>
      </c>
      <c r="BV351" s="267"/>
      <c r="BW351" s="267"/>
      <c r="BX351" s="267"/>
      <c r="BY351" s="267"/>
      <c r="BZ351" s="267"/>
      <c r="CA351" s="267"/>
      <c r="CB351" s="267"/>
      <c r="CC351" s="267"/>
      <c r="CD351" s="267"/>
      <c r="CE351" s="267"/>
      <c r="CF351" s="267"/>
      <c r="CG351" s="267"/>
      <c r="CH351" s="267"/>
      <c r="CI351" s="267"/>
      <c r="CJ351" s="267"/>
      <c r="CK351" s="267"/>
      <c r="CL351" s="267"/>
      <c r="CM351" s="267"/>
      <c r="CN351" s="101">
        <f t="shared" si="24"/>
        <v>1</v>
      </c>
      <c r="CO351" s="101">
        <f t="shared" si="25"/>
        <v>1</v>
      </c>
    </row>
    <row r="352" spans="1:93" ht="13.9" customHeight="1" x14ac:dyDescent="0.2">
      <c r="A352" s="149">
        <v>7733</v>
      </c>
      <c r="B352" s="150" t="s">
        <v>854</v>
      </c>
      <c r="C352" s="150" t="s">
        <v>1192</v>
      </c>
      <c r="D352" s="150" t="s">
        <v>1193</v>
      </c>
      <c r="E352" s="150" t="s">
        <v>326</v>
      </c>
      <c r="F352" s="149">
        <v>527503</v>
      </c>
      <c r="G352" s="149">
        <v>174993</v>
      </c>
      <c r="H352" s="150" t="s">
        <v>164</v>
      </c>
      <c r="I352" s="151">
        <v>44652</v>
      </c>
      <c r="J352" s="151"/>
      <c r="K352" s="149">
        <v>2</v>
      </c>
      <c r="L352" s="149">
        <v>5</v>
      </c>
      <c r="M352" s="149">
        <v>3</v>
      </c>
      <c r="N352" s="149">
        <v>5</v>
      </c>
      <c r="O352" s="149">
        <v>3</v>
      </c>
      <c r="P352" s="152"/>
      <c r="Q352" s="150" t="s">
        <v>1194</v>
      </c>
      <c r="R352" s="150" t="s">
        <v>349</v>
      </c>
      <c r="S352" s="151">
        <v>44509</v>
      </c>
      <c r="T352" s="151">
        <v>44648</v>
      </c>
      <c r="U352" s="152"/>
      <c r="V352" s="150" t="s">
        <v>330</v>
      </c>
      <c r="W352" s="151"/>
      <c r="X352" s="150" t="s">
        <v>331</v>
      </c>
      <c r="Y352" s="150" t="s">
        <v>343</v>
      </c>
      <c r="Z352" s="150" t="s">
        <v>334</v>
      </c>
      <c r="AA352" s="150" t="s">
        <v>363</v>
      </c>
      <c r="AB352" s="153">
        <v>1.1730000000000001E-2</v>
      </c>
      <c r="AC352" s="151">
        <v>44652</v>
      </c>
      <c r="AD352" s="150"/>
      <c r="AE352" s="151"/>
      <c r="AF352" s="150" t="s">
        <v>70</v>
      </c>
      <c r="AG352" s="152" t="s">
        <v>352</v>
      </c>
      <c r="AH352" s="150" t="s">
        <v>326</v>
      </c>
      <c r="AI352" s="99"/>
      <c r="AJ352" s="149"/>
      <c r="AK352" s="99"/>
      <c r="AL352" s="149"/>
      <c r="AM352" s="99"/>
      <c r="AN352" s="149">
        <v>0</v>
      </c>
      <c r="AO352" s="149">
        <v>1</v>
      </c>
      <c r="AP352" s="149">
        <v>3</v>
      </c>
      <c r="AQ352" s="149">
        <v>-1</v>
      </c>
      <c r="AR352" s="149">
        <v>0</v>
      </c>
      <c r="AS352" s="149">
        <v>0</v>
      </c>
      <c r="AT352" s="149">
        <v>0</v>
      </c>
      <c r="AU352" s="149">
        <v>0</v>
      </c>
      <c r="AV352" s="149">
        <v>1</v>
      </c>
      <c r="AW352" s="149">
        <v>3</v>
      </c>
      <c r="AX352" s="149">
        <v>-1</v>
      </c>
      <c r="AY352" s="149">
        <v>0</v>
      </c>
      <c r="AZ352" s="149">
        <v>0</v>
      </c>
      <c r="BA352" s="149">
        <v>0</v>
      </c>
      <c r="BB352" s="149">
        <v>0</v>
      </c>
      <c r="BC352" s="149">
        <v>0</v>
      </c>
      <c r="BD352" s="149">
        <v>0</v>
      </c>
      <c r="BE352" s="149">
        <v>0</v>
      </c>
      <c r="BF352" s="149">
        <v>0</v>
      </c>
      <c r="BG352" s="149">
        <v>0</v>
      </c>
      <c r="BH352" s="149">
        <v>0</v>
      </c>
      <c r="BI352" s="149">
        <v>0</v>
      </c>
      <c r="BJ352" s="149">
        <v>0</v>
      </c>
      <c r="BK352" s="149">
        <v>0</v>
      </c>
      <c r="BL352" s="149">
        <v>0</v>
      </c>
      <c r="BM352" s="149">
        <v>0</v>
      </c>
      <c r="BN352" s="149">
        <v>0</v>
      </c>
      <c r="BO352" s="149">
        <v>0</v>
      </c>
      <c r="BP352" s="152" t="s">
        <v>140</v>
      </c>
      <c r="BQ352" s="152"/>
      <c r="BR352" s="154" t="s">
        <v>148</v>
      </c>
      <c r="BS352" s="136">
        <v>3</v>
      </c>
      <c r="BT352" s="267"/>
      <c r="BU352" s="267">
        <f t="shared" si="27"/>
        <v>3</v>
      </c>
      <c r="BV352" s="267"/>
      <c r="BW352" s="267"/>
      <c r="BX352" s="267"/>
      <c r="BY352" s="267"/>
      <c r="BZ352" s="267"/>
      <c r="CA352" s="267"/>
      <c r="CB352" s="267"/>
      <c r="CC352" s="267"/>
      <c r="CD352" s="267"/>
      <c r="CE352" s="267"/>
      <c r="CF352" s="267"/>
      <c r="CG352" s="267"/>
      <c r="CH352" s="267"/>
      <c r="CI352" s="267"/>
      <c r="CJ352" s="267"/>
      <c r="CK352" s="267"/>
      <c r="CL352" s="267"/>
      <c r="CM352" s="267"/>
      <c r="CN352" s="101">
        <f t="shared" si="24"/>
        <v>3</v>
      </c>
      <c r="CO352" s="101">
        <f t="shared" si="25"/>
        <v>3</v>
      </c>
    </row>
    <row r="353" spans="1:93" ht="13.9" customHeight="1" x14ac:dyDescent="0.2">
      <c r="A353" s="149">
        <v>3571</v>
      </c>
      <c r="B353" s="150" t="s">
        <v>854</v>
      </c>
      <c r="C353" s="150" t="s">
        <v>1195</v>
      </c>
      <c r="D353" s="150" t="s">
        <v>1196</v>
      </c>
      <c r="E353" s="150" t="s">
        <v>326</v>
      </c>
      <c r="F353" s="149">
        <v>527317</v>
      </c>
      <c r="G353" s="149">
        <v>171389</v>
      </c>
      <c r="H353" s="150" t="s">
        <v>173</v>
      </c>
      <c r="I353" s="151">
        <v>44916</v>
      </c>
      <c r="J353" s="151"/>
      <c r="K353" s="149">
        <v>2</v>
      </c>
      <c r="L353" s="149">
        <v>4</v>
      </c>
      <c r="M353" s="149">
        <v>2</v>
      </c>
      <c r="N353" s="149">
        <v>4</v>
      </c>
      <c r="O353" s="149">
        <v>2</v>
      </c>
      <c r="P353" s="152"/>
      <c r="Q353" s="150" t="s">
        <v>1197</v>
      </c>
      <c r="R353" s="150" t="s">
        <v>349</v>
      </c>
      <c r="S353" s="151">
        <v>44539</v>
      </c>
      <c r="T353" s="151">
        <v>44600</v>
      </c>
      <c r="U353" s="152"/>
      <c r="V353" s="150" t="s">
        <v>330</v>
      </c>
      <c r="W353" s="151"/>
      <c r="X353" s="150" t="s">
        <v>331</v>
      </c>
      <c r="Y353" s="150" t="s">
        <v>491</v>
      </c>
      <c r="Z353" s="150" t="s">
        <v>334</v>
      </c>
      <c r="AA353" s="150" t="s">
        <v>413</v>
      </c>
      <c r="AB353" s="153">
        <v>0.01</v>
      </c>
      <c r="AC353" s="151">
        <v>44916</v>
      </c>
      <c r="AD353" s="150"/>
      <c r="AE353" s="151"/>
      <c r="AF353" s="150" t="s">
        <v>70</v>
      </c>
      <c r="AG353" s="152" t="s">
        <v>352</v>
      </c>
      <c r="AH353" s="150" t="s">
        <v>326</v>
      </c>
      <c r="AI353" s="99"/>
      <c r="AJ353" s="149"/>
      <c r="AK353" s="99"/>
      <c r="AL353" s="149"/>
      <c r="AM353" s="99"/>
      <c r="AN353" s="149">
        <v>1</v>
      </c>
      <c r="AO353" s="149">
        <v>1</v>
      </c>
      <c r="AP353" s="149">
        <v>0</v>
      </c>
      <c r="AQ353" s="149">
        <v>0</v>
      </c>
      <c r="AR353" s="149">
        <v>0</v>
      </c>
      <c r="AS353" s="149">
        <v>0</v>
      </c>
      <c r="AT353" s="149">
        <v>0</v>
      </c>
      <c r="AU353" s="149">
        <v>1</v>
      </c>
      <c r="AV353" s="149">
        <v>1</v>
      </c>
      <c r="AW353" s="149">
        <v>0</v>
      </c>
      <c r="AX353" s="149">
        <v>0</v>
      </c>
      <c r="AY353" s="149">
        <v>0</v>
      </c>
      <c r="AZ353" s="149">
        <v>0</v>
      </c>
      <c r="BA353" s="149">
        <v>0</v>
      </c>
      <c r="BB353" s="149">
        <v>0</v>
      </c>
      <c r="BC353" s="149">
        <v>0</v>
      </c>
      <c r="BD353" s="149">
        <v>0</v>
      </c>
      <c r="BE353" s="149">
        <v>0</v>
      </c>
      <c r="BF353" s="149">
        <v>0</v>
      </c>
      <c r="BG353" s="149">
        <v>0</v>
      </c>
      <c r="BH353" s="149">
        <v>0</v>
      </c>
      <c r="BI353" s="149">
        <v>0</v>
      </c>
      <c r="BJ353" s="149">
        <v>0</v>
      </c>
      <c r="BK353" s="149">
        <v>0</v>
      </c>
      <c r="BL353" s="149">
        <v>0</v>
      </c>
      <c r="BM353" s="149">
        <v>0</v>
      </c>
      <c r="BN353" s="149">
        <v>0</v>
      </c>
      <c r="BO353" s="149">
        <v>0</v>
      </c>
      <c r="BP353" s="152"/>
      <c r="BQ353" s="152"/>
      <c r="BR353" s="154" t="s">
        <v>142</v>
      </c>
      <c r="BS353" s="136">
        <v>13</v>
      </c>
      <c r="BT353" s="267"/>
      <c r="BU353" s="267">
        <f t="shared" si="27"/>
        <v>2</v>
      </c>
      <c r="BV353" s="267"/>
      <c r="BW353" s="267"/>
      <c r="BX353" s="267"/>
      <c r="BY353" s="267"/>
      <c r="BZ353" s="267"/>
      <c r="CA353" s="267"/>
      <c r="CB353" s="267"/>
      <c r="CC353" s="267"/>
      <c r="CD353" s="267"/>
      <c r="CE353" s="267"/>
      <c r="CF353" s="267"/>
      <c r="CG353" s="267"/>
      <c r="CH353" s="267"/>
      <c r="CI353" s="267"/>
      <c r="CJ353" s="267"/>
      <c r="CK353" s="267"/>
      <c r="CL353" s="267"/>
      <c r="CM353" s="267"/>
      <c r="CN353" s="101">
        <f t="shared" si="24"/>
        <v>2</v>
      </c>
      <c r="CO353" s="101">
        <f t="shared" si="25"/>
        <v>2</v>
      </c>
    </row>
    <row r="354" spans="1:93" ht="13.9" customHeight="1" x14ac:dyDescent="0.2">
      <c r="A354" s="149">
        <v>6819</v>
      </c>
      <c r="B354" s="150" t="s">
        <v>854</v>
      </c>
      <c r="C354" s="150" t="s">
        <v>1198</v>
      </c>
      <c r="D354" s="150" t="s">
        <v>1199</v>
      </c>
      <c r="E354" s="150" t="s">
        <v>1200</v>
      </c>
      <c r="F354" s="149">
        <v>522285</v>
      </c>
      <c r="G354" s="149">
        <v>173138</v>
      </c>
      <c r="H354" s="150" t="s">
        <v>166</v>
      </c>
      <c r="I354" s="151">
        <v>43848</v>
      </c>
      <c r="J354" s="151"/>
      <c r="K354" s="149">
        <v>0</v>
      </c>
      <c r="L354" s="149">
        <v>28</v>
      </c>
      <c r="M354" s="149">
        <v>28</v>
      </c>
      <c r="N354" s="149">
        <v>95</v>
      </c>
      <c r="O354" s="149">
        <v>31</v>
      </c>
      <c r="P354" s="152" t="s">
        <v>327</v>
      </c>
      <c r="Q354" s="150" t="s">
        <v>1201</v>
      </c>
      <c r="R354" s="150" t="s">
        <v>329</v>
      </c>
      <c r="S354" s="151">
        <v>43150</v>
      </c>
      <c r="T354" s="151">
        <v>43539</v>
      </c>
      <c r="U354" s="152"/>
      <c r="V354" s="150" t="s">
        <v>330</v>
      </c>
      <c r="W354" s="151"/>
      <c r="X354" s="150" t="s">
        <v>331</v>
      </c>
      <c r="Y354" s="150" t="s">
        <v>343</v>
      </c>
      <c r="Z354" s="150" t="s">
        <v>343</v>
      </c>
      <c r="AA354" s="150" t="s">
        <v>334</v>
      </c>
      <c r="AB354" s="153">
        <v>0.17499999999999999</v>
      </c>
      <c r="AC354" s="151">
        <v>43848</v>
      </c>
      <c r="AD354" s="150"/>
      <c r="AE354" s="151"/>
      <c r="AF354" s="150" t="s">
        <v>48</v>
      </c>
      <c r="AG354" s="152" t="s">
        <v>992</v>
      </c>
      <c r="AH354" s="150" t="s">
        <v>326</v>
      </c>
      <c r="AI354" s="99"/>
      <c r="AJ354" s="149"/>
      <c r="AK354" s="138">
        <v>28</v>
      </c>
      <c r="AL354" s="149"/>
      <c r="AM354" s="138"/>
      <c r="AN354" s="149">
        <v>0</v>
      </c>
      <c r="AO354" s="149">
        <v>15</v>
      </c>
      <c r="AP354" s="149">
        <v>10</v>
      </c>
      <c r="AQ354" s="149">
        <v>3</v>
      </c>
      <c r="AR354" s="149">
        <v>0</v>
      </c>
      <c r="AS354" s="149">
        <v>0</v>
      </c>
      <c r="AT354" s="149">
        <v>0</v>
      </c>
      <c r="AU354" s="149">
        <v>0</v>
      </c>
      <c r="AV354" s="149">
        <v>15</v>
      </c>
      <c r="AW354" s="149">
        <v>10</v>
      </c>
      <c r="AX354" s="149">
        <v>3</v>
      </c>
      <c r="AY354" s="149">
        <v>0</v>
      </c>
      <c r="AZ354" s="149">
        <v>0</v>
      </c>
      <c r="BA354" s="149">
        <v>0</v>
      </c>
      <c r="BB354" s="149">
        <v>0</v>
      </c>
      <c r="BC354" s="149">
        <v>0</v>
      </c>
      <c r="BD354" s="149">
        <v>0</v>
      </c>
      <c r="BE354" s="149">
        <v>0</v>
      </c>
      <c r="BF354" s="149">
        <v>0</v>
      </c>
      <c r="BG354" s="149">
        <v>0</v>
      </c>
      <c r="BH354" s="149">
        <v>0</v>
      </c>
      <c r="BI354" s="149">
        <v>0</v>
      </c>
      <c r="BJ354" s="149">
        <v>0</v>
      </c>
      <c r="BK354" s="149">
        <v>0</v>
      </c>
      <c r="BL354" s="149">
        <v>0</v>
      </c>
      <c r="BM354" s="149">
        <v>0</v>
      </c>
      <c r="BN354" s="149">
        <v>0</v>
      </c>
      <c r="BO354" s="149">
        <v>0</v>
      </c>
      <c r="BP354" s="152"/>
      <c r="BQ354" s="152"/>
      <c r="BR354" s="154" t="s">
        <v>359</v>
      </c>
      <c r="BS354" s="136">
        <v>5</v>
      </c>
      <c r="BT354" s="267"/>
      <c r="BU354" s="267">
        <f t="shared" si="27"/>
        <v>28</v>
      </c>
      <c r="BV354" s="267"/>
      <c r="BW354" s="267"/>
      <c r="BX354" s="267"/>
      <c r="BY354" s="267"/>
      <c r="BZ354" s="267"/>
      <c r="CA354" s="267"/>
      <c r="CB354" s="267"/>
      <c r="CC354" s="267"/>
      <c r="CD354" s="267"/>
      <c r="CE354" s="267"/>
      <c r="CF354" s="267"/>
      <c r="CG354" s="267"/>
      <c r="CH354" s="267"/>
      <c r="CI354" s="267"/>
      <c r="CJ354" s="267"/>
      <c r="CK354" s="267"/>
      <c r="CL354" s="267"/>
      <c r="CM354" s="267"/>
      <c r="CN354" s="101">
        <f t="shared" si="24"/>
        <v>28</v>
      </c>
      <c r="CO354" s="101">
        <f t="shared" si="25"/>
        <v>28</v>
      </c>
    </row>
    <row r="355" spans="1:93" ht="13.9" customHeight="1" x14ac:dyDescent="0.2">
      <c r="A355" s="149">
        <v>6819</v>
      </c>
      <c r="B355" s="150" t="s">
        <v>854</v>
      </c>
      <c r="C355" s="150" t="s">
        <v>1198</v>
      </c>
      <c r="D355" s="150" t="s">
        <v>1199</v>
      </c>
      <c r="E355" s="150" t="s">
        <v>1202</v>
      </c>
      <c r="F355" s="149">
        <v>522285</v>
      </c>
      <c r="G355" s="149">
        <v>173138</v>
      </c>
      <c r="H355" s="150" t="s">
        <v>166</v>
      </c>
      <c r="I355" s="151">
        <v>43848</v>
      </c>
      <c r="J355" s="151"/>
      <c r="K355" s="149">
        <v>0</v>
      </c>
      <c r="L355" s="149">
        <v>26</v>
      </c>
      <c r="M355" s="149">
        <v>26</v>
      </c>
      <c r="N355" s="149">
        <v>95</v>
      </c>
      <c r="O355" s="149">
        <v>31</v>
      </c>
      <c r="P355" s="152" t="s">
        <v>327</v>
      </c>
      <c r="Q355" s="150" t="s">
        <v>1201</v>
      </c>
      <c r="R355" s="150" t="s">
        <v>329</v>
      </c>
      <c r="S355" s="151">
        <v>43150</v>
      </c>
      <c r="T355" s="151">
        <v>43539</v>
      </c>
      <c r="U355" s="152"/>
      <c r="V355" s="150" t="s">
        <v>330</v>
      </c>
      <c r="W355" s="151"/>
      <c r="X355" s="150" t="s">
        <v>331</v>
      </c>
      <c r="Y355" s="150" t="s">
        <v>343</v>
      </c>
      <c r="Z355" s="150" t="s">
        <v>343</v>
      </c>
      <c r="AA355" s="150" t="s">
        <v>334</v>
      </c>
      <c r="AB355" s="153">
        <v>0.16800000000000001</v>
      </c>
      <c r="AC355" s="151">
        <v>43848</v>
      </c>
      <c r="AD355" s="150"/>
      <c r="AE355" s="151"/>
      <c r="AF355" s="150" t="s">
        <v>48</v>
      </c>
      <c r="AG355" s="152" t="s">
        <v>992</v>
      </c>
      <c r="AH355" s="150" t="s">
        <v>326</v>
      </c>
      <c r="AI355" s="99"/>
      <c r="AJ355" s="149"/>
      <c r="AK355" s="138">
        <v>24</v>
      </c>
      <c r="AL355" s="149"/>
      <c r="AM355" s="138">
        <v>2</v>
      </c>
      <c r="AN355" s="149">
        <v>0</v>
      </c>
      <c r="AO355" s="149">
        <v>9</v>
      </c>
      <c r="AP355" s="149">
        <v>14</v>
      </c>
      <c r="AQ355" s="149">
        <v>3</v>
      </c>
      <c r="AR355" s="149">
        <v>0</v>
      </c>
      <c r="AS355" s="149">
        <v>0</v>
      </c>
      <c r="AT355" s="149">
        <v>0</v>
      </c>
      <c r="AU355" s="149">
        <v>0</v>
      </c>
      <c r="AV355" s="149">
        <v>9</v>
      </c>
      <c r="AW355" s="149">
        <v>14</v>
      </c>
      <c r="AX355" s="149">
        <v>3</v>
      </c>
      <c r="AY355" s="149">
        <v>0</v>
      </c>
      <c r="AZ355" s="149">
        <v>0</v>
      </c>
      <c r="BA355" s="149">
        <v>0</v>
      </c>
      <c r="BB355" s="149">
        <v>0</v>
      </c>
      <c r="BC355" s="149">
        <v>0</v>
      </c>
      <c r="BD355" s="149">
        <v>0</v>
      </c>
      <c r="BE355" s="149">
        <v>0</v>
      </c>
      <c r="BF355" s="149">
        <v>0</v>
      </c>
      <c r="BG355" s="149">
        <v>0</v>
      </c>
      <c r="BH355" s="149">
        <v>0</v>
      </c>
      <c r="BI355" s="149">
        <v>0</v>
      </c>
      <c r="BJ355" s="149">
        <v>0</v>
      </c>
      <c r="BK355" s="149">
        <v>0</v>
      </c>
      <c r="BL355" s="149">
        <v>0</v>
      </c>
      <c r="BM355" s="149">
        <v>0</v>
      </c>
      <c r="BN355" s="149">
        <v>0</v>
      </c>
      <c r="BO355" s="149">
        <v>0</v>
      </c>
      <c r="BP355" s="152"/>
      <c r="BQ355" s="152"/>
      <c r="BR355" s="154" t="s">
        <v>359</v>
      </c>
      <c r="BS355" s="136">
        <v>5</v>
      </c>
      <c r="BT355" s="267"/>
      <c r="BU355" s="267">
        <f t="shared" si="27"/>
        <v>26</v>
      </c>
      <c r="BV355" s="267"/>
      <c r="BW355" s="267"/>
      <c r="BX355" s="267"/>
      <c r="BY355" s="267"/>
      <c r="BZ355" s="267"/>
      <c r="CA355" s="267"/>
      <c r="CB355" s="267"/>
      <c r="CC355" s="267"/>
      <c r="CD355" s="267"/>
      <c r="CE355" s="267"/>
      <c r="CF355" s="267"/>
      <c r="CG355" s="267"/>
      <c r="CH355" s="267"/>
      <c r="CI355" s="267"/>
      <c r="CJ355" s="267"/>
      <c r="CK355" s="267"/>
      <c r="CL355" s="267"/>
      <c r="CM355" s="267"/>
      <c r="CN355" s="101">
        <f t="shared" si="24"/>
        <v>26</v>
      </c>
      <c r="CO355" s="101">
        <f t="shared" si="25"/>
        <v>26</v>
      </c>
    </row>
    <row r="356" spans="1:93" ht="13.9" customHeight="1" x14ac:dyDescent="0.2">
      <c r="A356" s="149">
        <v>7757</v>
      </c>
      <c r="B356" s="150" t="s">
        <v>854</v>
      </c>
      <c r="C356" s="150" t="s">
        <v>1203</v>
      </c>
      <c r="D356" s="150" t="s">
        <v>1204</v>
      </c>
      <c r="E356" s="150" t="s">
        <v>326</v>
      </c>
      <c r="F356" s="149">
        <v>521171</v>
      </c>
      <c r="G356" s="149">
        <v>174284</v>
      </c>
      <c r="H356" s="150" t="s">
        <v>166</v>
      </c>
      <c r="I356" s="151">
        <v>45083</v>
      </c>
      <c r="J356" s="151"/>
      <c r="K356" s="149">
        <v>1</v>
      </c>
      <c r="L356" s="149">
        <v>1</v>
      </c>
      <c r="M356" s="149">
        <v>0</v>
      </c>
      <c r="N356" s="149">
        <v>1</v>
      </c>
      <c r="O356" s="149">
        <v>0</v>
      </c>
      <c r="P356" s="152"/>
      <c r="Q356" s="150" t="s">
        <v>1205</v>
      </c>
      <c r="R356" s="150" t="s">
        <v>349</v>
      </c>
      <c r="S356" s="151">
        <v>44552</v>
      </c>
      <c r="T356" s="151">
        <v>44627</v>
      </c>
      <c r="U356" s="152"/>
      <c r="V356" s="150" t="s">
        <v>330</v>
      </c>
      <c r="W356" s="151"/>
      <c r="X356" s="150" t="s">
        <v>331</v>
      </c>
      <c r="Y356" s="150" t="s">
        <v>343</v>
      </c>
      <c r="Z356" s="150" t="s">
        <v>334</v>
      </c>
      <c r="AA356" s="150" t="s">
        <v>363</v>
      </c>
      <c r="AB356" s="153">
        <v>3.6999999999999998E-2</v>
      </c>
      <c r="AC356" s="151">
        <v>45083</v>
      </c>
      <c r="AD356" s="152" t="s">
        <v>327</v>
      </c>
      <c r="AE356" s="151"/>
      <c r="AF356" s="150" t="s">
        <v>70</v>
      </c>
      <c r="AG356" s="152" t="s">
        <v>352</v>
      </c>
      <c r="AH356" s="150" t="s">
        <v>326</v>
      </c>
      <c r="AI356" s="99"/>
      <c r="AJ356" s="149"/>
      <c r="AK356" s="99"/>
      <c r="AL356" s="149"/>
      <c r="AM356" s="99"/>
      <c r="AN356" s="149">
        <v>0</v>
      </c>
      <c r="AO356" s="149">
        <v>0</v>
      </c>
      <c r="AP356" s="149">
        <v>0</v>
      </c>
      <c r="AQ356" s="149">
        <v>0</v>
      </c>
      <c r="AR356" s="149">
        <v>0</v>
      </c>
      <c r="AS356" s="149">
        <v>0</v>
      </c>
      <c r="AT356" s="149">
        <v>0</v>
      </c>
      <c r="AU356" s="149">
        <v>0</v>
      </c>
      <c r="AV356" s="149">
        <v>0</v>
      </c>
      <c r="AW356" s="149">
        <v>0</v>
      </c>
      <c r="AX356" s="149">
        <v>0</v>
      </c>
      <c r="AY356" s="149">
        <v>0</v>
      </c>
      <c r="AZ356" s="149">
        <v>0</v>
      </c>
      <c r="BA356" s="149">
        <v>0</v>
      </c>
      <c r="BB356" s="149">
        <v>0</v>
      </c>
      <c r="BC356" s="149">
        <v>0</v>
      </c>
      <c r="BD356" s="149">
        <v>0</v>
      </c>
      <c r="BE356" s="149">
        <v>0</v>
      </c>
      <c r="BF356" s="149">
        <v>0</v>
      </c>
      <c r="BG356" s="149">
        <v>0</v>
      </c>
      <c r="BH356" s="149">
        <v>0</v>
      </c>
      <c r="BI356" s="149">
        <v>0</v>
      </c>
      <c r="BJ356" s="149">
        <v>0</v>
      </c>
      <c r="BK356" s="149">
        <v>0</v>
      </c>
      <c r="BL356" s="149">
        <v>0</v>
      </c>
      <c r="BM356" s="149">
        <v>0</v>
      </c>
      <c r="BN356" s="149">
        <v>0</v>
      </c>
      <c r="BO356" s="149">
        <v>0</v>
      </c>
      <c r="BP356" s="152"/>
      <c r="BQ356" s="152"/>
      <c r="BR356" s="154" t="s">
        <v>359</v>
      </c>
      <c r="BS356" s="136">
        <v>3</v>
      </c>
      <c r="BT356" s="267"/>
      <c r="BU356" s="267">
        <f t="shared" si="27"/>
        <v>0</v>
      </c>
      <c r="BV356" s="267"/>
      <c r="BW356" s="267"/>
      <c r="BX356" s="267"/>
      <c r="BY356" s="267"/>
      <c r="BZ356" s="267"/>
      <c r="CA356" s="267"/>
      <c r="CB356" s="267"/>
      <c r="CC356" s="267"/>
      <c r="CD356" s="267"/>
      <c r="CE356" s="267"/>
      <c r="CF356" s="267"/>
      <c r="CG356" s="267"/>
      <c r="CH356" s="267"/>
      <c r="CI356" s="267"/>
      <c r="CJ356" s="267"/>
      <c r="CK356" s="267"/>
      <c r="CL356" s="267"/>
      <c r="CM356" s="267"/>
      <c r="CN356" s="101">
        <f t="shared" si="24"/>
        <v>0</v>
      </c>
      <c r="CO356" s="101">
        <f t="shared" si="25"/>
        <v>0</v>
      </c>
    </row>
    <row r="357" spans="1:93" ht="13.9" customHeight="1" x14ac:dyDescent="0.2">
      <c r="A357" s="149">
        <v>7807</v>
      </c>
      <c r="B357" s="150" t="s">
        <v>854</v>
      </c>
      <c r="C357" s="150" t="s">
        <v>1206</v>
      </c>
      <c r="D357" s="150" t="s">
        <v>1207</v>
      </c>
      <c r="E357" s="150" t="s">
        <v>326</v>
      </c>
      <c r="F357" s="149">
        <v>527872</v>
      </c>
      <c r="G357" s="149">
        <v>176682</v>
      </c>
      <c r="H357" s="150" t="s">
        <v>160</v>
      </c>
      <c r="I357" s="151">
        <v>44847</v>
      </c>
      <c r="J357" s="151"/>
      <c r="K357" s="149">
        <v>2</v>
      </c>
      <c r="L357" s="149">
        <v>1</v>
      </c>
      <c r="M357" s="149">
        <v>-1</v>
      </c>
      <c r="N357" s="149">
        <v>1</v>
      </c>
      <c r="O357" s="149">
        <v>-1</v>
      </c>
      <c r="P357" s="152"/>
      <c r="Q357" s="150" t="s">
        <v>1208</v>
      </c>
      <c r="R357" s="150" t="s">
        <v>349</v>
      </c>
      <c r="S357" s="151">
        <v>44728</v>
      </c>
      <c r="T357" s="151">
        <v>44784</v>
      </c>
      <c r="U357" s="152"/>
      <c r="V357" s="150" t="s">
        <v>330</v>
      </c>
      <c r="W357" s="151"/>
      <c r="X357" s="150" t="s">
        <v>331</v>
      </c>
      <c r="Y357" s="150" t="s">
        <v>350</v>
      </c>
      <c r="Z357" s="150" t="s">
        <v>334</v>
      </c>
      <c r="AA357" s="150" t="s">
        <v>351</v>
      </c>
      <c r="AB357" s="153">
        <v>0.01</v>
      </c>
      <c r="AC357" s="151">
        <v>44847</v>
      </c>
      <c r="AD357" s="150"/>
      <c r="AE357" s="151"/>
      <c r="AF357" s="150" t="s">
        <v>70</v>
      </c>
      <c r="AG357" s="152" t="s">
        <v>352</v>
      </c>
      <c r="AH357" s="150" t="s">
        <v>326</v>
      </c>
      <c r="AI357" s="99"/>
      <c r="AJ357" s="149"/>
      <c r="AK357" s="99"/>
      <c r="AL357" s="149"/>
      <c r="AM357" s="99"/>
      <c r="AN357" s="149">
        <v>-1</v>
      </c>
      <c r="AO357" s="149">
        <v>-1</v>
      </c>
      <c r="AP357" s="149">
        <v>1</v>
      </c>
      <c r="AQ357" s="149">
        <v>0</v>
      </c>
      <c r="AR357" s="149">
        <v>0</v>
      </c>
      <c r="AS357" s="149">
        <v>0</v>
      </c>
      <c r="AT357" s="149">
        <v>0</v>
      </c>
      <c r="AU357" s="149">
        <v>-1</v>
      </c>
      <c r="AV357" s="149">
        <v>-1</v>
      </c>
      <c r="AW357" s="149">
        <v>1</v>
      </c>
      <c r="AX357" s="149">
        <v>0</v>
      </c>
      <c r="AY357" s="149">
        <v>0</v>
      </c>
      <c r="AZ357" s="149">
        <v>0</v>
      </c>
      <c r="BA357" s="149">
        <v>0</v>
      </c>
      <c r="BB357" s="149">
        <v>0</v>
      </c>
      <c r="BC357" s="149">
        <v>0</v>
      </c>
      <c r="BD357" s="149">
        <v>0</v>
      </c>
      <c r="BE357" s="149">
        <v>0</v>
      </c>
      <c r="BF357" s="149">
        <v>0</v>
      </c>
      <c r="BG357" s="149">
        <v>0</v>
      </c>
      <c r="BH357" s="149">
        <v>0</v>
      </c>
      <c r="BI357" s="149">
        <v>0</v>
      </c>
      <c r="BJ357" s="149">
        <v>0</v>
      </c>
      <c r="BK357" s="149">
        <v>0</v>
      </c>
      <c r="BL357" s="149">
        <v>0</v>
      </c>
      <c r="BM357" s="149">
        <v>0</v>
      </c>
      <c r="BN357" s="149">
        <v>0</v>
      </c>
      <c r="BO357" s="149">
        <v>0</v>
      </c>
      <c r="BP357" s="152"/>
      <c r="BQ357" s="152"/>
      <c r="BR357" s="154" t="s">
        <v>408</v>
      </c>
      <c r="BS357" s="136">
        <v>13</v>
      </c>
      <c r="BT357" s="267"/>
      <c r="BU357" s="267">
        <f t="shared" si="27"/>
        <v>-1</v>
      </c>
      <c r="BV357" s="267"/>
      <c r="BW357" s="267"/>
      <c r="BX357" s="267"/>
      <c r="BY357" s="267"/>
      <c r="BZ357" s="267"/>
      <c r="CA357" s="267"/>
      <c r="CB357" s="267"/>
      <c r="CC357" s="267"/>
      <c r="CD357" s="267"/>
      <c r="CE357" s="267"/>
      <c r="CF357" s="267"/>
      <c r="CG357" s="267"/>
      <c r="CH357" s="267"/>
      <c r="CI357" s="267"/>
      <c r="CJ357" s="267"/>
      <c r="CK357" s="267"/>
      <c r="CL357" s="267"/>
      <c r="CM357" s="267"/>
      <c r="CN357" s="101">
        <f t="shared" si="24"/>
        <v>-1</v>
      </c>
      <c r="CO357" s="101">
        <f t="shared" si="25"/>
        <v>-1</v>
      </c>
    </row>
    <row r="358" spans="1:93" ht="13.9" customHeight="1" x14ac:dyDescent="0.2">
      <c r="A358" s="149">
        <v>6819</v>
      </c>
      <c r="B358" s="150" t="s">
        <v>854</v>
      </c>
      <c r="C358" s="150" t="s">
        <v>1198</v>
      </c>
      <c r="D358" s="150" t="s">
        <v>1199</v>
      </c>
      <c r="E358" s="150" t="s">
        <v>1209</v>
      </c>
      <c r="F358" s="149">
        <v>522285</v>
      </c>
      <c r="G358" s="149">
        <v>173138</v>
      </c>
      <c r="H358" s="150" t="s">
        <v>166</v>
      </c>
      <c r="I358" s="151">
        <v>43848</v>
      </c>
      <c r="J358" s="151"/>
      <c r="K358" s="149">
        <v>64</v>
      </c>
      <c r="L358" s="149">
        <v>41</v>
      </c>
      <c r="M358" s="149">
        <v>-23</v>
      </c>
      <c r="N358" s="149">
        <v>95</v>
      </c>
      <c r="O358" s="149">
        <v>31</v>
      </c>
      <c r="P358" s="152" t="s">
        <v>327</v>
      </c>
      <c r="Q358" s="150" t="s">
        <v>1201</v>
      </c>
      <c r="R358" s="150" t="s">
        <v>329</v>
      </c>
      <c r="S358" s="151">
        <v>43150</v>
      </c>
      <c r="T358" s="151">
        <v>43539</v>
      </c>
      <c r="U358" s="152"/>
      <c r="V358" s="150" t="s">
        <v>330</v>
      </c>
      <c r="W358" s="151"/>
      <c r="X358" s="150" t="s">
        <v>331</v>
      </c>
      <c r="Y358" s="150" t="s">
        <v>343</v>
      </c>
      <c r="Z358" s="150" t="s">
        <v>343</v>
      </c>
      <c r="AA358" s="150" t="s">
        <v>334</v>
      </c>
      <c r="AB358" s="153">
        <v>0.17799999999999999</v>
      </c>
      <c r="AC358" s="151">
        <v>43848</v>
      </c>
      <c r="AD358" s="150"/>
      <c r="AE358" s="151"/>
      <c r="AF358" s="150" t="s">
        <v>49</v>
      </c>
      <c r="AG358" s="152" t="s">
        <v>383</v>
      </c>
      <c r="AH358" s="150" t="s">
        <v>326</v>
      </c>
      <c r="AI358" s="99"/>
      <c r="AJ358" s="149"/>
      <c r="AK358" s="138">
        <v>33</v>
      </c>
      <c r="AL358" s="149"/>
      <c r="AM358" s="138">
        <v>8</v>
      </c>
      <c r="AN358" s="149">
        <v>-53</v>
      </c>
      <c r="AO358" s="149">
        <v>30</v>
      </c>
      <c r="AP358" s="149">
        <v>0</v>
      </c>
      <c r="AQ358" s="149">
        <v>0</v>
      </c>
      <c r="AR358" s="149">
        <v>0</v>
      </c>
      <c r="AS358" s="149">
        <v>0</v>
      </c>
      <c r="AT358" s="149">
        <v>0</v>
      </c>
      <c r="AU358" s="149">
        <v>-53</v>
      </c>
      <c r="AV358" s="149">
        <v>30</v>
      </c>
      <c r="AW358" s="149">
        <v>0</v>
      </c>
      <c r="AX358" s="149">
        <v>0</v>
      </c>
      <c r="AY358" s="149">
        <v>0</v>
      </c>
      <c r="AZ358" s="149">
        <v>0</v>
      </c>
      <c r="BA358" s="149">
        <v>0</v>
      </c>
      <c r="BB358" s="149">
        <v>0</v>
      </c>
      <c r="BC358" s="149">
        <v>0</v>
      </c>
      <c r="BD358" s="149">
        <v>0</v>
      </c>
      <c r="BE358" s="149">
        <v>0</v>
      </c>
      <c r="BF358" s="149">
        <v>0</v>
      </c>
      <c r="BG358" s="149">
        <v>0</v>
      </c>
      <c r="BH358" s="149">
        <v>0</v>
      </c>
      <c r="BI358" s="149">
        <v>0</v>
      </c>
      <c r="BJ358" s="149">
        <v>0</v>
      </c>
      <c r="BK358" s="149">
        <v>0</v>
      </c>
      <c r="BL358" s="149">
        <v>0</v>
      </c>
      <c r="BM358" s="149">
        <v>0</v>
      </c>
      <c r="BN358" s="149">
        <v>0</v>
      </c>
      <c r="BO358" s="149">
        <v>0</v>
      </c>
      <c r="BP358" s="152"/>
      <c r="BQ358" s="152"/>
      <c r="BR358" s="154" t="s">
        <v>359</v>
      </c>
      <c r="BS358" s="136">
        <v>5</v>
      </c>
      <c r="BT358" s="267"/>
      <c r="BU358" s="267">
        <f t="shared" si="27"/>
        <v>-23</v>
      </c>
      <c r="BV358" s="267"/>
      <c r="BW358" s="267"/>
      <c r="BX358" s="267"/>
      <c r="BY358" s="267"/>
      <c r="BZ358" s="267"/>
      <c r="CA358" s="267"/>
      <c r="CB358" s="267"/>
      <c r="CC358" s="267"/>
      <c r="CD358" s="267"/>
      <c r="CE358" s="267"/>
      <c r="CF358" s="267"/>
      <c r="CG358" s="267"/>
      <c r="CH358" s="267"/>
      <c r="CI358" s="267"/>
      <c r="CJ358" s="267"/>
      <c r="CK358" s="267"/>
      <c r="CL358" s="267"/>
      <c r="CM358" s="267"/>
      <c r="CN358" s="101">
        <f t="shared" si="24"/>
        <v>-23</v>
      </c>
      <c r="CO358" s="101">
        <f t="shared" si="25"/>
        <v>-23</v>
      </c>
    </row>
    <row r="359" spans="1:93" ht="13.9" customHeight="1" x14ac:dyDescent="0.2">
      <c r="A359" s="149">
        <v>6841</v>
      </c>
      <c r="B359" s="150" t="s">
        <v>854</v>
      </c>
      <c r="C359" s="150" t="s">
        <v>1210</v>
      </c>
      <c r="D359" s="150" t="s">
        <v>1211</v>
      </c>
      <c r="E359" s="150" t="s">
        <v>326</v>
      </c>
      <c r="F359" s="149">
        <v>524290</v>
      </c>
      <c r="G359" s="149">
        <v>173418</v>
      </c>
      <c r="H359" s="150" t="s">
        <v>178</v>
      </c>
      <c r="I359" s="151">
        <v>44803</v>
      </c>
      <c r="J359" s="151"/>
      <c r="K359" s="149">
        <v>0</v>
      </c>
      <c r="L359" s="149">
        <v>9</v>
      </c>
      <c r="M359" s="149">
        <v>9</v>
      </c>
      <c r="N359" s="149">
        <v>9</v>
      </c>
      <c r="O359" s="149">
        <v>9</v>
      </c>
      <c r="P359" s="152"/>
      <c r="Q359" s="150" t="s">
        <v>1212</v>
      </c>
      <c r="R359" s="150" t="s">
        <v>349</v>
      </c>
      <c r="S359" s="151">
        <v>44189</v>
      </c>
      <c r="T359" s="151">
        <v>44308</v>
      </c>
      <c r="U359" s="152"/>
      <c r="V359" s="150" t="s">
        <v>330</v>
      </c>
      <c r="W359" s="151"/>
      <c r="X359" s="150" t="s">
        <v>331</v>
      </c>
      <c r="Y359" s="150" t="s">
        <v>343</v>
      </c>
      <c r="Z359" s="150" t="s">
        <v>334</v>
      </c>
      <c r="AA359" s="150" t="s">
        <v>363</v>
      </c>
      <c r="AB359" s="153">
        <v>0.125</v>
      </c>
      <c r="AC359" s="151">
        <v>44803</v>
      </c>
      <c r="AD359" s="150"/>
      <c r="AE359" s="151"/>
      <c r="AF359" s="150" t="s">
        <v>49</v>
      </c>
      <c r="AG359" s="152" t="s">
        <v>383</v>
      </c>
      <c r="AH359" s="150" t="s">
        <v>326</v>
      </c>
      <c r="AI359" s="99"/>
      <c r="AJ359" s="149"/>
      <c r="AK359" s="99"/>
      <c r="AL359" s="149"/>
      <c r="AM359" s="99"/>
      <c r="AN359" s="149">
        <v>0</v>
      </c>
      <c r="AO359" s="149">
        <v>1</v>
      </c>
      <c r="AP359" s="149">
        <v>6</v>
      </c>
      <c r="AQ359" s="149">
        <v>2</v>
      </c>
      <c r="AR359" s="149">
        <v>0</v>
      </c>
      <c r="AS359" s="149">
        <v>0</v>
      </c>
      <c r="AT359" s="149">
        <v>0</v>
      </c>
      <c r="AU359" s="149">
        <v>0</v>
      </c>
      <c r="AV359" s="149">
        <v>1</v>
      </c>
      <c r="AW359" s="149">
        <v>6</v>
      </c>
      <c r="AX359" s="149">
        <v>2</v>
      </c>
      <c r="AY359" s="149">
        <v>0</v>
      </c>
      <c r="AZ359" s="149">
        <v>0</v>
      </c>
      <c r="BA359" s="149">
        <v>0</v>
      </c>
      <c r="BB359" s="149">
        <v>0</v>
      </c>
      <c r="BC359" s="149">
        <v>0</v>
      </c>
      <c r="BD359" s="149">
        <v>0</v>
      </c>
      <c r="BE359" s="149">
        <v>0</v>
      </c>
      <c r="BF359" s="149">
        <v>0</v>
      </c>
      <c r="BG359" s="149">
        <v>0</v>
      </c>
      <c r="BH359" s="149">
        <v>0</v>
      </c>
      <c r="BI359" s="149">
        <v>0</v>
      </c>
      <c r="BJ359" s="149">
        <v>0</v>
      </c>
      <c r="BK359" s="149">
        <v>0</v>
      </c>
      <c r="BL359" s="149">
        <v>0</v>
      </c>
      <c r="BM359" s="149">
        <v>0</v>
      </c>
      <c r="BN359" s="149">
        <v>0</v>
      </c>
      <c r="BO359" s="149">
        <v>0</v>
      </c>
      <c r="BP359" s="152"/>
      <c r="BQ359" s="152"/>
      <c r="BR359" s="154" t="s">
        <v>359</v>
      </c>
      <c r="BS359" s="136">
        <v>2</v>
      </c>
      <c r="BT359" s="267"/>
      <c r="BU359" s="267">
        <f t="shared" si="27"/>
        <v>9</v>
      </c>
      <c r="BV359" s="267"/>
      <c r="BW359" s="267"/>
      <c r="BX359" s="267"/>
      <c r="BY359" s="267"/>
      <c r="BZ359" s="267"/>
      <c r="CA359" s="267"/>
      <c r="CB359" s="267"/>
      <c r="CC359" s="267"/>
      <c r="CD359" s="267"/>
      <c r="CE359" s="267"/>
      <c r="CF359" s="267"/>
      <c r="CG359" s="267"/>
      <c r="CH359" s="267"/>
      <c r="CI359" s="267"/>
      <c r="CJ359" s="267"/>
      <c r="CK359" s="267"/>
      <c r="CL359" s="267"/>
      <c r="CM359" s="267"/>
      <c r="CN359" s="101">
        <f t="shared" si="24"/>
        <v>9</v>
      </c>
      <c r="CO359" s="101">
        <f t="shared" si="25"/>
        <v>9</v>
      </c>
    </row>
    <row r="360" spans="1:93" ht="13.9" customHeight="1" x14ac:dyDescent="0.2">
      <c r="A360" s="149">
        <v>3511</v>
      </c>
      <c r="B360" s="150" t="s">
        <v>854</v>
      </c>
      <c r="C360" s="150" t="s">
        <v>1112</v>
      </c>
      <c r="D360" s="150" t="s">
        <v>598</v>
      </c>
      <c r="E360" s="150" t="s">
        <v>1213</v>
      </c>
      <c r="F360" s="149">
        <v>529369</v>
      </c>
      <c r="G360" s="149">
        <v>177317</v>
      </c>
      <c r="H360" s="150" t="s">
        <v>149</v>
      </c>
      <c r="I360" s="151">
        <v>43800</v>
      </c>
      <c r="J360" s="151"/>
      <c r="K360" s="149">
        <v>0</v>
      </c>
      <c r="L360" s="149">
        <v>81</v>
      </c>
      <c r="M360" s="149">
        <v>81</v>
      </c>
      <c r="N360" s="149">
        <v>607</v>
      </c>
      <c r="O360" s="149">
        <v>607</v>
      </c>
      <c r="P360" s="152" t="s">
        <v>327</v>
      </c>
      <c r="Q360" s="150" t="s">
        <v>1114</v>
      </c>
      <c r="R360" s="150" t="s">
        <v>342</v>
      </c>
      <c r="S360" s="151">
        <v>45212</v>
      </c>
      <c r="T360" s="151">
        <v>45250</v>
      </c>
      <c r="U360" s="152" t="s">
        <v>327</v>
      </c>
      <c r="V360" s="150" t="s">
        <v>330</v>
      </c>
      <c r="W360" s="151"/>
      <c r="X360" s="150" t="s">
        <v>331</v>
      </c>
      <c r="Y360" s="150" t="s">
        <v>343</v>
      </c>
      <c r="Z360" s="150" t="s">
        <v>343</v>
      </c>
      <c r="AA360" s="150" t="s">
        <v>334</v>
      </c>
      <c r="AB360" s="153">
        <v>0</v>
      </c>
      <c r="AC360" s="151">
        <v>43800</v>
      </c>
      <c r="AD360" s="150"/>
      <c r="AE360" s="151"/>
      <c r="AF360" s="150" t="s">
        <v>70</v>
      </c>
      <c r="AG360" s="152" t="s">
        <v>352</v>
      </c>
      <c r="AH360" s="150" t="s">
        <v>601</v>
      </c>
      <c r="AI360" s="99"/>
      <c r="AJ360" s="149"/>
      <c r="AK360" s="99"/>
      <c r="AL360" s="149"/>
      <c r="AM360" s="138">
        <v>14</v>
      </c>
      <c r="AN360" s="149">
        <v>0</v>
      </c>
      <c r="AO360" s="149">
        <v>26</v>
      </c>
      <c r="AP360" s="149">
        <v>37</v>
      </c>
      <c r="AQ360" s="149">
        <v>16</v>
      </c>
      <c r="AR360" s="149">
        <v>2</v>
      </c>
      <c r="AS360" s="149">
        <v>0</v>
      </c>
      <c r="AT360" s="149">
        <v>0</v>
      </c>
      <c r="AU360" s="149">
        <v>0</v>
      </c>
      <c r="AV360" s="149">
        <v>26</v>
      </c>
      <c r="AW360" s="149">
        <v>37</v>
      </c>
      <c r="AX360" s="149">
        <v>16</v>
      </c>
      <c r="AY360" s="149">
        <v>2</v>
      </c>
      <c r="AZ360" s="149">
        <v>0</v>
      </c>
      <c r="BA360" s="149">
        <v>0</v>
      </c>
      <c r="BB360" s="149">
        <v>0</v>
      </c>
      <c r="BC360" s="149">
        <v>0</v>
      </c>
      <c r="BD360" s="149">
        <v>0</v>
      </c>
      <c r="BE360" s="149">
        <v>0</v>
      </c>
      <c r="BF360" s="149">
        <v>0</v>
      </c>
      <c r="BG360" s="149">
        <v>0</v>
      </c>
      <c r="BH360" s="149">
        <v>0</v>
      </c>
      <c r="BI360" s="149">
        <v>0</v>
      </c>
      <c r="BJ360" s="149">
        <v>0</v>
      </c>
      <c r="BK360" s="149">
        <v>0</v>
      </c>
      <c r="BL360" s="149">
        <v>0</v>
      </c>
      <c r="BM360" s="149">
        <v>0</v>
      </c>
      <c r="BN360" s="149">
        <v>0</v>
      </c>
      <c r="BO360" s="149">
        <v>0</v>
      </c>
      <c r="BP360" s="152"/>
      <c r="BQ360" s="152" t="s">
        <v>327</v>
      </c>
      <c r="BR360" s="154" t="s">
        <v>149</v>
      </c>
      <c r="BS360" s="136">
        <v>5</v>
      </c>
      <c r="BT360" s="267"/>
      <c r="BU360" s="267"/>
      <c r="BV360" s="267"/>
      <c r="BW360" s="267"/>
      <c r="BX360" s="267">
        <f>M360</f>
        <v>81</v>
      </c>
      <c r="BY360" s="267"/>
      <c r="BZ360" s="267"/>
      <c r="CA360" s="267"/>
      <c r="CB360" s="267"/>
      <c r="CC360" s="267"/>
      <c r="CD360" s="267"/>
      <c r="CE360" s="267"/>
      <c r="CF360" s="267"/>
      <c r="CG360" s="267"/>
      <c r="CH360" s="267"/>
      <c r="CI360" s="267"/>
      <c r="CJ360" s="267"/>
      <c r="CK360" s="267"/>
      <c r="CL360" s="267"/>
      <c r="CM360" s="267"/>
      <c r="CN360" s="101">
        <f t="shared" si="24"/>
        <v>81</v>
      </c>
      <c r="CO360" s="101">
        <f t="shared" si="25"/>
        <v>81</v>
      </c>
    </row>
    <row r="361" spans="1:93" ht="13.9" customHeight="1" x14ac:dyDescent="0.2">
      <c r="A361" s="149">
        <v>3511</v>
      </c>
      <c r="B361" s="150" t="s">
        <v>854</v>
      </c>
      <c r="C361" s="150" t="s">
        <v>1112</v>
      </c>
      <c r="D361" s="150" t="s">
        <v>598</v>
      </c>
      <c r="E361" s="150" t="s">
        <v>1214</v>
      </c>
      <c r="F361" s="149">
        <v>529369</v>
      </c>
      <c r="G361" s="149">
        <v>177317</v>
      </c>
      <c r="H361" s="150" t="s">
        <v>149</v>
      </c>
      <c r="I361" s="151">
        <v>43800</v>
      </c>
      <c r="J361" s="151"/>
      <c r="K361" s="149">
        <v>0</v>
      </c>
      <c r="L361" s="149">
        <v>58</v>
      </c>
      <c r="M361" s="149">
        <v>58</v>
      </c>
      <c r="N361" s="149">
        <v>607</v>
      </c>
      <c r="O361" s="149">
        <v>607</v>
      </c>
      <c r="P361" s="152" t="s">
        <v>327</v>
      </c>
      <c r="Q361" s="150" t="s">
        <v>1114</v>
      </c>
      <c r="R361" s="150" t="s">
        <v>342</v>
      </c>
      <c r="S361" s="151">
        <v>45212</v>
      </c>
      <c r="T361" s="151">
        <v>45250</v>
      </c>
      <c r="U361" s="152" t="s">
        <v>327</v>
      </c>
      <c r="V361" s="150" t="s">
        <v>330</v>
      </c>
      <c r="W361" s="151"/>
      <c r="X361" s="150" t="s">
        <v>331</v>
      </c>
      <c r="Y361" s="150" t="s">
        <v>343</v>
      </c>
      <c r="Z361" s="150" t="s">
        <v>343</v>
      </c>
      <c r="AA361" s="150" t="s">
        <v>334</v>
      </c>
      <c r="AB361" s="153">
        <v>0</v>
      </c>
      <c r="AC361" s="151">
        <v>43800</v>
      </c>
      <c r="AD361" s="150"/>
      <c r="AE361" s="151"/>
      <c r="AF361" s="150" t="s">
        <v>49</v>
      </c>
      <c r="AG361" s="152" t="s">
        <v>444</v>
      </c>
      <c r="AH361" s="150" t="s">
        <v>601</v>
      </c>
      <c r="AI361" s="99"/>
      <c r="AJ361" s="149"/>
      <c r="AK361" s="99"/>
      <c r="AL361" s="149"/>
      <c r="AM361" s="138">
        <v>9</v>
      </c>
      <c r="AN361" s="149">
        <v>9</v>
      </c>
      <c r="AO361" s="149">
        <v>33</v>
      </c>
      <c r="AP361" s="149">
        <v>8</v>
      </c>
      <c r="AQ361" s="149">
        <v>8</v>
      </c>
      <c r="AR361" s="149">
        <v>0</v>
      </c>
      <c r="AS361" s="149">
        <v>0</v>
      </c>
      <c r="AT361" s="149">
        <v>0</v>
      </c>
      <c r="AU361" s="149">
        <v>9</v>
      </c>
      <c r="AV361" s="149">
        <v>33</v>
      </c>
      <c r="AW361" s="149">
        <v>8</v>
      </c>
      <c r="AX361" s="149">
        <v>8</v>
      </c>
      <c r="AY361" s="149">
        <v>0</v>
      </c>
      <c r="AZ361" s="149">
        <v>0</v>
      </c>
      <c r="BA361" s="149">
        <v>0</v>
      </c>
      <c r="BB361" s="149">
        <v>0</v>
      </c>
      <c r="BC361" s="149">
        <v>0</v>
      </c>
      <c r="BD361" s="149">
        <v>0</v>
      </c>
      <c r="BE361" s="149">
        <v>0</v>
      </c>
      <c r="BF361" s="149">
        <v>0</v>
      </c>
      <c r="BG361" s="149">
        <v>0</v>
      </c>
      <c r="BH361" s="149">
        <v>0</v>
      </c>
      <c r="BI361" s="149">
        <v>0</v>
      </c>
      <c r="BJ361" s="149">
        <v>0</v>
      </c>
      <c r="BK361" s="149">
        <v>0</v>
      </c>
      <c r="BL361" s="149">
        <v>0</v>
      </c>
      <c r="BM361" s="149">
        <v>0</v>
      </c>
      <c r="BN361" s="149">
        <v>0</v>
      </c>
      <c r="BO361" s="149">
        <v>0</v>
      </c>
      <c r="BP361" s="152"/>
      <c r="BQ361" s="152" t="s">
        <v>327</v>
      </c>
      <c r="BR361" s="154" t="s">
        <v>149</v>
      </c>
      <c r="BS361" s="136">
        <v>5</v>
      </c>
      <c r="BT361" s="267"/>
      <c r="BU361" s="267"/>
      <c r="BV361" s="267"/>
      <c r="BW361" s="267"/>
      <c r="BX361" s="267">
        <f>M361</f>
        <v>58</v>
      </c>
      <c r="BY361" s="267"/>
      <c r="BZ361" s="267"/>
      <c r="CA361" s="267"/>
      <c r="CB361" s="267"/>
      <c r="CC361" s="267"/>
      <c r="CD361" s="267"/>
      <c r="CE361" s="267"/>
      <c r="CF361" s="267"/>
      <c r="CG361" s="267"/>
      <c r="CH361" s="267"/>
      <c r="CI361" s="267"/>
      <c r="CJ361" s="267"/>
      <c r="CK361" s="267"/>
      <c r="CL361" s="267"/>
      <c r="CM361" s="267"/>
      <c r="CN361" s="101">
        <f t="shared" si="24"/>
        <v>58</v>
      </c>
      <c r="CO361" s="101">
        <f t="shared" si="25"/>
        <v>58</v>
      </c>
    </row>
    <row r="362" spans="1:93" ht="13.9" customHeight="1" x14ac:dyDescent="0.2">
      <c r="A362" s="149">
        <v>3511</v>
      </c>
      <c r="B362" s="150" t="s">
        <v>854</v>
      </c>
      <c r="C362" s="150" t="s">
        <v>1112</v>
      </c>
      <c r="D362" s="150" t="s">
        <v>598</v>
      </c>
      <c r="E362" s="150" t="s">
        <v>1215</v>
      </c>
      <c r="F362" s="149">
        <v>529369</v>
      </c>
      <c r="G362" s="149">
        <v>177317</v>
      </c>
      <c r="H362" s="150" t="s">
        <v>149</v>
      </c>
      <c r="I362" s="151">
        <v>43800</v>
      </c>
      <c r="J362" s="151"/>
      <c r="K362" s="149">
        <v>0</v>
      </c>
      <c r="L362" s="149">
        <v>36</v>
      </c>
      <c r="M362" s="149">
        <v>36</v>
      </c>
      <c r="N362" s="149">
        <v>607</v>
      </c>
      <c r="O362" s="149">
        <v>607</v>
      </c>
      <c r="P362" s="152" t="s">
        <v>327</v>
      </c>
      <c r="Q362" s="150" t="s">
        <v>1114</v>
      </c>
      <c r="R362" s="150" t="s">
        <v>342</v>
      </c>
      <c r="S362" s="151">
        <v>45212</v>
      </c>
      <c r="T362" s="151">
        <v>45250</v>
      </c>
      <c r="U362" s="152" t="s">
        <v>327</v>
      </c>
      <c r="V362" s="150" t="s">
        <v>330</v>
      </c>
      <c r="W362" s="151"/>
      <c r="X362" s="150" t="s">
        <v>331</v>
      </c>
      <c r="Y362" s="150" t="s">
        <v>343</v>
      </c>
      <c r="Z362" s="150" t="s">
        <v>343</v>
      </c>
      <c r="AA362" s="150" t="s">
        <v>334</v>
      </c>
      <c r="AB362" s="153">
        <v>0</v>
      </c>
      <c r="AC362" s="151">
        <v>43800</v>
      </c>
      <c r="AD362" s="150"/>
      <c r="AE362" s="151"/>
      <c r="AF362" s="150" t="s">
        <v>49</v>
      </c>
      <c r="AG362" s="152" t="s">
        <v>444</v>
      </c>
      <c r="AH362" s="150" t="s">
        <v>601</v>
      </c>
      <c r="AI362" s="99"/>
      <c r="AJ362" s="149"/>
      <c r="AK362" s="99"/>
      <c r="AL362" s="149"/>
      <c r="AM362" s="99"/>
      <c r="AN362" s="149">
        <v>0</v>
      </c>
      <c r="AO362" s="149">
        <v>1</v>
      </c>
      <c r="AP362" s="149">
        <v>34</v>
      </c>
      <c r="AQ362" s="149">
        <v>1</v>
      </c>
      <c r="AR362" s="149">
        <v>0</v>
      </c>
      <c r="AS362" s="149">
        <v>0</v>
      </c>
      <c r="AT362" s="149">
        <v>0</v>
      </c>
      <c r="AU362" s="149">
        <v>0</v>
      </c>
      <c r="AV362" s="149">
        <v>1</v>
      </c>
      <c r="AW362" s="149">
        <v>34</v>
      </c>
      <c r="AX362" s="149">
        <v>1</v>
      </c>
      <c r="AY362" s="149">
        <v>0</v>
      </c>
      <c r="AZ362" s="149">
        <v>0</v>
      </c>
      <c r="BA362" s="149">
        <v>0</v>
      </c>
      <c r="BB362" s="149">
        <v>0</v>
      </c>
      <c r="BC362" s="149">
        <v>0</v>
      </c>
      <c r="BD362" s="149">
        <v>0</v>
      </c>
      <c r="BE362" s="149">
        <v>0</v>
      </c>
      <c r="BF362" s="149">
        <v>0</v>
      </c>
      <c r="BG362" s="149">
        <v>0</v>
      </c>
      <c r="BH362" s="149">
        <v>0</v>
      </c>
      <c r="BI362" s="149">
        <v>0</v>
      </c>
      <c r="BJ362" s="149">
        <v>0</v>
      </c>
      <c r="BK362" s="149">
        <v>0</v>
      </c>
      <c r="BL362" s="149">
        <v>0</v>
      </c>
      <c r="BM362" s="149">
        <v>0</v>
      </c>
      <c r="BN362" s="149">
        <v>0</v>
      </c>
      <c r="BO362" s="149">
        <v>0</v>
      </c>
      <c r="BP362" s="152"/>
      <c r="BQ362" s="152" t="s">
        <v>327</v>
      </c>
      <c r="BR362" s="154" t="s">
        <v>149</v>
      </c>
      <c r="BS362" s="136">
        <v>5</v>
      </c>
      <c r="BT362" s="267"/>
      <c r="BU362" s="267"/>
      <c r="BV362" s="267"/>
      <c r="BW362" s="267"/>
      <c r="BX362" s="267">
        <f>M362</f>
        <v>36</v>
      </c>
      <c r="BY362" s="267"/>
      <c r="BZ362" s="267"/>
      <c r="CA362" s="267"/>
      <c r="CB362" s="267"/>
      <c r="CC362" s="267"/>
      <c r="CD362" s="267"/>
      <c r="CE362" s="267"/>
      <c r="CF362" s="267"/>
      <c r="CG362" s="267"/>
      <c r="CH362" s="267"/>
      <c r="CI362" s="267"/>
      <c r="CJ362" s="267"/>
      <c r="CK362" s="267"/>
      <c r="CL362" s="267"/>
      <c r="CM362" s="267"/>
      <c r="CN362" s="101">
        <f t="shared" si="24"/>
        <v>36</v>
      </c>
      <c r="CO362" s="101">
        <f t="shared" si="25"/>
        <v>36</v>
      </c>
    </row>
    <row r="363" spans="1:93" ht="13.9" customHeight="1" x14ac:dyDescent="0.2">
      <c r="A363" s="102">
        <v>4718</v>
      </c>
      <c r="B363" s="102" t="s">
        <v>1216</v>
      </c>
      <c r="C363" s="102" t="s">
        <v>1217</v>
      </c>
      <c r="D363" s="102" t="s">
        <v>1218</v>
      </c>
      <c r="E363" s="102" t="s">
        <v>402</v>
      </c>
      <c r="F363" s="102">
        <v>529643</v>
      </c>
      <c r="G363" s="102">
        <v>177593</v>
      </c>
      <c r="H363" s="150" t="s">
        <v>149</v>
      </c>
      <c r="I363" s="103"/>
      <c r="J363" s="103"/>
      <c r="K363" s="102">
        <v>0</v>
      </c>
      <c r="L363" s="102">
        <v>72</v>
      </c>
      <c r="M363" s="102">
        <v>72</v>
      </c>
      <c r="N363" s="102">
        <v>247</v>
      </c>
      <c r="O363" s="102">
        <v>247</v>
      </c>
      <c r="P363" s="152" t="s">
        <v>327</v>
      </c>
      <c r="Q363" s="102" t="s">
        <v>1219</v>
      </c>
      <c r="R363" s="102" t="s">
        <v>388</v>
      </c>
      <c r="S363" s="103">
        <v>44376</v>
      </c>
      <c r="T363" s="103">
        <v>45366</v>
      </c>
      <c r="U363" s="152" t="s">
        <v>327</v>
      </c>
      <c r="V363" s="102" t="s">
        <v>330</v>
      </c>
      <c r="W363" s="103"/>
      <c r="X363" s="102" t="s">
        <v>331</v>
      </c>
      <c r="Y363" s="102" t="s">
        <v>343</v>
      </c>
      <c r="Z363" s="102" t="s">
        <v>343</v>
      </c>
      <c r="AA363" s="102" t="s">
        <v>334</v>
      </c>
      <c r="AB363" s="104">
        <v>0.78900000000000003</v>
      </c>
      <c r="AC363" s="103"/>
      <c r="AD363" s="102"/>
      <c r="AE363" s="103"/>
      <c r="AF363" s="150" t="s">
        <v>70</v>
      </c>
      <c r="AG363" s="105" t="s">
        <v>352</v>
      </c>
      <c r="AH363" s="102" t="s">
        <v>1220</v>
      </c>
      <c r="AI363" s="99"/>
      <c r="AJ363" s="102"/>
      <c r="AK363" s="99"/>
      <c r="AL363" s="102"/>
      <c r="AM363" s="99"/>
      <c r="AN363" s="102">
        <v>0</v>
      </c>
      <c r="AO363" s="102">
        <v>10</v>
      </c>
      <c r="AP363" s="102">
        <v>42</v>
      </c>
      <c r="AQ363" s="102">
        <v>20</v>
      </c>
      <c r="AR363" s="102">
        <v>0</v>
      </c>
      <c r="AS363" s="102">
        <v>0</v>
      </c>
      <c r="AT363" s="102">
        <v>0</v>
      </c>
      <c r="AU363" s="102">
        <v>0</v>
      </c>
      <c r="AV363" s="102">
        <v>10</v>
      </c>
      <c r="AW363" s="102">
        <v>42</v>
      </c>
      <c r="AX363" s="102">
        <v>20</v>
      </c>
      <c r="AY363" s="102">
        <v>0</v>
      </c>
      <c r="AZ363" s="102">
        <v>0</v>
      </c>
      <c r="BA363" s="102">
        <v>0</v>
      </c>
      <c r="BB363" s="102">
        <v>0</v>
      </c>
      <c r="BC363" s="102">
        <v>0</v>
      </c>
      <c r="BD363" s="102">
        <v>0</v>
      </c>
      <c r="BE363" s="102">
        <v>0</v>
      </c>
      <c r="BF363" s="102">
        <v>0</v>
      </c>
      <c r="BG363" s="102">
        <v>0</v>
      </c>
      <c r="BH363" s="102">
        <v>0</v>
      </c>
      <c r="BI363" s="102">
        <v>0</v>
      </c>
      <c r="BJ363" s="102">
        <v>0</v>
      </c>
      <c r="BK363" s="102">
        <v>0</v>
      </c>
      <c r="BL363" s="102">
        <v>0</v>
      </c>
      <c r="BM363" s="102">
        <v>0</v>
      </c>
      <c r="BN363" s="102">
        <v>0</v>
      </c>
      <c r="BO363" s="102">
        <v>0</v>
      </c>
      <c r="BP363" s="105"/>
      <c r="BQ363" s="152" t="s">
        <v>327</v>
      </c>
      <c r="BR363" s="154" t="s">
        <v>149</v>
      </c>
      <c r="BS363" s="136">
        <v>10</v>
      </c>
      <c r="BT363" s="267"/>
      <c r="BU363" s="267"/>
      <c r="BV363" s="267"/>
      <c r="BW363" s="267"/>
      <c r="BX363" s="267">
        <f>M363/3</f>
        <v>24</v>
      </c>
      <c r="BY363" s="267">
        <f>M363/3</f>
        <v>24</v>
      </c>
      <c r="BZ363" s="267">
        <f>M363/3</f>
        <v>24</v>
      </c>
      <c r="CA363" s="267"/>
      <c r="CB363" s="267"/>
      <c r="CC363" s="267"/>
      <c r="CD363" s="267"/>
      <c r="CE363" s="267"/>
      <c r="CF363" s="267"/>
      <c r="CG363" s="267"/>
      <c r="CH363" s="267"/>
      <c r="CI363" s="267"/>
      <c r="CJ363" s="267"/>
      <c r="CK363" s="267"/>
      <c r="CL363" s="267"/>
      <c r="CM363" s="267"/>
      <c r="CN363" s="101">
        <f t="shared" si="24"/>
        <v>48</v>
      </c>
      <c r="CO363" s="101">
        <f t="shared" si="25"/>
        <v>72</v>
      </c>
    </row>
    <row r="364" spans="1:93" ht="13.9" customHeight="1" x14ac:dyDescent="0.2">
      <c r="A364" s="149">
        <v>7679</v>
      </c>
      <c r="B364" s="150" t="s">
        <v>854</v>
      </c>
      <c r="C364" s="150" t="s">
        <v>1221</v>
      </c>
      <c r="D364" s="150" t="s">
        <v>1149</v>
      </c>
      <c r="E364" s="150" t="s">
        <v>326</v>
      </c>
      <c r="F364" s="149">
        <v>529371</v>
      </c>
      <c r="G364" s="149">
        <v>171218</v>
      </c>
      <c r="H364" s="150" t="s">
        <v>163</v>
      </c>
      <c r="I364" s="151">
        <v>44869</v>
      </c>
      <c r="J364" s="151"/>
      <c r="K364" s="149">
        <v>0</v>
      </c>
      <c r="L364" s="149">
        <v>8</v>
      </c>
      <c r="M364" s="149">
        <v>8</v>
      </c>
      <c r="N364" s="149">
        <v>8</v>
      </c>
      <c r="O364" s="149">
        <v>8</v>
      </c>
      <c r="P364" s="152"/>
      <c r="Q364" s="150" t="s">
        <v>1222</v>
      </c>
      <c r="R364" s="150" t="s">
        <v>349</v>
      </c>
      <c r="S364" s="151">
        <v>44627</v>
      </c>
      <c r="T364" s="151">
        <v>44742</v>
      </c>
      <c r="U364" s="152"/>
      <c r="V364" s="150" t="s">
        <v>330</v>
      </c>
      <c r="W364" s="151"/>
      <c r="X364" s="150" t="s">
        <v>331</v>
      </c>
      <c r="Y364" s="150" t="s">
        <v>398</v>
      </c>
      <c r="Z364" s="150" t="s">
        <v>334</v>
      </c>
      <c r="AA364" s="150" t="s">
        <v>26</v>
      </c>
      <c r="AB364" s="153">
        <v>1.7649999999999999E-2</v>
      </c>
      <c r="AC364" s="151">
        <v>44869</v>
      </c>
      <c r="AD364" s="150"/>
      <c r="AE364" s="151"/>
      <c r="AF364" s="150" t="s">
        <v>70</v>
      </c>
      <c r="AG364" s="152" t="s">
        <v>352</v>
      </c>
      <c r="AH364" s="150" t="s">
        <v>326</v>
      </c>
      <c r="AI364" s="99"/>
      <c r="AJ364" s="149"/>
      <c r="AK364" s="99"/>
      <c r="AL364" s="149"/>
      <c r="AM364" s="99"/>
      <c r="AN364" s="149">
        <v>0</v>
      </c>
      <c r="AO364" s="149">
        <v>1</v>
      </c>
      <c r="AP364" s="149">
        <v>6</v>
      </c>
      <c r="AQ364" s="149">
        <v>1</v>
      </c>
      <c r="AR364" s="149">
        <v>0</v>
      </c>
      <c r="AS364" s="149">
        <v>0</v>
      </c>
      <c r="AT364" s="149">
        <v>0</v>
      </c>
      <c r="AU364" s="149">
        <v>0</v>
      </c>
      <c r="AV364" s="149">
        <v>1</v>
      </c>
      <c r="AW364" s="149">
        <v>6</v>
      </c>
      <c r="AX364" s="149">
        <v>1</v>
      </c>
      <c r="AY364" s="149">
        <v>0</v>
      </c>
      <c r="AZ364" s="149">
        <v>0</v>
      </c>
      <c r="BA364" s="149">
        <v>0</v>
      </c>
      <c r="BB364" s="149">
        <v>0</v>
      </c>
      <c r="BC364" s="149">
        <v>0</v>
      </c>
      <c r="BD364" s="149">
        <v>0</v>
      </c>
      <c r="BE364" s="149">
        <v>0</v>
      </c>
      <c r="BF364" s="149">
        <v>0</v>
      </c>
      <c r="BG364" s="149">
        <v>0</v>
      </c>
      <c r="BH364" s="149">
        <v>0</v>
      </c>
      <c r="BI364" s="149">
        <v>0</v>
      </c>
      <c r="BJ364" s="149">
        <v>0</v>
      </c>
      <c r="BK364" s="149">
        <v>0</v>
      </c>
      <c r="BL364" s="149">
        <v>0</v>
      </c>
      <c r="BM364" s="149">
        <v>0</v>
      </c>
      <c r="BN364" s="149">
        <v>0</v>
      </c>
      <c r="BO364" s="149">
        <v>0</v>
      </c>
      <c r="BP364" s="152"/>
      <c r="BQ364" s="152"/>
      <c r="BR364" s="154" t="s">
        <v>359</v>
      </c>
      <c r="BS364" s="136">
        <v>13</v>
      </c>
      <c r="BT364" s="267"/>
      <c r="BU364" s="267">
        <f>M364</f>
        <v>8</v>
      </c>
      <c r="BV364" s="267"/>
      <c r="BW364" s="267"/>
      <c r="BX364" s="267"/>
      <c r="BY364" s="267"/>
      <c r="BZ364" s="267"/>
      <c r="CA364" s="267"/>
      <c r="CB364" s="267"/>
      <c r="CC364" s="267"/>
      <c r="CD364" s="267"/>
      <c r="CE364" s="267"/>
      <c r="CF364" s="267"/>
      <c r="CG364" s="267"/>
      <c r="CH364" s="267"/>
      <c r="CI364" s="267"/>
      <c r="CJ364" s="267"/>
      <c r="CK364" s="267"/>
      <c r="CL364" s="267"/>
      <c r="CM364" s="267"/>
      <c r="CN364" s="101">
        <f t="shared" si="24"/>
        <v>8</v>
      </c>
      <c r="CO364" s="101">
        <f t="shared" si="25"/>
        <v>8</v>
      </c>
    </row>
    <row r="365" spans="1:93" ht="13.9" customHeight="1" x14ac:dyDescent="0.2">
      <c r="A365" s="149">
        <v>7808</v>
      </c>
      <c r="B365" s="150" t="s">
        <v>854</v>
      </c>
      <c r="C365" s="150" t="s">
        <v>1223</v>
      </c>
      <c r="D365" s="150" t="s">
        <v>1224</v>
      </c>
      <c r="E365" s="150" t="s">
        <v>326</v>
      </c>
      <c r="F365" s="149">
        <v>526318</v>
      </c>
      <c r="G365" s="149">
        <v>173718</v>
      </c>
      <c r="H365" s="150" t="s">
        <v>175</v>
      </c>
      <c r="I365" s="151">
        <v>44847</v>
      </c>
      <c r="J365" s="151"/>
      <c r="K365" s="149">
        <v>2</v>
      </c>
      <c r="L365" s="149">
        <v>1</v>
      </c>
      <c r="M365" s="149">
        <v>-1</v>
      </c>
      <c r="N365" s="149">
        <v>1</v>
      </c>
      <c r="O365" s="149">
        <v>-1</v>
      </c>
      <c r="P365" s="152"/>
      <c r="Q365" s="150" t="s">
        <v>1225</v>
      </c>
      <c r="R365" s="150" t="s">
        <v>349</v>
      </c>
      <c r="S365" s="151">
        <v>44607</v>
      </c>
      <c r="T365" s="151">
        <v>44673</v>
      </c>
      <c r="U365" s="152"/>
      <c r="V365" s="150" t="s">
        <v>330</v>
      </c>
      <c r="W365" s="151"/>
      <c r="X365" s="150" t="s">
        <v>331</v>
      </c>
      <c r="Y365" s="150" t="s">
        <v>350</v>
      </c>
      <c r="Z365" s="150" t="s">
        <v>334</v>
      </c>
      <c r="AA365" s="150" t="s">
        <v>18</v>
      </c>
      <c r="AB365" s="153">
        <v>8.0000000000000002E-3</v>
      </c>
      <c r="AC365" s="151">
        <v>44847</v>
      </c>
      <c r="AD365" s="150"/>
      <c r="AE365" s="151"/>
      <c r="AF365" s="150" t="s">
        <v>70</v>
      </c>
      <c r="AG365" s="152" t="s">
        <v>352</v>
      </c>
      <c r="AH365" s="150" t="s">
        <v>326</v>
      </c>
      <c r="AI365" s="99"/>
      <c r="AJ365" s="149"/>
      <c r="AK365" s="99"/>
      <c r="AL365" s="149"/>
      <c r="AM365" s="99"/>
      <c r="AN365" s="149">
        <v>0</v>
      </c>
      <c r="AO365" s="149">
        <v>-1</v>
      </c>
      <c r="AP365" s="149">
        <v>0</v>
      </c>
      <c r="AQ365" s="149">
        <v>-1</v>
      </c>
      <c r="AR365" s="149">
        <v>0</v>
      </c>
      <c r="AS365" s="149">
        <v>1</v>
      </c>
      <c r="AT365" s="149">
        <v>0</v>
      </c>
      <c r="AU365" s="149">
        <v>0</v>
      </c>
      <c r="AV365" s="149">
        <v>-1</v>
      </c>
      <c r="AW365" s="149">
        <v>0</v>
      </c>
      <c r="AX365" s="149">
        <v>-1</v>
      </c>
      <c r="AY365" s="149">
        <v>0</v>
      </c>
      <c r="AZ365" s="149">
        <v>0</v>
      </c>
      <c r="BA365" s="149">
        <v>0</v>
      </c>
      <c r="BB365" s="149">
        <v>0</v>
      </c>
      <c r="BC365" s="149">
        <v>0</v>
      </c>
      <c r="BD365" s="149">
        <v>0</v>
      </c>
      <c r="BE365" s="149">
        <v>0</v>
      </c>
      <c r="BF365" s="149">
        <v>0</v>
      </c>
      <c r="BG365" s="149">
        <v>1</v>
      </c>
      <c r="BH365" s="149">
        <v>0</v>
      </c>
      <c r="BI365" s="149">
        <v>0</v>
      </c>
      <c r="BJ365" s="149">
        <v>0</v>
      </c>
      <c r="BK365" s="149">
        <v>0</v>
      </c>
      <c r="BL365" s="149">
        <v>0</v>
      </c>
      <c r="BM365" s="149">
        <v>0</v>
      </c>
      <c r="BN365" s="149">
        <v>0</v>
      </c>
      <c r="BO365" s="149">
        <v>0</v>
      </c>
      <c r="BP365" s="152"/>
      <c r="BQ365" s="152"/>
      <c r="BR365" s="154" t="s">
        <v>359</v>
      </c>
      <c r="BS365" s="136">
        <v>13</v>
      </c>
      <c r="BT365" s="267"/>
      <c r="BU365" s="267">
        <f>M365</f>
        <v>-1</v>
      </c>
      <c r="BV365" s="267"/>
      <c r="BW365" s="267"/>
      <c r="BX365" s="267"/>
      <c r="BY365" s="267"/>
      <c r="BZ365" s="267"/>
      <c r="CA365" s="267"/>
      <c r="CB365" s="267"/>
      <c r="CC365" s="267"/>
      <c r="CD365" s="267"/>
      <c r="CE365" s="267"/>
      <c r="CF365" s="267"/>
      <c r="CG365" s="267"/>
      <c r="CH365" s="267"/>
      <c r="CI365" s="267"/>
      <c r="CJ365" s="267"/>
      <c r="CK365" s="267"/>
      <c r="CL365" s="267"/>
      <c r="CM365" s="267"/>
      <c r="CN365" s="101">
        <f t="shared" si="24"/>
        <v>-1</v>
      </c>
      <c r="CO365" s="101">
        <f t="shared" si="25"/>
        <v>-1</v>
      </c>
    </row>
    <row r="366" spans="1:93" ht="13.9" customHeight="1" x14ac:dyDescent="0.2">
      <c r="A366" s="102">
        <v>4718</v>
      </c>
      <c r="B366" s="102" t="s">
        <v>1216</v>
      </c>
      <c r="C366" s="102" t="s">
        <v>1217</v>
      </c>
      <c r="D366" s="102" t="s">
        <v>1218</v>
      </c>
      <c r="E366" s="102" t="s">
        <v>565</v>
      </c>
      <c r="F366" s="102">
        <v>529643</v>
      </c>
      <c r="G366" s="102">
        <v>177593</v>
      </c>
      <c r="H366" s="150" t="s">
        <v>149</v>
      </c>
      <c r="I366" s="103"/>
      <c r="J366" s="103"/>
      <c r="K366" s="102">
        <v>0</v>
      </c>
      <c r="L366" s="102">
        <v>175</v>
      </c>
      <c r="M366" s="102">
        <v>175</v>
      </c>
      <c r="N366" s="102">
        <v>247</v>
      </c>
      <c r="O366" s="102">
        <v>247</v>
      </c>
      <c r="P366" s="152" t="s">
        <v>327</v>
      </c>
      <c r="Q366" s="102" t="s">
        <v>1219</v>
      </c>
      <c r="R366" s="102" t="s">
        <v>388</v>
      </c>
      <c r="S366" s="103">
        <v>44376</v>
      </c>
      <c r="T366" s="103">
        <v>45366</v>
      </c>
      <c r="U366" s="152" t="s">
        <v>327</v>
      </c>
      <c r="V366" s="102" t="s">
        <v>330</v>
      </c>
      <c r="W366" s="103"/>
      <c r="X366" s="102" t="s">
        <v>331</v>
      </c>
      <c r="Y366" s="102" t="s">
        <v>343</v>
      </c>
      <c r="Z366" s="102" t="s">
        <v>343</v>
      </c>
      <c r="AA366" s="102" t="s">
        <v>334</v>
      </c>
      <c r="AB366" s="104">
        <v>1.917419</v>
      </c>
      <c r="AC366" s="103"/>
      <c r="AD366" s="102"/>
      <c r="AE366" s="103"/>
      <c r="AF366" s="150" t="s">
        <v>70</v>
      </c>
      <c r="AG366" s="105" t="s">
        <v>352</v>
      </c>
      <c r="AH366" s="102" t="s">
        <v>1220</v>
      </c>
      <c r="AI366" s="99"/>
      <c r="AJ366" s="102"/>
      <c r="AK366" s="99"/>
      <c r="AL366" s="102"/>
      <c r="AM366" s="99"/>
      <c r="AN366" s="102">
        <v>18</v>
      </c>
      <c r="AO366" s="102">
        <v>57</v>
      </c>
      <c r="AP366" s="102">
        <v>63</v>
      </c>
      <c r="AQ366" s="102">
        <v>37</v>
      </c>
      <c r="AR366" s="102">
        <v>0</v>
      </c>
      <c r="AS366" s="102">
        <v>0</v>
      </c>
      <c r="AT366" s="102">
        <v>0</v>
      </c>
      <c r="AU366" s="102">
        <v>18</v>
      </c>
      <c r="AV366" s="102">
        <v>57</v>
      </c>
      <c r="AW366" s="102">
        <v>63</v>
      </c>
      <c r="AX366" s="102">
        <v>37</v>
      </c>
      <c r="AY366" s="102">
        <v>0</v>
      </c>
      <c r="AZ366" s="102">
        <v>0</v>
      </c>
      <c r="BA366" s="102">
        <v>0</v>
      </c>
      <c r="BB366" s="102">
        <v>0</v>
      </c>
      <c r="BC366" s="102">
        <v>0</v>
      </c>
      <c r="BD366" s="102">
        <v>0</v>
      </c>
      <c r="BE366" s="102">
        <v>0</v>
      </c>
      <c r="BF366" s="102">
        <v>0</v>
      </c>
      <c r="BG366" s="102">
        <v>0</v>
      </c>
      <c r="BH366" s="102">
        <v>0</v>
      </c>
      <c r="BI366" s="102">
        <v>0</v>
      </c>
      <c r="BJ366" s="102">
        <v>0</v>
      </c>
      <c r="BK366" s="102">
        <v>0</v>
      </c>
      <c r="BL366" s="102">
        <v>0</v>
      </c>
      <c r="BM366" s="102">
        <v>0</v>
      </c>
      <c r="BN366" s="102">
        <v>0</v>
      </c>
      <c r="BO366" s="102">
        <v>0</v>
      </c>
      <c r="BP366" s="105"/>
      <c r="BQ366" s="152" t="s">
        <v>327</v>
      </c>
      <c r="BR366" s="154" t="s">
        <v>149</v>
      </c>
      <c r="BS366" s="136">
        <v>10</v>
      </c>
      <c r="BT366" s="267"/>
      <c r="BU366" s="267"/>
      <c r="BV366" s="267"/>
      <c r="BW366" s="267"/>
      <c r="BX366" s="267">
        <f>M366/3</f>
        <v>58.333333333333336</v>
      </c>
      <c r="BY366" s="267">
        <f>M366/3</f>
        <v>58.333333333333336</v>
      </c>
      <c r="BZ366" s="267">
        <f>M366/3</f>
        <v>58.333333333333336</v>
      </c>
      <c r="CA366" s="267"/>
      <c r="CB366" s="267"/>
      <c r="CC366" s="267"/>
      <c r="CD366" s="267"/>
      <c r="CE366" s="267"/>
      <c r="CF366" s="267"/>
      <c r="CG366" s="267"/>
      <c r="CH366" s="267"/>
      <c r="CI366" s="267"/>
      <c r="CJ366" s="267"/>
      <c r="CK366" s="267"/>
      <c r="CL366" s="267"/>
      <c r="CM366" s="267"/>
      <c r="CN366" s="101">
        <f t="shared" si="24"/>
        <v>116.66666666666667</v>
      </c>
      <c r="CO366" s="101">
        <f t="shared" si="25"/>
        <v>175</v>
      </c>
    </row>
    <row r="367" spans="1:93" ht="13.9" customHeight="1" x14ac:dyDescent="0.2">
      <c r="A367" s="149">
        <v>2654</v>
      </c>
      <c r="B367" s="150" t="s">
        <v>854</v>
      </c>
      <c r="C367" s="150" t="s">
        <v>1226</v>
      </c>
      <c r="D367" s="150" t="s">
        <v>1227</v>
      </c>
      <c r="E367" s="150" t="s">
        <v>326</v>
      </c>
      <c r="F367" s="149">
        <v>528760</v>
      </c>
      <c r="G367" s="149">
        <v>173705</v>
      </c>
      <c r="H367" s="150" t="s">
        <v>139</v>
      </c>
      <c r="I367" s="151">
        <v>45017</v>
      </c>
      <c r="J367" s="151"/>
      <c r="K367" s="149">
        <v>1</v>
      </c>
      <c r="L367" s="149">
        <v>3</v>
      </c>
      <c r="M367" s="149">
        <v>2</v>
      </c>
      <c r="N367" s="149">
        <v>3</v>
      </c>
      <c r="O367" s="149">
        <v>2</v>
      </c>
      <c r="P367" s="152"/>
      <c r="Q367" s="150" t="s">
        <v>1228</v>
      </c>
      <c r="R367" s="150" t="s">
        <v>349</v>
      </c>
      <c r="S367" s="151">
        <v>44679</v>
      </c>
      <c r="T367" s="151">
        <v>44770</v>
      </c>
      <c r="U367" s="152"/>
      <c r="V367" s="150" t="s">
        <v>330</v>
      </c>
      <c r="W367" s="151"/>
      <c r="X367" s="150" t="s">
        <v>331</v>
      </c>
      <c r="Y367" s="150" t="s">
        <v>350</v>
      </c>
      <c r="Z367" s="150" t="s">
        <v>334</v>
      </c>
      <c r="AA367" s="150" t="s">
        <v>16</v>
      </c>
      <c r="AB367" s="153">
        <v>7.0000000000000001E-3</v>
      </c>
      <c r="AC367" s="151">
        <v>45017</v>
      </c>
      <c r="AD367" s="152" t="s">
        <v>327</v>
      </c>
      <c r="AE367" s="151"/>
      <c r="AF367" s="150" t="s">
        <v>70</v>
      </c>
      <c r="AG367" s="152" t="s">
        <v>337</v>
      </c>
      <c r="AH367" s="150" t="s">
        <v>326</v>
      </c>
      <c r="AI367" s="99"/>
      <c r="AJ367" s="149"/>
      <c r="AK367" s="99"/>
      <c r="AL367" s="149"/>
      <c r="AM367" s="99"/>
      <c r="AN367" s="149">
        <v>1</v>
      </c>
      <c r="AO367" s="149">
        <v>0</v>
      </c>
      <c r="AP367" s="149">
        <v>2</v>
      </c>
      <c r="AQ367" s="149">
        <v>0</v>
      </c>
      <c r="AR367" s="149">
        <v>-1</v>
      </c>
      <c r="AS367" s="149">
        <v>0</v>
      </c>
      <c r="AT367" s="149">
        <v>0</v>
      </c>
      <c r="AU367" s="149">
        <v>1</v>
      </c>
      <c r="AV367" s="149">
        <v>0</v>
      </c>
      <c r="AW367" s="149">
        <v>2</v>
      </c>
      <c r="AX367" s="149">
        <v>0</v>
      </c>
      <c r="AY367" s="149">
        <v>0</v>
      </c>
      <c r="AZ367" s="149">
        <v>0</v>
      </c>
      <c r="BA367" s="149">
        <v>0</v>
      </c>
      <c r="BB367" s="149">
        <v>0</v>
      </c>
      <c r="BC367" s="149">
        <v>0</v>
      </c>
      <c r="BD367" s="149">
        <v>0</v>
      </c>
      <c r="BE367" s="149">
        <v>0</v>
      </c>
      <c r="BF367" s="149">
        <v>-1</v>
      </c>
      <c r="BG367" s="149">
        <v>0</v>
      </c>
      <c r="BH367" s="149">
        <v>0</v>
      </c>
      <c r="BI367" s="149">
        <v>0</v>
      </c>
      <c r="BJ367" s="149">
        <v>0</v>
      </c>
      <c r="BK367" s="149">
        <v>0</v>
      </c>
      <c r="BL367" s="149">
        <v>0</v>
      </c>
      <c r="BM367" s="149">
        <v>0</v>
      </c>
      <c r="BN367" s="149">
        <v>0</v>
      </c>
      <c r="BO367" s="149">
        <v>0</v>
      </c>
      <c r="BP367" s="152"/>
      <c r="BQ367" s="152"/>
      <c r="BR367" s="154" t="s">
        <v>139</v>
      </c>
      <c r="BS367" s="136">
        <v>13</v>
      </c>
      <c r="BT367" s="267"/>
      <c r="BU367" s="267">
        <f>M367</f>
        <v>2</v>
      </c>
      <c r="BV367" s="267"/>
      <c r="BW367" s="267"/>
      <c r="BX367" s="267"/>
      <c r="BY367" s="267"/>
      <c r="BZ367" s="267"/>
      <c r="CA367" s="267"/>
      <c r="CB367" s="267"/>
      <c r="CC367" s="267"/>
      <c r="CD367" s="267"/>
      <c r="CE367" s="267"/>
      <c r="CF367" s="267"/>
      <c r="CG367" s="267"/>
      <c r="CH367" s="267"/>
      <c r="CI367" s="267"/>
      <c r="CJ367" s="267"/>
      <c r="CK367" s="267"/>
      <c r="CL367" s="267"/>
      <c r="CM367" s="267"/>
      <c r="CN367" s="101">
        <f t="shared" si="24"/>
        <v>2</v>
      </c>
      <c r="CO367" s="101">
        <f t="shared" si="25"/>
        <v>2</v>
      </c>
    </row>
    <row r="368" spans="1:93" ht="13.9" customHeight="1" x14ac:dyDescent="0.2">
      <c r="A368" s="149">
        <v>3695</v>
      </c>
      <c r="B368" s="150" t="s">
        <v>854</v>
      </c>
      <c r="C368" s="150" t="s">
        <v>1229</v>
      </c>
      <c r="D368" s="150" t="s">
        <v>1230</v>
      </c>
      <c r="E368" s="150" t="s">
        <v>326</v>
      </c>
      <c r="F368" s="149">
        <v>525409</v>
      </c>
      <c r="G368" s="149">
        <v>174671</v>
      </c>
      <c r="H368" s="150" t="s">
        <v>177</v>
      </c>
      <c r="I368" s="151">
        <v>44819</v>
      </c>
      <c r="J368" s="151"/>
      <c r="K368" s="149">
        <v>0</v>
      </c>
      <c r="L368" s="149">
        <v>1</v>
      </c>
      <c r="M368" s="149">
        <v>1</v>
      </c>
      <c r="N368" s="149">
        <v>1</v>
      </c>
      <c r="O368" s="149">
        <v>1</v>
      </c>
      <c r="P368" s="152"/>
      <c r="Q368" s="150" t="s">
        <v>1231</v>
      </c>
      <c r="R368" s="150" t="s">
        <v>407</v>
      </c>
      <c r="S368" s="151">
        <v>44621</v>
      </c>
      <c r="T368" s="151">
        <v>44676</v>
      </c>
      <c r="U368" s="152"/>
      <c r="V368" s="150" t="s">
        <v>330</v>
      </c>
      <c r="W368" s="151"/>
      <c r="X368" s="150" t="s">
        <v>331</v>
      </c>
      <c r="Y368" s="150" t="s">
        <v>332</v>
      </c>
      <c r="Z368" s="150" t="s">
        <v>334</v>
      </c>
      <c r="AA368" s="150" t="s">
        <v>29</v>
      </c>
      <c r="AB368" s="153">
        <v>2E-3</v>
      </c>
      <c r="AC368" s="151">
        <v>44819</v>
      </c>
      <c r="AD368" s="150"/>
      <c r="AE368" s="151"/>
      <c r="AF368" s="150" t="s">
        <v>70</v>
      </c>
      <c r="AG368" s="152" t="s">
        <v>352</v>
      </c>
      <c r="AH368" s="150" t="s">
        <v>326</v>
      </c>
      <c r="AI368" s="99"/>
      <c r="AJ368" s="149"/>
      <c r="AK368" s="99"/>
      <c r="AL368" s="149"/>
      <c r="AM368" s="99"/>
      <c r="AN368" s="149">
        <v>1</v>
      </c>
      <c r="AO368" s="149">
        <v>0</v>
      </c>
      <c r="AP368" s="149">
        <v>0</v>
      </c>
      <c r="AQ368" s="149">
        <v>0</v>
      </c>
      <c r="AR368" s="149">
        <v>0</v>
      </c>
      <c r="AS368" s="149">
        <v>0</v>
      </c>
      <c r="AT368" s="149">
        <v>0</v>
      </c>
      <c r="AU368" s="149">
        <v>1</v>
      </c>
      <c r="AV368" s="149">
        <v>0</v>
      </c>
      <c r="AW368" s="149">
        <v>0</v>
      </c>
      <c r="AX368" s="149">
        <v>0</v>
      </c>
      <c r="AY368" s="149">
        <v>0</v>
      </c>
      <c r="AZ368" s="149">
        <v>0</v>
      </c>
      <c r="BA368" s="149">
        <v>0</v>
      </c>
      <c r="BB368" s="149">
        <v>0</v>
      </c>
      <c r="BC368" s="149">
        <v>0</v>
      </c>
      <c r="BD368" s="149">
        <v>0</v>
      </c>
      <c r="BE368" s="149">
        <v>0</v>
      </c>
      <c r="BF368" s="149">
        <v>0</v>
      </c>
      <c r="BG368" s="149">
        <v>0</v>
      </c>
      <c r="BH368" s="149">
        <v>0</v>
      </c>
      <c r="BI368" s="149">
        <v>0</v>
      </c>
      <c r="BJ368" s="149">
        <v>0</v>
      </c>
      <c r="BK368" s="149">
        <v>0</v>
      </c>
      <c r="BL368" s="149">
        <v>0</v>
      </c>
      <c r="BM368" s="149">
        <v>0</v>
      </c>
      <c r="BN368" s="149">
        <v>0</v>
      </c>
      <c r="BO368" s="149">
        <v>0</v>
      </c>
      <c r="BP368" s="152" t="s">
        <v>143</v>
      </c>
      <c r="BQ368" s="152"/>
      <c r="BR368" s="154" t="s">
        <v>463</v>
      </c>
      <c r="BS368" s="136">
        <v>13</v>
      </c>
      <c r="BT368" s="267"/>
      <c r="BU368" s="267">
        <f>M368</f>
        <v>1</v>
      </c>
      <c r="BV368" s="267"/>
      <c r="BW368" s="267"/>
      <c r="BX368" s="267"/>
      <c r="BY368" s="267"/>
      <c r="BZ368" s="267"/>
      <c r="CA368" s="267"/>
      <c r="CB368" s="267"/>
      <c r="CC368" s="267"/>
      <c r="CD368" s="267"/>
      <c r="CE368" s="267"/>
      <c r="CF368" s="267"/>
      <c r="CG368" s="267"/>
      <c r="CH368" s="267"/>
      <c r="CI368" s="267"/>
      <c r="CJ368" s="267"/>
      <c r="CK368" s="267"/>
      <c r="CL368" s="267"/>
      <c r="CM368" s="267"/>
      <c r="CN368" s="101">
        <f t="shared" si="24"/>
        <v>1</v>
      </c>
      <c r="CO368" s="101">
        <f t="shared" si="25"/>
        <v>1</v>
      </c>
    </row>
    <row r="369" spans="1:93" ht="13.9" customHeight="1" x14ac:dyDescent="0.2">
      <c r="A369" s="149">
        <v>3695</v>
      </c>
      <c r="B369" s="150" t="s">
        <v>854</v>
      </c>
      <c r="C369" s="150" t="s">
        <v>1232</v>
      </c>
      <c r="D369" s="150" t="s">
        <v>1230</v>
      </c>
      <c r="E369" s="150" t="s">
        <v>326</v>
      </c>
      <c r="F369" s="149">
        <v>525409</v>
      </c>
      <c r="G369" s="149">
        <v>174671</v>
      </c>
      <c r="H369" s="150" t="s">
        <v>177</v>
      </c>
      <c r="I369" s="151">
        <v>44819</v>
      </c>
      <c r="J369" s="151"/>
      <c r="K369" s="149">
        <v>0</v>
      </c>
      <c r="L369" s="149">
        <v>1</v>
      </c>
      <c r="M369" s="149">
        <v>1</v>
      </c>
      <c r="N369" s="149">
        <v>1</v>
      </c>
      <c r="O369" s="149">
        <v>1</v>
      </c>
      <c r="P369" s="152"/>
      <c r="Q369" s="150" t="s">
        <v>1233</v>
      </c>
      <c r="R369" s="150" t="s">
        <v>407</v>
      </c>
      <c r="S369" s="151">
        <v>44621</v>
      </c>
      <c r="T369" s="151">
        <v>44676</v>
      </c>
      <c r="U369" s="152"/>
      <c r="V369" s="150" t="s">
        <v>330</v>
      </c>
      <c r="W369" s="151"/>
      <c r="X369" s="150" t="s">
        <v>331</v>
      </c>
      <c r="Y369" s="150" t="s">
        <v>332</v>
      </c>
      <c r="Z369" s="150" t="s">
        <v>334</v>
      </c>
      <c r="AA369" s="150" t="s">
        <v>29</v>
      </c>
      <c r="AB369" s="153">
        <v>3.0000000000000001E-3</v>
      </c>
      <c r="AC369" s="151">
        <v>44819</v>
      </c>
      <c r="AD369" s="150"/>
      <c r="AE369" s="151"/>
      <c r="AF369" s="150" t="s">
        <v>70</v>
      </c>
      <c r="AG369" s="152" t="s">
        <v>352</v>
      </c>
      <c r="AH369" s="150" t="s">
        <v>326</v>
      </c>
      <c r="AI369" s="99"/>
      <c r="AJ369" s="149"/>
      <c r="AK369" s="99"/>
      <c r="AL369" s="149"/>
      <c r="AM369" s="99"/>
      <c r="AN369" s="149">
        <v>0</v>
      </c>
      <c r="AO369" s="149">
        <v>1</v>
      </c>
      <c r="AP369" s="149">
        <v>0</v>
      </c>
      <c r="AQ369" s="149">
        <v>0</v>
      </c>
      <c r="AR369" s="149">
        <v>0</v>
      </c>
      <c r="AS369" s="149">
        <v>0</v>
      </c>
      <c r="AT369" s="149">
        <v>0</v>
      </c>
      <c r="AU369" s="149">
        <v>0</v>
      </c>
      <c r="AV369" s="149">
        <v>1</v>
      </c>
      <c r="AW369" s="149">
        <v>0</v>
      </c>
      <c r="AX369" s="149">
        <v>0</v>
      </c>
      <c r="AY369" s="149">
        <v>0</v>
      </c>
      <c r="AZ369" s="149">
        <v>0</v>
      </c>
      <c r="BA369" s="149">
        <v>0</v>
      </c>
      <c r="BB369" s="149">
        <v>0</v>
      </c>
      <c r="BC369" s="149">
        <v>0</v>
      </c>
      <c r="BD369" s="149">
        <v>0</v>
      </c>
      <c r="BE369" s="149">
        <v>0</v>
      </c>
      <c r="BF369" s="149">
        <v>0</v>
      </c>
      <c r="BG369" s="149">
        <v>0</v>
      </c>
      <c r="BH369" s="149">
        <v>0</v>
      </c>
      <c r="BI369" s="149">
        <v>0</v>
      </c>
      <c r="BJ369" s="149">
        <v>0</v>
      </c>
      <c r="BK369" s="149">
        <v>0</v>
      </c>
      <c r="BL369" s="149">
        <v>0</v>
      </c>
      <c r="BM369" s="149">
        <v>0</v>
      </c>
      <c r="BN369" s="149">
        <v>0</v>
      </c>
      <c r="BO369" s="149">
        <v>0</v>
      </c>
      <c r="BP369" s="152" t="s">
        <v>143</v>
      </c>
      <c r="BQ369" s="152"/>
      <c r="BR369" s="154" t="s">
        <v>463</v>
      </c>
      <c r="BS369" s="136">
        <v>13</v>
      </c>
      <c r="BT369" s="267"/>
      <c r="BU369" s="267">
        <f>M369</f>
        <v>1</v>
      </c>
      <c r="BV369" s="267"/>
      <c r="BW369" s="267"/>
      <c r="BX369" s="267"/>
      <c r="BY369" s="267"/>
      <c r="BZ369" s="267"/>
      <c r="CA369" s="267"/>
      <c r="CB369" s="267"/>
      <c r="CC369" s="267"/>
      <c r="CD369" s="267"/>
      <c r="CE369" s="267"/>
      <c r="CF369" s="267"/>
      <c r="CG369" s="267"/>
      <c r="CH369" s="267"/>
      <c r="CI369" s="267"/>
      <c r="CJ369" s="267"/>
      <c r="CK369" s="267"/>
      <c r="CL369" s="267"/>
      <c r="CM369" s="267"/>
      <c r="CN369" s="101">
        <f t="shared" si="24"/>
        <v>1</v>
      </c>
      <c r="CO369" s="101">
        <f t="shared" si="25"/>
        <v>1</v>
      </c>
    </row>
    <row r="370" spans="1:93" ht="13.9" customHeight="1" x14ac:dyDescent="0.2">
      <c r="A370" s="149">
        <v>5398</v>
      </c>
      <c r="B370" s="150" t="s">
        <v>854</v>
      </c>
      <c r="C370" s="150" t="s">
        <v>1234</v>
      </c>
      <c r="D370" s="150" t="s">
        <v>1235</v>
      </c>
      <c r="E370" s="150" t="s">
        <v>326</v>
      </c>
      <c r="F370" s="149">
        <v>526797</v>
      </c>
      <c r="G370" s="149">
        <v>175059</v>
      </c>
      <c r="H370" s="150" t="s">
        <v>177</v>
      </c>
      <c r="I370" s="151">
        <v>44958</v>
      </c>
      <c r="J370" s="151"/>
      <c r="K370" s="149">
        <v>0</v>
      </c>
      <c r="L370" s="149">
        <v>2</v>
      </c>
      <c r="M370" s="149">
        <v>2</v>
      </c>
      <c r="N370" s="149">
        <v>2</v>
      </c>
      <c r="O370" s="149">
        <v>2</v>
      </c>
      <c r="P370" s="152"/>
      <c r="Q370" s="150" t="s">
        <v>1236</v>
      </c>
      <c r="R370" s="150" t="s">
        <v>349</v>
      </c>
      <c r="S370" s="151">
        <v>44643</v>
      </c>
      <c r="T370" s="151">
        <v>44708</v>
      </c>
      <c r="U370" s="152"/>
      <c r="V370" s="150" t="s">
        <v>330</v>
      </c>
      <c r="W370" s="151"/>
      <c r="X370" s="150" t="s">
        <v>331</v>
      </c>
      <c r="Y370" s="150" t="s">
        <v>343</v>
      </c>
      <c r="Z370" s="150" t="s">
        <v>334</v>
      </c>
      <c r="AA370" s="150" t="s">
        <v>363</v>
      </c>
      <c r="AB370" s="153">
        <v>6.0000000000000001E-3</v>
      </c>
      <c r="AC370" s="151">
        <v>44958</v>
      </c>
      <c r="AD370" s="150"/>
      <c r="AE370" s="151"/>
      <c r="AF370" s="150" t="s">
        <v>70</v>
      </c>
      <c r="AG370" s="152" t="s">
        <v>352</v>
      </c>
      <c r="AH370" s="150" t="s">
        <v>326</v>
      </c>
      <c r="AI370" s="99"/>
      <c r="AJ370" s="149"/>
      <c r="AK370" s="102"/>
      <c r="AL370" s="149"/>
      <c r="AM370" s="102"/>
      <c r="AN370" s="149">
        <v>0</v>
      </c>
      <c r="AO370" s="149">
        <v>1</v>
      </c>
      <c r="AP370" s="149">
        <v>1</v>
      </c>
      <c r="AQ370" s="149">
        <v>0</v>
      </c>
      <c r="AR370" s="149">
        <v>0</v>
      </c>
      <c r="AS370" s="149">
        <v>0</v>
      </c>
      <c r="AT370" s="149">
        <v>0</v>
      </c>
      <c r="AU370" s="149">
        <v>0</v>
      </c>
      <c r="AV370" s="149">
        <v>1</v>
      </c>
      <c r="AW370" s="149">
        <v>1</v>
      </c>
      <c r="AX370" s="149">
        <v>0</v>
      </c>
      <c r="AY370" s="149">
        <v>0</v>
      </c>
      <c r="AZ370" s="149">
        <v>0</v>
      </c>
      <c r="BA370" s="149">
        <v>0</v>
      </c>
      <c r="BB370" s="149">
        <v>0</v>
      </c>
      <c r="BC370" s="149">
        <v>0</v>
      </c>
      <c r="BD370" s="149">
        <v>0</v>
      </c>
      <c r="BE370" s="149">
        <v>0</v>
      </c>
      <c r="BF370" s="149">
        <v>0</v>
      </c>
      <c r="BG370" s="149">
        <v>0</v>
      </c>
      <c r="BH370" s="149">
        <v>0</v>
      </c>
      <c r="BI370" s="149">
        <v>0</v>
      </c>
      <c r="BJ370" s="149">
        <v>0</v>
      </c>
      <c r="BK370" s="149">
        <v>0</v>
      </c>
      <c r="BL370" s="149">
        <v>0</v>
      </c>
      <c r="BM370" s="149">
        <v>0</v>
      </c>
      <c r="BN370" s="149">
        <v>0</v>
      </c>
      <c r="BO370" s="149">
        <v>0</v>
      </c>
      <c r="BP370" s="152"/>
      <c r="BQ370" s="152"/>
      <c r="BR370" s="154" t="s">
        <v>359</v>
      </c>
      <c r="BS370" s="136">
        <v>3</v>
      </c>
      <c r="BT370" s="267"/>
      <c r="BU370" s="267">
        <f>M370</f>
        <v>2</v>
      </c>
      <c r="BV370" s="267"/>
      <c r="BW370" s="267"/>
      <c r="BX370" s="267"/>
      <c r="BY370" s="267"/>
      <c r="BZ370" s="267"/>
      <c r="CA370" s="267"/>
      <c r="CB370" s="267"/>
      <c r="CC370" s="267"/>
      <c r="CD370" s="267"/>
      <c r="CE370" s="267"/>
      <c r="CF370" s="267"/>
      <c r="CG370" s="267"/>
      <c r="CH370" s="267"/>
      <c r="CI370" s="267"/>
      <c r="CJ370" s="267"/>
      <c r="CK370" s="267"/>
      <c r="CL370" s="267"/>
      <c r="CM370" s="267"/>
      <c r="CN370" s="101">
        <f t="shared" si="24"/>
        <v>2</v>
      </c>
      <c r="CO370" s="101">
        <f t="shared" si="25"/>
        <v>2</v>
      </c>
    </row>
    <row r="371" spans="1:93" ht="13.9" customHeight="1" x14ac:dyDescent="0.2">
      <c r="A371" s="149">
        <v>7817</v>
      </c>
      <c r="B371" s="150" t="s">
        <v>854</v>
      </c>
      <c r="C371" s="150" t="s">
        <v>1237</v>
      </c>
      <c r="D371" s="150" t="s">
        <v>1238</v>
      </c>
      <c r="E371" s="150" t="s">
        <v>326</v>
      </c>
      <c r="F371" s="149">
        <v>527600</v>
      </c>
      <c r="G371" s="149">
        <v>173459</v>
      </c>
      <c r="H371" s="150" t="s">
        <v>174</v>
      </c>
      <c r="I371" s="151">
        <v>45382</v>
      </c>
      <c r="J371" s="151"/>
      <c r="K371" s="149">
        <v>2</v>
      </c>
      <c r="L371" s="149">
        <v>1</v>
      </c>
      <c r="M371" s="149">
        <v>-1</v>
      </c>
      <c r="N371" s="149">
        <v>1</v>
      </c>
      <c r="O371" s="149">
        <v>-1</v>
      </c>
      <c r="P371" s="152"/>
      <c r="Q371" s="150" t="s">
        <v>1239</v>
      </c>
      <c r="R371" s="150" t="s">
        <v>349</v>
      </c>
      <c r="S371" s="151">
        <v>44701</v>
      </c>
      <c r="T371" s="151">
        <v>44804</v>
      </c>
      <c r="U371" s="152"/>
      <c r="V371" s="150" t="s">
        <v>330</v>
      </c>
      <c r="W371" s="151"/>
      <c r="X371" s="150" t="s">
        <v>331</v>
      </c>
      <c r="Y371" s="150" t="s">
        <v>350</v>
      </c>
      <c r="Z371" s="150" t="s">
        <v>334</v>
      </c>
      <c r="AA371" s="150" t="s">
        <v>18</v>
      </c>
      <c r="AB371" s="153">
        <v>6.1425000000000004E-3</v>
      </c>
      <c r="AC371" s="151">
        <v>45382</v>
      </c>
      <c r="AD371" s="152" t="s">
        <v>327</v>
      </c>
      <c r="AE371" s="151"/>
      <c r="AF371" s="150" t="s">
        <v>70</v>
      </c>
      <c r="AG371" s="152" t="s">
        <v>352</v>
      </c>
      <c r="AH371" s="150" t="s">
        <v>326</v>
      </c>
      <c r="AI371" s="99"/>
      <c r="AJ371" s="149"/>
      <c r="AK371" s="99"/>
      <c r="AL371" s="149"/>
      <c r="AM371" s="99"/>
      <c r="AN371" s="149">
        <v>0</v>
      </c>
      <c r="AO371" s="149">
        <v>-1</v>
      </c>
      <c r="AP371" s="149">
        <v>0</v>
      </c>
      <c r="AQ371" s="149">
        <v>-1</v>
      </c>
      <c r="AR371" s="149">
        <v>0</v>
      </c>
      <c r="AS371" s="149">
        <v>1</v>
      </c>
      <c r="AT371" s="149">
        <v>0</v>
      </c>
      <c r="AU371" s="149">
        <v>0</v>
      </c>
      <c r="AV371" s="149">
        <v>-1</v>
      </c>
      <c r="AW371" s="149">
        <v>0</v>
      </c>
      <c r="AX371" s="149">
        <v>-1</v>
      </c>
      <c r="AY371" s="149">
        <v>0</v>
      </c>
      <c r="AZ371" s="149">
        <v>0</v>
      </c>
      <c r="BA371" s="149">
        <v>0</v>
      </c>
      <c r="BB371" s="149">
        <v>0</v>
      </c>
      <c r="BC371" s="149">
        <v>0</v>
      </c>
      <c r="BD371" s="149">
        <v>0</v>
      </c>
      <c r="BE371" s="149">
        <v>0</v>
      </c>
      <c r="BF371" s="149">
        <v>0</v>
      </c>
      <c r="BG371" s="149">
        <v>1</v>
      </c>
      <c r="BH371" s="149">
        <v>0</v>
      </c>
      <c r="BI371" s="149">
        <v>0</v>
      </c>
      <c r="BJ371" s="149">
        <v>0</v>
      </c>
      <c r="BK371" s="149">
        <v>0</v>
      </c>
      <c r="BL371" s="149">
        <v>0</v>
      </c>
      <c r="BM371" s="149">
        <v>0</v>
      </c>
      <c r="BN371" s="149">
        <v>0</v>
      </c>
      <c r="BO371" s="149">
        <v>0</v>
      </c>
      <c r="BP371" s="152"/>
      <c r="BQ371" s="152"/>
      <c r="BR371" s="154" t="s">
        <v>359</v>
      </c>
      <c r="BS371" s="136">
        <v>14</v>
      </c>
      <c r="BT371" s="267"/>
      <c r="BU371" s="267">
        <f>M371/2</f>
        <v>-0.5</v>
      </c>
      <c r="BV371" s="267">
        <f>M371/2</f>
        <v>-0.5</v>
      </c>
      <c r="BW371" s="267"/>
      <c r="BX371" s="267"/>
      <c r="BY371" s="267"/>
      <c r="BZ371" s="267"/>
      <c r="CA371" s="267"/>
      <c r="CB371" s="267"/>
      <c r="CC371" s="267"/>
      <c r="CD371" s="267"/>
      <c r="CE371" s="267"/>
      <c r="CF371" s="267"/>
      <c r="CG371" s="267"/>
      <c r="CH371" s="267"/>
      <c r="CI371" s="267"/>
      <c r="CJ371" s="267"/>
      <c r="CK371" s="267"/>
      <c r="CL371" s="267"/>
      <c r="CM371" s="267"/>
      <c r="CN371" s="101">
        <f t="shared" si="24"/>
        <v>-1</v>
      </c>
      <c r="CO371" s="101">
        <f t="shared" si="25"/>
        <v>-1</v>
      </c>
    </row>
    <row r="372" spans="1:93" ht="13.9" customHeight="1" x14ac:dyDescent="0.2">
      <c r="A372" s="149">
        <v>7755</v>
      </c>
      <c r="B372" s="150" t="s">
        <v>854</v>
      </c>
      <c r="C372" s="150" t="s">
        <v>1240</v>
      </c>
      <c r="D372" s="150" t="s">
        <v>1241</v>
      </c>
      <c r="E372" s="150" t="s">
        <v>326</v>
      </c>
      <c r="F372" s="149">
        <v>527982</v>
      </c>
      <c r="G372" s="149">
        <v>174908</v>
      </c>
      <c r="H372" s="150" t="s">
        <v>165</v>
      </c>
      <c r="I372" s="151">
        <v>44926</v>
      </c>
      <c r="J372" s="151"/>
      <c r="K372" s="149">
        <v>1</v>
      </c>
      <c r="L372" s="149">
        <v>1</v>
      </c>
      <c r="M372" s="149">
        <v>0</v>
      </c>
      <c r="N372" s="149">
        <v>1</v>
      </c>
      <c r="O372" s="149">
        <v>0</v>
      </c>
      <c r="P372" s="152"/>
      <c r="Q372" s="150" t="s">
        <v>1242</v>
      </c>
      <c r="R372" s="150" t="s">
        <v>349</v>
      </c>
      <c r="S372" s="151">
        <v>44638</v>
      </c>
      <c r="T372" s="151">
        <v>44694</v>
      </c>
      <c r="U372" s="152"/>
      <c r="V372" s="150" t="s">
        <v>330</v>
      </c>
      <c r="W372" s="151"/>
      <c r="X372" s="150" t="s">
        <v>331</v>
      </c>
      <c r="Y372" s="150" t="s">
        <v>343</v>
      </c>
      <c r="Z372" s="150" t="s">
        <v>334</v>
      </c>
      <c r="AA372" s="150" t="s">
        <v>363</v>
      </c>
      <c r="AB372" s="153">
        <v>8.0000000000000002E-3</v>
      </c>
      <c r="AC372" s="151">
        <v>44926</v>
      </c>
      <c r="AD372" s="150"/>
      <c r="AE372" s="151"/>
      <c r="AF372" s="150" t="s">
        <v>70</v>
      </c>
      <c r="AG372" s="152" t="s">
        <v>352</v>
      </c>
      <c r="AH372" s="150" t="s">
        <v>326</v>
      </c>
      <c r="AI372" s="99"/>
      <c r="AJ372" s="149"/>
      <c r="AK372" s="99"/>
      <c r="AL372" s="149"/>
      <c r="AM372" s="99"/>
      <c r="AN372" s="149">
        <v>0</v>
      </c>
      <c r="AO372" s="149">
        <v>0</v>
      </c>
      <c r="AP372" s="149">
        <v>-1</v>
      </c>
      <c r="AQ372" s="149">
        <v>0</v>
      </c>
      <c r="AR372" s="149">
        <v>1</v>
      </c>
      <c r="AS372" s="149">
        <v>0</v>
      </c>
      <c r="AT372" s="149">
        <v>0</v>
      </c>
      <c r="AU372" s="149">
        <v>0</v>
      </c>
      <c r="AV372" s="149">
        <v>0</v>
      </c>
      <c r="AW372" s="149">
        <v>0</v>
      </c>
      <c r="AX372" s="149">
        <v>0</v>
      </c>
      <c r="AY372" s="149">
        <v>0</v>
      </c>
      <c r="AZ372" s="149">
        <v>0</v>
      </c>
      <c r="BA372" s="149">
        <v>0</v>
      </c>
      <c r="BB372" s="149">
        <v>0</v>
      </c>
      <c r="BC372" s="149">
        <v>0</v>
      </c>
      <c r="BD372" s="149">
        <v>-1</v>
      </c>
      <c r="BE372" s="149">
        <v>0</v>
      </c>
      <c r="BF372" s="149">
        <v>1</v>
      </c>
      <c r="BG372" s="149">
        <v>0</v>
      </c>
      <c r="BH372" s="149">
        <v>0</v>
      </c>
      <c r="BI372" s="149">
        <v>0</v>
      </c>
      <c r="BJ372" s="149">
        <v>0</v>
      </c>
      <c r="BK372" s="149">
        <v>0</v>
      </c>
      <c r="BL372" s="149">
        <v>0</v>
      </c>
      <c r="BM372" s="149">
        <v>0</v>
      </c>
      <c r="BN372" s="149">
        <v>0</v>
      </c>
      <c r="BO372" s="149">
        <v>0</v>
      </c>
      <c r="BP372" s="152"/>
      <c r="BQ372" s="152"/>
      <c r="BR372" s="154" t="s">
        <v>359</v>
      </c>
      <c r="BS372" s="136">
        <v>3</v>
      </c>
      <c r="BT372" s="267"/>
      <c r="BU372" s="267">
        <f>M372</f>
        <v>0</v>
      </c>
      <c r="BV372" s="267"/>
      <c r="BW372" s="267"/>
      <c r="BX372" s="267"/>
      <c r="BY372" s="267"/>
      <c r="BZ372" s="267"/>
      <c r="CA372" s="267"/>
      <c r="CB372" s="267"/>
      <c r="CC372" s="267"/>
      <c r="CD372" s="267"/>
      <c r="CE372" s="267"/>
      <c r="CF372" s="267"/>
      <c r="CG372" s="267"/>
      <c r="CH372" s="267"/>
      <c r="CI372" s="267"/>
      <c r="CJ372" s="267"/>
      <c r="CK372" s="267"/>
      <c r="CL372" s="267"/>
      <c r="CM372" s="267"/>
      <c r="CN372" s="101">
        <f t="shared" si="24"/>
        <v>0</v>
      </c>
      <c r="CO372" s="101">
        <f t="shared" si="25"/>
        <v>0</v>
      </c>
    </row>
    <row r="373" spans="1:93" ht="13.9" customHeight="1" x14ac:dyDescent="0.2">
      <c r="A373" s="149">
        <v>5339</v>
      </c>
      <c r="B373" s="150" t="s">
        <v>1216</v>
      </c>
      <c r="C373" s="150" t="s">
        <v>1243</v>
      </c>
      <c r="D373" s="150" t="s">
        <v>1244</v>
      </c>
      <c r="E373" s="150" t="s">
        <v>402</v>
      </c>
      <c r="F373" s="149">
        <v>527711</v>
      </c>
      <c r="G373" s="149">
        <v>171233</v>
      </c>
      <c r="H373" s="150" t="s">
        <v>173</v>
      </c>
      <c r="I373" s="151"/>
      <c r="J373" s="151"/>
      <c r="K373" s="149">
        <v>0</v>
      </c>
      <c r="L373" s="149">
        <v>15</v>
      </c>
      <c r="M373" s="149">
        <v>15</v>
      </c>
      <c r="N373" s="149">
        <v>24</v>
      </c>
      <c r="O373" s="149">
        <v>24</v>
      </c>
      <c r="P373" s="152" t="s">
        <v>327</v>
      </c>
      <c r="Q373" s="150" t="s">
        <v>1245</v>
      </c>
      <c r="R373" s="150" t="s">
        <v>329</v>
      </c>
      <c r="S373" s="151">
        <v>44554</v>
      </c>
      <c r="T373" s="151">
        <v>45104</v>
      </c>
      <c r="U373" s="152" t="s">
        <v>327</v>
      </c>
      <c r="V373" s="150" t="s">
        <v>330</v>
      </c>
      <c r="W373" s="151"/>
      <c r="X373" s="150" t="s">
        <v>331</v>
      </c>
      <c r="Y373" s="150" t="s">
        <v>398</v>
      </c>
      <c r="Z373" s="150" t="s">
        <v>343</v>
      </c>
      <c r="AA373" s="150" t="s">
        <v>334</v>
      </c>
      <c r="AB373" s="153">
        <v>8.8999999999999996E-2</v>
      </c>
      <c r="AC373" s="151"/>
      <c r="AD373" s="150"/>
      <c r="AE373" s="151"/>
      <c r="AF373" s="150" t="s">
        <v>70</v>
      </c>
      <c r="AG373" s="152" t="s">
        <v>352</v>
      </c>
      <c r="AH373" s="150" t="s">
        <v>326</v>
      </c>
      <c r="AI373" s="99"/>
      <c r="AJ373" s="149"/>
      <c r="AK373" s="138">
        <v>13</v>
      </c>
      <c r="AL373" s="149"/>
      <c r="AM373" s="138">
        <v>2</v>
      </c>
      <c r="AN373" s="149">
        <v>1</v>
      </c>
      <c r="AO373" s="149">
        <v>5</v>
      </c>
      <c r="AP373" s="149">
        <v>8</v>
      </c>
      <c r="AQ373" s="149">
        <v>1</v>
      </c>
      <c r="AR373" s="149">
        <v>0</v>
      </c>
      <c r="AS373" s="149">
        <v>0</v>
      </c>
      <c r="AT373" s="149">
        <v>0</v>
      </c>
      <c r="AU373" s="149">
        <v>1</v>
      </c>
      <c r="AV373" s="149">
        <v>5</v>
      </c>
      <c r="AW373" s="149">
        <v>8</v>
      </c>
      <c r="AX373" s="149">
        <v>1</v>
      </c>
      <c r="AY373" s="149">
        <v>0</v>
      </c>
      <c r="AZ373" s="149">
        <v>0</v>
      </c>
      <c r="BA373" s="149">
        <v>0</v>
      </c>
      <c r="BB373" s="149">
        <v>0</v>
      </c>
      <c r="BC373" s="149">
        <v>0</v>
      </c>
      <c r="BD373" s="149">
        <v>0</v>
      </c>
      <c r="BE373" s="149">
        <v>0</v>
      </c>
      <c r="BF373" s="149">
        <v>0</v>
      </c>
      <c r="BG373" s="149">
        <v>0</v>
      </c>
      <c r="BH373" s="149">
        <v>0</v>
      </c>
      <c r="BI373" s="149">
        <v>0</v>
      </c>
      <c r="BJ373" s="149">
        <v>0</v>
      </c>
      <c r="BK373" s="149">
        <v>0</v>
      </c>
      <c r="BL373" s="149">
        <v>0</v>
      </c>
      <c r="BM373" s="149">
        <v>0</v>
      </c>
      <c r="BN373" s="149">
        <v>0</v>
      </c>
      <c r="BO373" s="149">
        <v>0</v>
      </c>
      <c r="BP373" s="152" t="s">
        <v>142</v>
      </c>
      <c r="BQ373" s="152"/>
      <c r="BR373" s="154" t="s">
        <v>142</v>
      </c>
      <c r="BS373" s="136">
        <v>18</v>
      </c>
      <c r="BT373" s="267"/>
      <c r="BU373" s="267">
        <f>M373/4</f>
        <v>3.75</v>
      </c>
      <c r="BV373" s="267">
        <f>M373/4</f>
        <v>3.75</v>
      </c>
      <c r="BW373" s="267">
        <f>M373/4</f>
        <v>3.75</v>
      </c>
      <c r="BX373" s="267">
        <f>M373/4</f>
        <v>3.75</v>
      </c>
      <c r="BY373" s="267"/>
      <c r="BZ373" s="267"/>
      <c r="CA373" s="267"/>
      <c r="CB373" s="267"/>
      <c r="CC373" s="267"/>
      <c r="CD373" s="267"/>
      <c r="CE373" s="267"/>
      <c r="CF373" s="267"/>
      <c r="CG373" s="267"/>
      <c r="CH373" s="267"/>
      <c r="CI373" s="267"/>
      <c r="CJ373" s="267"/>
      <c r="CK373" s="267"/>
      <c r="CL373" s="267"/>
      <c r="CM373" s="267"/>
      <c r="CN373" s="101">
        <f t="shared" si="24"/>
        <v>15</v>
      </c>
      <c r="CO373" s="101">
        <f t="shared" si="25"/>
        <v>15</v>
      </c>
    </row>
    <row r="374" spans="1:93" ht="13.9" customHeight="1" x14ac:dyDescent="0.2">
      <c r="A374" s="149">
        <v>5339</v>
      </c>
      <c r="B374" s="150" t="s">
        <v>1216</v>
      </c>
      <c r="C374" s="150" t="s">
        <v>1243</v>
      </c>
      <c r="D374" s="150" t="s">
        <v>1244</v>
      </c>
      <c r="E374" s="150" t="s">
        <v>565</v>
      </c>
      <c r="F374" s="149">
        <v>527711</v>
      </c>
      <c r="G374" s="149">
        <v>171233</v>
      </c>
      <c r="H374" s="150" t="s">
        <v>173</v>
      </c>
      <c r="I374" s="151"/>
      <c r="J374" s="151"/>
      <c r="K374" s="149">
        <v>0</v>
      </c>
      <c r="L374" s="149">
        <v>6</v>
      </c>
      <c r="M374" s="149">
        <v>6</v>
      </c>
      <c r="N374" s="149">
        <v>24</v>
      </c>
      <c r="O374" s="149">
        <v>24</v>
      </c>
      <c r="P374" s="152" t="s">
        <v>327</v>
      </c>
      <c r="Q374" s="150" t="s">
        <v>1245</v>
      </c>
      <c r="R374" s="150" t="s">
        <v>329</v>
      </c>
      <c r="S374" s="151">
        <v>44554</v>
      </c>
      <c r="T374" s="151">
        <v>45104</v>
      </c>
      <c r="U374" s="152" t="s">
        <v>327</v>
      </c>
      <c r="V374" s="150" t="s">
        <v>330</v>
      </c>
      <c r="W374" s="151"/>
      <c r="X374" s="150" t="s">
        <v>331</v>
      </c>
      <c r="Y374" s="150" t="s">
        <v>398</v>
      </c>
      <c r="Z374" s="150" t="s">
        <v>343</v>
      </c>
      <c r="AA374" s="150" t="s">
        <v>334</v>
      </c>
      <c r="AB374" s="153">
        <v>3.5000000000000003E-2</v>
      </c>
      <c r="AC374" s="151"/>
      <c r="AD374" s="150"/>
      <c r="AE374" s="151"/>
      <c r="AF374" s="150" t="s">
        <v>70</v>
      </c>
      <c r="AG374" s="152" t="s">
        <v>352</v>
      </c>
      <c r="AH374" s="150" t="s">
        <v>326</v>
      </c>
      <c r="AI374" s="99"/>
      <c r="AJ374" s="149"/>
      <c r="AK374" s="138">
        <v>5</v>
      </c>
      <c r="AL374" s="149"/>
      <c r="AM374" s="138">
        <v>1</v>
      </c>
      <c r="AN374" s="149">
        <v>0</v>
      </c>
      <c r="AO374" s="149">
        <v>0</v>
      </c>
      <c r="AP374" s="149">
        <v>4</v>
      </c>
      <c r="AQ374" s="149">
        <v>2</v>
      </c>
      <c r="AR374" s="149">
        <v>0</v>
      </c>
      <c r="AS374" s="149">
        <v>0</v>
      </c>
      <c r="AT374" s="149">
        <v>0</v>
      </c>
      <c r="AU374" s="149">
        <v>0</v>
      </c>
      <c r="AV374" s="149">
        <v>0</v>
      </c>
      <c r="AW374" s="149">
        <v>4</v>
      </c>
      <c r="AX374" s="149">
        <v>2</v>
      </c>
      <c r="AY374" s="149">
        <v>0</v>
      </c>
      <c r="AZ374" s="149">
        <v>0</v>
      </c>
      <c r="BA374" s="149">
        <v>0</v>
      </c>
      <c r="BB374" s="149">
        <v>0</v>
      </c>
      <c r="BC374" s="149">
        <v>0</v>
      </c>
      <c r="BD374" s="149">
        <v>0</v>
      </c>
      <c r="BE374" s="149">
        <v>0</v>
      </c>
      <c r="BF374" s="149">
        <v>0</v>
      </c>
      <c r="BG374" s="149">
        <v>0</v>
      </c>
      <c r="BH374" s="149">
        <v>0</v>
      </c>
      <c r="BI374" s="149">
        <v>0</v>
      </c>
      <c r="BJ374" s="149">
        <v>0</v>
      </c>
      <c r="BK374" s="149">
        <v>0</v>
      </c>
      <c r="BL374" s="149">
        <v>0</v>
      </c>
      <c r="BM374" s="149">
        <v>0</v>
      </c>
      <c r="BN374" s="149">
        <v>0</v>
      </c>
      <c r="BO374" s="149">
        <v>0</v>
      </c>
      <c r="BP374" s="152" t="s">
        <v>142</v>
      </c>
      <c r="BQ374" s="152"/>
      <c r="BR374" s="154" t="s">
        <v>142</v>
      </c>
      <c r="BS374" s="136">
        <v>18</v>
      </c>
      <c r="BT374" s="267"/>
      <c r="BU374" s="267">
        <f>M374/4</f>
        <v>1.5</v>
      </c>
      <c r="BV374" s="267">
        <f>M374/4</f>
        <v>1.5</v>
      </c>
      <c r="BW374" s="267">
        <f>M374/4</f>
        <v>1.5</v>
      </c>
      <c r="BX374" s="267">
        <f>M374/4</f>
        <v>1.5</v>
      </c>
      <c r="BY374" s="267"/>
      <c r="BZ374" s="267"/>
      <c r="CA374" s="267"/>
      <c r="CB374" s="267"/>
      <c r="CC374" s="267"/>
      <c r="CD374" s="267"/>
      <c r="CE374" s="267"/>
      <c r="CF374" s="267"/>
      <c r="CG374" s="267"/>
      <c r="CH374" s="267"/>
      <c r="CI374" s="267"/>
      <c r="CJ374" s="267"/>
      <c r="CK374" s="267"/>
      <c r="CL374" s="267"/>
      <c r="CM374" s="267"/>
      <c r="CN374" s="101">
        <f t="shared" si="24"/>
        <v>6</v>
      </c>
      <c r="CO374" s="101">
        <f t="shared" si="25"/>
        <v>6</v>
      </c>
    </row>
    <row r="375" spans="1:93" ht="13.9" customHeight="1" x14ac:dyDescent="0.2">
      <c r="A375" s="149">
        <v>7382</v>
      </c>
      <c r="B375" s="150" t="s">
        <v>854</v>
      </c>
      <c r="C375" s="150" t="s">
        <v>1246</v>
      </c>
      <c r="D375" s="150" t="s">
        <v>1247</v>
      </c>
      <c r="E375" s="150" t="s">
        <v>326</v>
      </c>
      <c r="F375" s="149">
        <v>528107</v>
      </c>
      <c r="G375" s="149">
        <v>175629</v>
      </c>
      <c r="H375" s="150" t="s">
        <v>164</v>
      </c>
      <c r="I375" s="151">
        <v>45078</v>
      </c>
      <c r="J375" s="151"/>
      <c r="K375" s="149">
        <v>1</v>
      </c>
      <c r="L375" s="149">
        <v>5</v>
      </c>
      <c r="M375" s="149">
        <v>4</v>
      </c>
      <c r="N375" s="149">
        <v>5</v>
      </c>
      <c r="O375" s="149">
        <v>4</v>
      </c>
      <c r="P375" s="152"/>
      <c r="Q375" s="150" t="s">
        <v>1248</v>
      </c>
      <c r="R375" s="150" t="s">
        <v>349</v>
      </c>
      <c r="S375" s="151">
        <v>44846</v>
      </c>
      <c r="T375" s="151">
        <v>44911</v>
      </c>
      <c r="U375" s="152"/>
      <c r="V375" s="150" t="s">
        <v>330</v>
      </c>
      <c r="W375" s="151"/>
      <c r="X375" s="150" t="s">
        <v>331</v>
      </c>
      <c r="Y375" s="150" t="s">
        <v>398</v>
      </c>
      <c r="Z375" s="150" t="s">
        <v>334</v>
      </c>
      <c r="AA375" s="150" t="s">
        <v>32</v>
      </c>
      <c r="AB375" s="153">
        <v>0.01</v>
      </c>
      <c r="AC375" s="151">
        <v>45078</v>
      </c>
      <c r="AD375" s="152" t="s">
        <v>327</v>
      </c>
      <c r="AE375" s="151"/>
      <c r="AF375" s="150" t="s">
        <v>70</v>
      </c>
      <c r="AG375" s="152" t="s">
        <v>352</v>
      </c>
      <c r="AH375" s="150" t="s">
        <v>326</v>
      </c>
      <c r="AI375" s="99"/>
      <c r="AJ375" s="149"/>
      <c r="AK375" s="99"/>
      <c r="AL375" s="149"/>
      <c r="AM375" s="99"/>
      <c r="AN375" s="149">
        <v>0</v>
      </c>
      <c r="AO375" s="149">
        <v>5</v>
      </c>
      <c r="AP375" s="149">
        <v>-1</v>
      </c>
      <c r="AQ375" s="149">
        <v>0</v>
      </c>
      <c r="AR375" s="149">
        <v>0</v>
      </c>
      <c r="AS375" s="149">
        <v>0</v>
      </c>
      <c r="AT375" s="149">
        <v>0</v>
      </c>
      <c r="AU375" s="149">
        <v>0</v>
      </c>
      <c r="AV375" s="149">
        <v>5</v>
      </c>
      <c r="AW375" s="149">
        <v>-1</v>
      </c>
      <c r="AX375" s="149">
        <v>0</v>
      </c>
      <c r="AY375" s="149">
        <v>0</v>
      </c>
      <c r="AZ375" s="149">
        <v>0</v>
      </c>
      <c r="BA375" s="149">
        <v>0</v>
      </c>
      <c r="BB375" s="149">
        <v>0</v>
      </c>
      <c r="BC375" s="149">
        <v>0</v>
      </c>
      <c r="BD375" s="149">
        <v>0</v>
      </c>
      <c r="BE375" s="149">
        <v>0</v>
      </c>
      <c r="BF375" s="149">
        <v>0</v>
      </c>
      <c r="BG375" s="149">
        <v>0</v>
      </c>
      <c r="BH375" s="149">
        <v>0</v>
      </c>
      <c r="BI375" s="149">
        <v>0</v>
      </c>
      <c r="BJ375" s="149">
        <v>0</v>
      </c>
      <c r="BK375" s="149">
        <v>0</v>
      </c>
      <c r="BL375" s="149">
        <v>0</v>
      </c>
      <c r="BM375" s="149">
        <v>0</v>
      </c>
      <c r="BN375" s="149">
        <v>0</v>
      </c>
      <c r="BO375" s="149">
        <v>0</v>
      </c>
      <c r="BP375" s="152"/>
      <c r="BQ375" s="152"/>
      <c r="BR375" s="154" t="s">
        <v>359</v>
      </c>
      <c r="BS375" s="136">
        <v>13</v>
      </c>
      <c r="BT375" s="267"/>
      <c r="BU375" s="267">
        <f>M375</f>
        <v>4</v>
      </c>
      <c r="BV375" s="267"/>
      <c r="BW375" s="267"/>
      <c r="BX375" s="267"/>
      <c r="BY375" s="267"/>
      <c r="BZ375" s="267"/>
      <c r="CA375" s="267"/>
      <c r="CB375" s="267"/>
      <c r="CC375" s="267"/>
      <c r="CD375" s="267"/>
      <c r="CE375" s="267"/>
      <c r="CF375" s="267"/>
      <c r="CG375" s="267"/>
      <c r="CH375" s="267"/>
      <c r="CI375" s="267"/>
      <c r="CJ375" s="267"/>
      <c r="CK375" s="267"/>
      <c r="CL375" s="267"/>
      <c r="CM375" s="267"/>
      <c r="CN375" s="101">
        <f t="shared" ref="CN375:CN438" si="28">SUM(BU375:BY375)</f>
        <v>4</v>
      </c>
      <c r="CO375" s="101">
        <f t="shared" ref="CO375:CO438" si="29">SUM(BU375:CD375)</f>
        <v>4</v>
      </c>
    </row>
    <row r="376" spans="1:93" ht="13.9" customHeight="1" x14ac:dyDescent="0.2">
      <c r="A376" s="149">
        <v>7858</v>
      </c>
      <c r="B376" s="150" t="s">
        <v>854</v>
      </c>
      <c r="C376" s="150" t="s">
        <v>1249</v>
      </c>
      <c r="D376" s="150" t="s">
        <v>1250</v>
      </c>
      <c r="E376" s="150" t="s">
        <v>326</v>
      </c>
      <c r="F376" s="149">
        <v>528443</v>
      </c>
      <c r="G376" s="149">
        <v>171438</v>
      </c>
      <c r="H376" s="150" t="s">
        <v>172</v>
      </c>
      <c r="I376" s="151">
        <v>45040</v>
      </c>
      <c r="J376" s="151"/>
      <c r="K376" s="149">
        <v>1</v>
      </c>
      <c r="L376" s="149">
        <v>3</v>
      </c>
      <c r="M376" s="149">
        <v>2</v>
      </c>
      <c r="N376" s="149">
        <v>3</v>
      </c>
      <c r="O376" s="149">
        <v>2</v>
      </c>
      <c r="P376" s="152"/>
      <c r="Q376" s="150" t="s">
        <v>1251</v>
      </c>
      <c r="R376" s="150" t="s">
        <v>349</v>
      </c>
      <c r="S376" s="151">
        <v>44711</v>
      </c>
      <c r="T376" s="151">
        <v>44767</v>
      </c>
      <c r="U376" s="152"/>
      <c r="V376" s="150" t="s">
        <v>330</v>
      </c>
      <c r="W376" s="151"/>
      <c r="X376" s="150" t="s">
        <v>331</v>
      </c>
      <c r="Y376" s="150" t="s">
        <v>398</v>
      </c>
      <c r="Z376" s="150" t="s">
        <v>334</v>
      </c>
      <c r="AA376" s="150" t="s">
        <v>16</v>
      </c>
      <c r="AB376" s="153">
        <v>8.0333330000000001E-3</v>
      </c>
      <c r="AC376" s="151">
        <v>45040</v>
      </c>
      <c r="AD376" s="152" t="s">
        <v>327</v>
      </c>
      <c r="AE376" s="151"/>
      <c r="AF376" s="150" t="s">
        <v>70</v>
      </c>
      <c r="AG376" s="152" t="s">
        <v>352</v>
      </c>
      <c r="AH376" s="150" t="s">
        <v>326</v>
      </c>
      <c r="AI376" s="99"/>
      <c r="AJ376" s="149"/>
      <c r="AK376" s="99"/>
      <c r="AL376" s="149"/>
      <c r="AM376" s="99"/>
      <c r="AN376" s="149">
        <v>0</v>
      </c>
      <c r="AO376" s="149">
        <v>0</v>
      </c>
      <c r="AP376" s="149">
        <v>2</v>
      </c>
      <c r="AQ376" s="149">
        <v>0</v>
      </c>
      <c r="AR376" s="149">
        <v>0</v>
      </c>
      <c r="AS376" s="149">
        <v>0</v>
      </c>
      <c r="AT376" s="149">
        <v>0</v>
      </c>
      <c r="AU376" s="149">
        <v>0</v>
      </c>
      <c r="AV376" s="149">
        <v>0</v>
      </c>
      <c r="AW376" s="149">
        <v>2</v>
      </c>
      <c r="AX376" s="149">
        <v>1</v>
      </c>
      <c r="AY376" s="149">
        <v>0</v>
      </c>
      <c r="AZ376" s="149">
        <v>0</v>
      </c>
      <c r="BA376" s="149">
        <v>0</v>
      </c>
      <c r="BB376" s="149">
        <v>0</v>
      </c>
      <c r="BC376" s="149">
        <v>0</v>
      </c>
      <c r="BD376" s="149">
        <v>0</v>
      </c>
      <c r="BE376" s="149">
        <v>-1</v>
      </c>
      <c r="BF376" s="149">
        <v>0</v>
      </c>
      <c r="BG376" s="149">
        <v>0</v>
      </c>
      <c r="BH376" s="149">
        <v>0</v>
      </c>
      <c r="BI376" s="149">
        <v>0</v>
      </c>
      <c r="BJ376" s="149">
        <v>0</v>
      </c>
      <c r="BK376" s="149">
        <v>0</v>
      </c>
      <c r="BL376" s="149">
        <v>0</v>
      </c>
      <c r="BM376" s="149">
        <v>0</v>
      </c>
      <c r="BN376" s="149">
        <v>0</v>
      </c>
      <c r="BO376" s="149">
        <v>0</v>
      </c>
      <c r="BP376" s="152"/>
      <c r="BQ376" s="152"/>
      <c r="BR376" s="154" t="s">
        <v>359</v>
      </c>
      <c r="BS376" s="136">
        <v>13</v>
      </c>
      <c r="BT376" s="267"/>
      <c r="BU376" s="267">
        <f>M376</f>
        <v>2</v>
      </c>
      <c r="BV376" s="267"/>
      <c r="BW376" s="267"/>
      <c r="BX376" s="267"/>
      <c r="BY376" s="267"/>
      <c r="BZ376" s="267"/>
      <c r="CA376" s="267"/>
      <c r="CB376" s="267"/>
      <c r="CC376" s="267"/>
      <c r="CD376" s="267"/>
      <c r="CE376" s="267"/>
      <c r="CF376" s="267"/>
      <c r="CG376" s="267"/>
      <c r="CH376" s="267"/>
      <c r="CI376" s="267"/>
      <c r="CJ376" s="267"/>
      <c r="CK376" s="267"/>
      <c r="CL376" s="267"/>
      <c r="CM376" s="267"/>
      <c r="CN376" s="101">
        <f t="shared" si="28"/>
        <v>2</v>
      </c>
      <c r="CO376" s="101">
        <f t="shared" si="29"/>
        <v>2</v>
      </c>
    </row>
    <row r="377" spans="1:93" ht="13.9" customHeight="1" x14ac:dyDescent="0.2">
      <c r="A377" s="149">
        <v>7859</v>
      </c>
      <c r="B377" s="150" t="s">
        <v>854</v>
      </c>
      <c r="C377" s="150" t="s">
        <v>1252</v>
      </c>
      <c r="D377" s="150" t="s">
        <v>1253</v>
      </c>
      <c r="E377" s="150" t="s">
        <v>326</v>
      </c>
      <c r="F377" s="149">
        <v>523549</v>
      </c>
      <c r="G377" s="149">
        <v>175035</v>
      </c>
      <c r="H377" s="150" t="s">
        <v>179</v>
      </c>
      <c r="I377" s="151">
        <v>45139</v>
      </c>
      <c r="J377" s="151"/>
      <c r="K377" s="149">
        <v>2</v>
      </c>
      <c r="L377" s="149">
        <v>1</v>
      </c>
      <c r="M377" s="149">
        <v>-1</v>
      </c>
      <c r="N377" s="149">
        <v>1</v>
      </c>
      <c r="O377" s="149">
        <v>-1</v>
      </c>
      <c r="P377" s="152"/>
      <c r="Q377" s="150" t="s">
        <v>1254</v>
      </c>
      <c r="R377" s="150" t="s">
        <v>349</v>
      </c>
      <c r="S377" s="151">
        <v>44740</v>
      </c>
      <c r="T377" s="151">
        <v>44901</v>
      </c>
      <c r="U377" s="152"/>
      <c r="V377" s="150" t="s">
        <v>330</v>
      </c>
      <c r="W377" s="151"/>
      <c r="X377" s="150" t="s">
        <v>331</v>
      </c>
      <c r="Y377" s="150" t="s">
        <v>350</v>
      </c>
      <c r="Z377" s="150" t="s">
        <v>334</v>
      </c>
      <c r="AA377" s="150" t="s">
        <v>18</v>
      </c>
      <c r="AB377" s="153">
        <v>2.5100000000000001E-2</v>
      </c>
      <c r="AC377" s="151">
        <v>45139</v>
      </c>
      <c r="AD377" s="152" t="s">
        <v>327</v>
      </c>
      <c r="AE377" s="151"/>
      <c r="AF377" s="150" t="s">
        <v>70</v>
      </c>
      <c r="AG377" s="152" t="s">
        <v>352</v>
      </c>
      <c r="AH377" s="150" t="s">
        <v>326</v>
      </c>
      <c r="AI377" s="102"/>
      <c r="AJ377" s="149"/>
      <c r="AK377" s="99"/>
      <c r="AL377" s="149"/>
      <c r="AM377" s="99"/>
      <c r="AN377" s="149">
        <v>0</v>
      </c>
      <c r="AO377" s="149">
        <v>-1</v>
      </c>
      <c r="AP377" s="149">
        <v>0</v>
      </c>
      <c r="AQ377" s="149">
        <v>0</v>
      </c>
      <c r="AR377" s="149">
        <v>0</v>
      </c>
      <c r="AS377" s="149">
        <v>0</v>
      </c>
      <c r="AT377" s="149">
        <v>0</v>
      </c>
      <c r="AU377" s="149">
        <v>0</v>
      </c>
      <c r="AV377" s="149">
        <v>-1</v>
      </c>
      <c r="AW377" s="149">
        <v>0</v>
      </c>
      <c r="AX377" s="149">
        <v>0</v>
      </c>
      <c r="AY377" s="149">
        <v>0</v>
      </c>
      <c r="AZ377" s="149">
        <v>-1</v>
      </c>
      <c r="BA377" s="149">
        <v>0</v>
      </c>
      <c r="BB377" s="149">
        <v>0</v>
      </c>
      <c r="BC377" s="149">
        <v>0</v>
      </c>
      <c r="BD377" s="149">
        <v>0</v>
      </c>
      <c r="BE377" s="149">
        <v>0</v>
      </c>
      <c r="BF377" s="149">
        <v>0</v>
      </c>
      <c r="BG377" s="149">
        <v>1</v>
      </c>
      <c r="BH377" s="149">
        <v>0</v>
      </c>
      <c r="BI377" s="149">
        <v>0</v>
      </c>
      <c r="BJ377" s="149">
        <v>0</v>
      </c>
      <c r="BK377" s="149">
        <v>0</v>
      </c>
      <c r="BL377" s="149">
        <v>0</v>
      </c>
      <c r="BM377" s="149">
        <v>0</v>
      </c>
      <c r="BN377" s="149">
        <v>0</v>
      </c>
      <c r="BO377" s="149">
        <v>0</v>
      </c>
      <c r="BP377" s="152"/>
      <c r="BQ377" s="152"/>
      <c r="BR377" s="154" t="s">
        <v>359</v>
      </c>
      <c r="BS377" s="136">
        <v>13</v>
      </c>
      <c r="BT377" s="267"/>
      <c r="BU377" s="267">
        <f>M377</f>
        <v>-1</v>
      </c>
      <c r="BV377" s="267"/>
      <c r="BW377" s="267"/>
      <c r="BX377" s="267"/>
      <c r="BY377" s="267"/>
      <c r="BZ377" s="267"/>
      <c r="CA377" s="267"/>
      <c r="CB377" s="267"/>
      <c r="CC377" s="267"/>
      <c r="CD377" s="267"/>
      <c r="CE377" s="267"/>
      <c r="CF377" s="267"/>
      <c r="CG377" s="267"/>
      <c r="CH377" s="267"/>
      <c r="CI377" s="267"/>
      <c r="CJ377" s="267"/>
      <c r="CK377" s="267"/>
      <c r="CL377" s="267"/>
      <c r="CM377" s="267"/>
      <c r="CN377" s="101">
        <f t="shared" si="28"/>
        <v>-1</v>
      </c>
      <c r="CO377" s="101">
        <f t="shared" si="29"/>
        <v>-1</v>
      </c>
    </row>
    <row r="378" spans="1:93" ht="13.9" customHeight="1" x14ac:dyDescent="0.2">
      <c r="A378" s="149">
        <v>6990</v>
      </c>
      <c r="B378" s="150" t="s">
        <v>854</v>
      </c>
      <c r="C378" s="150" t="s">
        <v>1255</v>
      </c>
      <c r="D378" s="150" t="s">
        <v>1256</v>
      </c>
      <c r="E378" s="150" t="s">
        <v>326</v>
      </c>
      <c r="F378" s="149">
        <v>526243</v>
      </c>
      <c r="G378" s="149">
        <v>174114</v>
      </c>
      <c r="H378" s="150" t="s">
        <v>175</v>
      </c>
      <c r="I378" s="151">
        <v>45382</v>
      </c>
      <c r="J378" s="151"/>
      <c r="K378" s="149">
        <v>1</v>
      </c>
      <c r="L378" s="149">
        <v>1</v>
      </c>
      <c r="M378" s="149">
        <v>0</v>
      </c>
      <c r="N378" s="149">
        <v>1</v>
      </c>
      <c r="O378" s="149">
        <v>0</v>
      </c>
      <c r="P378" s="152"/>
      <c r="Q378" s="150" t="s">
        <v>1257</v>
      </c>
      <c r="R378" s="150" t="s">
        <v>349</v>
      </c>
      <c r="S378" s="151">
        <v>44727</v>
      </c>
      <c r="T378" s="151">
        <v>44819</v>
      </c>
      <c r="U378" s="152"/>
      <c r="V378" s="150" t="s">
        <v>330</v>
      </c>
      <c r="W378" s="151"/>
      <c r="X378" s="150" t="s">
        <v>331</v>
      </c>
      <c r="Y378" s="150" t="s">
        <v>343</v>
      </c>
      <c r="Z378" s="150" t="s">
        <v>334</v>
      </c>
      <c r="AA378" s="150" t="s">
        <v>363</v>
      </c>
      <c r="AB378" s="153">
        <v>4.7499999999999999E-3</v>
      </c>
      <c r="AC378" s="151">
        <v>45382</v>
      </c>
      <c r="AD378" s="152" t="s">
        <v>327</v>
      </c>
      <c r="AE378" s="151"/>
      <c r="AF378" s="150" t="s">
        <v>70</v>
      </c>
      <c r="AG378" s="152" t="s">
        <v>352</v>
      </c>
      <c r="AH378" s="150" t="s">
        <v>326</v>
      </c>
      <c r="AI378" s="102"/>
      <c r="AJ378" s="149"/>
      <c r="AK378" s="99"/>
      <c r="AL378" s="149"/>
      <c r="AM378" s="99"/>
      <c r="AN378" s="149">
        <v>0</v>
      </c>
      <c r="AO378" s="149">
        <v>-1</v>
      </c>
      <c r="AP378" s="149">
        <v>0</v>
      </c>
      <c r="AQ378" s="149">
        <v>1</v>
      </c>
      <c r="AR378" s="149">
        <v>0</v>
      </c>
      <c r="AS378" s="149">
        <v>0</v>
      </c>
      <c r="AT378" s="149">
        <v>0</v>
      </c>
      <c r="AU378" s="149">
        <v>0</v>
      </c>
      <c r="AV378" s="149">
        <v>0</v>
      </c>
      <c r="AW378" s="149">
        <v>0</v>
      </c>
      <c r="AX378" s="149">
        <v>0</v>
      </c>
      <c r="AY378" s="149">
        <v>0</v>
      </c>
      <c r="AZ378" s="149">
        <v>0</v>
      </c>
      <c r="BA378" s="149">
        <v>0</v>
      </c>
      <c r="BB378" s="149">
        <v>0</v>
      </c>
      <c r="BC378" s="149">
        <v>-1</v>
      </c>
      <c r="BD378" s="149">
        <v>0</v>
      </c>
      <c r="BE378" s="149">
        <v>1</v>
      </c>
      <c r="BF378" s="149">
        <v>0</v>
      </c>
      <c r="BG378" s="149">
        <v>0</v>
      </c>
      <c r="BH378" s="149">
        <v>0</v>
      </c>
      <c r="BI378" s="149">
        <v>0</v>
      </c>
      <c r="BJ378" s="149">
        <v>0</v>
      </c>
      <c r="BK378" s="149">
        <v>0</v>
      </c>
      <c r="BL378" s="149">
        <v>0</v>
      </c>
      <c r="BM378" s="149">
        <v>0</v>
      </c>
      <c r="BN378" s="149">
        <v>0</v>
      </c>
      <c r="BO378" s="149">
        <v>0</v>
      </c>
      <c r="BP378" s="152"/>
      <c r="BQ378" s="152"/>
      <c r="BR378" s="154" t="s">
        <v>359</v>
      </c>
      <c r="BS378" s="136">
        <v>4</v>
      </c>
      <c r="BT378" s="267"/>
      <c r="BU378" s="267">
        <f>M378/2</f>
        <v>0</v>
      </c>
      <c r="BV378" s="267">
        <f>M378/2</f>
        <v>0</v>
      </c>
      <c r="BW378" s="267"/>
      <c r="BX378" s="267"/>
      <c r="BY378" s="267"/>
      <c r="BZ378" s="267"/>
      <c r="CA378" s="267"/>
      <c r="CB378" s="267"/>
      <c r="CC378" s="267"/>
      <c r="CD378" s="267"/>
      <c r="CE378" s="267"/>
      <c r="CF378" s="267"/>
      <c r="CG378" s="267"/>
      <c r="CH378" s="267"/>
      <c r="CI378" s="267"/>
      <c r="CJ378" s="267"/>
      <c r="CK378" s="267"/>
      <c r="CL378" s="267"/>
      <c r="CM378" s="267"/>
      <c r="CN378" s="101">
        <f t="shared" si="28"/>
        <v>0</v>
      </c>
      <c r="CO378" s="101">
        <f t="shared" si="29"/>
        <v>0</v>
      </c>
    </row>
    <row r="379" spans="1:93" ht="13.9" customHeight="1" x14ac:dyDescent="0.2">
      <c r="A379" s="149">
        <v>7863</v>
      </c>
      <c r="B379" s="150" t="s">
        <v>854</v>
      </c>
      <c r="C379" s="150" t="s">
        <v>1258</v>
      </c>
      <c r="D379" s="150" t="s">
        <v>1259</v>
      </c>
      <c r="E379" s="150" t="s">
        <v>326</v>
      </c>
      <c r="F379" s="149">
        <v>527882</v>
      </c>
      <c r="G379" s="149">
        <v>170985</v>
      </c>
      <c r="H379" s="150" t="s">
        <v>173</v>
      </c>
      <c r="I379" s="151">
        <v>45231</v>
      </c>
      <c r="J379" s="151"/>
      <c r="K379" s="149">
        <v>2</v>
      </c>
      <c r="L379" s="149">
        <v>3</v>
      </c>
      <c r="M379" s="149">
        <v>1</v>
      </c>
      <c r="N379" s="149">
        <v>4</v>
      </c>
      <c r="O379" s="149">
        <v>2</v>
      </c>
      <c r="P379" s="152"/>
      <c r="Q379" s="150" t="s">
        <v>1260</v>
      </c>
      <c r="R379" s="150" t="s">
        <v>349</v>
      </c>
      <c r="S379" s="151">
        <v>44728</v>
      </c>
      <c r="T379" s="151">
        <v>44847</v>
      </c>
      <c r="U379" s="152"/>
      <c r="V379" s="150" t="s">
        <v>330</v>
      </c>
      <c r="W379" s="151"/>
      <c r="X379" s="150" t="s">
        <v>331</v>
      </c>
      <c r="Y379" s="150" t="s">
        <v>398</v>
      </c>
      <c r="Z379" s="150" t="s">
        <v>334</v>
      </c>
      <c r="AA379" s="150" t="s">
        <v>399</v>
      </c>
      <c r="AB379" s="153">
        <v>9.8300000000000002E-3</v>
      </c>
      <c r="AC379" s="151">
        <v>45231</v>
      </c>
      <c r="AD379" s="152" t="s">
        <v>327</v>
      </c>
      <c r="AE379" s="151"/>
      <c r="AF379" s="150" t="s">
        <v>70</v>
      </c>
      <c r="AG379" s="152" t="s">
        <v>337</v>
      </c>
      <c r="AH379" s="150" t="s">
        <v>326</v>
      </c>
      <c r="AI379" s="102"/>
      <c r="AJ379" s="149"/>
      <c r="AK379" s="99"/>
      <c r="AL379" s="149"/>
      <c r="AM379" s="99"/>
      <c r="AN379" s="149">
        <v>-1</v>
      </c>
      <c r="AO379" s="149">
        <v>1</v>
      </c>
      <c r="AP379" s="149">
        <v>2</v>
      </c>
      <c r="AQ379" s="149">
        <v>0</v>
      </c>
      <c r="AR379" s="149">
        <v>-1</v>
      </c>
      <c r="AS379" s="149">
        <v>0</v>
      </c>
      <c r="AT379" s="149">
        <v>0</v>
      </c>
      <c r="AU379" s="149">
        <v>-1</v>
      </c>
      <c r="AV379" s="149">
        <v>1</v>
      </c>
      <c r="AW379" s="149">
        <v>2</v>
      </c>
      <c r="AX379" s="149">
        <v>0</v>
      </c>
      <c r="AY379" s="149">
        <v>-1</v>
      </c>
      <c r="AZ379" s="149">
        <v>0</v>
      </c>
      <c r="BA379" s="149">
        <v>0</v>
      </c>
      <c r="BB379" s="149">
        <v>0</v>
      </c>
      <c r="BC379" s="149">
        <v>0</v>
      </c>
      <c r="BD379" s="149">
        <v>0</v>
      </c>
      <c r="BE379" s="149">
        <v>0</v>
      </c>
      <c r="BF379" s="149">
        <v>0</v>
      </c>
      <c r="BG379" s="149">
        <v>0</v>
      </c>
      <c r="BH379" s="149">
        <v>0</v>
      </c>
      <c r="BI379" s="149">
        <v>0</v>
      </c>
      <c r="BJ379" s="149">
        <v>0</v>
      </c>
      <c r="BK379" s="149">
        <v>0</v>
      </c>
      <c r="BL379" s="149">
        <v>0</v>
      </c>
      <c r="BM379" s="149">
        <v>0</v>
      </c>
      <c r="BN379" s="149">
        <v>0</v>
      </c>
      <c r="BO379" s="149">
        <v>0</v>
      </c>
      <c r="BP379" s="152"/>
      <c r="BQ379" s="152"/>
      <c r="BR379" s="154" t="s">
        <v>142</v>
      </c>
      <c r="BS379" s="136">
        <v>14</v>
      </c>
      <c r="BT379" s="267"/>
      <c r="BU379" s="267">
        <f>M379/2</f>
        <v>0.5</v>
      </c>
      <c r="BV379" s="267">
        <f>M379/2</f>
        <v>0.5</v>
      </c>
      <c r="BW379" s="267"/>
      <c r="BX379" s="267"/>
      <c r="BY379" s="267"/>
      <c r="BZ379" s="267"/>
      <c r="CA379" s="267"/>
      <c r="CB379" s="267"/>
      <c r="CC379" s="267"/>
      <c r="CD379" s="267"/>
      <c r="CE379" s="267"/>
      <c r="CF379" s="267"/>
      <c r="CG379" s="267"/>
      <c r="CH379" s="267"/>
      <c r="CI379" s="267"/>
      <c r="CJ379" s="267"/>
      <c r="CK379" s="267"/>
      <c r="CL379" s="267"/>
      <c r="CM379" s="267"/>
      <c r="CN379" s="101">
        <f t="shared" si="28"/>
        <v>1</v>
      </c>
      <c r="CO379" s="101">
        <f t="shared" si="29"/>
        <v>1</v>
      </c>
    </row>
    <row r="380" spans="1:93" ht="13.9" customHeight="1" x14ac:dyDescent="0.2">
      <c r="A380" s="149">
        <v>7863</v>
      </c>
      <c r="B380" s="150" t="s">
        <v>854</v>
      </c>
      <c r="C380" s="150" t="s">
        <v>1258</v>
      </c>
      <c r="D380" s="150" t="s">
        <v>1259</v>
      </c>
      <c r="E380" s="150" t="s">
        <v>189</v>
      </c>
      <c r="F380" s="149">
        <v>527882</v>
      </c>
      <c r="G380" s="149">
        <v>170985</v>
      </c>
      <c r="H380" s="150" t="s">
        <v>173</v>
      </c>
      <c r="I380" s="151">
        <v>45231</v>
      </c>
      <c r="J380" s="151"/>
      <c r="K380" s="149">
        <v>0</v>
      </c>
      <c r="L380" s="149">
        <v>1</v>
      </c>
      <c r="M380" s="149">
        <v>1</v>
      </c>
      <c r="N380" s="149">
        <v>4</v>
      </c>
      <c r="O380" s="149">
        <v>2</v>
      </c>
      <c r="P380" s="152"/>
      <c r="Q380" s="150" t="s">
        <v>1260</v>
      </c>
      <c r="R380" s="150" t="s">
        <v>349</v>
      </c>
      <c r="S380" s="151">
        <v>44728</v>
      </c>
      <c r="T380" s="151">
        <v>44847</v>
      </c>
      <c r="U380" s="152"/>
      <c r="V380" s="150" t="s">
        <v>330</v>
      </c>
      <c r="W380" s="151"/>
      <c r="X380" s="150" t="s">
        <v>331</v>
      </c>
      <c r="Y380" s="150" t="s">
        <v>398</v>
      </c>
      <c r="Z380" s="150" t="s">
        <v>334</v>
      </c>
      <c r="AA380" s="150" t="s">
        <v>413</v>
      </c>
      <c r="AB380" s="153">
        <v>3.7399999999999998E-3</v>
      </c>
      <c r="AC380" s="151">
        <v>45231</v>
      </c>
      <c r="AD380" s="152" t="s">
        <v>327</v>
      </c>
      <c r="AE380" s="151"/>
      <c r="AF380" s="150" t="s">
        <v>70</v>
      </c>
      <c r="AG380" s="152" t="s">
        <v>337</v>
      </c>
      <c r="AH380" s="150" t="s">
        <v>326</v>
      </c>
      <c r="AI380" s="102"/>
      <c r="AJ380" s="149"/>
      <c r="AK380" s="99"/>
      <c r="AL380" s="149"/>
      <c r="AM380" s="99"/>
      <c r="AN380" s="149">
        <v>1</v>
      </c>
      <c r="AO380" s="149">
        <v>0</v>
      </c>
      <c r="AP380" s="149">
        <v>0</v>
      </c>
      <c r="AQ380" s="149">
        <v>0</v>
      </c>
      <c r="AR380" s="149">
        <v>0</v>
      </c>
      <c r="AS380" s="149">
        <v>0</v>
      </c>
      <c r="AT380" s="149">
        <v>0</v>
      </c>
      <c r="AU380" s="149">
        <v>1</v>
      </c>
      <c r="AV380" s="149">
        <v>0</v>
      </c>
      <c r="AW380" s="149">
        <v>0</v>
      </c>
      <c r="AX380" s="149">
        <v>0</v>
      </c>
      <c r="AY380" s="149">
        <v>0</v>
      </c>
      <c r="AZ380" s="149">
        <v>0</v>
      </c>
      <c r="BA380" s="149">
        <v>0</v>
      </c>
      <c r="BB380" s="149">
        <v>0</v>
      </c>
      <c r="BC380" s="149">
        <v>0</v>
      </c>
      <c r="BD380" s="149">
        <v>0</v>
      </c>
      <c r="BE380" s="149">
        <v>0</v>
      </c>
      <c r="BF380" s="149">
        <v>0</v>
      </c>
      <c r="BG380" s="149">
        <v>0</v>
      </c>
      <c r="BH380" s="149">
        <v>0</v>
      </c>
      <c r="BI380" s="149">
        <v>0</v>
      </c>
      <c r="BJ380" s="149">
        <v>0</v>
      </c>
      <c r="BK380" s="149">
        <v>0</v>
      </c>
      <c r="BL380" s="149">
        <v>0</v>
      </c>
      <c r="BM380" s="149">
        <v>0</v>
      </c>
      <c r="BN380" s="149">
        <v>0</v>
      </c>
      <c r="BO380" s="149">
        <v>0</v>
      </c>
      <c r="BP380" s="152"/>
      <c r="BQ380" s="152"/>
      <c r="BR380" s="154" t="s">
        <v>142</v>
      </c>
      <c r="BS380" s="136">
        <v>14</v>
      </c>
      <c r="BT380" s="267"/>
      <c r="BU380" s="267">
        <f>M380/2</f>
        <v>0.5</v>
      </c>
      <c r="BV380" s="267">
        <f>M380/2</f>
        <v>0.5</v>
      </c>
      <c r="BW380" s="267"/>
      <c r="BX380" s="267"/>
      <c r="BY380" s="267"/>
      <c r="BZ380" s="267"/>
      <c r="CA380" s="267"/>
      <c r="CB380" s="267"/>
      <c r="CC380" s="267"/>
      <c r="CD380" s="267"/>
      <c r="CE380" s="267"/>
      <c r="CF380" s="267"/>
      <c r="CG380" s="267"/>
      <c r="CH380" s="267"/>
      <c r="CI380" s="267"/>
      <c r="CJ380" s="267"/>
      <c r="CK380" s="267"/>
      <c r="CL380" s="267"/>
      <c r="CM380" s="267"/>
      <c r="CN380" s="101">
        <f t="shared" si="28"/>
        <v>1</v>
      </c>
      <c r="CO380" s="101">
        <f t="shared" si="29"/>
        <v>1</v>
      </c>
    </row>
    <row r="381" spans="1:93" ht="13.9" customHeight="1" x14ac:dyDescent="0.2">
      <c r="A381" s="149">
        <v>7585</v>
      </c>
      <c r="B381" s="150" t="s">
        <v>854</v>
      </c>
      <c r="C381" s="150" t="s">
        <v>1261</v>
      </c>
      <c r="D381" s="150" t="s">
        <v>1262</v>
      </c>
      <c r="E381" s="150" t="s">
        <v>326</v>
      </c>
      <c r="F381" s="149">
        <v>527885</v>
      </c>
      <c r="G381" s="149">
        <v>172457</v>
      </c>
      <c r="H381" s="150" t="s">
        <v>172</v>
      </c>
      <c r="I381" s="151">
        <v>45078</v>
      </c>
      <c r="J381" s="151"/>
      <c r="K381" s="149">
        <v>0</v>
      </c>
      <c r="L381" s="149">
        <v>1</v>
      </c>
      <c r="M381" s="149">
        <v>1</v>
      </c>
      <c r="N381" s="149">
        <v>1</v>
      </c>
      <c r="O381" s="149">
        <v>1</v>
      </c>
      <c r="P381" s="152"/>
      <c r="Q381" s="150" t="s">
        <v>1263</v>
      </c>
      <c r="R381" s="150" t="s">
        <v>427</v>
      </c>
      <c r="S381" s="151">
        <v>44736</v>
      </c>
      <c r="T381" s="151">
        <v>44788</v>
      </c>
      <c r="U381" s="152"/>
      <c r="V381" s="150" t="s">
        <v>330</v>
      </c>
      <c r="W381" s="151"/>
      <c r="X381" s="150" t="s">
        <v>331</v>
      </c>
      <c r="Y381" s="150" t="s">
        <v>332</v>
      </c>
      <c r="Z381" s="150" t="s">
        <v>334</v>
      </c>
      <c r="AA381" s="150" t="s">
        <v>26</v>
      </c>
      <c r="AB381" s="153">
        <v>4.0000000000000001E-3</v>
      </c>
      <c r="AC381" s="151">
        <v>45078</v>
      </c>
      <c r="AD381" s="152" t="s">
        <v>327</v>
      </c>
      <c r="AE381" s="151"/>
      <c r="AF381" s="150" t="s">
        <v>70</v>
      </c>
      <c r="AG381" s="152" t="s">
        <v>352</v>
      </c>
      <c r="AH381" s="150" t="s">
        <v>326</v>
      </c>
      <c r="AI381" s="102"/>
      <c r="AJ381" s="149"/>
      <c r="AK381" s="99"/>
      <c r="AL381" s="149"/>
      <c r="AM381" s="99"/>
      <c r="AN381" s="149">
        <v>1</v>
      </c>
      <c r="AO381" s="149">
        <v>0</v>
      </c>
      <c r="AP381" s="149">
        <v>0</v>
      </c>
      <c r="AQ381" s="149">
        <v>0</v>
      </c>
      <c r="AR381" s="149">
        <v>0</v>
      </c>
      <c r="AS381" s="149">
        <v>0</v>
      </c>
      <c r="AT381" s="149">
        <v>0</v>
      </c>
      <c r="AU381" s="149">
        <v>1</v>
      </c>
      <c r="AV381" s="149">
        <v>0</v>
      </c>
      <c r="AW381" s="149">
        <v>0</v>
      </c>
      <c r="AX381" s="149">
        <v>0</v>
      </c>
      <c r="AY381" s="149">
        <v>0</v>
      </c>
      <c r="AZ381" s="149">
        <v>0</v>
      </c>
      <c r="BA381" s="149">
        <v>0</v>
      </c>
      <c r="BB381" s="149">
        <v>0</v>
      </c>
      <c r="BC381" s="149">
        <v>0</v>
      </c>
      <c r="BD381" s="149">
        <v>0</v>
      </c>
      <c r="BE381" s="149">
        <v>0</v>
      </c>
      <c r="BF381" s="149">
        <v>0</v>
      </c>
      <c r="BG381" s="149">
        <v>0</v>
      </c>
      <c r="BH381" s="149">
        <v>0</v>
      </c>
      <c r="BI381" s="149">
        <v>0</v>
      </c>
      <c r="BJ381" s="149">
        <v>0</v>
      </c>
      <c r="BK381" s="149">
        <v>0</v>
      </c>
      <c r="BL381" s="149">
        <v>0</v>
      </c>
      <c r="BM381" s="149">
        <v>0</v>
      </c>
      <c r="BN381" s="149">
        <v>0</v>
      </c>
      <c r="BO381" s="149">
        <v>0</v>
      </c>
      <c r="BP381" s="152"/>
      <c r="BQ381" s="152"/>
      <c r="BR381" s="154" t="s">
        <v>359</v>
      </c>
      <c r="BS381" s="136">
        <v>13</v>
      </c>
      <c r="BT381" s="267"/>
      <c r="BU381" s="267">
        <f>M381</f>
        <v>1</v>
      </c>
      <c r="BV381" s="267"/>
      <c r="BW381" s="267"/>
      <c r="BX381" s="267"/>
      <c r="BY381" s="267"/>
      <c r="BZ381" s="267"/>
      <c r="CA381" s="267"/>
      <c r="CB381" s="267"/>
      <c r="CC381" s="267"/>
      <c r="CD381" s="267"/>
      <c r="CE381" s="267"/>
      <c r="CF381" s="267"/>
      <c r="CG381" s="267"/>
      <c r="CH381" s="267"/>
      <c r="CI381" s="267"/>
      <c r="CJ381" s="267"/>
      <c r="CK381" s="267"/>
      <c r="CL381" s="267"/>
      <c r="CM381" s="267"/>
      <c r="CN381" s="101">
        <f t="shared" si="28"/>
        <v>1</v>
      </c>
      <c r="CO381" s="101">
        <f t="shared" si="29"/>
        <v>1</v>
      </c>
    </row>
    <row r="382" spans="1:93" ht="13.9" customHeight="1" x14ac:dyDescent="0.2">
      <c r="A382" s="149">
        <v>7866</v>
      </c>
      <c r="B382" s="150" t="s">
        <v>854</v>
      </c>
      <c r="C382" s="150" t="s">
        <v>1264</v>
      </c>
      <c r="D382" s="150" t="s">
        <v>1265</v>
      </c>
      <c r="E382" s="150" t="s">
        <v>326</v>
      </c>
      <c r="F382" s="149">
        <v>527553</v>
      </c>
      <c r="G382" s="149">
        <v>174743</v>
      </c>
      <c r="H382" s="150" t="s">
        <v>165</v>
      </c>
      <c r="I382" s="151">
        <v>45016</v>
      </c>
      <c r="J382" s="151"/>
      <c r="K382" s="149">
        <v>1</v>
      </c>
      <c r="L382" s="149">
        <v>2</v>
      </c>
      <c r="M382" s="149">
        <v>1</v>
      </c>
      <c r="N382" s="149">
        <v>2</v>
      </c>
      <c r="O382" s="149">
        <v>1</v>
      </c>
      <c r="P382" s="152"/>
      <c r="Q382" s="150" t="s">
        <v>1266</v>
      </c>
      <c r="R382" s="150" t="s">
        <v>349</v>
      </c>
      <c r="S382" s="151">
        <v>44782</v>
      </c>
      <c r="T382" s="151">
        <v>44873</v>
      </c>
      <c r="U382" s="152"/>
      <c r="V382" s="150" t="s">
        <v>330</v>
      </c>
      <c r="W382" s="151"/>
      <c r="X382" s="150" t="s">
        <v>331</v>
      </c>
      <c r="Y382" s="150" t="s">
        <v>350</v>
      </c>
      <c r="Z382" s="150" t="s">
        <v>334</v>
      </c>
      <c r="AA382" s="150" t="s">
        <v>16</v>
      </c>
      <c r="AB382" s="153">
        <v>7.1599999999999997E-3</v>
      </c>
      <c r="AC382" s="151">
        <v>45016</v>
      </c>
      <c r="AD382" s="150"/>
      <c r="AE382" s="151"/>
      <c r="AF382" s="150" t="s">
        <v>70</v>
      </c>
      <c r="AG382" s="152" t="s">
        <v>337</v>
      </c>
      <c r="AH382" s="150" t="s">
        <v>326</v>
      </c>
      <c r="AI382" s="99"/>
      <c r="AJ382" s="149"/>
      <c r="AK382" s="99"/>
      <c r="AL382" s="149"/>
      <c r="AM382" s="99"/>
      <c r="AN382" s="149">
        <v>0</v>
      </c>
      <c r="AO382" s="149">
        <v>0</v>
      </c>
      <c r="AP382" s="149">
        <v>1</v>
      </c>
      <c r="AQ382" s="149">
        <v>1</v>
      </c>
      <c r="AR382" s="149">
        <v>-1</v>
      </c>
      <c r="AS382" s="149">
        <v>0</v>
      </c>
      <c r="AT382" s="149">
        <v>0</v>
      </c>
      <c r="AU382" s="149">
        <v>0</v>
      </c>
      <c r="AV382" s="149">
        <v>0</v>
      </c>
      <c r="AW382" s="149">
        <v>1</v>
      </c>
      <c r="AX382" s="149">
        <v>1</v>
      </c>
      <c r="AY382" s="149">
        <v>0</v>
      </c>
      <c r="AZ382" s="149">
        <v>0</v>
      </c>
      <c r="BA382" s="149">
        <v>0</v>
      </c>
      <c r="BB382" s="149">
        <v>0</v>
      </c>
      <c r="BC382" s="149">
        <v>0</v>
      </c>
      <c r="BD382" s="149">
        <v>0</v>
      </c>
      <c r="BE382" s="149">
        <v>0</v>
      </c>
      <c r="BF382" s="149">
        <v>-1</v>
      </c>
      <c r="BG382" s="149">
        <v>0</v>
      </c>
      <c r="BH382" s="149">
        <v>0</v>
      </c>
      <c r="BI382" s="149">
        <v>0</v>
      </c>
      <c r="BJ382" s="149">
        <v>0</v>
      </c>
      <c r="BK382" s="149">
        <v>0</v>
      </c>
      <c r="BL382" s="149">
        <v>0</v>
      </c>
      <c r="BM382" s="149">
        <v>0</v>
      </c>
      <c r="BN382" s="149">
        <v>0</v>
      </c>
      <c r="BO382" s="149">
        <v>0</v>
      </c>
      <c r="BP382" s="152"/>
      <c r="BQ382" s="152"/>
      <c r="BR382" s="154" t="s">
        <v>148</v>
      </c>
      <c r="BS382" s="136">
        <v>13</v>
      </c>
      <c r="BT382" s="267"/>
      <c r="BU382" s="267">
        <f>M382</f>
        <v>1</v>
      </c>
      <c r="BV382" s="267"/>
      <c r="BW382" s="267"/>
      <c r="BX382" s="267"/>
      <c r="BY382" s="267"/>
      <c r="BZ382" s="267"/>
      <c r="CA382" s="267"/>
      <c r="CB382" s="267"/>
      <c r="CC382" s="267"/>
      <c r="CD382" s="267"/>
      <c r="CE382" s="267"/>
      <c r="CF382" s="267"/>
      <c r="CG382" s="267"/>
      <c r="CH382" s="267"/>
      <c r="CI382" s="267"/>
      <c r="CJ382" s="267"/>
      <c r="CK382" s="267"/>
      <c r="CL382" s="267"/>
      <c r="CM382" s="267"/>
      <c r="CN382" s="101">
        <f t="shared" si="28"/>
        <v>1</v>
      </c>
      <c r="CO382" s="101">
        <f t="shared" si="29"/>
        <v>1</v>
      </c>
    </row>
    <row r="383" spans="1:93" ht="13.9" customHeight="1" x14ac:dyDescent="0.2">
      <c r="A383" s="149">
        <v>7864</v>
      </c>
      <c r="B383" s="150" t="s">
        <v>854</v>
      </c>
      <c r="C383" s="150" t="s">
        <v>1267</v>
      </c>
      <c r="D383" s="150" t="s">
        <v>1268</v>
      </c>
      <c r="E383" s="150" t="s">
        <v>326</v>
      </c>
      <c r="F383" s="149">
        <v>522892</v>
      </c>
      <c r="G383" s="149">
        <v>175932</v>
      </c>
      <c r="H383" s="150" t="s">
        <v>171</v>
      </c>
      <c r="I383" s="151">
        <v>45194</v>
      </c>
      <c r="J383" s="151"/>
      <c r="K383" s="149">
        <v>1</v>
      </c>
      <c r="L383" s="149">
        <v>1</v>
      </c>
      <c r="M383" s="149">
        <v>0</v>
      </c>
      <c r="N383" s="149">
        <v>1</v>
      </c>
      <c r="O383" s="149">
        <v>0</v>
      </c>
      <c r="P383" s="152"/>
      <c r="Q383" s="150" t="s">
        <v>1269</v>
      </c>
      <c r="R383" s="150" t="s">
        <v>349</v>
      </c>
      <c r="S383" s="151">
        <v>44763</v>
      </c>
      <c r="T383" s="151">
        <v>44827</v>
      </c>
      <c r="U383" s="152"/>
      <c r="V383" s="150" t="s">
        <v>330</v>
      </c>
      <c r="W383" s="151"/>
      <c r="X383" s="150" t="s">
        <v>331</v>
      </c>
      <c r="Y383" s="150" t="s">
        <v>350</v>
      </c>
      <c r="Z383" s="150" t="s">
        <v>334</v>
      </c>
      <c r="AA383" s="150" t="s">
        <v>35</v>
      </c>
      <c r="AB383" s="153">
        <v>3.5000000000000001E-3</v>
      </c>
      <c r="AC383" s="151">
        <v>45194</v>
      </c>
      <c r="AD383" s="152" t="s">
        <v>327</v>
      </c>
      <c r="AE383" s="151"/>
      <c r="AF383" s="150" t="s">
        <v>70</v>
      </c>
      <c r="AG383" s="152" t="s">
        <v>352</v>
      </c>
      <c r="AH383" s="150" t="s">
        <v>326</v>
      </c>
      <c r="AI383" s="99"/>
      <c r="AJ383" s="149"/>
      <c r="AK383" s="102"/>
      <c r="AL383" s="149"/>
      <c r="AM383" s="102"/>
      <c r="AN383" s="149">
        <v>0</v>
      </c>
      <c r="AO383" s="149">
        <v>1</v>
      </c>
      <c r="AP383" s="149">
        <v>-1</v>
      </c>
      <c r="AQ383" s="149">
        <v>0</v>
      </c>
      <c r="AR383" s="149">
        <v>0</v>
      </c>
      <c r="AS383" s="149">
        <v>0</v>
      </c>
      <c r="AT383" s="149">
        <v>0</v>
      </c>
      <c r="AU383" s="149">
        <v>0</v>
      </c>
      <c r="AV383" s="149">
        <v>1</v>
      </c>
      <c r="AW383" s="149">
        <v>0</v>
      </c>
      <c r="AX383" s="149">
        <v>0</v>
      </c>
      <c r="AY383" s="149">
        <v>0</v>
      </c>
      <c r="AZ383" s="149">
        <v>0</v>
      </c>
      <c r="BA383" s="149">
        <v>0</v>
      </c>
      <c r="BB383" s="149">
        <v>0</v>
      </c>
      <c r="BC383" s="149">
        <v>0</v>
      </c>
      <c r="BD383" s="149">
        <v>-1</v>
      </c>
      <c r="BE383" s="149">
        <v>0</v>
      </c>
      <c r="BF383" s="149">
        <v>0</v>
      </c>
      <c r="BG383" s="149">
        <v>0</v>
      </c>
      <c r="BH383" s="149">
        <v>0</v>
      </c>
      <c r="BI383" s="149">
        <v>0</v>
      </c>
      <c r="BJ383" s="149">
        <v>0</v>
      </c>
      <c r="BK383" s="149">
        <v>0</v>
      </c>
      <c r="BL383" s="149">
        <v>0</v>
      </c>
      <c r="BM383" s="149">
        <v>0</v>
      </c>
      <c r="BN383" s="149">
        <v>0</v>
      </c>
      <c r="BO383" s="149">
        <v>0</v>
      </c>
      <c r="BP383" s="152"/>
      <c r="BQ383" s="152"/>
      <c r="BR383" s="154" t="s">
        <v>359</v>
      </c>
      <c r="BS383" s="136">
        <v>13</v>
      </c>
      <c r="BT383" s="267"/>
      <c r="BU383" s="267">
        <f>M383</f>
        <v>0</v>
      </c>
      <c r="BV383" s="267"/>
      <c r="BW383" s="267"/>
      <c r="BX383" s="267"/>
      <c r="BY383" s="267"/>
      <c r="BZ383" s="267"/>
      <c r="CA383" s="267"/>
      <c r="CB383" s="267"/>
      <c r="CC383" s="267"/>
      <c r="CD383" s="267"/>
      <c r="CE383" s="267"/>
      <c r="CF383" s="267"/>
      <c r="CG383" s="267"/>
      <c r="CH383" s="267"/>
      <c r="CI383" s="267"/>
      <c r="CJ383" s="267"/>
      <c r="CK383" s="267"/>
      <c r="CL383" s="267"/>
      <c r="CM383" s="267"/>
      <c r="CN383" s="101">
        <f t="shared" si="28"/>
        <v>0</v>
      </c>
      <c r="CO383" s="101">
        <f t="shared" si="29"/>
        <v>0</v>
      </c>
    </row>
    <row r="384" spans="1:93" ht="13.9" customHeight="1" x14ac:dyDescent="0.2">
      <c r="A384" s="149">
        <v>7750</v>
      </c>
      <c r="B384" s="150" t="s">
        <v>854</v>
      </c>
      <c r="C384" s="150" t="s">
        <v>1270</v>
      </c>
      <c r="D384" s="150" t="s">
        <v>1271</v>
      </c>
      <c r="E384" s="150" t="s">
        <v>326</v>
      </c>
      <c r="F384" s="149">
        <v>528671</v>
      </c>
      <c r="G384" s="149">
        <v>176005</v>
      </c>
      <c r="H384" s="150" t="s">
        <v>167</v>
      </c>
      <c r="I384" s="151">
        <v>45382</v>
      </c>
      <c r="J384" s="151"/>
      <c r="K384" s="149">
        <v>0</v>
      </c>
      <c r="L384" s="149">
        <v>1</v>
      </c>
      <c r="M384" s="149">
        <v>1</v>
      </c>
      <c r="N384" s="149">
        <v>1</v>
      </c>
      <c r="O384" s="149">
        <v>1</v>
      </c>
      <c r="P384" s="152"/>
      <c r="Q384" s="150" t="s">
        <v>1272</v>
      </c>
      <c r="R384" s="150" t="s">
        <v>349</v>
      </c>
      <c r="S384" s="151">
        <v>44788</v>
      </c>
      <c r="T384" s="151">
        <v>44858</v>
      </c>
      <c r="U384" s="152"/>
      <c r="V384" s="150" t="s">
        <v>330</v>
      </c>
      <c r="W384" s="151"/>
      <c r="X384" s="150" t="s">
        <v>331</v>
      </c>
      <c r="Y384" s="150" t="s">
        <v>343</v>
      </c>
      <c r="Z384" s="150" t="s">
        <v>334</v>
      </c>
      <c r="AA384" s="150" t="s">
        <v>363</v>
      </c>
      <c r="AB384" s="153">
        <v>5.45E-3</v>
      </c>
      <c r="AC384" s="151">
        <v>45382</v>
      </c>
      <c r="AD384" s="152" t="s">
        <v>327</v>
      </c>
      <c r="AE384" s="151"/>
      <c r="AF384" s="150" t="s">
        <v>70</v>
      </c>
      <c r="AG384" s="152" t="s">
        <v>352</v>
      </c>
      <c r="AH384" s="150" t="s">
        <v>326</v>
      </c>
      <c r="AI384" s="99"/>
      <c r="AJ384" s="149"/>
      <c r="AK384" s="99"/>
      <c r="AL384" s="149"/>
      <c r="AM384" s="99"/>
      <c r="AN384" s="149">
        <v>0</v>
      </c>
      <c r="AO384" s="149">
        <v>0</v>
      </c>
      <c r="AP384" s="149">
        <v>0</v>
      </c>
      <c r="AQ384" s="149">
        <v>1</v>
      </c>
      <c r="AR384" s="149">
        <v>0</v>
      </c>
      <c r="AS384" s="149">
        <v>0</v>
      </c>
      <c r="AT384" s="149">
        <v>0</v>
      </c>
      <c r="AU384" s="149">
        <v>0</v>
      </c>
      <c r="AV384" s="149">
        <v>0</v>
      </c>
      <c r="AW384" s="149">
        <v>0</v>
      </c>
      <c r="AX384" s="149">
        <v>0</v>
      </c>
      <c r="AY384" s="149">
        <v>0</v>
      </c>
      <c r="AZ384" s="149">
        <v>0</v>
      </c>
      <c r="BA384" s="149">
        <v>0</v>
      </c>
      <c r="BB384" s="149">
        <v>0</v>
      </c>
      <c r="BC384" s="149">
        <v>0</v>
      </c>
      <c r="BD384" s="149">
        <v>0</v>
      </c>
      <c r="BE384" s="149">
        <v>1</v>
      </c>
      <c r="BF384" s="149">
        <v>0</v>
      </c>
      <c r="BG384" s="149">
        <v>0</v>
      </c>
      <c r="BH384" s="149">
        <v>0</v>
      </c>
      <c r="BI384" s="149">
        <v>0</v>
      </c>
      <c r="BJ384" s="149">
        <v>0</v>
      </c>
      <c r="BK384" s="149">
        <v>0</v>
      </c>
      <c r="BL384" s="149">
        <v>0</v>
      </c>
      <c r="BM384" s="149">
        <v>0</v>
      </c>
      <c r="BN384" s="149">
        <v>0</v>
      </c>
      <c r="BO384" s="149">
        <v>0</v>
      </c>
      <c r="BP384" s="152"/>
      <c r="BQ384" s="152"/>
      <c r="BR384" s="154" t="s">
        <v>359</v>
      </c>
      <c r="BS384" s="136">
        <v>4</v>
      </c>
      <c r="BT384" s="267"/>
      <c r="BU384" s="267">
        <f>M384/2</f>
        <v>0.5</v>
      </c>
      <c r="BV384" s="267">
        <f>M384/2</f>
        <v>0.5</v>
      </c>
      <c r="BW384" s="267"/>
      <c r="BX384" s="267"/>
      <c r="BY384" s="267"/>
      <c r="BZ384" s="267"/>
      <c r="CA384" s="267"/>
      <c r="CB384" s="267"/>
      <c r="CC384" s="267"/>
      <c r="CD384" s="267"/>
      <c r="CE384" s="267"/>
      <c r="CF384" s="267"/>
      <c r="CG384" s="267"/>
      <c r="CH384" s="267"/>
      <c r="CI384" s="267"/>
      <c r="CJ384" s="267"/>
      <c r="CK384" s="267"/>
      <c r="CL384" s="267"/>
      <c r="CM384" s="267"/>
      <c r="CN384" s="101">
        <f t="shared" si="28"/>
        <v>1</v>
      </c>
      <c r="CO384" s="101">
        <f t="shared" si="29"/>
        <v>1</v>
      </c>
    </row>
    <row r="385" spans="1:93" ht="13.9" customHeight="1" x14ac:dyDescent="0.2">
      <c r="A385" s="149">
        <v>7884</v>
      </c>
      <c r="B385" s="150" t="s">
        <v>854</v>
      </c>
      <c r="C385" s="150" t="s">
        <v>1273</v>
      </c>
      <c r="D385" s="150" t="s">
        <v>1274</v>
      </c>
      <c r="E385" s="150" t="s">
        <v>326</v>
      </c>
      <c r="F385" s="149">
        <v>527886</v>
      </c>
      <c r="G385" s="149">
        <v>172990</v>
      </c>
      <c r="H385" s="150" t="s">
        <v>174</v>
      </c>
      <c r="I385" s="151">
        <v>45382</v>
      </c>
      <c r="J385" s="151"/>
      <c r="K385" s="149">
        <v>0</v>
      </c>
      <c r="L385" s="149">
        <v>1</v>
      </c>
      <c r="M385" s="149">
        <v>1</v>
      </c>
      <c r="N385" s="149">
        <v>1</v>
      </c>
      <c r="O385" s="149">
        <v>1</v>
      </c>
      <c r="P385" s="152"/>
      <c r="Q385" s="150" t="s">
        <v>1275</v>
      </c>
      <c r="R385" s="150" t="s">
        <v>349</v>
      </c>
      <c r="S385" s="151">
        <v>44790</v>
      </c>
      <c r="T385" s="151">
        <v>44859</v>
      </c>
      <c r="U385" s="152"/>
      <c r="V385" s="150" t="s">
        <v>330</v>
      </c>
      <c r="W385" s="151"/>
      <c r="X385" s="150" t="s">
        <v>331</v>
      </c>
      <c r="Y385" s="150" t="s">
        <v>491</v>
      </c>
      <c r="Z385" s="150" t="s">
        <v>334</v>
      </c>
      <c r="AA385" s="150" t="s">
        <v>413</v>
      </c>
      <c r="AB385" s="153">
        <v>3.8999999999999998E-3</v>
      </c>
      <c r="AC385" s="151">
        <v>45382</v>
      </c>
      <c r="AD385" s="152" t="s">
        <v>327</v>
      </c>
      <c r="AE385" s="151"/>
      <c r="AF385" s="150" t="s">
        <v>70</v>
      </c>
      <c r="AG385" s="152" t="s">
        <v>352</v>
      </c>
      <c r="AH385" s="150" t="s">
        <v>326</v>
      </c>
      <c r="AI385" s="99"/>
      <c r="AJ385" s="149"/>
      <c r="AK385" s="102"/>
      <c r="AL385" s="149"/>
      <c r="AM385" s="99"/>
      <c r="AN385" s="149">
        <v>0</v>
      </c>
      <c r="AO385" s="149">
        <v>1</v>
      </c>
      <c r="AP385" s="149">
        <v>0</v>
      </c>
      <c r="AQ385" s="149">
        <v>0</v>
      </c>
      <c r="AR385" s="149">
        <v>0</v>
      </c>
      <c r="AS385" s="149">
        <v>0</v>
      </c>
      <c r="AT385" s="149">
        <v>0</v>
      </c>
      <c r="AU385" s="149">
        <v>0</v>
      </c>
      <c r="AV385" s="149">
        <v>1</v>
      </c>
      <c r="AW385" s="149">
        <v>0</v>
      </c>
      <c r="AX385" s="149">
        <v>0</v>
      </c>
      <c r="AY385" s="149">
        <v>0</v>
      </c>
      <c r="AZ385" s="149">
        <v>0</v>
      </c>
      <c r="BA385" s="149">
        <v>0</v>
      </c>
      <c r="BB385" s="149">
        <v>0</v>
      </c>
      <c r="BC385" s="149">
        <v>0</v>
      </c>
      <c r="BD385" s="149">
        <v>0</v>
      </c>
      <c r="BE385" s="149">
        <v>0</v>
      </c>
      <c r="BF385" s="149">
        <v>0</v>
      </c>
      <c r="BG385" s="149">
        <v>0</v>
      </c>
      <c r="BH385" s="149">
        <v>0</v>
      </c>
      <c r="BI385" s="149">
        <v>0</v>
      </c>
      <c r="BJ385" s="149">
        <v>0</v>
      </c>
      <c r="BK385" s="149">
        <v>0</v>
      </c>
      <c r="BL385" s="149">
        <v>0</v>
      </c>
      <c r="BM385" s="149">
        <v>0</v>
      </c>
      <c r="BN385" s="149">
        <v>0</v>
      </c>
      <c r="BO385" s="149">
        <v>0</v>
      </c>
      <c r="BP385" s="152"/>
      <c r="BQ385" s="152"/>
      <c r="BR385" s="154" t="s">
        <v>359</v>
      </c>
      <c r="BS385" s="136">
        <v>14</v>
      </c>
      <c r="BT385" s="267"/>
      <c r="BU385" s="267">
        <f>M385/2</f>
        <v>0.5</v>
      </c>
      <c r="BV385" s="267">
        <f>M385/2</f>
        <v>0.5</v>
      </c>
      <c r="BW385" s="267"/>
      <c r="BX385" s="267"/>
      <c r="BY385" s="267"/>
      <c r="BZ385" s="267"/>
      <c r="CA385" s="267"/>
      <c r="CB385" s="267"/>
      <c r="CC385" s="267"/>
      <c r="CD385" s="267"/>
      <c r="CE385" s="267"/>
      <c r="CF385" s="267"/>
      <c r="CG385" s="267"/>
      <c r="CH385" s="267"/>
      <c r="CI385" s="267"/>
      <c r="CJ385" s="267"/>
      <c r="CK385" s="267"/>
      <c r="CL385" s="267"/>
      <c r="CM385" s="267"/>
      <c r="CN385" s="101">
        <f t="shared" si="28"/>
        <v>1</v>
      </c>
      <c r="CO385" s="101">
        <f t="shared" si="29"/>
        <v>1</v>
      </c>
    </row>
    <row r="386" spans="1:93" ht="13.9" customHeight="1" x14ac:dyDescent="0.2">
      <c r="A386" s="149">
        <v>6711</v>
      </c>
      <c r="B386" s="150" t="s">
        <v>854</v>
      </c>
      <c r="C386" s="150" t="s">
        <v>1276</v>
      </c>
      <c r="D386" s="150" t="s">
        <v>1277</v>
      </c>
      <c r="E386" s="150" t="s">
        <v>326</v>
      </c>
      <c r="F386" s="149">
        <v>523785</v>
      </c>
      <c r="G386" s="149">
        <v>175744</v>
      </c>
      <c r="H386" s="150" t="s">
        <v>171</v>
      </c>
      <c r="I386" s="151">
        <v>45017</v>
      </c>
      <c r="J386" s="151"/>
      <c r="K386" s="149">
        <v>0</v>
      </c>
      <c r="L386" s="149">
        <v>1</v>
      </c>
      <c r="M386" s="149">
        <v>1</v>
      </c>
      <c r="N386" s="149">
        <v>1</v>
      </c>
      <c r="O386" s="149">
        <v>1</v>
      </c>
      <c r="P386" s="152"/>
      <c r="Q386" s="150" t="s">
        <v>1278</v>
      </c>
      <c r="R386" s="150" t="s">
        <v>349</v>
      </c>
      <c r="S386" s="151">
        <v>44830</v>
      </c>
      <c r="T386" s="151">
        <v>44883</v>
      </c>
      <c r="U386" s="152"/>
      <c r="V386" s="150" t="s">
        <v>330</v>
      </c>
      <c r="W386" s="151"/>
      <c r="X386" s="150" t="s">
        <v>331</v>
      </c>
      <c r="Y386" s="150" t="s">
        <v>332</v>
      </c>
      <c r="Z386" s="150" t="s">
        <v>334</v>
      </c>
      <c r="AA386" s="150" t="s">
        <v>26</v>
      </c>
      <c r="AB386" s="153">
        <v>5.0000000000000001E-3</v>
      </c>
      <c r="AC386" s="151">
        <v>45017</v>
      </c>
      <c r="AD386" s="152" t="s">
        <v>327</v>
      </c>
      <c r="AE386" s="151"/>
      <c r="AF386" s="150" t="s">
        <v>70</v>
      </c>
      <c r="AG386" s="152" t="s">
        <v>352</v>
      </c>
      <c r="AH386" s="150" t="s">
        <v>326</v>
      </c>
      <c r="AI386" s="99"/>
      <c r="AJ386" s="149"/>
      <c r="AK386" s="99"/>
      <c r="AL386" s="149"/>
      <c r="AM386" s="102"/>
      <c r="AN386" s="149">
        <v>0</v>
      </c>
      <c r="AO386" s="149">
        <v>1</v>
      </c>
      <c r="AP386" s="149">
        <v>0</v>
      </c>
      <c r="AQ386" s="149">
        <v>0</v>
      </c>
      <c r="AR386" s="149">
        <v>0</v>
      </c>
      <c r="AS386" s="149">
        <v>0</v>
      </c>
      <c r="AT386" s="149">
        <v>0</v>
      </c>
      <c r="AU386" s="149">
        <v>0</v>
      </c>
      <c r="AV386" s="149">
        <v>1</v>
      </c>
      <c r="AW386" s="149">
        <v>0</v>
      </c>
      <c r="AX386" s="149">
        <v>0</v>
      </c>
      <c r="AY386" s="149">
        <v>0</v>
      </c>
      <c r="AZ386" s="149">
        <v>0</v>
      </c>
      <c r="BA386" s="149">
        <v>0</v>
      </c>
      <c r="BB386" s="149">
        <v>0</v>
      </c>
      <c r="BC386" s="149">
        <v>0</v>
      </c>
      <c r="BD386" s="149">
        <v>0</v>
      </c>
      <c r="BE386" s="149">
        <v>0</v>
      </c>
      <c r="BF386" s="149">
        <v>0</v>
      </c>
      <c r="BG386" s="149">
        <v>0</v>
      </c>
      <c r="BH386" s="149">
        <v>0</v>
      </c>
      <c r="BI386" s="149">
        <v>0</v>
      </c>
      <c r="BJ386" s="149">
        <v>0</v>
      </c>
      <c r="BK386" s="149">
        <v>0</v>
      </c>
      <c r="BL386" s="149">
        <v>0</v>
      </c>
      <c r="BM386" s="149">
        <v>0</v>
      </c>
      <c r="BN386" s="149">
        <v>0</v>
      </c>
      <c r="BO386" s="149">
        <v>0</v>
      </c>
      <c r="BP386" s="152"/>
      <c r="BQ386" s="152"/>
      <c r="BR386" s="154" t="s">
        <v>359</v>
      </c>
      <c r="BS386" s="136">
        <v>13</v>
      </c>
      <c r="BT386" s="267"/>
      <c r="BU386" s="267">
        <f>M386</f>
        <v>1</v>
      </c>
      <c r="BV386" s="267"/>
      <c r="BW386" s="267"/>
      <c r="BX386" s="267"/>
      <c r="BY386" s="267"/>
      <c r="BZ386" s="267"/>
      <c r="CA386" s="267"/>
      <c r="CB386" s="267"/>
      <c r="CC386" s="267"/>
      <c r="CD386" s="267"/>
      <c r="CE386" s="267"/>
      <c r="CF386" s="267"/>
      <c r="CG386" s="267"/>
      <c r="CH386" s="267"/>
      <c r="CI386" s="267"/>
      <c r="CJ386" s="267"/>
      <c r="CK386" s="267"/>
      <c r="CL386" s="267"/>
      <c r="CM386" s="267"/>
      <c r="CN386" s="101">
        <f t="shared" si="28"/>
        <v>1</v>
      </c>
      <c r="CO386" s="101">
        <f t="shared" si="29"/>
        <v>1</v>
      </c>
    </row>
    <row r="387" spans="1:93" ht="13.9" customHeight="1" x14ac:dyDescent="0.2">
      <c r="A387" s="149">
        <v>7837</v>
      </c>
      <c r="B387" s="150" t="s">
        <v>854</v>
      </c>
      <c r="C387" s="150" t="s">
        <v>1279</v>
      </c>
      <c r="D387" s="150" t="s">
        <v>1280</v>
      </c>
      <c r="E387" s="150" t="s">
        <v>326</v>
      </c>
      <c r="F387" s="149">
        <v>526142</v>
      </c>
      <c r="G387" s="149">
        <v>172548</v>
      </c>
      <c r="H387" s="150" t="s">
        <v>176</v>
      </c>
      <c r="I387" s="151">
        <v>45117</v>
      </c>
      <c r="J387" s="151"/>
      <c r="K387" s="149">
        <v>1</v>
      </c>
      <c r="L387" s="149">
        <v>3</v>
      </c>
      <c r="M387" s="149">
        <v>2</v>
      </c>
      <c r="N387" s="149">
        <v>3</v>
      </c>
      <c r="O387" s="149">
        <v>2</v>
      </c>
      <c r="P387" s="152"/>
      <c r="Q387" s="150" t="s">
        <v>1281</v>
      </c>
      <c r="R387" s="150" t="s">
        <v>349</v>
      </c>
      <c r="S387" s="151">
        <v>44834</v>
      </c>
      <c r="T387" s="151">
        <v>45020</v>
      </c>
      <c r="U387" s="152" t="s">
        <v>327</v>
      </c>
      <c r="V387" s="150" t="s">
        <v>330</v>
      </c>
      <c r="W387" s="151"/>
      <c r="X387" s="150" t="s">
        <v>331</v>
      </c>
      <c r="Y387" s="150" t="s">
        <v>332</v>
      </c>
      <c r="Z387" s="150" t="s">
        <v>334</v>
      </c>
      <c r="AA387" s="150" t="s">
        <v>413</v>
      </c>
      <c r="AB387" s="153">
        <v>1.2449999999999999E-2</v>
      </c>
      <c r="AC387" s="151">
        <v>45117</v>
      </c>
      <c r="AD387" s="152" t="s">
        <v>327</v>
      </c>
      <c r="AE387" s="151"/>
      <c r="AF387" s="150" t="s">
        <v>70</v>
      </c>
      <c r="AG387" s="152" t="s">
        <v>337</v>
      </c>
      <c r="AH387" s="150" t="s">
        <v>326</v>
      </c>
      <c r="AI387" s="99"/>
      <c r="AJ387" s="149"/>
      <c r="AK387" s="99"/>
      <c r="AL387" s="149"/>
      <c r="AM387" s="99"/>
      <c r="AN387" s="149">
        <v>0</v>
      </c>
      <c r="AO387" s="149">
        <v>0</v>
      </c>
      <c r="AP387" s="149">
        <v>3</v>
      </c>
      <c r="AQ387" s="149">
        <v>0</v>
      </c>
      <c r="AR387" s="149">
        <v>-1</v>
      </c>
      <c r="AS387" s="149">
        <v>0</v>
      </c>
      <c r="AT387" s="149">
        <v>0</v>
      </c>
      <c r="AU387" s="149">
        <v>0</v>
      </c>
      <c r="AV387" s="149">
        <v>0</v>
      </c>
      <c r="AW387" s="149">
        <v>3</v>
      </c>
      <c r="AX387" s="149">
        <v>0</v>
      </c>
      <c r="AY387" s="149">
        <v>-1</v>
      </c>
      <c r="AZ387" s="149">
        <v>0</v>
      </c>
      <c r="BA387" s="149">
        <v>0</v>
      </c>
      <c r="BB387" s="149">
        <v>0</v>
      </c>
      <c r="BC387" s="149">
        <v>0</v>
      </c>
      <c r="BD387" s="149">
        <v>0</v>
      </c>
      <c r="BE387" s="149">
        <v>0</v>
      </c>
      <c r="BF387" s="149">
        <v>0</v>
      </c>
      <c r="BG387" s="149">
        <v>0</v>
      </c>
      <c r="BH387" s="149">
        <v>0</v>
      </c>
      <c r="BI387" s="149">
        <v>0</v>
      </c>
      <c r="BJ387" s="149">
        <v>0</v>
      </c>
      <c r="BK387" s="149">
        <v>0</v>
      </c>
      <c r="BL387" s="149">
        <v>0</v>
      </c>
      <c r="BM387" s="149">
        <v>0</v>
      </c>
      <c r="BN387" s="149">
        <v>0</v>
      </c>
      <c r="BO387" s="149">
        <v>0</v>
      </c>
      <c r="BP387" s="152"/>
      <c r="BQ387" s="152"/>
      <c r="BR387" s="154" t="s">
        <v>151</v>
      </c>
      <c r="BS387" s="136">
        <v>13</v>
      </c>
      <c r="BT387" s="267"/>
      <c r="BU387" s="267">
        <f>M387</f>
        <v>2</v>
      </c>
      <c r="BV387" s="267"/>
      <c r="BW387" s="267"/>
      <c r="BX387" s="267"/>
      <c r="BY387" s="267"/>
      <c r="BZ387" s="267"/>
      <c r="CA387" s="267"/>
      <c r="CB387" s="267"/>
      <c r="CC387" s="267"/>
      <c r="CD387" s="267"/>
      <c r="CE387" s="267"/>
      <c r="CF387" s="267"/>
      <c r="CG387" s="267"/>
      <c r="CH387" s="267"/>
      <c r="CI387" s="267"/>
      <c r="CJ387" s="267"/>
      <c r="CK387" s="267"/>
      <c r="CL387" s="267"/>
      <c r="CM387" s="267"/>
      <c r="CN387" s="101">
        <f t="shared" si="28"/>
        <v>2</v>
      </c>
      <c r="CO387" s="101">
        <f t="shared" si="29"/>
        <v>2</v>
      </c>
    </row>
    <row r="388" spans="1:93" ht="13.9" customHeight="1" x14ac:dyDescent="0.2">
      <c r="A388" s="149">
        <v>7845</v>
      </c>
      <c r="B388" s="150" t="s">
        <v>854</v>
      </c>
      <c r="C388" s="150" t="s">
        <v>1282</v>
      </c>
      <c r="D388" s="150" t="s">
        <v>1283</v>
      </c>
      <c r="E388" s="150" t="s">
        <v>326</v>
      </c>
      <c r="F388" s="149">
        <v>527616</v>
      </c>
      <c r="G388" s="149">
        <v>175185</v>
      </c>
      <c r="H388" s="150" t="s">
        <v>164</v>
      </c>
      <c r="I388" s="151">
        <v>45017</v>
      </c>
      <c r="J388" s="151"/>
      <c r="K388" s="149">
        <v>1</v>
      </c>
      <c r="L388" s="149">
        <v>3</v>
      </c>
      <c r="M388" s="149">
        <v>2</v>
      </c>
      <c r="N388" s="149">
        <v>3</v>
      </c>
      <c r="O388" s="149">
        <v>2</v>
      </c>
      <c r="P388" s="152"/>
      <c r="Q388" s="150" t="s">
        <v>1284</v>
      </c>
      <c r="R388" s="150" t="s">
        <v>349</v>
      </c>
      <c r="S388" s="151">
        <v>44798</v>
      </c>
      <c r="T388" s="151">
        <v>44860</v>
      </c>
      <c r="U388" s="152"/>
      <c r="V388" s="150" t="s">
        <v>330</v>
      </c>
      <c r="W388" s="151"/>
      <c r="X388" s="150" t="s">
        <v>331</v>
      </c>
      <c r="Y388" s="150" t="s">
        <v>491</v>
      </c>
      <c r="Z388" s="150" t="s">
        <v>334</v>
      </c>
      <c r="AA388" s="150" t="s">
        <v>16</v>
      </c>
      <c r="AB388" s="153">
        <v>5.4250000000000001E-3</v>
      </c>
      <c r="AC388" s="151">
        <v>45017</v>
      </c>
      <c r="AD388" s="152" t="s">
        <v>327</v>
      </c>
      <c r="AE388" s="151"/>
      <c r="AF388" s="150" t="s">
        <v>70</v>
      </c>
      <c r="AG388" s="152" t="s">
        <v>352</v>
      </c>
      <c r="AH388" s="150" t="s">
        <v>326</v>
      </c>
      <c r="AI388" s="99"/>
      <c r="AJ388" s="149"/>
      <c r="AK388" s="102"/>
      <c r="AL388" s="149"/>
      <c r="AM388" s="102"/>
      <c r="AN388" s="149">
        <v>0</v>
      </c>
      <c r="AO388" s="149">
        <v>1</v>
      </c>
      <c r="AP388" s="149">
        <v>1</v>
      </c>
      <c r="AQ388" s="149">
        <v>1</v>
      </c>
      <c r="AR388" s="149">
        <v>0</v>
      </c>
      <c r="AS388" s="149">
        <v>-1</v>
      </c>
      <c r="AT388" s="149">
        <v>0</v>
      </c>
      <c r="AU388" s="149">
        <v>0</v>
      </c>
      <c r="AV388" s="149">
        <v>1</v>
      </c>
      <c r="AW388" s="149">
        <v>1</v>
      </c>
      <c r="AX388" s="149">
        <v>1</v>
      </c>
      <c r="AY388" s="149">
        <v>0</v>
      </c>
      <c r="AZ388" s="149">
        <v>0</v>
      </c>
      <c r="BA388" s="149">
        <v>0</v>
      </c>
      <c r="BB388" s="149">
        <v>0</v>
      </c>
      <c r="BC388" s="149">
        <v>0</v>
      </c>
      <c r="BD388" s="149">
        <v>0</v>
      </c>
      <c r="BE388" s="149">
        <v>0</v>
      </c>
      <c r="BF388" s="149">
        <v>0</v>
      </c>
      <c r="BG388" s="149">
        <v>-1</v>
      </c>
      <c r="BH388" s="149">
        <v>0</v>
      </c>
      <c r="BI388" s="149">
        <v>0</v>
      </c>
      <c r="BJ388" s="149">
        <v>0</v>
      </c>
      <c r="BK388" s="149">
        <v>0</v>
      </c>
      <c r="BL388" s="149">
        <v>0</v>
      </c>
      <c r="BM388" s="149">
        <v>0</v>
      </c>
      <c r="BN388" s="149">
        <v>0</v>
      </c>
      <c r="BO388" s="149">
        <v>0</v>
      </c>
      <c r="BP388" s="152"/>
      <c r="BQ388" s="152"/>
      <c r="BR388" s="154" t="s">
        <v>148</v>
      </c>
      <c r="BS388" s="136">
        <v>13</v>
      </c>
      <c r="BT388" s="267"/>
      <c r="BU388" s="267">
        <f>M388</f>
        <v>2</v>
      </c>
      <c r="BV388" s="267"/>
      <c r="BW388" s="267"/>
      <c r="BX388" s="267"/>
      <c r="BY388" s="267"/>
      <c r="BZ388" s="267"/>
      <c r="CA388" s="267"/>
      <c r="CB388" s="267"/>
      <c r="CC388" s="267"/>
      <c r="CD388" s="267"/>
      <c r="CE388" s="267"/>
      <c r="CF388" s="267"/>
      <c r="CG388" s="267"/>
      <c r="CH388" s="267"/>
      <c r="CI388" s="267"/>
      <c r="CJ388" s="267"/>
      <c r="CK388" s="267"/>
      <c r="CL388" s="267"/>
      <c r="CM388" s="267"/>
      <c r="CN388" s="101">
        <f t="shared" si="28"/>
        <v>2</v>
      </c>
      <c r="CO388" s="101">
        <f t="shared" si="29"/>
        <v>2</v>
      </c>
    </row>
    <row r="389" spans="1:93" ht="13.9" customHeight="1" x14ac:dyDescent="0.2">
      <c r="A389" s="149">
        <v>5339</v>
      </c>
      <c r="B389" s="150" t="s">
        <v>1216</v>
      </c>
      <c r="C389" s="150" t="s">
        <v>1243</v>
      </c>
      <c r="D389" s="150" t="s">
        <v>1244</v>
      </c>
      <c r="E389" s="150" t="s">
        <v>1285</v>
      </c>
      <c r="F389" s="149">
        <v>527711</v>
      </c>
      <c r="G389" s="149">
        <v>171233</v>
      </c>
      <c r="H389" s="150" t="s">
        <v>173</v>
      </c>
      <c r="I389" s="151"/>
      <c r="J389" s="151"/>
      <c r="K389" s="149">
        <v>0</v>
      </c>
      <c r="L389" s="149">
        <v>1</v>
      </c>
      <c r="M389" s="149">
        <v>1</v>
      </c>
      <c r="N389" s="149">
        <v>24</v>
      </c>
      <c r="O389" s="149">
        <v>24</v>
      </c>
      <c r="P389" s="152" t="s">
        <v>327</v>
      </c>
      <c r="Q389" s="150" t="s">
        <v>1245</v>
      </c>
      <c r="R389" s="150" t="s">
        <v>329</v>
      </c>
      <c r="S389" s="151">
        <v>44554</v>
      </c>
      <c r="T389" s="151">
        <v>45104</v>
      </c>
      <c r="U389" s="152" t="s">
        <v>327</v>
      </c>
      <c r="V389" s="150" t="s">
        <v>330</v>
      </c>
      <c r="W389" s="151"/>
      <c r="X389" s="150" t="s">
        <v>331</v>
      </c>
      <c r="Y389" s="150" t="s">
        <v>398</v>
      </c>
      <c r="Z389" s="150" t="s">
        <v>343</v>
      </c>
      <c r="AA389" s="150" t="s">
        <v>334</v>
      </c>
      <c r="AB389" s="153">
        <v>6.0000000000000001E-3</v>
      </c>
      <c r="AC389" s="151"/>
      <c r="AD389" s="150"/>
      <c r="AE389" s="151"/>
      <c r="AF389" s="150" t="s">
        <v>70</v>
      </c>
      <c r="AG389" s="152" t="s">
        <v>352</v>
      </c>
      <c r="AH389" s="150" t="s">
        <v>326</v>
      </c>
      <c r="AI389" s="99"/>
      <c r="AJ389" s="149"/>
      <c r="AK389" s="149">
        <v>1</v>
      </c>
      <c r="AL389" s="149"/>
      <c r="AM389" s="138"/>
      <c r="AN389" s="149">
        <v>0</v>
      </c>
      <c r="AO389" s="149">
        <v>0</v>
      </c>
      <c r="AP389" s="149">
        <v>0</v>
      </c>
      <c r="AQ389" s="149">
        <v>1</v>
      </c>
      <c r="AR389" s="149">
        <v>0</v>
      </c>
      <c r="AS389" s="149">
        <v>0</v>
      </c>
      <c r="AT389" s="149">
        <v>0</v>
      </c>
      <c r="AU389" s="149">
        <v>0</v>
      </c>
      <c r="AV389" s="149">
        <v>0</v>
      </c>
      <c r="AW389" s="149">
        <v>0</v>
      </c>
      <c r="AX389" s="149">
        <v>1</v>
      </c>
      <c r="AY389" s="149">
        <v>0</v>
      </c>
      <c r="AZ389" s="149">
        <v>0</v>
      </c>
      <c r="BA389" s="149">
        <v>0</v>
      </c>
      <c r="BB389" s="149">
        <v>0</v>
      </c>
      <c r="BC389" s="149">
        <v>0</v>
      </c>
      <c r="BD389" s="149">
        <v>0</v>
      </c>
      <c r="BE389" s="149">
        <v>0</v>
      </c>
      <c r="BF389" s="149">
        <v>0</v>
      </c>
      <c r="BG389" s="149">
        <v>0</v>
      </c>
      <c r="BH389" s="149">
        <v>0</v>
      </c>
      <c r="BI389" s="149">
        <v>0</v>
      </c>
      <c r="BJ389" s="149">
        <v>0</v>
      </c>
      <c r="BK389" s="149">
        <v>0</v>
      </c>
      <c r="BL389" s="149">
        <v>0</v>
      </c>
      <c r="BM389" s="149">
        <v>0</v>
      </c>
      <c r="BN389" s="149">
        <v>0</v>
      </c>
      <c r="BO389" s="149">
        <v>0</v>
      </c>
      <c r="BP389" s="152" t="s">
        <v>142</v>
      </c>
      <c r="BQ389" s="152"/>
      <c r="BR389" s="154" t="s">
        <v>142</v>
      </c>
      <c r="BS389" s="136">
        <v>18</v>
      </c>
      <c r="BT389" s="267"/>
      <c r="BU389" s="267">
        <f>M389/4</f>
        <v>0.25</v>
      </c>
      <c r="BV389" s="267">
        <f>M389/4</f>
        <v>0.25</v>
      </c>
      <c r="BW389" s="267">
        <f>M389/4</f>
        <v>0.25</v>
      </c>
      <c r="BX389" s="267">
        <f>M389/4</f>
        <v>0.25</v>
      </c>
      <c r="BY389" s="267"/>
      <c r="BZ389" s="267"/>
      <c r="CA389" s="267"/>
      <c r="CB389" s="267"/>
      <c r="CC389" s="267"/>
      <c r="CD389" s="267"/>
      <c r="CE389" s="267"/>
      <c r="CF389" s="267"/>
      <c r="CG389" s="267"/>
      <c r="CH389" s="267"/>
      <c r="CI389" s="267"/>
      <c r="CJ389" s="267"/>
      <c r="CK389" s="267"/>
      <c r="CL389" s="267"/>
      <c r="CM389" s="267"/>
      <c r="CN389" s="101">
        <f t="shared" si="28"/>
        <v>1</v>
      </c>
      <c r="CO389" s="101">
        <f t="shared" si="29"/>
        <v>1</v>
      </c>
    </row>
    <row r="390" spans="1:93" ht="13.9" customHeight="1" x14ac:dyDescent="0.2">
      <c r="A390" s="149">
        <v>7870</v>
      </c>
      <c r="B390" s="150" t="s">
        <v>854</v>
      </c>
      <c r="C390" s="150" t="s">
        <v>1286</v>
      </c>
      <c r="D390" s="150" t="s">
        <v>1287</v>
      </c>
      <c r="E390" s="150" t="s">
        <v>326</v>
      </c>
      <c r="F390" s="149">
        <v>528923</v>
      </c>
      <c r="G390" s="149">
        <v>173012</v>
      </c>
      <c r="H390" s="150" t="s">
        <v>168</v>
      </c>
      <c r="I390" s="151">
        <v>45019</v>
      </c>
      <c r="J390" s="151"/>
      <c r="K390" s="149">
        <v>1</v>
      </c>
      <c r="L390" s="149">
        <v>3</v>
      </c>
      <c r="M390" s="149">
        <v>2</v>
      </c>
      <c r="N390" s="149">
        <v>3</v>
      </c>
      <c r="O390" s="149">
        <v>2</v>
      </c>
      <c r="P390" s="152"/>
      <c r="Q390" s="150" t="s">
        <v>1288</v>
      </c>
      <c r="R390" s="150" t="s">
        <v>349</v>
      </c>
      <c r="S390" s="151">
        <v>44824</v>
      </c>
      <c r="T390" s="151">
        <v>44897</v>
      </c>
      <c r="U390" s="152"/>
      <c r="V390" s="150" t="s">
        <v>330</v>
      </c>
      <c r="W390" s="151"/>
      <c r="X390" s="150" t="s">
        <v>331</v>
      </c>
      <c r="Y390" s="150" t="s">
        <v>350</v>
      </c>
      <c r="Z390" s="150" t="s">
        <v>334</v>
      </c>
      <c r="AA390" s="150" t="s">
        <v>16</v>
      </c>
      <c r="AB390" s="153">
        <v>8.0000000000000002E-3</v>
      </c>
      <c r="AC390" s="151">
        <v>45019</v>
      </c>
      <c r="AD390" s="152" t="s">
        <v>327</v>
      </c>
      <c r="AE390" s="151"/>
      <c r="AF390" s="150" t="s">
        <v>70</v>
      </c>
      <c r="AG390" s="152" t="s">
        <v>352</v>
      </c>
      <c r="AH390" s="150" t="s">
        <v>326</v>
      </c>
      <c r="AI390" s="99"/>
      <c r="AJ390" s="149"/>
      <c r="AK390" s="99"/>
      <c r="AL390" s="149"/>
      <c r="AM390" s="102"/>
      <c r="AN390" s="149">
        <v>0</v>
      </c>
      <c r="AO390" s="149">
        <v>0</v>
      </c>
      <c r="AP390" s="149">
        <v>2</v>
      </c>
      <c r="AQ390" s="149">
        <v>1</v>
      </c>
      <c r="AR390" s="149">
        <v>0</v>
      </c>
      <c r="AS390" s="149">
        <v>-1</v>
      </c>
      <c r="AT390" s="149">
        <v>0</v>
      </c>
      <c r="AU390" s="149">
        <v>0</v>
      </c>
      <c r="AV390" s="149">
        <v>0</v>
      </c>
      <c r="AW390" s="149">
        <v>2</v>
      </c>
      <c r="AX390" s="149">
        <v>1</v>
      </c>
      <c r="AY390" s="149">
        <v>0</v>
      </c>
      <c r="AZ390" s="149">
        <v>0</v>
      </c>
      <c r="BA390" s="149">
        <v>0</v>
      </c>
      <c r="BB390" s="149">
        <v>0</v>
      </c>
      <c r="BC390" s="149">
        <v>0</v>
      </c>
      <c r="BD390" s="149">
        <v>0</v>
      </c>
      <c r="BE390" s="149">
        <v>0</v>
      </c>
      <c r="BF390" s="149">
        <v>0</v>
      </c>
      <c r="BG390" s="149">
        <v>-1</v>
      </c>
      <c r="BH390" s="149">
        <v>0</v>
      </c>
      <c r="BI390" s="149">
        <v>0</v>
      </c>
      <c r="BJ390" s="149">
        <v>0</v>
      </c>
      <c r="BK390" s="149">
        <v>0</v>
      </c>
      <c r="BL390" s="149">
        <v>0</v>
      </c>
      <c r="BM390" s="149">
        <v>0</v>
      </c>
      <c r="BN390" s="149">
        <v>0</v>
      </c>
      <c r="BO390" s="149">
        <v>0</v>
      </c>
      <c r="BP390" s="152"/>
      <c r="BQ390" s="152"/>
      <c r="BR390" s="154" t="s">
        <v>359</v>
      </c>
      <c r="BS390" s="136">
        <v>13</v>
      </c>
      <c r="BT390" s="267"/>
      <c r="BU390" s="267">
        <f>M390</f>
        <v>2</v>
      </c>
      <c r="BV390" s="267"/>
      <c r="BW390" s="267"/>
      <c r="BX390" s="267"/>
      <c r="BY390" s="267"/>
      <c r="BZ390" s="267"/>
      <c r="CA390" s="267"/>
      <c r="CB390" s="267"/>
      <c r="CC390" s="267"/>
      <c r="CD390" s="267"/>
      <c r="CE390" s="267"/>
      <c r="CF390" s="267"/>
      <c r="CG390" s="267"/>
      <c r="CH390" s="267"/>
      <c r="CI390" s="267"/>
      <c r="CJ390" s="267"/>
      <c r="CK390" s="267"/>
      <c r="CL390" s="267"/>
      <c r="CM390" s="267"/>
      <c r="CN390" s="101">
        <f t="shared" si="28"/>
        <v>2</v>
      </c>
      <c r="CO390" s="101">
        <f t="shared" si="29"/>
        <v>2</v>
      </c>
    </row>
    <row r="391" spans="1:93" ht="13.9" customHeight="1" x14ac:dyDescent="0.2">
      <c r="A391" s="149">
        <v>7897</v>
      </c>
      <c r="B391" s="150" t="s">
        <v>854</v>
      </c>
      <c r="C391" s="150" t="s">
        <v>1289</v>
      </c>
      <c r="D391" s="150" t="s">
        <v>1290</v>
      </c>
      <c r="E391" s="150" t="s">
        <v>326</v>
      </c>
      <c r="F391" s="149">
        <v>528647</v>
      </c>
      <c r="G391" s="149">
        <v>173103</v>
      </c>
      <c r="H391" s="150" t="s">
        <v>168</v>
      </c>
      <c r="I391" s="151">
        <v>45382</v>
      </c>
      <c r="J391" s="151"/>
      <c r="K391" s="149">
        <v>0</v>
      </c>
      <c r="L391" s="149">
        <v>1</v>
      </c>
      <c r="M391" s="149">
        <v>1</v>
      </c>
      <c r="N391" s="149">
        <v>1</v>
      </c>
      <c r="O391" s="149">
        <v>1</v>
      </c>
      <c r="P391" s="152"/>
      <c r="Q391" s="150" t="s">
        <v>1291</v>
      </c>
      <c r="R391" s="150" t="s">
        <v>349</v>
      </c>
      <c r="S391" s="151">
        <v>44830</v>
      </c>
      <c r="T391" s="151">
        <v>44910</v>
      </c>
      <c r="U391" s="152"/>
      <c r="V391" s="150" t="s">
        <v>330</v>
      </c>
      <c r="W391" s="151"/>
      <c r="X391" s="150" t="s">
        <v>331</v>
      </c>
      <c r="Y391" s="150" t="s">
        <v>491</v>
      </c>
      <c r="Z391" s="150" t="s">
        <v>334</v>
      </c>
      <c r="AA391" s="150" t="s">
        <v>413</v>
      </c>
      <c r="AB391" s="153">
        <v>5.1700000000000001E-3</v>
      </c>
      <c r="AC391" s="151">
        <v>45382</v>
      </c>
      <c r="AD391" s="152" t="s">
        <v>327</v>
      </c>
      <c r="AE391" s="151"/>
      <c r="AF391" s="150" t="s">
        <v>70</v>
      </c>
      <c r="AG391" s="152" t="s">
        <v>337</v>
      </c>
      <c r="AH391" s="150" t="s">
        <v>326</v>
      </c>
      <c r="AI391" s="99"/>
      <c r="AJ391" s="149"/>
      <c r="AK391" s="99"/>
      <c r="AL391" s="149"/>
      <c r="AM391" s="99"/>
      <c r="AN391" s="149">
        <v>0</v>
      </c>
      <c r="AO391" s="149">
        <v>1</v>
      </c>
      <c r="AP391" s="149">
        <v>0</v>
      </c>
      <c r="AQ391" s="149">
        <v>0</v>
      </c>
      <c r="AR391" s="149">
        <v>0</v>
      </c>
      <c r="AS391" s="149">
        <v>0</v>
      </c>
      <c r="AT391" s="149">
        <v>0</v>
      </c>
      <c r="AU391" s="149">
        <v>0</v>
      </c>
      <c r="AV391" s="149">
        <v>1</v>
      </c>
      <c r="AW391" s="149">
        <v>0</v>
      </c>
      <c r="AX391" s="149">
        <v>0</v>
      </c>
      <c r="AY391" s="149">
        <v>0</v>
      </c>
      <c r="AZ391" s="149">
        <v>0</v>
      </c>
      <c r="BA391" s="149">
        <v>0</v>
      </c>
      <c r="BB391" s="149">
        <v>0</v>
      </c>
      <c r="BC391" s="149">
        <v>0</v>
      </c>
      <c r="BD391" s="149">
        <v>0</v>
      </c>
      <c r="BE391" s="149">
        <v>0</v>
      </c>
      <c r="BF391" s="149">
        <v>0</v>
      </c>
      <c r="BG391" s="149">
        <v>0</v>
      </c>
      <c r="BH391" s="149">
        <v>0</v>
      </c>
      <c r="BI391" s="149">
        <v>0</v>
      </c>
      <c r="BJ391" s="149">
        <v>0</v>
      </c>
      <c r="BK391" s="149">
        <v>0</v>
      </c>
      <c r="BL391" s="149">
        <v>0</v>
      </c>
      <c r="BM391" s="149">
        <v>0</v>
      </c>
      <c r="BN391" s="149">
        <v>0</v>
      </c>
      <c r="BO391" s="149">
        <v>0</v>
      </c>
      <c r="BP391" s="152"/>
      <c r="BQ391" s="152"/>
      <c r="BR391" s="154" t="s">
        <v>139</v>
      </c>
      <c r="BS391" s="136">
        <v>14</v>
      </c>
      <c r="BT391" s="267"/>
      <c r="BU391" s="267">
        <f>M391/2</f>
        <v>0.5</v>
      </c>
      <c r="BV391" s="267">
        <f>M391/2</f>
        <v>0.5</v>
      </c>
      <c r="BW391" s="267"/>
      <c r="BX391" s="267"/>
      <c r="BY391" s="267"/>
      <c r="BZ391" s="267"/>
      <c r="CA391" s="267"/>
      <c r="CB391" s="267"/>
      <c r="CC391" s="267"/>
      <c r="CD391" s="267"/>
      <c r="CE391" s="267"/>
      <c r="CF391" s="267"/>
      <c r="CG391" s="267"/>
      <c r="CH391" s="267"/>
      <c r="CI391" s="267"/>
      <c r="CJ391" s="267"/>
      <c r="CK391" s="267"/>
      <c r="CL391" s="267"/>
      <c r="CM391" s="267"/>
      <c r="CN391" s="101">
        <f t="shared" si="28"/>
        <v>1</v>
      </c>
      <c r="CO391" s="101">
        <f t="shared" si="29"/>
        <v>1</v>
      </c>
    </row>
    <row r="392" spans="1:93" ht="13.9" customHeight="1" x14ac:dyDescent="0.2">
      <c r="A392" s="149">
        <v>7460</v>
      </c>
      <c r="B392" s="150" t="s">
        <v>854</v>
      </c>
      <c r="C392" s="150" t="s">
        <v>1292</v>
      </c>
      <c r="D392" s="150" t="s">
        <v>1293</v>
      </c>
      <c r="E392" s="150" t="s">
        <v>1294</v>
      </c>
      <c r="F392" s="149">
        <v>526862</v>
      </c>
      <c r="G392" s="149">
        <v>171849</v>
      </c>
      <c r="H392" s="150" t="s">
        <v>173</v>
      </c>
      <c r="I392" s="151">
        <v>45265</v>
      </c>
      <c r="J392" s="151"/>
      <c r="K392" s="149">
        <v>1</v>
      </c>
      <c r="L392" s="149">
        <v>3</v>
      </c>
      <c r="M392" s="149">
        <v>2</v>
      </c>
      <c r="N392" s="149">
        <v>3</v>
      </c>
      <c r="O392" s="149">
        <v>2</v>
      </c>
      <c r="P392" s="152"/>
      <c r="Q392" s="150" t="s">
        <v>1295</v>
      </c>
      <c r="R392" s="150" t="s">
        <v>349</v>
      </c>
      <c r="S392" s="151">
        <v>44890</v>
      </c>
      <c r="T392" s="151">
        <v>44952</v>
      </c>
      <c r="U392" s="152"/>
      <c r="V392" s="150" t="s">
        <v>330</v>
      </c>
      <c r="W392" s="151"/>
      <c r="X392" s="150" t="s">
        <v>331</v>
      </c>
      <c r="Y392" s="150" t="s">
        <v>350</v>
      </c>
      <c r="Z392" s="150" t="s">
        <v>334</v>
      </c>
      <c r="AA392" s="150" t="s">
        <v>413</v>
      </c>
      <c r="AB392" s="153">
        <v>6.3200000000000001E-3</v>
      </c>
      <c r="AC392" s="151">
        <v>45265</v>
      </c>
      <c r="AD392" s="152" t="s">
        <v>327</v>
      </c>
      <c r="AE392" s="151"/>
      <c r="AF392" s="150" t="s">
        <v>70</v>
      </c>
      <c r="AG392" s="152" t="s">
        <v>352</v>
      </c>
      <c r="AH392" s="150" t="s">
        <v>326</v>
      </c>
      <c r="AI392" s="99"/>
      <c r="AJ392" s="149"/>
      <c r="AK392" s="99"/>
      <c r="AL392" s="149"/>
      <c r="AM392" s="99"/>
      <c r="AN392" s="149">
        <v>1</v>
      </c>
      <c r="AO392" s="149">
        <v>1</v>
      </c>
      <c r="AP392" s="149">
        <v>0</v>
      </c>
      <c r="AQ392" s="149">
        <v>0</v>
      </c>
      <c r="AR392" s="149">
        <v>0</v>
      </c>
      <c r="AS392" s="149">
        <v>0</v>
      </c>
      <c r="AT392" s="149">
        <v>0</v>
      </c>
      <c r="AU392" s="149">
        <v>1</v>
      </c>
      <c r="AV392" s="149">
        <v>1</v>
      </c>
      <c r="AW392" s="149">
        <v>0</v>
      </c>
      <c r="AX392" s="149">
        <v>0</v>
      </c>
      <c r="AY392" s="149">
        <v>0</v>
      </c>
      <c r="AZ392" s="149">
        <v>0</v>
      </c>
      <c r="BA392" s="149">
        <v>0</v>
      </c>
      <c r="BB392" s="149">
        <v>0</v>
      </c>
      <c r="BC392" s="149">
        <v>0</v>
      </c>
      <c r="BD392" s="149">
        <v>0</v>
      </c>
      <c r="BE392" s="149">
        <v>0</v>
      </c>
      <c r="BF392" s="149">
        <v>0</v>
      </c>
      <c r="BG392" s="149">
        <v>0</v>
      </c>
      <c r="BH392" s="149">
        <v>0</v>
      </c>
      <c r="BI392" s="149">
        <v>0</v>
      </c>
      <c r="BJ392" s="149">
        <v>0</v>
      </c>
      <c r="BK392" s="149">
        <v>0</v>
      </c>
      <c r="BL392" s="149">
        <v>0</v>
      </c>
      <c r="BM392" s="149">
        <v>0</v>
      </c>
      <c r="BN392" s="149">
        <v>0</v>
      </c>
      <c r="BO392" s="149">
        <v>0</v>
      </c>
      <c r="BP392" s="152"/>
      <c r="BQ392" s="152"/>
      <c r="BR392" s="154" t="s">
        <v>359</v>
      </c>
      <c r="BS392" s="136">
        <v>14</v>
      </c>
      <c r="BT392" s="267"/>
      <c r="BU392" s="267">
        <f>M392/2</f>
        <v>1</v>
      </c>
      <c r="BV392" s="267">
        <f>M392/2</f>
        <v>1</v>
      </c>
      <c r="BW392" s="267"/>
      <c r="BX392" s="267"/>
      <c r="BY392" s="267"/>
      <c r="BZ392" s="267"/>
      <c r="CA392" s="267"/>
      <c r="CB392" s="267"/>
      <c r="CC392" s="267"/>
      <c r="CD392" s="267"/>
      <c r="CE392" s="267"/>
      <c r="CF392" s="267"/>
      <c r="CG392" s="267"/>
      <c r="CH392" s="267"/>
      <c r="CI392" s="267"/>
      <c r="CJ392" s="267"/>
      <c r="CK392" s="267"/>
      <c r="CL392" s="267"/>
      <c r="CM392" s="267"/>
      <c r="CN392" s="101">
        <f t="shared" si="28"/>
        <v>2</v>
      </c>
      <c r="CO392" s="101">
        <f t="shared" si="29"/>
        <v>2</v>
      </c>
    </row>
    <row r="393" spans="1:93" ht="13.9" customHeight="1" x14ac:dyDescent="0.2">
      <c r="A393" s="149">
        <v>8058</v>
      </c>
      <c r="B393" s="150" t="s">
        <v>854</v>
      </c>
      <c r="C393" s="150" t="s">
        <v>1296</v>
      </c>
      <c r="D393" s="150" t="s">
        <v>1297</v>
      </c>
      <c r="E393" s="150" t="s">
        <v>326</v>
      </c>
      <c r="F393" s="149">
        <v>525652</v>
      </c>
      <c r="G393" s="149">
        <v>174657</v>
      </c>
      <c r="H393" s="150" t="s">
        <v>177</v>
      </c>
      <c r="I393" s="151">
        <v>45373</v>
      </c>
      <c r="J393" s="151"/>
      <c r="K393" s="149">
        <v>1</v>
      </c>
      <c r="L393" s="149">
        <v>0</v>
      </c>
      <c r="M393" s="149">
        <v>-1</v>
      </c>
      <c r="N393" s="149">
        <v>0</v>
      </c>
      <c r="O393" s="149">
        <v>-1</v>
      </c>
      <c r="P393" s="152"/>
      <c r="Q393" s="150" t="s">
        <v>1298</v>
      </c>
      <c r="R393" s="150" t="s">
        <v>349</v>
      </c>
      <c r="S393" s="151">
        <v>44865</v>
      </c>
      <c r="T393" s="151">
        <v>45092</v>
      </c>
      <c r="U393" s="152" t="s">
        <v>327</v>
      </c>
      <c r="V393" s="150" t="s">
        <v>330</v>
      </c>
      <c r="W393" s="151"/>
      <c r="X393" s="150" t="s">
        <v>331</v>
      </c>
      <c r="Y393" s="150" t="s">
        <v>332</v>
      </c>
      <c r="Z393" s="150" t="s">
        <v>334</v>
      </c>
      <c r="AA393" s="150" t="s">
        <v>35</v>
      </c>
      <c r="AB393" s="153">
        <v>0</v>
      </c>
      <c r="AC393" s="151">
        <v>45373</v>
      </c>
      <c r="AD393" s="152" t="s">
        <v>327</v>
      </c>
      <c r="AE393" s="151"/>
      <c r="AF393" s="150" t="s">
        <v>72</v>
      </c>
      <c r="AG393" s="152" t="s">
        <v>1299</v>
      </c>
      <c r="AH393" s="150" t="s">
        <v>326</v>
      </c>
      <c r="AI393" s="99"/>
      <c r="AJ393" s="149"/>
      <c r="AK393" s="99"/>
      <c r="AL393" s="149"/>
      <c r="AM393" s="99"/>
      <c r="AN393" s="149">
        <v>-1</v>
      </c>
      <c r="AO393" s="149">
        <v>0</v>
      </c>
      <c r="AP393" s="149">
        <v>0</v>
      </c>
      <c r="AQ393" s="149">
        <v>0</v>
      </c>
      <c r="AR393" s="149">
        <v>0</v>
      </c>
      <c r="AS393" s="149">
        <v>0</v>
      </c>
      <c r="AT393" s="149">
        <v>0</v>
      </c>
      <c r="AU393" s="149">
        <v>-1</v>
      </c>
      <c r="AV393" s="149">
        <v>0</v>
      </c>
      <c r="AW393" s="149">
        <v>0</v>
      </c>
      <c r="AX393" s="149">
        <v>0</v>
      </c>
      <c r="AY393" s="149">
        <v>0</v>
      </c>
      <c r="AZ393" s="149">
        <v>0</v>
      </c>
      <c r="BA393" s="149">
        <v>0</v>
      </c>
      <c r="BB393" s="149">
        <v>0</v>
      </c>
      <c r="BC393" s="149">
        <v>0</v>
      </c>
      <c r="BD393" s="149">
        <v>0</v>
      </c>
      <c r="BE393" s="149">
        <v>0</v>
      </c>
      <c r="BF393" s="149">
        <v>0</v>
      </c>
      <c r="BG393" s="149">
        <v>0</v>
      </c>
      <c r="BH393" s="149">
        <v>0</v>
      </c>
      <c r="BI393" s="149">
        <v>0</v>
      </c>
      <c r="BJ393" s="149">
        <v>0</v>
      </c>
      <c r="BK393" s="149">
        <v>0</v>
      </c>
      <c r="BL393" s="149">
        <v>0</v>
      </c>
      <c r="BM393" s="149">
        <v>0</v>
      </c>
      <c r="BN393" s="149">
        <v>0</v>
      </c>
      <c r="BO393" s="149">
        <v>0</v>
      </c>
      <c r="BP393" s="152" t="s">
        <v>143</v>
      </c>
      <c r="BQ393" s="152"/>
      <c r="BR393" s="154" t="s">
        <v>463</v>
      </c>
      <c r="BS393" s="136">
        <v>14</v>
      </c>
      <c r="BT393" s="267"/>
      <c r="BU393" s="267">
        <f>M393/2</f>
        <v>-0.5</v>
      </c>
      <c r="BV393" s="267">
        <f>M393/2</f>
        <v>-0.5</v>
      </c>
      <c r="BW393" s="267"/>
      <c r="BX393" s="267"/>
      <c r="BY393" s="267"/>
      <c r="BZ393" s="267"/>
      <c r="CA393" s="267"/>
      <c r="CB393" s="267"/>
      <c r="CC393" s="267"/>
      <c r="CD393" s="267"/>
      <c r="CE393" s="267"/>
      <c r="CF393" s="267"/>
      <c r="CG393" s="267"/>
      <c r="CH393" s="267"/>
      <c r="CI393" s="267"/>
      <c r="CJ393" s="267"/>
      <c r="CK393" s="267"/>
      <c r="CL393" s="267"/>
      <c r="CM393" s="267"/>
      <c r="CN393" s="101">
        <f t="shared" si="28"/>
        <v>-1</v>
      </c>
      <c r="CO393" s="101">
        <f t="shared" si="29"/>
        <v>-1</v>
      </c>
    </row>
    <row r="394" spans="1:93" ht="13.9" customHeight="1" x14ac:dyDescent="0.2">
      <c r="A394" s="149">
        <v>7903</v>
      </c>
      <c r="B394" s="150" t="s">
        <v>854</v>
      </c>
      <c r="C394" s="150" t="s">
        <v>1300</v>
      </c>
      <c r="D394" s="150" t="s">
        <v>1301</v>
      </c>
      <c r="E394" s="150" t="s">
        <v>326</v>
      </c>
      <c r="F394" s="149">
        <v>525219</v>
      </c>
      <c r="G394" s="149">
        <v>173651</v>
      </c>
      <c r="H394" s="150" t="s">
        <v>169</v>
      </c>
      <c r="I394" s="151">
        <v>45382</v>
      </c>
      <c r="J394" s="151"/>
      <c r="K394" s="149">
        <v>0</v>
      </c>
      <c r="L394" s="149">
        <v>5</v>
      </c>
      <c r="M394" s="149">
        <v>5</v>
      </c>
      <c r="N394" s="149">
        <v>5</v>
      </c>
      <c r="O394" s="149">
        <v>5</v>
      </c>
      <c r="P394" s="152"/>
      <c r="Q394" s="150" t="s">
        <v>1302</v>
      </c>
      <c r="R394" s="150" t="s">
        <v>349</v>
      </c>
      <c r="S394" s="151">
        <v>44851</v>
      </c>
      <c r="T394" s="151">
        <v>45072</v>
      </c>
      <c r="U394" s="152" t="s">
        <v>327</v>
      </c>
      <c r="V394" s="150" t="s">
        <v>330</v>
      </c>
      <c r="W394" s="151"/>
      <c r="X394" s="150" t="s">
        <v>331</v>
      </c>
      <c r="Y394" s="150" t="s">
        <v>332</v>
      </c>
      <c r="Z394" s="150" t="s">
        <v>334</v>
      </c>
      <c r="AA394" s="150" t="s">
        <v>32</v>
      </c>
      <c r="AB394" s="153">
        <v>1.2999999999999999E-2</v>
      </c>
      <c r="AC394" s="151">
        <v>45382</v>
      </c>
      <c r="AD394" s="152" t="s">
        <v>327</v>
      </c>
      <c r="AE394" s="151"/>
      <c r="AF394" s="150" t="s">
        <v>70</v>
      </c>
      <c r="AG394" s="152" t="s">
        <v>337</v>
      </c>
      <c r="AH394" s="150" t="s">
        <v>326</v>
      </c>
      <c r="AI394" s="99"/>
      <c r="AJ394" s="149"/>
      <c r="AK394" s="102"/>
      <c r="AL394" s="149"/>
      <c r="AM394" s="99"/>
      <c r="AN394" s="149">
        <v>0</v>
      </c>
      <c r="AO394" s="149">
        <v>5</v>
      </c>
      <c r="AP394" s="149">
        <v>0</v>
      </c>
      <c r="AQ394" s="149">
        <v>0</v>
      </c>
      <c r="AR394" s="149">
        <v>0</v>
      </c>
      <c r="AS394" s="149">
        <v>0</v>
      </c>
      <c r="AT394" s="149">
        <v>0</v>
      </c>
      <c r="AU394" s="149">
        <v>0</v>
      </c>
      <c r="AV394" s="149">
        <v>5</v>
      </c>
      <c r="AW394" s="149">
        <v>0</v>
      </c>
      <c r="AX394" s="149">
        <v>0</v>
      </c>
      <c r="AY394" s="149">
        <v>0</v>
      </c>
      <c r="AZ394" s="149">
        <v>0</v>
      </c>
      <c r="BA394" s="149">
        <v>0</v>
      </c>
      <c r="BB394" s="149">
        <v>0</v>
      </c>
      <c r="BC394" s="149">
        <v>0</v>
      </c>
      <c r="BD394" s="149">
        <v>0</v>
      </c>
      <c r="BE394" s="149">
        <v>0</v>
      </c>
      <c r="BF394" s="149">
        <v>0</v>
      </c>
      <c r="BG394" s="149">
        <v>0</v>
      </c>
      <c r="BH394" s="149">
        <v>0</v>
      </c>
      <c r="BI394" s="149">
        <v>0</v>
      </c>
      <c r="BJ394" s="149">
        <v>0</v>
      </c>
      <c r="BK394" s="149">
        <v>0</v>
      </c>
      <c r="BL394" s="149">
        <v>0</v>
      </c>
      <c r="BM394" s="149">
        <v>0</v>
      </c>
      <c r="BN394" s="149">
        <v>0</v>
      </c>
      <c r="BO394" s="149">
        <v>0</v>
      </c>
      <c r="BP394" s="152"/>
      <c r="BQ394" s="152"/>
      <c r="BR394" s="154" t="s">
        <v>151</v>
      </c>
      <c r="BS394" s="136">
        <v>14</v>
      </c>
      <c r="BT394" s="267"/>
      <c r="BU394" s="267">
        <f>M394/2</f>
        <v>2.5</v>
      </c>
      <c r="BV394" s="267">
        <f>M394/2</f>
        <v>2.5</v>
      </c>
      <c r="BW394" s="267"/>
      <c r="BX394" s="267"/>
      <c r="BY394" s="267"/>
      <c r="BZ394" s="267"/>
      <c r="CA394" s="267"/>
      <c r="CB394" s="267"/>
      <c r="CC394" s="267"/>
      <c r="CD394" s="267"/>
      <c r="CE394" s="267"/>
      <c r="CF394" s="267"/>
      <c r="CG394" s="267"/>
      <c r="CH394" s="267"/>
      <c r="CI394" s="267"/>
      <c r="CJ394" s="267"/>
      <c r="CK394" s="267"/>
      <c r="CL394" s="267"/>
      <c r="CM394" s="267"/>
      <c r="CN394" s="101">
        <f t="shared" si="28"/>
        <v>5</v>
      </c>
      <c r="CO394" s="101">
        <f t="shared" si="29"/>
        <v>5</v>
      </c>
    </row>
    <row r="395" spans="1:93" ht="13.9" customHeight="1" x14ac:dyDescent="0.2">
      <c r="A395" s="149">
        <v>2410</v>
      </c>
      <c r="B395" s="150" t="s">
        <v>854</v>
      </c>
      <c r="C395" s="150" t="s">
        <v>1303</v>
      </c>
      <c r="D395" s="150" t="s">
        <v>1304</v>
      </c>
      <c r="E395" s="150" t="s">
        <v>326</v>
      </c>
      <c r="F395" s="149">
        <v>527525</v>
      </c>
      <c r="G395" s="149">
        <v>174930</v>
      </c>
      <c r="H395" s="150" t="s">
        <v>165</v>
      </c>
      <c r="I395" s="151">
        <v>44652</v>
      </c>
      <c r="J395" s="151"/>
      <c r="K395" s="149">
        <v>0</v>
      </c>
      <c r="L395" s="149">
        <v>1</v>
      </c>
      <c r="M395" s="149">
        <v>1</v>
      </c>
      <c r="N395" s="149">
        <v>1</v>
      </c>
      <c r="O395" s="149">
        <v>1</v>
      </c>
      <c r="P395" s="152"/>
      <c r="Q395" s="150" t="s">
        <v>1305</v>
      </c>
      <c r="R395" s="150" t="s">
        <v>349</v>
      </c>
      <c r="S395" s="151">
        <v>44854</v>
      </c>
      <c r="T395" s="151">
        <v>44915</v>
      </c>
      <c r="U395" s="152"/>
      <c r="V395" s="150" t="s">
        <v>330</v>
      </c>
      <c r="W395" s="151"/>
      <c r="X395" s="150" t="s">
        <v>331</v>
      </c>
      <c r="Y395" s="150" t="s">
        <v>343</v>
      </c>
      <c r="Z395" s="150" t="s">
        <v>334</v>
      </c>
      <c r="AA395" s="150" t="s">
        <v>363</v>
      </c>
      <c r="AB395" s="153">
        <v>0.01</v>
      </c>
      <c r="AC395" s="151">
        <v>44652</v>
      </c>
      <c r="AD395" s="150"/>
      <c r="AE395" s="151"/>
      <c r="AF395" s="150" t="s">
        <v>70</v>
      </c>
      <c r="AG395" s="152" t="s">
        <v>352</v>
      </c>
      <c r="AH395" s="150" t="s">
        <v>326</v>
      </c>
      <c r="AI395" s="99"/>
      <c r="AJ395" s="149"/>
      <c r="AK395" s="102"/>
      <c r="AL395" s="149"/>
      <c r="AM395" s="102"/>
      <c r="AN395" s="149">
        <v>0</v>
      </c>
      <c r="AO395" s="149">
        <v>0</v>
      </c>
      <c r="AP395" s="149">
        <v>0</v>
      </c>
      <c r="AQ395" s="149">
        <v>0</v>
      </c>
      <c r="AR395" s="149">
        <v>1</v>
      </c>
      <c r="AS395" s="149">
        <v>0</v>
      </c>
      <c r="AT395" s="149">
        <v>0</v>
      </c>
      <c r="AU395" s="149">
        <v>0</v>
      </c>
      <c r="AV395" s="149">
        <v>0</v>
      </c>
      <c r="AW395" s="149">
        <v>0</v>
      </c>
      <c r="AX395" s="149">
        <v>0</v>
      </c>
      <c r="AY395" s="149">
        <v>0</v>
      </c>
      <c r="AZ395" s="149">
        <v>0</v>
      </c>
      <c r="BA395" s="149">
        <v>0</v>
      </c>
      <c r="BB395" s="149">
        <v>0</v>
      </c>
      <c r="BC395" s="149">
        <v>0</v>
      </c>
      <c r="BD395" s="149">
        <v>0</v>
      </c>
      <c r="BE395" s="149">
        <v>0</v>
      </c>
      <c r="BF395" s="149">
        <v>1</v>
      </c>
      <c r="BG395" s="149">
        <v>0</v>
      </c>
      <c r="BH395" s="149">
        <v>0</v>
      </c>
      <c r="BI395" s="149">
        <v>0</v>
      </c>
      <c r="BJ395" s="149">
        <v>0</v>
      </c>
      <c r="BK395" s="149">
        <v>0</v>
      </c>
      <c r="BL395" s="149">
        <v>0</v>
      </c>
      <c r="BM395" s="149">
        <v>0</v>
      </c>
      <c r="BN395" s="149">
        <v>0</v>
      </c>
      <c r="BO395" s="149">
        <v>0</v>
      </c>
      <c r="BP395" s="152" t="s">
        <v>140</v>
      </c>
      <c r="BQ395" s="152"/>
      <c r="BR395" s="154" t="s">
        <v>148</v>
      </c>
      <c r="BS395" s="136">
        <v>3</v>
      </c>
      <c r="BT395" s="267"/>
      <c r="BU395" s="267">
        <f>M395</f>
        <v>1</v>
      </c>
      <c r="BV395" s="267"/>
      <c r="BW395" s="267"/>
      <c r="BX395" s="267"/>
      <c r="BY395" s="267"/>
      <c r="BZ395" s="267"/>
      <c r="CA395" s="267"/>
      <c r="CB395" s="267"/>
      <c r="CC395" s="267"/>
      <c r="CD395" s="267"/>
      <c r="CE395" s="267"/>
      <c r="CF395" s="267"/>
      <c r="CG395" s="267"/>
      <c r="CH395" s="267"/>
      <c r="CI395" s="267"/>
      <c r="CJ395" s="267"/>
      <c r="CK395" s="267"/>
      <c r="CL395" s="267"/>
      <c r="CM395" s="267"/>
      <c r="CN395" s="101">
        <f t="shared" si="28"/>
        <v>1</v>
      </c>
      <c r="CO395" s="101">
        <f t="shared" si="29"/>
        <v>1</v>
      </c>
    </row>
    <row r="396" spans="1:93" ht="13.9" customHeight="1" x14ac:dyDescent="0.2">
      <c r="A396" s="149">
        <v>5339</v>
      </c>
      <c r="B396" s="150" t="s">
        <v>1216</v>
      </c>
      <c r="C396" s="150" t="s">
        <v>1243</v>
      </c>
      <c r="D396" s="150" t="s">
        <v>1244</v>
      </c>
      <c r="E396" s="150" t="s">
        <v>1306</v>
      </c>
      <c r="F396" s="149">
        <v>527711</v>
      </c>
      <c r="G396" s="149">
        <v>171233</v>
      </c>
      <c r="H396" s="150" t="s">
        <v>173</v>
      </c>
      <c r="I396" s="151"/>
      <c r="J396" s="151"/>
      <c r="K396" s="149">
        <v>0</v>
      </c>
      <c r="L396" s="149">
        <v>2</v>
      </c>
      <c r="M396" s="149">
        <v>2</v>
      </c>
      <c r="N396" s="149">
        <v>24</v>
      </c>
      <c r="O396" s="149">
        <v>24</v>
      </c>
      <c r="P396" s="152" t="s">
        <v>327</v>
      </c>
      <c r="Q396" s="150" t="s">
        <v>1245</v>
      </c>
      <c r="R396" s="150" t="s">
        <v>329</v>
      </c>
      <c r="S396" s="151">
        <v>44554</v>
      </c>
      <c r="T396" s="151">
        <v>45104</v>
      </c>
      <c r="U396" s="152" t="s">
        <v>327</v>
      </c>
      <c r="V396" s="150" t="s">
        <v>330</v>
      </c>
      <c r="W396" s="151"/>
      <c r="X396" s="150" t="s">
        <v>331</v>
      </c>
      <c r="Y396" s="150" t="s">
        <v>398</v>
      </c>
      <c r="Z396" s="150" t="s">
        <v>1307</v>
      </c>
      <c r="AA396" s="150" t="s">
        <v>334</v>
      </c>
      <c r="AB396" s="153">
        <v>1.2E-2</v>
      </c>
      <c r="AC396" s="151"/>
      <c r="AD396" s="150"/>
      <c r="AE396" s="151"/>
      <c r="AF396" s="150" t="s">
        <v>70</v>
      </c>
      <c r="AG396" s="152" t="s">
        <v>352</v>
      </c>
      <c r="AH396" s="150" t="s">
        <v>326</v>
      </c>
      <c r="AI396" s="99"/>
      <c r="AJ396" s="149"/>
      <c r="AK396" s="149">
        <v>2</v>
      </c>
      <c r="AL396" s="149"/>
      <c r="AM396" s="138"/>
      <c r="AN396" s="149">
        <v>0</v>
      </c>
      <c r="AO396" s="149">
        <v>0</v>
      </c>
      <c r="AP396" s="149">
        <v>2</v>
      </c>
      <c r="AQ396" s="149">
        <v>0</v>
      </c>
      <c r="AR396" s="149">
        <v>0</v>
      </c>
      <c r="AS396" s="149">
        <v>0</v>
      </c>
      <c r="AT396" s="149">
        <v>0</v>
      </c>
      <c r="AU396" s="149">
        <v>0</v>
      </c>
      <c r="AV396" s="149">
        <v>0</v>
      </c>
      <c r="AW396" s="149">
        <v>2</v>
      </c>
      <c r="AX396" s="149">
        <v>0</v>
      </c>
      <c r="AY396" s="149">
        <v>0</v>
      </c>
      <c r="AZ396" s="149">
        <v>0</v>
      </c>
      <c r="BA396" s="149">
        <v>0</v>
      </c>
      <c r="BB396" s="149">
        <v>0</v>
      </c>
      <c r="BC396" s="149">
        <v>0</v>
      </c>
      <c r="BD396" s="149">
        <v>0</v>
      </c>
      <c r="BE396" s="149">
        <v>0</v>
      </c>
      <c r="BF396" s="149">
        <v>0</v>
      </c>
      <c r="BG396" s="149">
        <v>0</v>
      </c>
      <c r="BH396" s="149">
        <v>0</v>
      </c>
      <c r="BI396" s="149">
        <v>0</v>
      </c>
      <c r="BJ396" s="149">
        <v>0</v>
      </c>
      <c r="BK396" s="149">
        <v>0</v>
      </c>
      <c r="BL396" s="149">
        <v>0</v>
      </c>
      <c r="BM396" s="149">
        <v>0</v>
      </c>
      <c r="BN396" s="149">
        <v>0</v>
      </c>
      <c r="BO396" s="149">
        <v>0</v>
      </c>
      <c r="BP396" s="152" t="s">
        <v>142</v>
      </c>
      <c r="BQ396" s="152"/>
      <c r="BR396" s="154" t="s">
        <v>142</v>
      </c>
      <c r="BS396" s="136">
        <v>18</v>
      </c>
      <c r="BT396" s="267"/>
      <c r="BU396" s="267">
        <f>M396/4</f>
        <v>0.5</v>
      </c>
      <c r="BV396" s="267">
        <f>M396/4</f>
        <v>0.5</v>
      </c>
      <c r="BW396" s="267">
        <f>M396/4</f>
        <v>0.5</v>
      </c>
      <c r="BX396" s="267">
        <f>M396/4</f>
        <v>0.5</v>
      </c>
      <c r="BY396" s="267"/>
      <c r="BZ396" s="267"/>
      <c r="CA396" s="267"/>
      <c r="CB396" s="267"/>
      <c r="CC396" s="267"/>
      <c r="CD396" s="267"/>
      <c r="CE396" s="267"/>
      <c r="CF396" s="267"/>
      <c r="CG396" s="267"/>
      <c r="CH396" s="267"/>
      <c r="CI396" s="267"/>
      <c r="CJ396" s="267"/>
      <c r="CK396" s="267"/>
      <c r="CL396" s="267"/>
      <c r="CM396" s="267"/>
      <c r="CN396" s="101">
        <f t="shared" si="28"/>
        <v>2</v>
      </c>
      <c r="CO396" s="101">
        <f t="shared" si="29"/>
        <v>2</v>
      </c>
    </row>
    <row r="397" spans="1:93" ht="13.9" customHeight="1" x14ac:dyDescent="0.2">
      <c r="A397" s="149">
        <v>6657</v>
      </c>
      <c r="B397" s="150" t="s">
        <v>854</v>
      </c>
      <c r="C397" s="150" t="s">
        <v>1308</v>
      </c>
      <c r="D397" s="150" t="s">
        <v>1119</v>
      </c>
      <c r="E397" s="150" t="s">
        <v>1309</v>
      </c>
      <c r="F397" s="149">
        <v>525999</v>
      </c>
      <c r="G397" s="149">
        <v>173647</v>
      </c>
      <c r="H397" s="150" t="s">
        <v>175</v>
      </c>
      <c r="I397" s="151">
        <v>45017</v>
      </c>
      <c r="J397" s="151"/>
      <c r="K397" s="149">
        <v>0</v>
      </c>
      <c r="L397" s="149">
        <v>20</v>
      </c>
      <c r="M397" s="149">
        <v>20</v>
      </c>
      <c r="N397" s="149">
        <v>83</v>
      </c>
      <c r="O397" s="149">
        <v>83</v>
      </c>
      <c r="P397" s="152" t="s">
        <v>327</v>
      </c>
      <c r="Q397" s="150" t="s">
        <v>1310</v>
      </c>
      <c r="R397" s="150" t="s">
        <v>342</v>
      </c>
      <c r="S397" s="151">
        <v>45040</v>
      </c>
      <c r="T397" s="151">
        <v>45104</v>
      </c>
      <c r="U397" s="152" t="s">
        <v>327</v>
      </c>
      <c r="V397" s="150" t="s">
        <v>330</v>
      </c>
      <c r="W397" s="151"/>
      <c r="X397" s="150" t="s">
        <v>331</v>
      </c>
      <c r="Y397" s="150" t="s">
        <v>343</v>
      </c>
      <c r="Z397" s="150" t="s">
        <v>343</v>
      </c>
      <c r="AA397" s="150" t="s">
        <v>334</v>
      </c>
      <c r="AB397" s="153">
        <v>1.7999999999999999E-2</v>
      </c>
      <c r="AC397" s="151">
        <v>45017</v>
      </c>
      <c r="AD397" s="152" t="s">
        <v>327</v>
      </c>
      <c r="AE397" s="151"/>
      <c r="AF397" s="150" t="s">
        <v>49</v>
      </c>
      <c r="AG397" s="152" t="s">
        <v>383</v>
      </c>
      <c r="AH397" s="150" t="s">
        <v>326</v>
      </c>
      <c r="AI397" s="99"/>
      <c r="AJ397" s="149"/>
      <c r="AK397" s="138">
        <v>18</v>
      </c>
      <c r="AL397" s="149"/>
      <c r="AM397" s="138">
        <v>2</v>
      </c>
      <c r="AN397" s="149">
        <v>0</v>
      </c>
      <c r="AO397" s="149">
        <v>6</v>
      </c>
      <c r="AP397" s="149">
        <v>14</v>
      </c>
      <c r="AQ397" s="149">
        <v>0</v>
      </c>
      <c r="AR397" s="149">
        <v>0</v>
      </c>
      <c r="AS397" s="149">
        <v>0</v>
      </c>
      <c r="AT397" s="149">
        <v>0</v>
      </c>
      <c r="AU397" s="149">
        <v>0</v>
      </c>
      <c r="AV397" s="149">
        <v>6</v>
      </c>
      <c r="AW397" s="149">
        <v>14</v>
      </c>
      <c r="AX397" s="149">
        <v>0</v>
      </c>
      <c r="AY397" s="149">
        <v>0</v>
      </c>
      <c r="AZ397" s="149">
        <v>0</v>
      </c>
      <c r="BA397" s="149">
        <v>0</v>
      </c>
      <c r="BB397" s="149">
        <v>0</v>
      </c>
      <c r="BC397" s="149">
        <v>0</v>
      </c>
      <c r="BD397" s="149">
        <v>0</v>
      </c>
      <c r="BE397" s="149">
        <v>0</v>
      </c>
      <c r="BF397" s="149">
        <v>0</v>
      </c>
      <c r="BG397" s="149">
        <v>0</v>
      </c>
      <c r="BH397" s="149">
        <v>0</v>
      </c>
      <c r="BI397" s="149">
        <v>0</v>
      </c>
      <c r="BJ397" s="149">
        <v>0</v>
      </c>
      <c r="BK397" s="149">
        <v>0</v>
      </c>
      <c r="BL397" s="149">
        <v>0</v>
      </c>
      <c r="BM397" s="149">
        <v>0</v>
      </c>
      <c r="BN397" s="149">
        <v>0</v>
      </c>
      <c r="BO397" s="149">
        <v>0</v>
      </c>
      <c r="BP397" s="152"/>
      <c r="BQ397" s="152"/>
      <c r="BR397" s="154" t="s">
        <v>359</v>
      </c>
      <c r="BS397" s="136">
        <v>5</v>
      </c>
      <c r="BT397" s="267"/>
      <c r="BU397" s="267"/>
      <c r="BV397" s="267"/>
      <c r="BW397" s="267"/>
      <c r="BX397" s="267"/>
      <c r="BY397" s="267">
        <f>M397</f>
        <v>20</v>
      </c>
      <c r="BZ397" s="267"/>
      <c r="CA397" s="267"/>
      <c r="CB397" s="267"/>
      <c r="CC397" s="267"/>
      <c r="CD397" s="267"/>
      <c r="CE397" s="267"/>
      <c r="CF397" s="267"/>
      <c r="CG397" s="267"/>
      <c r="CH397" s="267"/>
      <c r="CI397" s="267"/>
      <c r="CJ397" s="267"/>
      <c r="CK397" s="267"/>
      <c r="CL397" s="267"/>
      <c r="CM397" s="267"/>
      <c r="CN397" s="101">
        <f t="shared" si="28"/>
        <v>20</v>
      </c>
      <c r="CO397" s="101">
        <f t="shared" si="29"/>
        <v>20</v>
      </c>
    </row>
    <row r="398" spans="1:93" ht="13.9" customHeight="1" x14ac:dyDescent="0.2">
      <c r="A398" s="149">
        <v>6854</v>
      </c>
      <c r="B398" s="150" t="s">
        <v>854</v>
      </c>
      <c r="C398" s="150" t="s">
        <v>1311</v>
      </c>
      <c r="D398" s="150" t="s">
        <v>1312</v>
      </c>
      <c r="E398" s="150" t="s">
        <v>1313</v>
      </c>
      <c r="F398" s="149">
        <v>522206</v>
      </c>
      <c r="G398" s="149">
        <v>172346</v>
      </c>
      <c r="H398" s="150" t="s">
        <v>166</v>
      </c>
      <c r="I398" s="151">
        <v>44904</v>
      </c>
      <c r="J398" s="151"/>
      <c r="K398" s="149">
        <v>0</v>
      </c>
      <c r="L398" s="149">
        <v>14</v>
      </c>
      <c r="M398" s="149">
        <v>14</v>
      </c>
      <c r="N398" s="149">
        <v>14</v>
      </c>
      <c r="O398" s="149">
        <v>14</v>
      </c>
      <c r="P398" s="152" t="s">
        <v>327</v>
      </c>
      <c r="Q398" s="150" t="s">
        <v>1314</v>
      </c>
      <c r="R398" s="150" t="s">
        <v>329</v>
      </c>
      <c r="S398" s="151">
        <v>44390</v>
      </c>
      <c r="T398" s="151">
        <v>44636</v>
      </c>
      <c r="U398" s="152"/>
      <c r="V398" s="150" t="s">
        <v>330</v>
      </c>
      <c r="W398" s="151"/>
      <c r="X398" s="150" t="s">
        <v>331</v>
      </c>
      <c r="Y398" s="150" t="s">
        <v>343</v>
      </c>
      <c r="Z398" s="150" t="s">
        <v>343</v>
      </c>
      <c r="AA398" s="150" t="s">
        <v>334</v>
      </c>
      <c r="AB398" s="153">
        <v>2.5000000000000001E-2</v>
      </c>
      <c r="AC398" s="151">
        <v>44904</v>
      </c>
      <c r="AD398" s="150"/>
      <c r="AE398" s="151"/>
      <c r="AF398" s="150" t="s">
        <v>49</v>
      </c>
      <c r="AG398" s="152" t="s">
        <v>470</v>
      </c>
      <c r="AH398" s="150" t="s">
        <v>326</v>
      </c>
      <c r="AI398" s="99"/>
      <c r="AJ398" s="149"/>
      <c r="AK398" s="102"/>
      <c r="AL398" s="149"/>
      <c r="AM398" s="149">
        <v>2</v>
      </c>
      <c r="AN398" s="149">
        <v>0</v>
      </c>
      <c r="AO398" s="149">
        <v>4</v>
      </c>
      <c r="AP398" s="149">
        <v>6</v>
      </c>
      <c r="AQ398" s="149">
        <v>4</v>
      </c>
      <c r="AR398" s="149">
        <v>0</v>
      </c>
      <c r="AS398" s="149">
        <v>0</v>
      </c>
      <c r="AT398" s="149">
        <v>0</v>
      </c>
      <c r="AU398" s="149">
        <v>0</v>
      </c>
      <c r="AV398" s="149">
        <v>4</v>
      </c>
      <c r="AW398" s="149">
        <v>6</v>
      </c>
      <c r="AX398" s="149">
        <v>4</v>
      </c>
      <c r="AY398" s="149">
        <v>0</v>
      </c>
      <c r="AZ398" s="149">
        <v>0</v>
      </c>
      <c r="BA398" s="149">
        <v>0</v>
      </c>
      <c r="BB398" s="149">
        <v>0</v>
      </c>
      <c r="BC398" s="149">
        <v>0</v>
      </c>
      <c r="BD398" s="149">
        <v>0</v>
      </c>
      <c r="BE398" s="149">
        <v>0</v>
      </c>
      <c r="BF398" s="149">
        <v>0</v>
      </c>
      <c r="BG398" s="149">
        <v>0</v>
      </c>
      <c r="BH398" s="149">
        <v>0</v>
      </c>
      <c r="BI398" s="149">
        <v>0</v>
      </c>
      <c r="BJ398" s="149">
        <v>0</v>
      </c>
      <c r="BK398" s="149">
        <v>0</v>
      </c>
      <c r="BL398" s="149">
        <v>0</v>
      </c>
      <c r="BM398" s="149">
        <v>0</v>
      </c>
      <c r="BN398" s="149">
        <v>0</v>
      </c>
      <c r="BO398" s="149">
        <v>0</v>
      </c>
      <c r="BP398" s="152"/>
      <c r="BQ398" s="152"/>
      <c r="BR398" s="154" t="s">
        <v>359</v>
      </c>
      <c r="BS398" s="136">
        <v>2</v>
      </c>
      <c r="BT398" s="267"/>
      <c r="BU398" s="267"/>
      <c r="BV398" s="267">
        <f>M398</f>
        <v>14</v>
      </c>
      <c r="BW398" s="267"/>
      <c r="BX398" s="267"/>
      <c r="BY398" s="267"/>
      <c r="BZ398" s="267"/>
      <c r="CA398" s="267"/>
      <c r="CB398" s="267"/>
      <c r="CC398" s="267"/>
      <c r="CD398" s="267"/>
      <c r="CE398" s="267"/>
      <c r="CF398" s="267"/>
      <c r="CG398" s="267"/>
      <c r="CH398" s="267"/>
      <c r="CI398" s="267"/>
      <c r="CJ398" s="267"/>
      <c r="CK398" s="267"/>
      <c r="CL398" s="267"/>
      <c r="CM398" s="267"/>
      <c r="CN398" s="101">
        <f t="shared" si="28"/>
        <v>14</v>
      </c>
      <c r="CO398" s="101">
        <f t="shared" si="29"/>
        <v>14</v>
      </c>
    </row>
    <row r="399" spans="1:93" ht="13.9" customHeight="1" x14ac:dyDescent="0.2">
      <c r="A399" s="149">
        <v>6955</v>
      </c>
      <c r="B399" s="150" t="s">
        <v>854</v>
      </c>
      <c r="C399" s="150" t="s">
        <v>1315</v>
      </c>
      <c r="D399" s="150" t="s">
        <v>1316</v>
      </c>
      <c r="E399" s="150" t="s">
        <v>326</v>
      </c>
      <c r="F399" s="149">
        <v>526542</v>
      </c>
      <c r="G399" s="149">
        <v>174943</v>
      </c>
      <c r="H399" s="150" t="s">
        <v>177</v>
      </c>
      <c r="I399" s="151">
        <v>44553</v>
      </c>
      <c r="J399" s="151"/>
      <c r="K399" s="149">
        <v>0</v>
      </c>
      <c r="L399" s="149">
        <v>8</v>
      </c>
      <c r="M399" s="149">
        <v>8</v>
      </c>
      <c r="N399" s="149">
        <v>8</v>
      </c>
      <c r="O399" s="149">
        <v>8</v>
      </c>
      <c r="P399" s="152"/>
      <c r="Q399" s="150" t="s">
        <v>1317</v>
      </c>
      <c r="R399" s="150" t="s">
        <v>349</v>
      </c>
      <c r="S399" s="151">
        <v>43605</v>
      </c>
      <c r="T399" s="151">
        <v>43700</v>
      </c>
      <c r="U399" s="152"/>
      <c r="V399" s="150" t="s">
        <v>330</v>
      </c>
      <c r="W399" s="151"/>
      <c r="X399" s="150" t="s">
        <v>331</v>
      </c>
      <c r="Y399" s="150" t="s">
        <v>343</v>
      </c>
      <c r="Z399" s="150" t="s">
        <v>334</v>
      </c>
      <c r="AA399" s="150" t="s">
        <v>363</v>
      </c>
      <c r="AB399" s="153">
        <v>2.5000000000000001E-2</v>
      </c>
      <c r="AC399" s="151">
        <v>44553</v>
      </c>
      <c r="AD399" s="150"/>
      <c r="AE399" s="151"/>
      <c r="AF399" s="150" t="s">
        <v>70</v>
      </c>
      <c r="AG399" s="152" t="s">
        <v>352</v>
      </c>
      <c r="AH399" s="150" t="s">
        <v>326</v>
      </c>
      <c r="AI399" s="99"/>
      <c r="AJ399" s="149"/>
      <c r="AK399" s="102"/>
      <c r="AL399" s="149"/>
      <c r="AM399" s="99"/>
      <c r="AN399" s="149">
        <v>0</v>
      </c>
      <c r="AO399" s="149">
        <v>2</v>
      </c>
      <c r="AP399" s="149">
        <v>5</v>
      </c>
      <c r="AQ399" s="149">
        <v>1</v>
      </c>
      <c r="AR399" s="149">
        <v>0</v>
      </c>
      <c r="AS399" s="149">
        <v>0</v>
      </c>
      <c r="AT399" s="149">
        <v>0</v>
      </c>
      <c r="AU399" s="149">
        <v>0</v>
      </c>
      <c r="AV399" s="149">
        <v>2</v>
      </c>
      <c r="AW399" s="149">
        <v>5</v>
      </c>
      <c r="AX399" s="149">
        <v>1</v>
      </c>
      <c r="AY399" s="149">
        <v>0</v>
      </c>
      <c r="AZ399" s="149">
        <v>0</v>
      </c>
      <c r="BA399" s="149">
        <v>0</v>
      </c>
      <c r="BB399" s="149">
        <v>0</v>
      </c>
      <c r="BC399" s="149">
        <v>0</v>
      </c>
      <c r="BD399" s="149">
        <v>0</v>
      </c>
      <c r="BE399" s="149">
        <v>0</v>
      </c>
      <c r="BF399" s="149">
        <v>0</v>
      </c>
      <c r="BG399" s="149">
        <v>0</v>
      </c>
      <c r="BH399" s="149">
        <v>0</v>
      </c>
      <c r="BI399" s="149">
        <v>0</v>
      </c>
      <c r="BJ399" s="149">
        <v>0</v>
      </c>
      <c r="BK399" s="149">
        <v>0</v>
      </c>
      <c r="BL399" s="149">
        <v>0</v>
      </c>
      <c r="BM399" s="149">
        <v>0</v>
      </c>
      <c r="BN399" s="149">
        <v>0</v>
      </c>
      <c r="BO399" s="149">
        <v>0</v>
      </c>
      <c r="BP399" s="152"/>
      <c r="BQ399" s="152"/>
      <c r="BR399" s="154" t="s">
        <v>359</v>
      </c>
      <c r="BS399" s="136">
        <v>2</v>
      </c>
      <c r="BT399" s="267"/>
      <c r="BU399" s="267">
        <f>M399</f>
        <v>8</v>
      </c>
      <c r="BV399" s="267"/>
      <c r="BW399" s="267"/>
      <c r="BX399" s="267"/>
      <c r="BY399" s="267"/>
      <c r="BZ399" s="267"/>
      <c r="CA399" s="267"/>
      <c r="CB399" s="267"/>
      <c r="CC399" s="267"/>
      <c r="CD399" s="267"/>
      <c r="CE399" s="267"/>
      <c r="CF399" s="267"/>
      <c r="CG399" s="267"/>
      <c r="CH399" s="267"/>
      <c r="CI399" s="267"/>
      <c r="CJ399" s="267"/>
      <c r="CK399" s="267"/>
      <c r="CL399" s="267"/>
      <c r="CM399" s="267"/>
      <c r="CN399" s="101">
        <f t="shared" si="28"/>
        <v>8</v>
      </c>
      <c r="CO399" s="101">
        <f t="shared" si="29"/>
        <v>8</v>
      </c>
    </row>
    <row r="400" spans="1:93" ht="13.9" customHeight="1" x14ac:dyDescent="0.2">
      <c r="A400" s="149">
        <v>6988</v>
      </c>
      <c r="B400" s="150" t="s">
        <v>854</v>
      </c>
      <c r="C400" s="150" t="s">
        <v>1318</v>
      </c>
      <c r="D400" s="150" t="s">
        <v>1319</v>
      </c>
      <c r="E400" s="150" t="s">
        <v>326</v>
      </c>
      <c r="F400" s="149">
        <v>526452</v>
      </c>
      <c r="G400" s="149">
        <v>173866</v>
      </c>
      <c r="H400" s="150" t="s">
        <v>175</v>
      </c>
      <c r="I400" s="151">
        <v>44740</v>
      </c>
      <c r="J400" s="151"/>
      <c r="K400" s="149">
        <v>1</v>
      </c>
      <c r="L400" s="149">
        <v>8</v>
      </c>
      <c r="M400" s="149">
        <v>7</v>
      </c>
      <c r="N400" s="149">
        <v>8</v>
      </c>
      <c r="O400" s="149">
        <v>7</v>
      </c>
      <c r="P400" s="152"/>
      <c r="Q400" s="150" t="s">
        <v>1320</v>
      </c>
      <c r="R400" s="150" t="s">
        <v>349</v>
      </c>
      <c r="S400" s="151">
        <v>44298</v>
      </c>
      <c r="T400" s="151">
        <v>44404</v>
      </c>
      <c r="U400" s="152"/>
      <c r="V400" s="150" t="s">
        <v>330</v>
      </c>
      <c r="W400" s="151"/>
      <c r="X400" s="150" t="s">
        <v>331</v>
      </c>
      <c r="Y400" s="150" t="s">
        <v>398</v>
      </c>
      <c r="Z400" s="150" t="s">
        <v>334</v>
      </c>
      <c r="AA400" s="150" t="s">
        <v>16</v>
      </c>
      <c r="AB400" s="153">
        <v>1.6199999999999999E-2</v>
      </c>
      <c r="AC400" s="151">
        <v>44740</v>
      </c>
      <c r="AD400" s="150"/>
      <c r="AE400" s="151"/>
      <c r="AF400" s="150" t="s">
        <v>70</v>
      </c>
      <c r="AG400" s="152" t="s">
        <v>352</v>
      </c>
      <c r="AH400" s="150" t="s">
        <v>326</v>
      </c>
      <c r="AI400" s="99"/>
      <c r="AJ400" s="149"/>
      <c r="AK400" s="102"/>
      <c r="AL400" s="149"/>
      <c r="AM400" s="99"/>
      <c r="AN400" s="149">
        <v>0</v>
      </c>
      <c r="AO400" s="149">
        <v>3</v>
      </c>
      <c r="AP400" s="149">
        <v>2</v>
      </c>
      <c r="AQ400" s="149">
        <v>3</v>
      </c>
      <c r="AR400" s="149">
        <v>0</v>
      </c>
      <c r="AS400" s="149">
        <v>-1</v>
      </c>
      <c r="AT400" s="149">
        <v>0</v>
      </c>
      <c r="AU400" s="149">
        <v>0</v>
      </c>
      <c r="AV400" s="149">
        <v>3</v>
      </c>
      <c r="AW400" s="149">
        <v>2</v>
      </c>
      <c r="AX400" s="149">
        <v>3</v>
      </c>
      <c r="AY400" s="149">
        <v>0</v>
      </c>
      <c r="AZ400" s="149">
        <v>0</v>
      </c>
      <c r="BA400" s="149">
        <v>0</v>
      </c>
      <c r="BB400" s="149">
        <v>0</v>
      </c>
      <c r="BC400" s="149">
        <v>0</v>
      </c>
      <c r="BD400" s="149">
        <v>0</v>
      </c>
      <c r="BE400" s="149">
        <v>0</v>
      </c>
      <c r="BF400" s="149">
        <v>0</v>
      </c>
      <c r="BG400" s="149">
        <v>-1</v>
      </c>
      <c r="BH400" s="149">
        <v>0</v>
      </c>
      <c r="BI400" s="149">
        <v>0</v>
      </c>
      <c r="BJ400" s="149">
        <v>0</v>
      </c>
      <c r="BK400" s="149">
        <v>0</v>
      </c>
      <c r="BL400" s="149">
        <v>0</v>
      </c>
      <c r="BM400" s="149">
        <v>0</v>
      </c>
      <c r="BN400" s="149">
        <v>0</v>
      </c>
      <c r="BO400" s="149">
        <v>0</v>
      </c>
      <c r="BP400" s="152"/>
      <c r="BQ400" s="152"/>
      <c r="BR400" s="154" t="s">
        <v>359</v>
      </c>
      <c r="BS400" s="136">
        <v>12</v>
      </c>
      <c r="BT400" s="267"/>
      <c r="BU400" s="267"/>
      <c r="BV400" s="267">
        <f>M400</f>
        <v>7</v>
      </c>
      <c r="BW400" s="267"/>
      <c r="BX400" s="267"/>
      <c r="BY400" s="267"/>
      <c r="BZ400" s="267"/>
      <c r="CA400" s="267"/>
      <c r="CB400" s="267"/>
      <c r="CC400" s="267"/>
      <c r="CD400" s="267"/>
      <c r="CE400" s="267"/>
      <c r="CF400" s="267"/>
      <c r="CG400" s="267"/>
      <c r="CH400" s="267"/>
      <c r="CI400" s="267"/>
      <c r="CJ400" s="267"/>
      <c r="CK400" s="267"/>
      <c r="CL400" s="267"/>
      <c r="CM400" s="267"/>
      <c r="CN400" s="101">
        <f t="shared" si="28"/>
        <v>7</v>
      </c>
      <c r="CO400" s="101">
        <f t="shared" si="29"/>
        <v>7</v>
      </c>
    </row>
    <row r="401" spans="1:93" ht="13.9" customHeight="1" x14ac:dyDescent="0.2">
      <c r="A401" s="149">
        <v>7024</v>
      </c>
      <c r="B401" s="150" t="s">
        <v>854</v>
      </c>
      <c r="C401" s="150" t="s">
        <v>1321</v>
      </c>
      <c r="D401" s="150" t="s">
        <v>1322</v>
      </c>
      <c r="E401" s="150" t="s">
        <v>326</v>
      </c>
      <c r="F401" s="149">
        <v>526226</v>
      </c>
      <c r="G401" s="149">
        <v>174119</v>
      </c>
      <c r="H401" s="150" t="s">
        <v>175</v>
      </c>
      <c r="I401" s="151">
        <v>45382</v>
      </c>
      <c r="J401" s="151"/>
      <c r="K401" s="149">
        <v>5</v>
      </c>
      <c r="L401" s="149">
        <v>6</v>
      </c>
      <c r="M401" s="149">
        <v>1</v>
      </c>
      <c r="N401" s="149">
        <v>6</v>
      </c>
      <c r="O401" s="149">
        <v>1</v>
      </c>
      <c r="P401" s="152"/>
      <c r="Q401" s="150" t="s">
        <v>1323</v>
      </c>
      <c r="R401" s="150" t="s">
        <v>349</v>
      </c>
      <c r="S401" s="151">
        <v>44405</v>
      </c>
      <c r="T401" s="151">
        <v>44545</v>
      </c>
      <c r="U401" s="152"/>
      <c r="V401" s="150" t="s">
        <v>330</v>
      </c>
      <c r="W401" s="151"/>
      <c r="X401" s="150" t="s">
        <v>331</v>
      </c>
      <c r="Y401" s="150" t="s">
        <v>350</v>
      </c>
      <c r="Z401" s="150" t="s">
        <v>334</v>
      </c>
      <c r="AA401" s="150" t="s">
        <v>399</v>
      </c>
      <c r="AB401" s="153">
        <v>1.0999999999999999E-2</v>
      </c>
      <c r="AC401" s="151">
        <v>45382</v>
      </c>
      <c r="AD401" s="152" t="s">
        <v>327</v>
      </c>
      <c r="AE401" s="151"/>
      <c r="AF401" s="150" t="s">
        <v>70</v>
      </c>
      <c r="AG401" s="152" t="s">
        <v>352</v>
      </c>
      <c r="AH401" s="150" t="s">
        <v>326</v>
      </c>
      <c r="AI401" s="99"/>
      <c r="AJ401" s="149"/>
      <c r="AK401" s="102"/>
      <c r="AL401" s="149"/>
      <c r="AM401" s="99"/>
      <c r="AN401" s="149">
        <v>0</v>
      </c>
      <c r="AO401" s="149">
        <v>0</v>
      </c>
      <c r="AP401" s="149">
        <v>1</v>
      </c>
      <c r="AQ401" s="149">
        <v>0</v>
      </c>
      <c r="AR401" s="149">
        <v>0</v>
      </c>
      <c r="AS401" s="149">
        <v>0</v>
      </c>
      <c r="AT401" s="149">
        <v>0</v>
      </c>
      <c r="AU401" s="149">
        <v>0</v>
      </c>
      <c r="AV401" s="149">
        <v>0</v>
      </c>
      <c r="AW401" s="149">
        <v>1</v>
      </c>
      <c r="AX401" s="149">
        <v>0</v>
      </c>
      <c r="AY401" s="149">
        <v>0</v>
      </c>
      <c r="AZ401" s="149">
        <v>0</v>
      </c>
      <c r="BA401" s="149">
        <v>0</v>
      </c>
      <c r="BB401" s="149">
        <v>0</v>
      </c>
      <c r="BC401" s="149">
        <v>0</v>
      </c>
      <c r="BD401" s="149">
        <v>0</v>
      </c>
      <c r="BE401" s="149">
        <v>0</v>
      </c>
      <c r="BF401" s="149">
        <v>0</v>
      </c>
      <c r="BG401" s="149">
        <v>0</v>
      </c>
      <c r="BH401" s="149">
        <v>0</v>
      </c>
      <c r="BI401" s="149">
        <v>0</v>
      </c>
      <c r="BJ401" s="149">
        <v>0</v>
      </c>
      <c r="BK401" s="149">
        <v>0</v>
      </c>
      <c r="BL401" s="149">
        <v>0</v>
      </c>
      <c r="BM401" s="149">
        <v>0</v>
      </c>
      <c r="BN401" s="149">
        <v>0</v>
      </c>
      <c r="BO401" s="149">
        <v>0</v>
      </c>
      <c r="BP401" s="152"/>
      <c r="BQ401" s="152"/>
      <c r="BR401" s="154" t="s">
        <v>359</v>
      </c>
      <c r="BS401" s="136">
        <v>12</v>
      </c>
      <c r="BT401" s="267"/>
      <c r="BU401" s="267">
        <f>M401</f>
        <v>1</v>
      </c>
      <c r="BV401" s="267"/>
      <c r="BW401" s="267"/>
      <c r="BX401" s="267"/>
      <c r="BY401" s="267"/>
      <c r="BZ401" s="267"/>
      <c r="CA401" s="267"/>
      <c r="CB401" s="267"/>
      <c r="CC401" s="267"/>
      <c r="CD401" s="267"/>
      <c r="CE401" s="267"/>
      <c r="CF401" s="267"/>
      <c r="CG401" s="267"/>
      <c r="CH401" s="267"/>
      <c r="CI401" s="267"/>
      <c r="CJ401" s="267"/>
      <c r="CK401" s="267"/>
      <c r="CL401" s="267"/>
      <c r="CM401" s="267"/>
      <c r="CN401" s="101">
        <f t="shared" si="28"/>
        <v>1</v>
      </c>
      <c r="CO401" s="101">
        <f t="shared" si="29"/>
        <v>1</v>
      </c>
    </row>
    <row r="402" spans="1:93" ht="13.9" customHeight="1" x14ac:dyDescent="0.2">
      <c r="A402" s="149">
        <v>7912</v>
      </c>
      <c r="B402" s="150" t="s">
        <v>854</v>
      </c>
      <c r="C402" s="150" t="s">
        <v>1324</v>
      </c>
      <c r="D402" s="150" t="s">
        <v>1325</v>
      </c>
      <c r="E402" s="150" t="s">
        <v>326</v>
      </c>
      <c r="F402" s="149">
        <v>527318</v>
      </c>
      <c r="G402" s="149">
        <v>171548</v>
      </c>
      <c r="H402" s="150" t="s">
        <v>173</v>
      </c>
      <c r="I402" s="151">
        <v>45016</v>
      </c>
      <c r="J402" s="151"/>
      <c r="K402" s="149">
        <v>1</v>
      </c>
      <c r="L402" s="149">
        <v>3</v>
      </c>
      <c r="M402" s="149">
        <v>2</v>
      </c>
      <c r="N402" s="149">
        <v>3</v>
      </c>
      <c r="O402" s="149">
        <v>2</v>
      </c>
      <c r="P402" s="152"/>
      <c r="Q402" s="150" t="s">
        <v>1326</v>
      </c>
      <c r="R402" s="150" t="s">
        <v>349</v>
      </c>
      <c r="S402" s="151">
        <v>44855</v>
      </c>
      <c r="T402" s="151">
        <v>44936</v>
      </c>
      <c r="U402" s="152"/>
      <c r="V402" s="150" t="s">
        <v>330</v>
      </c>
      <c r="W402" s="151"/>
      <c r="X402" s="150" t="s">
        <v>331</v>
      </c>
      <c r="Y402" s="150" t="s">
        <v>398</v>
      </c>
      <c r="Z402" s="150" t="s">
        <v>334</v>
      </c>
      <c r="AA402" s="150" t="s">
        <v>16</v>
      </c>
      <c r="AB402" s="153">
        <v>5.8333329999999996E-3</v>
      </c>
      <c r="AC402" s="151">
        <v>45016</v>
      </c>
      <c r="AD402" s="150"/>
      <c r="AE402" s="151"/>
      <c r="AF402" s="150" t="s">
        <v>70</v>
      </c>
      <c r="AG402" s="152" t="s">
        <v>352</v>
      </c>
      <c r="AH402" s="150" t="s">
        <v>326</v>
      </c>
      <c r="AI402" s="99"/>
      <c r="AJ402" s="149"/>
      <c r="AK402" s="99"/>
      <c r="AL402" s="149"/>
      <c r="AM402" s="99"/>
      <c r="AN402" s="149">
        <v>0</v>
      </c>
      <c r="AO402" s="149">
        <v>1</v>
      </c>
      <c r="AP402" s="149">
        <v>1</v>
      </c>
      <c r="AQ402" s="149">
        <v>1</v>
      </c>
      <c r="AR402" s="149">
        <v>0</v>
      </c>
      <c r="AS402" s="149">
        <v>-1</v>
      </c>
      <c r="AT402" s="149">
        <v>0</v>
      </c>
      <c r="AU402" s="149">
        <v>0</v>
      </c>
      <c r="AV402" s="149">
        <v>1</v>
      </c>
      <c r="AW402" s="149">
        <v>1</v>
      </c>
      <c r="AX402" s="149">
        <v>1</v>
      </c>
      <c r="AY402" s="149">
        <v>0</v>
      </c>
      <c r="AZ402" s="149">
        <v>0</v>
      </c>
      <c r="BA402" s="149">
        <v>0</v>
      </c>
      <c r="BB402" s="149">
        <v>0</v>
      </c>
      <c r="BC402" s="149">
        <v>0</v>
      </c>
      <c r="BD402" s="149">
        <v>0</v>
      </c>
      <c r="BE402" s="149">
        <v>0</v>
      </c>
      <c r="BF402" s="149">
        <v>0</v>
      </c>
      <c r="BG402" s="149">
        <v>-1</v>
      </c>
      <c r="BH402" s="149">
        <v>0</v>
      </c>
      <c r="BI402" s="149">
        <v>0</v>
      </c>
      <c r="BJ402" s="149">
        <v>0</v>
      </c>
      <c r="BK402" s="149">
        <v>0</v>
      </c>
      <c r="BL402" s="149">
        <v>0</v>
      </c>
      <c r="BM402" s="149">
        <v>0</v>
      </c>
      <c r="BN402" s="149">
        <v>0</v>
      </c>
      <c r="BO402" s="149">
        <v>0</v>
      </c>
      <c r="BP402" s="152"/>
      <c r="BQ402" s="152"/>
      <c r="BR402" s="154" t="s">
        <v>142</v>
      </c>
      <c r="BS402" s="136">
        <v>13</v>
      </c>
      <c r="BT402" s="267"/>
      <c r="BU402" s="267">
        <f>M402</f>
        <v>2</v>
      </c>
      <c r="BV402" s="267"/>
      <c r="BW402" s="267"/>
      <c r="BX402" s="267"/>
      <c r="BY402" s="267"/>
      <c r="BZ402" s="267"/>
      <c r="CA402" s="267"/>
      <c r="CB402" s="267"/>
      <c r="CC402" s="267"/>
      <c r="CD402" s="267"/>
      <c r="CE402" s="267"/>
      <c r="CF402" s="267"/>
      <c r="CG402" s="267"/>
      <c r="CH402" s="267"/>
      <c r="CI402" s="267"/>
      <c r="CJ402" s="267"/>
      <c r="CK402" s="267"/>
      <c r="CL402" s="267"/>
      <c r="CM402" s="267"/>
      <c r="CN402" s="101">
        <f t="shared" si="28"/>
        <v>2</v>
      </c>
      <c r="CO402" s="101">
        <f t="shared" si="29"/>
        <v>2</v>
      </c>
    </row>
    <row r="403" spans="1:93" ht="13.9" customHeight="1" x14ac:dyDescent="0.2">
      <c r="A403" s="149">
        <v>7754</v>
      </c>
      <c r="B403" s="150" t="s">
        <v>854</v>
      </c>
      <c r="C403" s="150" t="s">
        <v>1327</v>
      </c>
      <c r="D403" s="150" t="s">
        <v>1328</v>
      </c>
      <c r="E403" s="150" t="s">
        <v>326</v>
      </c>
      <c r="F403" s="149">
        <v>523504</v>
      </c>
      <c r="G403" s="149">
        <v>175361</v>
      </c>
      <c r="H403" s="150" t="s">
        <v>171</v>
      </c>
      <c r="I403" s="151">
        <v>45141</v>
      </c>
      <c r="J403" s="151"/>
      <c r="K403" s="149">
        <v>7</v>
      </c>
      <c r="L403" s="149">
        <v>1</v>
      </c>
      <c r="M403" s="149">
        <v>-6</v>
      </c>
      <c r="N403" s="149">
        <v>1</v>
      </c>
      <c r="O403" s="149">
        <v>-6</v>
      </c>
      <c r="P403" s="152"/>
      <c r="Q403" s="150" t="s">
        <v>1329</v>
      </c>
      <c r="R403" s="150" t="s">
        <v>349</v>
      </c>
      <c r="S403" s="151">
        <v>44894</v>
      </c>
      <c r="T403" s="151">
        <v>44965</v>
      </c>
      <c r="U403" s="152"/>
      <c r="V403" s="150" t="s">
        <v>330</v>
      </c>
      <c r="W403" s="151"/>
      <c r="X403" s="150" t="s">
        <v>331</v>
      </c>
      <c r="Y403" s="150" t="s">
        <v>350</v>
      </c>
      <c r="Z403" s="150" t="s">
        <v>334</v>
      </c>
      <c r="AA403" s="150" t="s">
        <v>18</v>
      </c>
      <c r="AB403" s="153">
        <v>7.1333330000000004E-3</v>
      </c>
      <c r="AC403" s="151">
        <v>45141</v>
      </c>
      <c r="AD403" s="152" t="s">
        <v>327</v>
      </c>
      <c r="AE403" s="151"/>
      <c r="AF403" s="150" t="s">
        <v>70</v>
      </c>
      <c r="AG403" s="152" t="s">
        <v>352</v>
      </c>
      <c r="AH403" s="150" t="s">
        <v>326</v>
      </c>
      <c r="AI403" s="99"/>
      <c r="AJ403" s="149"/>
      <c r="AK403" s="99"/>
      <c r="AL403" s="149"/>
      <c r="AM403" s="99"/>
      <c r="AN403" s="149">
        <v>-7</v>
      </c>
      <c r="AO403" s="149">
        <v>0</v>
      </c>
      <c r="AP403" s="149">
        <v>0</v>
      </c>
      <c r="AQ403" s="149">
        <v>0</v>
      </c>
      <c r="AR403" s="149">
        <v>0</v>
      </c>
      <c r="AS403" s="149">
        <v>1</v>
      </c>
      <c r="AT403" s="149">
        <v>0</v>
      </c>
      <c r="AU403" s="149">
        <v>-7</v>
      </c>
      <c r="AV403" s="149">
        <v>0</v>
      </c>
      <c r="AW403" s="149">
        <v>0</v>
      </c>
      <c r="AX403" s="149">
        <v>0</v>
      </c>
      <c r="AY403" s="149">
        <v>0</v>
      </c>
      <c r="AZ403" s="149">
        <v>0</v>
      </c>
      <c r="BA403" s="149">
        <v>0</v>
      </c>
      <c r="BB403" s="149">
        <v>0</v>
      </c>
      <c r="BC403" s="149">
        <v>0</v>
      </c>
      <c r="BD403" s="149">
        <v>0</v>
      </c>
      <c r="BE403" s="149">
        <v>0</v>
      </c>
      <c r="BF403" s="149">
        <v>0</v>
      </c>
      <c r="BG403" s="149">
        <v>1</v>
      </c>
      <c r="BH403" s="149">
        <v>0</v>
      </c>
      <c r="BI403" s="149">
        <v>0</v>
      </c>
      <c r="BJ403" s="149">
        <v>0</v>
      </c>
      <c r="BK403" s="149">
        <v>0</v>
      </c>
      <c r="BL403" s="149">
        <v>0</v>
      </c>
      <c r="BM403" s="149">
        <v>0</v>
      </c>
      <c r="BN403" s="149">
        <v>0</v>
      </c>
      <c r="BO403" s="149">
        <v>0</v>
      </c>
      <c r="BP403" s="152"/>
      <c r="BQ403" s="152"/>
      <c r="BR403" s="154" t="s">
        <v>359</v>
      </c>
      <c r="BS403" s="136">
        <v>13</v>
      </c>
      <c r="BT403" s="267"/>
      <c r="BU403" s="267">
        <f>M403</f>
        <v>-6</v>
      </c>
      <c r="BV403" s="267"/>
      <c r="BW403" s="267"/>
      <c r="BX403" s="267"/>
      <c r="BY403" s="267"/>
      <c r="BZ403" s="267"/>
      <c r="CA403" s="267"/>
      <c r="CB403" s="267"/>
      <c r="CC403" s="267"/>
      <c r="CD403" s="267"/>
      <c r="CE403" s="267"/>
      <c r="CF403" s="267"/>
      <c r="CG403" s="267"/>
      <c r="CH403" s="267"/>
      <c r="CI403" s="267"/>
      <c r="CJ403" s="267"/>
      <c r="CK403" s="267"/>
      <c r="CL403" s="267"/>
      <c r="CM403" s="267"/>
      <c r="CN403" s="101">
        <f t="shared" si="28"/>
        <v>-6</v>
      </c>
      <c r="CO403" s="101">
        <f t="shared" si="29"/>
        <v>-6</v>
      </c>
    </row>
    <row r="404" spans="1:93" ht="13.9" customHeight="1" x14ac:dyDescent="0.2">
      <c r="A404" s="149">
        <v>7886</v>
      </c>
      <c r="B404" s="150" t="s">
        <v>854</v>
      </c>
      <c r="C404" s="150" t="s">
        <v>1330</v>
      </c>
      <c r="D404" s="150" t="s">
        <v>1331</v>
      </c>
      <c r="E404" s="150" t="s">
        <v>326</v>
      </c>
      <c r="F404" s="149">
        <v>528462</v>
      </c>
      <c r="G404" s="149">
        <v>175439</v>
      </c>
      <c r="H404" s="150" t="s">
        <v>164</v>
      </c>
      <c r="I404" s="151">
        <v>45016</v>
      </c>
      <c r="J404" s="151"/>
      <c r="K404" s="149">
        <v>1</v>
      </c>
      <c r="L404" s="149">
        <v>3</v>
      </c>
      <c r="M404" s="149">
        <v>2</v>
      </c>
      <c r="N404" s="149">
        <v>3</v>
      </c>
      <c r="O404" s="149">
        <v>2</v>
      </c>
      <c r="P404" s="152"/>
      <c r="Q404" s="150" t="s">
        <v>1332</v>
      </c>
      <c r="R404" s="150" t="s">
        <v>349</v>
      </c>
      <c r="S404" s="151">
        <v>44879</v>
      </c>
      <c r="T404" s="151">
        <v>44937</v>
      </c>
      <c r="U404" s="152"/>
      <c r="V404" s="150" t="s">
        <v>330</v>
      </c>
      <c r="W404" s="151"/>
      <c r="X404" s="150" t="s">
        <v>331</v>
      </c>
      <c r="Y404" s="150" t="s">
        <v>350</v>
      </c>
      <c r="Z404" s="150" t="s">
        <v>334</v>
      </c>
      <c r="AA404" s="150" t="s">
        <v>399</v>
      </c>
      <c r="AB404" s="153">
        <v>1.9E-2</v>
      </c>
      <c r="AC404" s="151">
        <v>45016</v>
      </c>
      <c r="AD404" s="150"/>
      <c r="AE404" s="151"/>
      <c r="AF404" s="150" t="s">
        <v>70</v>
      </c>
      <c r="AG404" s="152" t="s">
        <v>352</v>
      </c>
      <c r="AH404" s="150" t="s">
        <v>326</v>
      </c>
      <c r="AI404" s="99"/>
      <c r="AJ404" s="149"/>
      <c r="AK404" s="99"/>
      <c r="AL404" s="149"/>
      <c r="AM404" s="99"/>
      <c r="AN404" s="149">
        <v>0</v>
      </c>
      <c r="AO404" s="149">
        <v>1</v>
      </c>
      <c r="AP404" s="149">
        <v>2</v>
      </c>
      <c r="AQ404" s="149">
        <v>0</v>
      </c>
      <c r="AR404" s="149">
        <v>-1</v>
      </c>
      <c r="AS404" s="149">
        <v>0</v>
      </c>
      <c r="AT404" s="149">
        <v>0</v>
      </c>
      <c r="AU404" s="149">
        <v>0</v>
      </c>
      <c r="AV404" s="149">
        <v>1</v>
      </c>
      <c r="AW404" s="149">
        <v>2</v>
      </c>
      <c r="AX404" s="149">
        <v>0</v>
      </c>
      <c r="AY404" s="149">
        <v>-1</v>
      </c>
      <c r="AZ404" s="149">
        <v>0</v>
      </c>
      <c r="BA404" s="149">
        <v>0</v>
      </c>
      <c r="BB404" s="149">
        <v>0</v>
      </c>
      <c r="BC404" s="149">
        <v>0</v>
      </c>
      <c r="BD404" s="149">
        <v>0</v>
      </c>
      <c r="BE404" s="149">
        <v>0</v>
      </c>
      <c r="BF404" s="149">
        <v>0</v>
      </c>
      <c r="BG404" s="149">
        <v>0</v>
      </c>
      <c r="BH404" s="149">
        <v>0</v>
      </c>
      <c r="BI404" s="149">
        <v>0</v>
      </c>
      <c r="BJ404" s="149">
        <v>0</v>
      </c>
      <c r="BK404" s="149">
        <v>0</v>
      </c>
      <c r="BL404" s="149">
        <v>0</v>
      </c>
      <c r="BM404" s="149">
        <v>0</v>
      </c>
      <c r="BN404" s="149">
        <v>0</v>
      </c>
      <c r="BO404" s="149">
        <v>0</v>
      </c>
      <c r="BP404" s="152"/>
      <c r="BQ404" s="152"/>
      <c r="BR404" s="154" t="s">
        <v>359</v>
      </c>
      <c r="BS404" s="136">
        <v>13</v>
      </c>
      <c r="BT404" s="267"/>
      <c r="BU404" s="267">
        <f>M404</f>
        <v>2</v>
      </c>
      <c r="BV404" s="267"/>
      <c r="BW404" s="267"/>
      <c r="BX404" s="267"/>
      <c r="BY404" s="267"/>
      <c r="BZ404" s="267"/>
      <c r="CA404" s="267"/>
      <c r="CB404" s="267"/>
      <c r="CC404" s="267"/>
      <c r="CD404" s="267"/>
      <c r="CE404" s="267"/>
      <c r="CF404" s="267"/>
      <c r="CG404" s="267"/>
      <c r="CH404" s="267"/>
      <c r="CI404" s="267"/>
      <c r="CJ404" s="267"/>
      <c r="CK404" s="267"/>
      <c r="CL404" s="267"/>
      <c r="CM404" s="267"/>
      <c r="CN404" s="101">
        <f t="shared" si="28"/>
        <v>2</v>
      </c>
      <c r="CO404" s="101">
        <f t="shared" si="29"/>
        <v>2</v>
      </c>
    </row>
    <row r="405" spans="1:93" ht="13.9" customHeight="1" x14ac:dyDescent="0.2">
      <c r="A405" s="149">
        <v>4882</v>
      </c>
      <c r="B405" s="150" t="s">
        <v>854</v>
      </c>
      <c r="C405" s="150" t="s">
        <v>1333</v>
      </c>
      <c r="D405" s="150" t="s">
        <v>1334</v>
      </c>
      <c r="E405" s="150" t="s">
        <v>326</v>
      </c>
      <c r="F405" s="149">
        <v>528475</v>
      </c>
      <c r="G405" s="149">
        <v>173545</v>
      </c>
      <c r="H405" s="150" t="s">
        <v>139</v>
      </c>
      <c r="I405" s="151">
        <v>45382</v>
      </c>
      <c r="J405" s="151"/>
      <c r="K405" s="149">
        <v>2</v>
      </c>
      <c r="L405" s="149">
        <v>1</v>
      </c>
      <c r="M405" s="149">
        <v>-1</v>
      </c>
      <c r="N405" s="149">
        <v>1</v>
      </c>
      <c r="O405" s="149">
        <v>-1</v>
      </c>
      <c r="P405" s="152"/>
      <c r="Q405" s="150" t="s">
        <v>1335</v>
      </c>
      <c r="R405" s="150" t="s">
        <v>349</v>
      </c>
      <c r="S405" s="151">
        <v>44888</v>
      </c>
      <c r="T405" s="151">
        <v>45040</v>
      </c>
      <c r="U405" s="152" t="s">
        <v>327</v>
      </c>
      <c r="V405" s="150" t="s">
        <v>330</v>
      </c>
      <c r="W405" s="151"/>
      <c r="X405" s="150" t="s">
        <v>331</v>
      </c>
      <c r="Y405" s="150" t="s">
        <v>350</v>
      </c>
      <c r="Z405" s="150" t="s">
        <v>334</v>
      </c>
      <c r="AA405" s="150" t="s">
        <v>18</v>
      </c>
      <c r="AB405" s="153">
        <v>1.7999999999999999E-2</v>
      </c>
      <c r="AC405" s="151">
        <v>45382</v>
      </c>
      <c r="AD405" s="152" t="s">
        <v>327</v>
      </c>
      <c r="AE405" s="151"/>
      <c r="AF405" s="150" t="s">
        <v>70</v>
      </c>
      <c r="AG405" s="152" t="s">
        <v>352</v>
      </c>
      <c r="AH405" s="150" t="s">
        <v>326</v>
      </c>
      <c r="AI405" s="99"/>
      <c r="AJ405" s="149"/>
      <c r="AK405" s="99"/>
      <c r="AL405" s="149"/>
      <c r="AM405" s="99"/>
      <c r="AN405" s="149">
        <v>0</v>
      </c>
      <c r="AO405" s="149">
        <v>-1</v>
      </c>
      <c r="AP405" s="149">
        <v>0</v>
      </c>
      <c r="AQ405" s="149">
        <v>0</v>
      </c>
      <c r="AR405" s="149">
        <v>-1</v>
      </c>
      <c r="AS405" s="149">
        <v>1</v>
      </c>
      <c r="AT405" s="149">
        <v>0</v>
      </c>
      <c r="AU405" s="149">
        <v>0</v>
      </c>
      <c r="AV405" s="149">
        <v>-1</v>
      </c>
      <c r="AW405" s="149">
        <v>0</v>
      </c>
      <c r="AX405" s="149">
        <v>0</v>
      </c>
      <c r="AY405" s="149">
        <v>-1</v>
      </c>
      <c r="AZ405" s="149">
        <v>0</v>
      </c>
      <c r="BA405" s="149">
        <v>0</v>
      </c>
      <c r="BB405" s="149">
        <v>0</v>
      </c>
      <c r="BC405" s="149">
        <v>0</v>
      </c>
      <c r="BD405" s="149">
        <v>0</v>
      </c>
      <c r="BE405" s="149">
        <v>0</v>
      </c>
      <c r="BF405" s="149">
        <v>0</v>
      </c>
      <c r="BG405" s="149">
        <v>1</v>
      </c>
      <c r="BH405" s="149">
        <v>0</v>
      </c>
      <c r="BI405" s="149">
        <v>0</v>
      </c>
      <c r="BJ405" s="149">
        <v>0</v>
      </c>
      <c r="BK405" s="149">
        <v>0</v>
      </c>
      <c r="BL405" s="149">
        <v>0</v>
      </c>
      <c r="BM405" s="149">
        <v>0</v>
      </c>
      <c r="BN405" s="149">
        <v>0</v>
      </c>
      <c r="BO405" s="149">
        <v>0</v>
      </c>
      <c r="BP405" s="152"/>
      <c r="BQ405" s="152"/>
      <c r="BR405" s="154" t="s">
        <v>359</v>
      </c>
      <c r="BS405" s="136">
        <v>14</v>
      </c>
      <c r="BT405" s="267"/>
      <c r="BU405" s="267">
        <f>M405/2</f>
        <v>-0.5</v>
      </c>
      <c r="BV405" s="267">
        <f>M405/2</f>
        <v>-0.5</v>
      </c>
      <c r="BW405" s="267"/>
      <c r="BX405" s="267"/>
      <c r="BY405" s="267"/>
      <c r="BZ405" s="267"/>
      <c r="CA405" s="267"/>
      <c r="CB405" s="267"/>
      <c r="CC405" s="267"/>
      <c r="CD405" s="267"/>
      <c r="CE405" s="267"/>
      <c r="CF405" s="267"/>
      <c r="CG405" s="267"/>
      <c r="CH405" s="267"/>
      <c r="CI405" s="267"/>
      <c r="CJ405" s="267"/>
      <c r="CK405" s="267"/>
      <c r="CL405" s="267"/>
      <c r="CM405" s="267"/>
      <c r="CN405" s="101">
        <f t="shared" si="28"/>
        <v>-1</v>
      </c>
      <c r="CO405" s="101">
        <f t="shared" si="29"/>
        <v>-1</v>
      </c>
    </row>
    <row r="406" spans="1:93" ht="13.9" customHeight="1" x14ac:dyDescent="0.2">
      <c r="A406" s="149">
        <v>6657</v>
      </c>
      <c r="B406" s="150" t="s">
        <v>854</v>
      </c>
      <c r="C406" s="150" t="s">
        <v>1308</v>
      </c>
      <c r="D406" s="150" t="s">
        <v>1119</v>
      </c>
      <c r="E406" s="150" t="s">
        <v>1336</v>
      </c>
      <c r="F406" s="149">
        <v>525999</v>
      </c>
      <c r="G406" s="149">
        <v>173647</v>
      </c>
      <c r="H406" s="150" t="s">
        <v>175</v>
      </c>
      <c r="I406" s="151">
        <v>45017</v>
      </c>
      <c r="J406" s="151"/>
      <c r="K406" s="149">
        <v>0</v>
      </c>
      <c r="L406" s="149">
        <v>19</v>
      </c>
      <c r="M406" s="149">
        <v>19</v>
      </c>
      <c r="N406" s="149">
        <v>83</v>
      </c>
      <c r="O406" s="149">
        <v>83</v>
      </c>
      <c r="P406" s="152" t="s">
        <v>327</v>
      </c>
      <c r="Q406" s="150" t="s">
        <v>1310</v>
      </c>
      <c r="R406" s="150" t="s">
        <v>342</v>
      </c>
      <c r="S406" s="151">
        <v>45040</v>
      </c>
      <c r="T406" s="151">
        <v>45104</v>
      </c>
      <c r="U406" s="152" t="s">
        <v>327</v>
      </c>
      <c r="V406" s="150" t="s">
        <v>330</v>
      </c>
      <c r="W406" s="151"/>
      <c r="X406" s="150" t="s">
        <v>331</v>
      </c>
      <c r="Y406" s="150" t="s">
        <v>343</v>
      </c>
      <c r="Z406" s="150" t="s">
        <v>343</v>
      </c>
      <c r="AA406" s="150" t="s">
        <v>334</v>
      </c>
      <c r="AB406" s="153">
        <v>1.4999999999999999E-2</v>
      </c>
      <c r="AC406" s="151">
        <v>45017</v>
      </c>
      <c r="AD406" s="152" t="s">
        <v>327</v>
      </c>
      <c r="AE406" s="151"/>
      <c r="AF406" s="150" t="s">
        <v>49</v>
      </c>
      <c r="AG406" s="152" t="s">
        <v>383</v>
      </c>
      <c r="AH406" s="150" t="s">
        <v>326</v>
      </c>
      <c r="AI406" s="99"/>
      <c r="AJ406" s="149"/>
      <c r="AK406" s="138">
        <v>17</v>
      </c>
      <c r="AL406" s="149"/>
      <c r="AM406" s="138">
        <v>2</v>
      </c>
      <c r="AN406" s="149">
        <v>0</v>
      </c>
      <c r="AO406" s="149">
        <v>2</v>
      </c>
      <c r="AP406" s="149">
        <v>13</v>
      </c>
      <c r="AQ406" s="149">
        <v>4</v>
      </c>
      <c r="AR406" s="149">
        <v>0</v>
      </c>
      <c r="AS406" s="149">
        <v>0</v>
      </c>
      <c r="AT406" s="149">
        <v>0</v>
      </c>
      <c r="AU406" s="149">
        <v>0</v>
      </c>
      <c r="AV406" s="149">
        <v>2</v>
      </c>
      <c r="AW406" s="149">
        <v>13</v>
      </c>
      <c r="AX406" s="149">
        <v>4</v>
      </c>
      <c r="AY406" s="149">
        <v>0</v>
      </c>
      <c r="AZ406" s="149">
        <v>0</v>
      </c>
      <c r="BA406" s="149">
        <v>0</v>
      </c>
      <c r="BB406" s="149">
        <v>0</v>
      </c>
      <c r="BC406" s="149">
        <v>0</v>
      </c>
      <c r="BD406" s="149">
        <v>0</v>
      </c>
      <c r="BE406" s="149">
        <v>0</v>
      </c>
      <c r="BF406" s="149">
        <v>0</v>
      </c>
      <c r="BG406" s="149">
        <v>0</v>
      </c>
      <c r="BH406" s="149">
        <v>0</v>
      </c>
      <c r="BI406" s="149">
        <v>0</v>
      </c>
      <c r="BJ406" s="149">
        <v>0</v>
      </c>
      <c r="BK406" s="149">
        <v>0</v>
      </c>
      <c r="BL406" s="149">
        <v>0</v>
      </c>
      <c r="BM406" s="149">
        <v>0</v>
      </c>
      <c r="BN406" s="149">
        <v>0</v>
      </c>
      <c r="BO406" s="149">
        <v>0</v>
      </c>
      <c r="BP406" s="152"/>
      <c r="BQ406" s="152"/>
      <c r="BR406" s="154" t="s">
        <v>359</v>
      </c>
      <c r="BS406" s="136">
        <v>5</v>
      </c>
      <c r="BT406" s="267"/>
      <c r="BU406" s="267"/>
      <c r="BV406" s="267"/>
      <c r="BW406" s="267"/>
      <c r="BX406" s="267"/>
      <c r="BY406" s="267">
        <f>M406</f>
        <v>19</v>
      </c>
      <c r="BZ406" s="267"/>
      <c r="CA406" s="267"/>
      <c r="CB406" s="267"/>
      <c r="CC406" s="267"/>
      <c r="CD406" s="267"/>
      <c r="CE406" s="267"/>
      <c r="CF406" s="267"/>
      <c r="CG406" s="267"/>
      <c r="CH406" s="267"/>
      <c r="CI406" s="267"/>
      <c r="CJ406" s="267"/>
      <c r="CK406" s="267"/>
      <c r="CL406" s="267"/>
      <c r="CM406" s="267"/>
      <c r="CN406" s="101">
        <f t="shared" si="28"/>
        <v>19</v>
      </c>
      <c r="CO406" s="101">
        <f t="shared" si="29"/>
        <v>19</v>
      </c>
    </row>
    <row r="407" spans="1:93" ht="13.9" customHeight="1" x14ac:dyDescent="0.2">
      <c r="A407" s="149">
        <v>6657</v>
      </c>
      <c r="B407" s="150" t="s">
        <v>854</v>
      </c>
      <c r="C407" s="150" t="s">
        <v>1308</v>
      </c>
      <c r="D407" s="150" t="s">
        <v>1119</v>
      </c>
      <c r="E407" s="150" t="s">
        <v>1337</v>
      </c>
      <c r="F407" s="149">
        <v>525999</v>
      </c>
      <c r="G407" s="149">
        <v>173647</v>
      </c>
      <c r="H407" s="150" t="s">
        <v>175</v>
      </c>
      <c r="I407" s="151">
        <v>45017</v>
      </c>
      <c r="J407" s="151"/>
      <c r="K407" s="149">
        <v>0</v>
      </c>
      <c r="L407" s="149">
        <v>19</v>
      </c>
      <c r="M407" s="149">
        <v>19</v>
      </c>
      <c r="N407" s="149">
        <v>83</v>
      </c>
      <c r="O407" s="149">
        <v>83</v>
      </c>
      <c r="P407" s="152" t="s">
        <v>327</v>
      </c>
      <c r="Q407" s="150" t="s">
        <v>1310</v>
      </c>
      <c r="R407" s="150" t="s">
        <v>342</v>
      </c>
      <c r="S407" s="151">
        <v>45040</v>
      </c>
      <c r="T407" s="151">
        <v>45104</v>
      </c>
      <c r="U407" s="152" t="s">
        <v>327</v>
      </c>
      <c r="V407" s="150" t="s">
        <v>330</v>
      </c>
      <c r="W407" s="151"/>
      <c r="X407" s="150" t="s">
        <v>331</v>
      </c>
      <c r="Y407" s="150" t="s">
        <v>343</v>
      </c>
      <c r="Z407" s="150" t="s">
        <v>343</v>
      </c>
      <c r="AA407" s="150" t="s">
        <v>334</v>
      </c>
      <c r="AB407" s="153">
        <v>1.7000000000000001E-2</v>
      </c>
      <c r="AC407" s="151">
        <v>45017</v>
      </c>
      <c r="AD407" s="152" t="s">
        <v>327</v>
      </c>
      <c r="AE407" s="151"/>
      <c r="AF407" s="150" t="s">
        <v>49</v>
      </c>
      <c r="AG407" s="152" t="s">
        <v>383</v>
      </c>
      <c r="AH407" s="150" t="s">
        <v>326</v>
      </c>
      <c r="AI407" s="99"/>
      <c r="AJ407" s="149"/>
      <c r="AK407" s="138">
        <v>18</v>
      </c>
      <c r="AL407" s="149"/>
      <c r="AM407" s="138">
        <v>1</v>
      </c>
      <c r="AN407" s="149">
        <v>0</v>
      </c>
      <c r="AO407" s="149">
        <v>7</v>
      </c>
      <c r="AP407" s="149">
        <v>12</v>
      </c>
      <c r="AQ407" s="149">
        <v>0</v>
      </c>
      <c r="AR407" s="149">
        <v>0</v>
      </c>
      <c r="AS407" s="149">
        <v>0</v>
      </c>
      <c r="AT407" s="149">
        <v>0</v>
      </c>
      <c r="AU407" s="149">
        <v>0</v>
      </c>
      <c r="AV407" s="149">
        <v>7</v>
      </c>
      <c r="AW407" s="149">
        <v>12</v>
      </c>
      <c r="AX407" s="149">
        <v>0</v>
      </c>
      <c r="AY407" s="149">
        <v>0</v>
      </c>
      <c r="AZ407" s="149">
        <v>0</v>
      </c>
      <c r="BA407" s="149">
        <v>0</v>
      </c>
      <c r="BB407" s="149">
        <v>0</v>
      </c>
      <c r="BC407" s="149">
        <v>0</v>
      </c>
      <c r="BD407" s="149">
        <v>0</v>
      </c>
      <c r="BE407" s="149">
        <v>0</v>
      </c>
      <c r="BF407" s="149">
        <v>0</v>
      </c>
      <c r="BG407" s="149">
        <v>0</v>
      </c>
      <c r="BH407" s="149">
        <v>0</v>
      </c>
      <c r="BI407" s="149">
        <v>0</v>
      </c>
      <c r="BJ407" s="149">
        <v>0</v>
      </c>
      <c r="BK407" s="149">
        <v>0</v>
      </c>
      <c r="BL407" s="149">
        <v>0</v>
      </c>
      <c r="BM407" s="149">
        <v>0</v>
      </c>
      <c r="BN407" s="149">
        <v>0</v>
      </c>
      <c r="BO407" s="149">
        <v>0</v>
      </c>
      <c r="BP407" s="152"/>
      <c r="BQ407" s="152"/>
      <c r="BR407" s="154" t="s">
        <v>359</v>
      </c>
      <c r="BS407" s="136">
        <v>5</v>
      </c>
      <c r="BT407" s="267"/>
      <c r="BU407" s="267"/>
      <c r="BV407" s="267"/>
      <c r="BW407" s="267"/>
      <c r="BX407" s="267"/>
      <c r="BY407" s="267">
        <f>M407</f>
        <v>19</v>
      </c>
      <c r="BZ407" s="267"/>
      <c r="CA407" s="267"/>
      <c r="CB407" s="267"/>
      <c r="CC407" s="267"/>
      <c r="CD407" s="267"/>
      <c r="CE407" s="267"/>
      <c r="CF407" s="267"/>
      <c r="CG407" s="267"/>
      <c r="CH407" s="267"/>
      <c r="CI407" s="267"/>
      <c r="CJ407" s="267"/>
      <c r="CK407" s="267"/>
      <c r="CL407" s="267"/>
      <c r="CM407" s="267"/>
      <c r="CN407" s="101">
        <f t="shared" si="28"/>
        <v>19</v>
      </c>
      <c r="CO407" s="101">
        <f t="shared" si="29"/>
        <v>19</v>
      </c>
    </row>
    <row r="408" spans="1:93" ht="13.9" customHeight="1" x14ac:dyDescent="0.2">
      <c r="A408" s="149">
        <v>6657</v>
      </c>
      <c r="B408" s="150" t="s">
        <v>854</v>
      </c>
      <c r="C408" s="150" t="s">
        <v>1308</v>
      </c>
      <c r="D408" s="150" t="s">
        <v>1119</v>
      </c>
      <c r="E408" s="150" t="s">
        <v>1338</v>
      </c>
      <c r="F408" s="149">
        <v>525999</v>
      </c>
      <c r="G408" s="149">
        <v>173647</v>
      </c>
      <c r="H408" s="150" t="s">
        <v>175</v>
      </c>
      <c r="I408" s="151">
        <v>45017</v>
      </c>
      <c r="J408" s="151"/>
      <c r="K408" s="149">
        <v>0</v>
      </c>
      <c r="L408" s="149">
        <v>17</v>
      </c>
      <c r="M408" s="149">
        <v>17</v>
      </c>
      <c r="N408" s="149">
        <v>83</v>
      </c>
      <c r="O408" s="149">
        <v>83</v>
      </c>
      <c r="P408" s="152" t="s">
        <v>327</v>
      </c>
      <c r="Q408" s="150" t="s">
        <v>1310</v>
      </c>
      <c r="R408" s="150" t="s">
        <v>342</v>
      </c>
      <c r="S408" s="151">
        <v>45040</v>
      </c>
      <c r="T408" s="151">
        <v>45104</v>
      </c>
      <c r="U408" s="152" t="s">
        <v>327</v>
      </c>
      <c r="V408" s="150" t="s">
        <v>330</v>
      </c>
      <c r="W408" s="151"/>
      <c r="X408" s="150" t="s">
        <v>331</v>
      </c>
      <c r="Y408" s="150" t="s">
        <v>343</v>
      </c>
      <c r="Z408" s="150" t="s">
        <v>343</v>
      </c>
      <c r="AA408" s="150" t="s">
        <v>334</v>
      </c>
      <c r="AB408" s="153">
        <v>1.7000000000000001E-2</v>
      </c>
      <c r="AC408" s="151">
        <v>45017</v>
      </c>
      <c r="AD408" s="152" t="s">
        <v>327</v>
      </c>
      <c r="AE408" s="151"/>
      <c r="AF408" s="150" t="s">
        <v>49</v>
      </c>
      <c r="AG408" s="152" t="s">
        <v>383</v>
      </c>
      <c r="AH408" s="150" t="s">
        <v>326</v>
      </c>
      <c r="AI408" s="99"/>
      <c r="AJ408" s="149"/>
      <c r="AK408" s="138">
        <v>15</v>
      </c>
      <c r="AL408" s="149"/>
      <c r="AM408" s="138">
        <v>2</v>
      </c>
      <c r="AN408" s="149">
        <v>0</v>
      </c>
      <c r="AO408" s="149">
        <v>1</v>
      </c>
      <c r="AP408" s="149">
        <v>12</v>
      </c>
      <c r="AQ408" s="149">
        <v>4</v>
      </c>
      <c r="AR408" s="149">
        <v>0</v>
      </c>
      <c r="AS408" s="149">
        <v>0</v>
      </c>
      <c r="AT408" s="149">
        <v>0</v>
      </c>
      <c r="AU408" s="149">
        <v>0</v>
      </c>
      <c r="AV408" s="149">
        <v>1</v>
      </c>
      <c r="AW408" s="149">
        <v>12</v>
      </c>
      <c r="AX408" s="149">
        <v>4</v>
      </c>
      <c r="AY408" s="149">
        <v>0</v>
      </c>
      <c r="AZ408" s="149">
        <v>0</v>
      </c>
      <c r="BA408" s="149">
        <v>0</v>
      </c>
      <c r="BB408" s="149">
        <v>0</v>
      </c>
      <c r="BC408" s="149">
        <v>0</v>
      </c>
      <c r="BD408" s="149">
        <v>0</v>
      </c>
      <c r="BE408" s="149">
        <v>0</v>
      </c>
      <c r="BF408" s="149">
        <v>0</v>
      </c>
      <c r="BG408" s="149">
        <v>0</v>
      </c>
      <c r="BH408" s="149">
        <v>0</v>
      </c>
      <c r="BI408" s="149">
        <v>0</v>
      </c>
      <c r="BJ408" s="149">
        <v>0</v>
      </c>
      <c r="BK408" s="149">
        <v>0</v>
      </c>
      <c r="BL408" s="149">
        <v>0</v>
      </c>
      <c r="BM408" s="149">
        <v>0</v>
      </c>
      <c r="BN408" s="149">
        <v>0</v>
      </c>
      <c r="BO408" s="149">
        <v>0</v>
      </c>
      <c r="BP408" s="152"/>
      <c r="BQ408" s="152"/>
      <c r="BR408" s="154" t="s">
        <v>359</v>
      </c>
      <c r="BS408" s="136">
        <v>5</v>
      </c>
      <c r="BT408" s="267"/>
      <c r="BU408" s="267"/>
      <c r="BV408" s="267"/>
      <c r="BW408" s="267"/>
      <c r="BX408" s="267"/>
      <c r="BY408" s="267">
        <f>M408</f>
        <v>17</v>
      </c>
      <c r="BZ408" s="267"/>
      <c r="CA408" s="267"/>
      <c r="CB408" s="267"/>
      <c r="CC408" s="267"/>
      <c r="CD408" s="267"/>
      <c r="CE408" s="267"/>
      <c r="CF408" s="267"/>
      <c r="CG408" s="267"/>
      <c r="CH408" s="267"/>
      <c r="CI408" s="267"/>
      <c r="CJ408" s="267"/>
      <c r="CK408" s="267"/>
      <c r="CL408" s="267"/>
      <c r="CM408" s="267"/>
      <c r="CN408" s="101">
        <f t="shared" si="28"/>
        <v>17</v>
      </c>
      <c r="CO408" s="101">
        <f t="shared" si="29"/>
        <v>17</v>
      </c>
    </row>
    <row r="409" spans="1:93" ht="13.9" customHeight="1" x14ac:dyDescent="0.2">
      <c r="A409" s="149">
        <v>6657</v>
      </c>
      <c r="B409" s="150" t="s">
        <v>854</v>
      </c>
      <c r="C409" s="150" t="s">
        <v>1308</v>
      </c>
      <c r="D409" s="150" t="s">
        <v>1119</v>
      </c>
      <c r="E409" s="150" t="s">
        <v>1339</v>
      </c>
      <c r="F409" s="149">
        <v>525999</v>
      </c>
      <c r="G409" s="149">
        <v>173647</v>
      </c>
      <c r="H409" s="150" t="s">
        <v>175</v>
      </c>
      <c r="I409" s="151">
        <v>45017</v>
      </c>
      <c r="J409" s="151"/>
      <c r="K409" s="149">
        <v>0</v>
      </c>
      <c r="L409" s="149">
        <v>8</v>
      </c>
      <c r="M409" s="149">
        <v>8</v>
      </c>
      <c r="N409" s="149">
        <v>83</v>
      </c>
      <c r="O409" s="149">
        <v>83</v>
      </c>
      <c r="P409" s="152" t="s">
        <v>327</v>
      </c>
      <c r="Q409" s="150" t="s">
        <v>1310</v>
      </c>
      <c r="R409" s="150" t="s">
        <v>342</v>
      </c>
      <c r="S409" s="151">
        <v>45040</v>
      </c>
      <c r="T409" s="151">
        <v>45104</v>
      </c>
      <c r="U409" s="152" t="s">
        <v>327</v>
      </c>
      <c r="V409" s="150" t="s">
        <v>330</v>
      </c>
      <c r="W409" s="151"/>
      <c r="X409" s="150" t="s">
        <v>331</v>
      </c>
      <c r="Y409" s="150" t="s">
        <v>343</v>
      </c>
      <c r="Z409" s="150" t="s">
        <v>343</v>
      </c>
      <c r="AA409" s="150" t="s">
        <v>334</v>
      </c>
      <c r="AB409" s="153">
        <v>7.0000000000000001E-3</v>
      </c>
      <c r="AC409" s="151">
        <v>45017</v>
      </c>
      <c r="AD409" s="152" t="s">
        <v>327</v>
      </c>
      <c r="AE409" s="151"/>
      <c r="AF409" s="150" t="s">
        <v>49</v>
      </c>
      <c r="AG409" s="152" t="s">
        <v>383</v>
      </c>
      <c r="AH409" s="150" t="s">
        <v>326</v>
      </c>
      <c r="AI409" s="99"/>
      <c r="AJ409" s="149"/>
      <c r="AK409" s="138">
        <v>6</v>
      </c>
      <c r="AL409" s="149"/>
      <c r="AM409" s="138">
        <v>2</v>
      </c>
      <c r="AN409" s="149">
        <v>0</v>
      </c>
      <c r="AO409" s="149">
        <v>0</v>
      </c>
      <c r="AP409" s="149">
        <v>4</v>
      </c>
      <c r="AQ409" s="149">
        <v>4</v>
      </c>
      <c r="AR409" s="149">
        <v>0</v>
      </c>
      <c r="AS409" s="149">
        <v>0</v>
      </c>
      <c r="AT409" s="149">
        <v>0</v>
      </c>
      <c r="AU409" s="149">
        <v>0</v>
      </c>
      <c r="AV409" s="149">
        <v>0</v>
      </c>
      <c r="AW409" s="149">
        <v>4</v>
      </c>
      <c r="AX409" s="149">
        <v>4</v>
      </c>
      <c r="AY409" s="149">
        <v>0</v>
      </c>
      <c r="AZ409" s="149">
        <v>0</v>
      </c>
      <c r="BA409" s="149">
        <v>0</v>
      </c>
      <c r="BB409" s="149">
        <v>0</v>
      </c>
      <c r="BC409" s="149">
        <v>0</v>
      </c>
      <c r="BD409" s="149">
        <v>0</v>
      </c>
      <c r="BE409" s="149">
        <v>0</v>
      </c>
      <c r="BF409" s="149">
        <v>0</v>
      </c>
      <c r="BG409" s="149">
        <v>0</v>
      </c>
      <c r="BH409" s="149">
        <v>0</v>
      </c>
      <c r="BI409" s="149">
        <v>0</v>
      </c>
      <c r="BJ409" s="149">
        <v>0</v>
      </c>
      <c r="BK409" s="149">
        <v>0</v>
      </c>
      <c r="BL409" s="149">
        <v>0</v>
      </c>
      <c r="BM409" s="149">
        <v>0</v>
      </c>
      <c r="BN409" s="149">
        <v>0</v>
      </c>
      <c r="BO409" s="149">
        <v>0</v>
      </c>
      <c r="BP409" s="152"/>
      <c r="BQ409" s="152"/>
      <c r="BR409" s="154" t="s">
        <v>359</v>
      </c>
      <c r="BS409" s="136">
        <v>5</v>
      </c>
      <c r="BT409" s="267"/>
      <c r="BU409" s="267"/>
      <c r="BV409" s="267"/>
      <c r="BW409" s="267"/>
      <c r="BX409" s="267"/>
      <c r="BY409" s="267">
        <f>M409</f>
        <v>8</v>
      </c>
      <c r="BZ409" s="267"/>
      <c r="CA409" s="267"/>
      <c r="CB409" s="267"/>
      <c r="CC409" s="267"/>
      <c r="CD409" s="267"/>
      <c r="CE409" s="267"/>
      <c r="CF409" s="267"/>
      <c r="CG409" s="267"/>
      <c r="CH409" s="267"/>
      <c r="CI409" s="267"/>
      <c r="CJ409" s="267"/>
      <c r="CK409" s="267"/>
      <c r="CL409" s="267"/>
      <c r="CM409" s="267"/>
      <c r="CN409" s="101">
        <f t="shared" si="28"/>
        <v>8</v>
      </c>
      <c r="CO409" s="101">
        <f t="shared" si="29"/>
        <v>8</v>
      </c>
    </row>
    <row r="410" spans="1:93" ht="13.9" customHeight="1" x14ac:dyDescent="0.2">
      <c r="A410" s="149">
        <v>6852</v>
      </c>
      <c r="B410" s="150" t="s">
        <v>854</v>
      </c>
      <c r="C410" s="150" t="s">
        <v>1340</v>
      </c>
      <c r="D410" s="150" t="s">
        <v>1341</v>
      </c>
      <c r="E410" s="150" t="s">
        <v>566</v>
      </c>
      <c r="F410" s="149">
        <v>524063</v>
      </c>
      <c r="G410" s="149">
        <v>174446</v>
      </c>
      <c r="H410" s="150" t="s">
        <v>161</v>
      </c>
      <c r="I410" s="151">
        <v>44342</v>
      </c>
      <c r="J410" s="151"/>
      <c r="K410" s="149">
        <v>0</v>
      </c>
      <c r="L410" s="149">
        <v>7</v>
      </c>
      <c r="M410" s="149">
        <v>7</v>
      </c>
      <c r="N410" s="149">
        <v>41</v>
      </c>
      <c r="O410" s="149">
        <v>41</v>
      </c>
      <c r="P410" s="152" t="s">
        <v>327</v>
      </c>
      <c r="Q410" s="150" t="s">
        <v>1342</v>
      </c>
      <c r="R410" s="150" t="s">
        <v>381</v>
      </c>
      <c r="S410" s="151">
        <v>44861</v>
      </c>
      <c r="T410" s="151">
        <v>45077</v>
      </c>
      <c r="U410" s="152" t="s">
        <v>327</v>
      </c>
      <c r="V410" s="150" t="s">
        <v>330</v>
      </c>
      <c r="W410" s="151"/>
      <c r="X410" s="150" t="s">
        <v>331</v>
      </c>
      <c r="Y410" s="150" t="s">
        <v>343</v>
      </c>
      <c r="Z410" s="150" t="s">
        <v>343</v>
      </c>
      <c r="AA410" s="150" t="s">
        <v>334</v>
      </c>
      <c r="AB410" s="153">
        <v>9.9000000000000005E-2</v>
      </c>
      <c r="AC410" s="151">
        <v>44342</v>
      </c>
      <c r="AD410" s="150"/>
      <c r="AE410" s="151"/>
      <c r="AF410" s="150" t="s">
        <v>49</v>
      </c>
      <c r="AG410" s="152" t="s">
        <v>481</v>
      </c>
      <c r="AH410" s="150" t="s">
        <v>326</v>
      </c>
      <c r="AI410" s="138">
        <v>17320313</v>
      </c>
      <c r="AJ410" s="149"/>
      <c r="AK410" s="99"/>
      <c r="AL410" s="149"/>
      <c r="AM410" s="138">
        <v>1</v>
      </c>
      <c r="AN410" s="149">
        <v>0</v>
      </c>
      <c r="AO410" s="149">
        <v>3</v>
      </c>
      <c r="AP410" s="149">
        <v>3</v>
      </c>
      <c r="AQ410" s="149">
        <v>1</v>
      </c>
      <c r="AR410" s="149">
        <v>0</v>
      </c>
      <c r="AS410" s="149">
        <v>0</v>
      </c>
      <c r="AT410" s="149">
        <v>0</v>
      </c>
      <c r="AU410" s="149">
        <v>0</v>
      </c>
      <c r="AV410" s="149">
        <v>3</v>
      </c>
      <c r="AW410" s="149">
        <v>3</v>
      </c>
      <c r="AX410" s="149">
        <v>1</v>
      </c>
      <c r="AY410" s="149">
        <v>0</v>
      </c>
      <c r="AZ410" s="149">
        <v>0</v>
      </c>
      <c r="BA410" s="149">
        <v>0</v>
      </c>
      <c r="BB410" s="149">
        <v>0</v>
      </c>
      <c r="BC410" s="149">
        <v>0</v>
      </c>
      <c r="BD410" s="149">
        <v>0</v>
      </c>
      <c r="BE410" s="149">
        <v>0</v>
      </c>
      <c r="BF410" s="149">
        <v>0</v>
      </c>
      <c r="BG410" s="149">
        <v>0</v>
      </c>
      <c r="BH410" s="149">
        <v>0</v>
      </c>
      <c r="BI410" s="149">
        <v>0</v>
      </c>
      <c r="BJ410" s="149">
        <v>0</v>
      </c>
      <c r="BK410" s="149">
        <v>0</v>
      </c>
      <c r="BL410" s="149">
        <v>0</v>
      </c>
      <c r="BM410" s="149">
        <v>0</v>
      </c>
      <c r="BN410" s="149">
        <v>0</v>
      </c>
      <c r="BO410" s="149">
        <v>0</v>
      </c>
      <c r="BP410" s="152"/>
      <c r="BQ410" s="152"/>
      <c r="BR410" s="154" t="s">
        <v>359</v>
      </c>
      <c r="BS410" s="136">
        <v>5</v>
      </c>
      <c r="BT410" s="267"/>
      <c r="BU410" s="267">
        <f>M410</f>
        <v>7</v>
      </c>
      <c r="BV410" s="267"/>
      <c r="BW410" s="267"/>
      <c r="BX410" s="267"/>
      <c r="BY410" s="267"/>
      <c r="BZ410" s="267"/>
      <c r="CA410" s="267"/>
      <c r="CB410" s="267"/>
      <c r="CC410" s="267"/>
      <c r="CD410" s="267"/>
      <c r="CE410" s="267"/>
      <c r="CF410" s="267"/>
      <c r="CG410" s="267"/>
      <c r="CH410" s="267"/>
      <c r="CI410" s="267"/>
      <c r="CJ410" s="267"/>
      <c r="CK410" s="267"/>
      <c r="CL410" s="267"/>
      <c r="CM410" s="267"/>
      <c r="CN410" s="101">
        <f t="shared" si="28"/>
        <v>7</v>
      </c>
      <c r="CO410" s="101">
        <f t="shared" si="29"/>
        <v>7</v>
      </c>
    </row>
    <row r="411" spans="1:93" ht="13.9" customHeight="1" x14ac:dyDescent="0.2">
      <c r="A411" s="149">
        <v>6852</v>
      </c>
      <c r="B411" s="150" t="s">
        <v>854</v>
      </c>
      <c r="C411" s="150" t="s">
        <v>1340</v>
      </c>
      <c r="D411" s="150" t="s">
        <v>1341</v>
      </c>
      <c r="E411" s="150" t="s">
        <v>1343</v>
      </c>
      <c r="F411" s="149">
        <v>524063</v>
      </c>
      <c r="G411" s="149">
        <v>174446</v>
      </c>
      <c r="H411" s="150" t="s">
        <v>161</v>
      </c>
      <c r="I411" s="151">
        <v>44342</v>
      </c>
      <c r="J411" s="151"/>
      <c r="K411" s="149">
        <v>0</v>
      </c>
      <c r="L411" s="149">
        <v>7</v>
      </c>
      <c r="M411" s="149">
        <v>7</v>
      </c>
      <c r="N411" s="149">
        <v>41</v>
      </c>
      <c r="O411" s="149">
        <v>41</v>
      </c>
      <c r="P411" s="152" t="s">
        <v>327</v>
      </c>
      <c r="Q411" s="150" t="s">
        <v>1342</v>
      </c>
      <c r="R411" s="150" t="s">
        <v>381</v>
      </c>
      <c r="S411" s="151">
        <v>44861</v>
      </c>
      <c r="T411" s="151">
        <v>45077</v>
      </c>
      <c r="U411" s="152" t="s">
        <v>327</v>
      </c>
      <c r="V411" s="150" t="s">
        <v>330</v>
      </c>
      <c r="W411" s="151"/>
      <c r="X411" s="150" t="s">
        <v>331</v>
      </c>
      <c r="Y411" s="150" t="s">
        <v>343</v>
      </c>
      <c r="Z411" s="150" t="s">
        <v>343</v>
      </c>
      <c r="AA411" s="150" t="s">
        <v>334</v>
      </c>
      <c r="AB411" s="153">
        <v>9.9000000000000005E-2</v>
      </c>
      <c r="AC411" s="151">
        <v>44342</v>
      </c>
      <c r="AD411" s="150"/>
      <c r="AE411" s="151"/>
      <c r="AF411" s="150" t="s">
        <v>49</v>
      </c>
      <c r="AG411" s="152" t="s">
        <v>481</v>
      </c>
      <c r="AH411" s="150" t="s">
        <v>326</v>
      </c>
      <c r="AI411" s="138">
        <v>17320313</v>
      </c>
      <c r="AJ411" s="149"/>
      <c r="AK411" s="99"/>
      <c r="AL411" s="149"/>
      <c r="AM411" s="138">
        <v>1</v>
      </c>
      <c r="AN411" s="149">
        <v>0</v>
      </c>
      <c r="AO411" s="149">
        <v>3</v>
      </c>
      <c r="AP411" s="149">
        <v>3</v>
      </c>
      <c r="AQ411" s="149">
        <v>1</v>
      </c>
      <c r="AR411" s="149">
        <v>0</v>
      </c>
      <c r="AS411" s="149">
        <v>0</v>
      </c>
      <c r="AT411" s="149">
        <v>0</v>
      </c>
      <c r="AU411" s="149">
        <v>0</v>
      </c>
      <c r="AV411" s="149">
        <v>3</v>
      </c>
      <c r="AW411" s="149">
        <v>3</v>
      </c>
      <c r="AX411" s="149">
        <v>1</v>
      </c>
      <c r="AY411" s="149">
        <v>0</v>
      </c>
      <c r="AZ411" s="149">
        <v>0</v>
      </c>
      <c r="BA411" s="149">
        <v>0</v>
      </c>
      <c r="BB411" s="149">
        <v>0</v>
      </c>
      <c r="BC411" s="149">
        <v>0</v>
      </c>
      <c r="BD411" s="149">
        <v>0</v>
      </c>
      <c r="BE411" s="149">
        <v>0</v>
      </c>
      <c r="BF411" s="149">
        <v>0</v>
      </c>
      <c r="BG411" s="149">
        <v>0</v>
      </c>
      <c r="BH411" s="149">
        <v>0</v>
      </c>
      <c r="BI411" s="149">
        <v>0</v>
      </c>
      <c r="BJ411" s="149">
        <v>0</v>
      </c>
      <c r="BK411" s="149">
        <v>0</v>
      </c>
      <c r="BL411" s="149">
        <v>0</v>
      </c>
      <c r="BM411" s="149">
        <v>0</v>
      </c>
      <c r="BN411" s="149">
        <v>0</v>
      </c>
      <c r="BO411" s="149">
        <v>0</v>
      </c>
      <c r="BP411" s="152"/>
      <c r="BQ411" s="152"/>
      <c r="BR411" s="154" t="s">
        <v>359</v>
      </c>
      <c r="BS411" s="136">
        <v>5</v>
      </c>
      <c r="BT411" s="267"/>
      <c r="BU411" s="267">
        <f>M411</f>
        <v>7</v>
      </c>
      <c r="BV411" s="267"/>
      <c r="BW411" s="267"/>
      <c r="BX411" s="267"/>
      <c r="BY411" s="267"/>
      <c r="BZ411" s="267"/>
      <c r="CA411" s="267"/>
      <c r="CB411" s="267"/>
      <c r="CC411" s="267"/>
      <c r="CD411" s="267"/>
      <c r="CE411" s="267"/>
      <c r="CF411" s="267"/>
      <c r="CG411" s="267"/>
      <c r="CH411" s="267"/>
      <c r="CI411" s="267"/>
      <c r="CJ411" s="267"/>
      <c r="CK411" s="267"/>
      <c r="CL411" s="267"/>
      <c r="CM411" s="267"/>
      <c r="CN411" s="101">
        <f t="shared" si="28"/>
        <v>7</v>
      </c>
      <c r="CO411" s="101">
        <f t="shared" si="29"/>
        <v>7</v>
      </c>
    </row>
    <row r="412" spans="1:93" ht="13.9" customHeight="1" x14ac:dyDescent="0.2">
      <c r="A412" s="149">
        <v>6852</v>
      </c>
      <c r="B412" s="150" t="s">
        <v>854</v>
      </c>
      <c r="C412" s="150" t="s">
        <v>1340</v>
      </c>
      <c r="D412" s="150" t="s">
        <v>1341</v>
      </c>
      <c r="E412" s="150" t="s">
        <v>565</v>
      </c>
      <c r="F412" s="149">
        <v>524063</v>
      </c>
      <c r="G412" s="149">
        <v>174446</v>
      </c>
      <c r="H412" s="150" t="s">
        <v>161</v>
      </c>
      <c r="I412" s="151">
        <v>44342</v>
      </c>
      <c r="J412" s="151"/>
      <c r="K412" s="149">
        <v>0</v>
      </c>
      <c r="L412" s="149">
        <v>6</v>
      </c>
      <c r="M412" s="149">
        <v>6</v>
      </c>
      <c r="N412" s="149">
        <v>41</v>
      </c>
      <c r="O412" s="149">
        <v>41</v>
      </c>
      <c r="P412" s="152" t="s">
        <v>327</v>
      </c>
      <c r="Q412" s="150" t="s">
        <v>1342</v>
      </c>
      <c r="R412" s="150" t="s">
        <v>381</v>
      </c>
      <c r="S412" s="151">
        <v>44861</v>
      </c>
      <c r="T412" s="151">
        <v>45077</v>
      </c>
      <c r="U412" s="152" t="s">
        <v>327</v>
      </c>
      <c r="V412" s="150" t="s">
        <v>330</v>
      </c>
      <c r="W412" s="151"/>
      <c r="X412" s="150" t="s">
        <v>331</v>
      </c>
      <c r="Y412" s="150" t="s">
        <v>343</v>
      </c>
      <c r="Z412" s="150" t="s">
        <v>343</v>
      </c>
      <c r="AA412" s="150" t="s">
        <v>334</v>
      </c>
      <c r="AB412" s="153">
        <v>8.5000000000000006E-2</v>
      </c>
      <c r="AC412" s="151">
        <v>44342</v>
      </c>
      <c r="AD412" s="150"/>
      <c r="AE412" s="151"/>
      <c r="AF412" s="150" t="s">
        <v>49</v>
      </c>
      <c r="AG412" s="152" t="s">
        <v>481</v>
      </c>
      <c r="AH412" s="150" t="s">
        <v>326</v>
      </c>
      <c r="AI412" s="138">
        <v>17320313</v>
      </c>
      <c r="AJ412" s="149"/>
      <c r="AK412" s="99"/>
      <c r="AL412" s="149"/>
      <c r="AM412" s="99"/>
      <c r="AN412" s="149">
        <v>0</v>
      </c>
      <c r="AO412" s="149">
        <v>2</v>
      </c>
      <c r="AP412" s="149">
        <v>4</v>
      </c>
      <c r="AQ412" s="149">
        <v>0</v>
      </c>
      <c r="AR412" s="149">
        <v>0</v>
      </c>
      <c r="AS412" s="149">
        <v>0</v>
      </c>
      <c r="AT412" s="149">
        <v>0</v>
      </c>
      <c r="AU412" s="149">
        <v>0</v>
      </c>
      <c r="AV412" s="149">
        <v>2</v>
      </c>
      <c r="AW412" s="149">
        <v>4</v>
      </c>
      <c r="AX412" s="149">
        <v>0</v>
      </c>
      <c r="AY412" s="149">
        <v>0</v>
      </c>
      <c r="AZ412" s="149">
        <v>0</v>
      </c>
      <c r="BA412" s="149">
        <v>0</v>
      </c>
      <c r="BB412" s="149">
        <v>0</v>
      </c>
      <c r="BC412" s="149">
        <v>0</v>
      </c>
      <c r="BD412" s="149">
        <v>0</v>
      </c>
      <c r="BE412" s="149">
        <v>0</v>
      </c>
      <c r="BF412" s="149">
        <v>0</v>
      </c>
      <c r="BG412" s="149">
        <v>0</v>
      </c>
      <c r="BH412" s="149">
        <v>0</v>
      </c>
      <c r="BI412" s="149">
        <v>0</v>
      </c>
      <c r="BJ412" s="149">
        <v>0</v>
      </c>
      <c r="BK412" s="149">
        <v>0</v>
      </c>
      <c r="BL412" s="149">
        <v>0</v>
      </c>
      <c r="BM412" s="149">
        <v>0</v>
      </c>
      <c r="BN412" s="149">
        <v>0</v>
      </c>
      <c r="BO412" s="149">
        <v>0</v>
      </c>
      <c r="BP412" s="152"/>
      <c r="BQ412" s="152"/>
      <c r="BR412" s="154" t="s">
        <v>359</v>
      </c>
      <c r="BS412" s="136">
        <v>5</v>
      </c>
      <c r="BT412" s="267"/>
      <c r="BU412" s="267">
        <f>M412</f>
        <v>6</v>
      </c>
      <c r="BV412" s="267"/>
      <c r="BW412" s="267"/>
      <c r="BX412" s="267"/>
      <c r="BY412" s="267"/>
      <c r="BZ412" s="267"/>
      <c r="CA412" s="267"/>
      <c r="CB412" s="267"/>
      <c r="CC412" s="267"/>
      <c r="CD412" s="267"/>
      <c r="CE412" s="267"/>
      <c r="CF412" s="267"/>
      <c r="CG412" s="267"/>
      <c r="CH412" s="267"/>
      <c r="CI412" s="267"/>
      <c r="CJ412" s="267"/>
      <c r="CK412" s="267"/>
      <c r="CL412" s="267"/>
      <c r="CM412" s="267"/>
      <c r="CN412" s="101">
        <f t="shared" si="28"/>
        <v>6</v>
      </c>
      <c r="CO412" s="101">
        <f t="shared" si="29"/>
        <v>6</v>
      </c>
    </row>
    <row r="413" spans="1:93" ht="13.9" customHeight="1" x14ac:dyDescent="0.2">
      <c r="A413" s="149">
        <v>6852</v>
      </c>
      <c r="B413" s="150" t="s">
        <v>854</v>
      </c>
      <c r="C413" s="150" t="s">
        <v>1340</v>
      </c>
      <c r="D413" s="150" t="s">
        <v>1341</v>
      </c>
      <c r="E413" s="150" t="s">
        <v>1285</v>
      </c>
      <c r="F413" s="149">
        <v>524063</v>
      </c>
      <c r="G413" s="149">
        <v>174446</v>
      </c>
      <c r="H413" s="150" t="s">
        <v>161</v>
      </c>
      <c r="I413" s="151">
        <v>44342</v>
      </c>
      <c r="J413" s="151"/>
      <c r="K413" s="149">
        <v>0</v>
      </c>
      <c r="L413" s="149">
        <v>6</v>
      </c>
      <c r="M413" s="149">
        <v>6</v>
      </c>
      <c r="N413" s="149">
        <v>41</v>
      </c>
      <c r="O413" s="149">
        <v>41</v>
      </c>
      <c r="P413" s="152" t="s">
        <v>327</v>
      </c>
      <c r="Q413" s="150" t="s">
        <v>1342</v>
      </c>
      <c r="R413" s="150" t="s">
        <v>381</v>
      </c>
      <c r="S413" s="151">
        <v>44861</v>
      </c>
      <c r="T413" s="151">
        <v>45077</v>
      </c>
      <c r="U413" s="152" t="s">
        <v>327</v>
      </c>
      <c r="V413" s="150" t="s">
        <v>330</v>
      </c>
      <c r="W413" s="151"/>
      <c r="X413" s="150" t="s">
        <v>331</v>
      </c>
      <c r="Y413" s="150" t="s">
        <v>343</v>
      </c>
      <c r="Z413" s="150" t="s">
        <v>343</v>
      </c>
      <c r="AA413" s="150" t="s">
        <v>334</v>
      </c>
      <c r="AB413" s="153">
        <v>8.5000000000000006E-2</v>
      </c>
      <c r="AC413" s="151">
        <v>44342</v>
      </c>
      <c r="AD413" s="150"/>
      <c r="AE413" s="151"/>
      <c r="AF413" s="150" t="s">
        <v>49</v>
      </c>
      <c r="AG413" s="152" t="s">
        <v>481</v>
      </c>
      <c r="AH413" s="150" t="s">
        <v>326</v>
      </c>
      <c r="AI413" s="138">
        <v>17320313</v>
      </c>
      <c r="AJ413" s="149"/>
      <c r="AK413" s="99"/>
      <c r="AL413" s="149"/>
      <c r="AM413" s="99"/>
      <c r="AN413" s="149">
        <v>0</v>
      </c>
      <c r="AO413" s="149">
        <v>2</v>
      </c>
      <c r="AP413" s="149">
        <v>4</v>
      </c>
      <c r="AQ413" s="149">
        <v>0</v>
      </c>
      <c r="AR413" s="149">
        <v>0</v>
      </c>
      <c r="AS413" s="149">
        <v>0</v>
      </c>
      <c r="AT413" s="149">
        <v>0</v>
      </c>
      <c r="AU413" s="149">
        <v>0</v>
      </c>
      <c r="AV413" s="149">
        <v>2</v>
      </c>
      <c r="AW413" s="149">
        <v>4</v>
      </c>
      <c r="AX413" s="149">
        <v>0</v>
      </c>
      <c r="AY413" s="149">
        <v>0</v>
      </c>
      <c r="AZ413" s="149">
        <v>0</v>
      </c>
      <c r="BA413" s="149">
        <v>0</v>
      </c>
      <c r="BB413" s="149">
        <v>0</v>
      </c>
      <c r="BC413" s="149">
        <v>0</v>
      </c>
      <c r="BD413" s="149">
        <v>0</v>
      </c>
      <c r="BE413" s="149">
        <v>0</v>
      </c>
      <c r="BF413" s="149">
        <v>0</v>
      </c>
      <c r="BG413" s="149">
        <v>0</v>
      </c>
      <c r="BH413" s="149">
        <v>0</v>
      </c>
      <c r="BI413" s="149">
        <v>0</v>
      </c>
      <c r="BJ413" s="149">
        <v>0</v>
      </c>
      <c r="BK413" s="149">
        <v>0</v>
      </c>
      <c r="BL413" s="149">
        <v>0</v>
      </c>
      <c r="BM413" s="149">
        <v>0</v>
      </c>
      <c r="BN413" s="149">
        <v>0</v>
      </c>
      <c r="BO413" s="149">
        <v>0</v>
      </c>
      <c r="BP413" s="152"/>
      <c r="BQ413" s="152"/>
      <c r="BR413" s="154" t="s">
        <v>359</v>
      </c>
      <c r="BS413" s="136">
        <v>5</v>
      </c>
      <c r="BT413" s="267"/>
      <c r="BU413" s="267">
        <f>M413</f>
        <v>6</v>
      </c>
      <c r="BV413" s="267"/>
      <c r="BW413" s="267"/>
      <c r="BX413" s="267"/>
      <c r="BY413" s="267"/>
      <c r="BZ413" s="267"/>
      <c r="CA413" s="267"/>
      <c r="CB413" s="267"/>
      <c r="CC413" s="267"/>
      <c r="CD413" s="267"/>
      <c r="CE413" s="267"/>
      <c r="CF413" s="267"/>
      <c r="CG413" s="267"/>
      <c r="CH413" s="267"/>
      <c r="CI413" s="267"/>
      <c r="CJ413" s="267"/>
      <c r="CK413" s="267"/>
      <c r="CL413" s="267"/>
      <c r="CM413" s="267"/>
      <c r="CN413" s="101">
        <f t="shared" si="28"/>
        <v>6</v>
      </c>
      <c r="CO413" s="101">
        <f t="shared" si="29"/>
        <v>6</v>
      </c>
    </row>
    <row r="414" spans="1:93" ht="13.9" customHeight="1" x14ac:dyDescent="0.2">
      <c r="A414" s="149">
        <v>7923</v>
      </c>
      <c r="B414" s="150" t="s">
        <v>854</v>
      </c>
      <c r="C414" s="150" t="s">
        <v>1344</v>
      </c>
      <c r="D414" s="150" t="s">
        <v>1345</v>
      </c>
      <c r="E414" s="150" t="s">
        <v>326</v>
      </c>
      <c r="F414" s="149">
        <v>528606</v>
      </c>
      <c r="G414" s="149">
        <v>173388</v>
      </c>
      <c r="H414" s="150" t="s">
        <v>139</v>
      </c>
      <c r="I414" s="151">
        <v>45183</v>
      </c>
      <c r="J414" s="151"/>
      <c r="K414" s="149">
        <v>2</v>
      </c>
      <c r="L414" s="149">
        <v>5</v>
      </c>
      <c r="M414" s="149">
        <v>3</v>
      </c>
      <c r="N414" s="149">
        <v>5</v>
      </c>
      <c r="O414" s="149">
        <v>3</v>
      </c>
      <c r="P414" s="152"/>
      <c r="Q414" s="150" t="s">
        <v>1346</v>
      </c>
      <c r="R414" s="150" t="s">
        <v>349</v>
      </c>
      <c r="S414" s="151">
        <v>44897</v>
      </c>
      <c r="T414" s="151">
        <v>45042</v>
      </c>
      <c r="U414" s="152" t="s">
        <v>327</v>
      </c>
      <c r="V414" s="150" t="s">
        <v>330</v>
      </c>
      <c r="W414" s="151"/>
      <c r="X414" s="150" t="s">
        <v>331</v>
      </c>
      <c r="Y414" s="150" t="s">
        <v>350</v>
      </c>
      <c r="Z414" s="150" t="s">
        <v>334</v>
      </c>
      <c r="AA414" s="150" t="s">
        <v>399</v>
      </c>
      <c r="AB414" s="153">
        <v>0.08</v>
      </c>
      <c r="AC414" s="151">
        <v>45183</v>
      </c>
      <c r="AD414" s="152" t="s">
        <v>327</v>
      </c>
      <c r="AE414" s="151"/>
      <c r="AF414" s="150" t="s">
        <v>70</v>
      </c>
      <c r="AG414" s="152" t="s">
        <v>352</v>
      </c>
      <c r="AH414" s="150" t="s">
        <v>326</v>
      </c>
      <c r="AI414" s="99"/>
      <c r="AJ414" s="149"/>
      <c r="AK414" s="99"/>
      <c r="AL414" s="149"/>
      <c r="AM414" s="99"/>
      <c r="AN414" s="149">
        <v>0</v>
      </c>
      <c r="AO414" s="149">
        <v>3</v>
      </c>
      <c r="AP414" s="149">
        <v>1</v>
      </c>
      <c r="AQ414" s="149">
        <v>-1</v>
      </c>
      <c r="AR414" s="149">
        <v>0</v>
      </c>
      <c r="AS414" s="149">
        <v>0</v>
      </c>
      <c r="AT414" s="149">
        <v>0</v>
      </c>
      <c r="AU414" s="149">
        <v>0</v>
      </c>
      <c r="AV414" s="149">
        <v>3</v>
      </c>
      <c r="AW414" s="149">
        <v>1</v>
      </c>
      <c r="AX414" s="149">
        <v>-1</v>
      </c>
      <c r="AY414" s="149">
        <v>0</v>
      </c>
      <c r="AZ414" s="149">
        <v>0</v>
      </c>
      <c r="BA414" s="149">
        <v>0</v>
      </c>
      <c r="BB414" s="149">
        <v>0</v>
      </c>
      <c r="BC414" s="149">
        <v>0</v>
      </c>
      <c r="BD414" s="149">
        <v>0</v>
      </c>
      <c r="BE414" s="149">
        <v>0</v>
      </c>
      <c r="BF414" s="149">
        <v>0</v>
      </c>
      <c r="BG414" s="149">
        <v>0</v>
      </c>
      <c r="BH414" s="149">
        <v>0</v>
      </c>
      <c r="BI414" s="149">
        <v>0</v>
      </c>
      <c r="BJ414" s="149">
        <v>0</v>
      </c>
      <c r="BK414" s="149">
        <v>0</v>
      </c>
      <c r="BL414" s="149">
        <v>0</v>
      </c>
      <c r="BM414" s="149">
        <v>0</v>
      </c>
      <c r="BN414" s="149">
        <v>0</v>
      </c>
      <c r="BO414" s="149">
        <v>0</v>
      </c>
      <c r="BP414" s="152" t="s">
        <v>139</v>
      </c>
      <c r="BQ414" s="152"/>
      <c r="BR414" s="154" t="s">
        <v>139</v>
      </c>
      <c r="BS414" s="136">
        <v>13</v>
      </c>
      <c r="BT414" s="267"/>
      <c r="BU414" s="267">
        <f>M414</f>
        <v>3</v>
      </c>
      <c r="BV414" s="267"/>
      <c r="BW414" s="267"/>
      <c r="BX414" s="267"/>
      <c r="BY414" s="267"/>
      <c r="BZ414" s="267"/>
      <c r="CA414" s="267"/>
      <c r="CB414" s="267"/>
      <c r="CC414" s="267"/>
      <c r="CD414" s="267"/>
      <c r="CE414" s="267"/>
      <c r="CF414" s="267"/>
      <c r="CG414" s="267"/>
      <c r="CH414" s="267"/>
      <c r="CI414" s="267"/>
      <c r="CJ414" s="267"/>
      <c r="CK414" s="267"/>
      <c r="CL414" s="267"/>
      <c r="CM414" s="267"/>
      <c r="CN414" s="101">
        <f t="shared" si="28"/>
        <v>3</v>
      </c>
      <c r="CO414" s="101">
        <f t="shared" si="29"/>
        <v>3</v>
      </c>
    </row>
    <row r="415" spans="1:93" ht="13.9" customHeight="1" x14ac:dyDescent="0.2">
      <c r="A415" s="149">
        <v>7090</v>
      </c>
      <c r="B415" s="150" t="s">
        <v>854</v>
      </c>
      <c r="C415" s="150" t="s">
        <v>420</v>
      </c>
      <c r="D415" s="150" t="s">
        <v>421</v>
      </c>
      <c r="E415" s="150" t="s">
        <v>1347</v>
      </c>
      <c r="F415" s="149">
        <v>527587</v>
      </c>
      <c r="G415" s="149">
        <v>174507</v>
      </c>
      <c r="H415" s="150" t="s">
        <v>165</v>
      </c>
      <c r="I415" s="151">
        <v>44287</v>
      </c>
      <c r="J415" s="151"/>
      <c r="K415" s="149">
        <v>0</v>
      </c>
      <c r="L415" s="149">
        <v>9</v>
      </c>
      <c r="M415" s="149">
        <v>9</v>
      </c>
      <c r="N415" s="149">
        <v>16</v>
      </c>
      <c r="O415" s="149">
        <v>16</v>
      </c>
      <c r="P415" s="152" t="s">
        <v>327</v>
      </c>
      <c r="Q415" s="150" t="s">
        <v>423</v>
      </c>
      <c r="R415" s="150" t="s">
        <v>329</v>
      </c>
      <c r="S415" s="151">
        <v>43480</v>
      </c>
      <c r="T415" s="151">
        <v>43915</v>
      </c>
      <c r="U415" s="152"/>
      <c r="V415" s="150" t="s">
        <v>330</v>
      </c>
      <c r="W415" s="151"/>
      <c r="X415" s="150" t="s">
        <v>331</v>
      </c>
      <c r="Y415" s="150" t="s">
        <v>343</v>
      </c>
      <c r="Z415" s="150" t="s">
        <v>343</v>
      </c>
      <c r="AA415" s="150" t="s">
        <v>334</v>
      </c>
      <c r="AB415" s="153">
        <v>6.6000000000000003E-2</v>
      </c>
      <c r="AC415" s="151">
        <v>45231</v>
      </c>
      <c r="AD415" s="152" t="s">
        <v>327</v>
      </c>
      <c r="AE415" s="151"/>
      <c r="AF415" s="150" t="s">
        <v>70</v>
      </c>
      <c r="AG415" s="152" t="s">
        <v>352</v>
      </c>
      <c r="AH415" s="150" t="s">
        <v>326</v>
      </c>
      <c r="AI415" s="99"/>
      <c r="AJ415" s="149"/>
      <c r="AK415" s="102"/>
      <c r="AL415" s="149"/>
      <c r="AM415" s="102"/>
      <c r="AN415" s="149">
        <v>0</v>
      </c>
      <c r="AO415" s="149">
        <v>1</v>
      </c>
      <c r="AP415" s="149">
        <v>8</v>
      </c>
      <c r="AQ415" s="149">
        <v>0</v>
      </c>
      <c r="AR415" s="149">
        <v>0</v>
      </c>
      <c r="AS415" s="149">
        <v>0</v>
      </c>
      <c r="AT415" s="149">
        <v>0</v>
      </c>
      <c r="AU415" s="149">
        <v>0</v>
      </c>
      <c r="AV415" s="149">
        <v>1</v>
      </c>
      <c r="AW415" s="149">
        <v>8</v>
      </c>
      <c r="AX415" s="149">
        <v>0</v>
      </c>
      <c r="AY415" s="149">
        <v>0</v>
      </c>
      <c r="AZ415" s="149">
        <v>0</v>
      </c>
      <c r="BA415" s="149">
        <v>0</v>
      </c>
      <c r="BB415" s="149">
        <v>0</v>
      </c>
      <c r="BC415" s="149">
        <v>0</v>
      </c>
      <c r="BD415" s="149">
        <v>0</v>
      </c>
      <c r="BE415" s="149">
        <v>0</v>
      </c>
      <c r="BF415" s="149">
        <v>0</v>
      </c>
      <c r="BG415" s="149">
        <v>0</v>
      </c>
      <c r="BH415" s="149">
        <v>0</v>
      </c>
      <c r="BI415" s="149">
        <v>0</v>
      </c>
      <c r="BJ415" s="149">
        <v>0</v>
      </c>
      <c r="BK415" s="149">
        <v>0</v>
      </c>
      <c r="BL415" s="149">
        <v>0</v>
      </c>
      <c r="BM415" s="149">
        <v>0</v>
      </c>
      <c r="BN415" s="149">
        <v>0</v>
      </c>
      <c r="BO415" s="149">
        <v>0</v>
      </c>
      <c r="BP415" s="152"/>
      <c r="BQ415" s="152"/>
      <c r="BR415" s="154" t="s">
        <v>359</v>
      </c>
      <c r="BS415" s="136">
        <v>2</v>
      </c>
      <c r="BT415" s="267"/>
      <c r="BU415" s="267"/>
      <c r="BV415" s="267">
        <f>M415</f>
        <v>9</v>
      </c>
      <c r="BW415" s="267"/>
      <c r="BX415" s="267"/>
      <c r="BY415" s="267"/>
      <c r="BZ415" s="267"/>
      <c r="CA415" s="267"/>
      <c r="CB415" s="267"/>
      <c r="CC415" s="267"/>
      <c r="CD415" s="267"/>
      <c r="CE415" s="267"/>
      <c r="CF415" s="267"/>
      <c r="CG415" s="267"/>
      <c r="CH415" s="267"/>
      <c r="CI415" s="267"/>
      <c r="CJ415" s="267"/>
      <c r="CK415" s="267"/>
      <c r="CL415" s="267"/>
      <c r="CM415" s="267"/>
      <c r="CN415" s="101">
        <f t="shared" si="28"/>
        <v>9</v>
      </c>
      <c r="CO415" s="101">
        <f t="shared" si="29"/>
        <v>9</v>
      </c>
    </row>
    <row r="416" spans="1:93" ht="13.9" customHeight="1" x14ac:dyDescent="0.2">
      <c r="A416" s="149">
        <v>6852</v>
      </c>
      <c r="B416" s="150" t="s">
        <v>854</v>
      </c>
      <c r="C416" s="150" t="s">
        <v>1340</v>
      </c>
      <c r="D416" s="150" t="s">
        <v>1341</v>
      </c>
      <c r="E416" s="150" t="s">
        <v>1306</v>
      </c>
      <c r="F416" s="149">
        <v>524063</v>
      </c>
      <c r="G416" s="149">
        <v>174446</v>
      </c>
      <c r="H416" s="150" t="s">
        <v>161</v>
      </c>
      <c r="I416" s="151">
        <v>44342</v>
      </c>
      <c r="J416" s="151"/>
      <c r="K416" s="149">
        <v>0</v>
      </c>
      <c r="L416" s="149">
        <v>6</v>
      </c>
      <c r="M416" s="149">
        <v>6</v>
      </c>
      <c r="N416" s="149">
        <v>41</v>
      </c>
      <c r="O416" s="149">
        <v>41</v>
      </c>
      <c r="P416" s="152" t="s">
        <v>327</v>
      </c>
      <c r="Q416" s="150" t="s">
        <v>1342</v>
      </c>
      <c r="R416" s="150" t="s">
        <v>381</v>
      </c>
      <c r="S416" s="151">
        <v>44861</v>
      </c>
      <c r="T416" s="151">
        <v>45077</v>
      </c>
      <c r="U416" s="152" t="s">
        <v>327</v>
      </c>
      <c r="V416" s="150" t="s">
        <v>330</v>
      </c>
      <c r="W416" s="151"/>
      <c r="X416" s="150" t="s">
        <v>331</v>
      </c>
      <c r="Y416" s="150" t="s">
        <v>343</v>
      </c>
      <c r="Z416" s="150" t="s">
        <v>343</v>
      </c>
      <c r="AA416" s="150" t="s">
        <v>334</v>
      </c>
      <c r="AB416" s="153">
        <v>8.5000000000000006E-2</v>
      </c>
      <c r="AC416" s="151">
        <v>44342</v>
      </c>
      <c r="AD416" s="150"/>
      <c r="AE416" s="151"/>
      <c r="AF416" s="150" t="s">
        <v>49</v>
      </c>
      <c r="AG416" s="152" t="s">
        <v>481</v>
      </c>
      <c r="AH416" s="150" t="s">
        <v>326</v>
      </c>
      <c r="AI416" s="138">
        <v>17320313</v>
      </c>
      <c r="AJ416" s="149"/>
      <c r="AK416" s="102"/>
      <c r="AL416" s="149"/>
      <c r="AM416" s="102"/>
      <c r="AN416" s="149">
        <v>0</v>
      </c>
      <c r="AO416" s="149">
        <v>2</v>
      </c>
      <c r="AP416" s="149">
        <v>4</v>
      </c>
      <c r="AQ416" s="149">
        <v>0</v>
      </c>
      <c r="AR416" s="149">
        <v>0</v>
      </c>
      <c r="AS416" s="149">
        <v>0</v>
      </c>
      <c r="AT416" s="149">
        <v>0</v>
      </c>
      <c r="AU416" s="149">
        <v>0</v>
      </c>
      <c r="AV416" s="149">
        <v>2</v>
      </c>
      <c r="AW416" s="149">
        <v>4</v>
      </c>
      <c r="AX416" s="149">
        <v>0</v>
      </c>
      <c r="AY416" s="149">
        <v>0</v>
      </c>
      <c r="AZ416" s="149">
        <v>0</v>
      </c>
      <c r="BA416" s="149">
        <v>0</v>
      </c>
      <c r="BB416" s="149">
        <v>0</v>
      </c>
      <c r="BC416" s="149">
        <v>0</v>
      </c>
      <c r="BD416" s="149">
        <v>0</v>
      </c>
      <c r="BE416" s="149">
        <v>0</v>
      </c>
      <c r="BF416" s="149">
        <v>0</v>
      </c>
      <c r="BG416" s="149">
        <v>0</v>
      </c>
      <c r="BH416" s="149">
        <v>0</v>
      </c>
      <c r="BI416" s="149">
        <v>0</v>
      </c>
      <c r="BJ416" s="149">
        <v>0</v>
      </c>
      <c r="BK416" s="149">
        <v>0</v>
      </c>
      <c r="BL416" s="149">
        <v>0</v>
      </c>
      <c r="BM416" s="149">
        <v>0</v>
      </c>
      <c r="BN416" s="149">
        <v>0</v>
      </c>
      <c r="BO416" s="149">
        <v>0</v>
      </c>
      <c r="BP416" s="152"/>
      <c r="BQ416" s="152"/>
      <c r="BR416" s="154" t="s">
        <v>359</v>
      </c>
      <c r="BS416" s="136">
        <v>5</v>
      </c>
      <c r="BT416" s="267"/>
      <c r="BU416" s="267">
        <f>M416</f>
        <v>6</v>
      </c>
      <c r="BV416" s="267"/>
      <c r="BW416" s="267"/>
      <c r="BX416" s="267"/>
      <c r="BY416" s="267"/>
      <c r="BZ416" s="267"/>
      <c r="CA416" s="267"/>
      <c r="CB416" s="267"/>
      <c r="CC416" s="267"/>
      <c r="CD416" s="267"/>
      <c r="CE416" s="267"/>
      <c r="CF416" s="267"/>
      <c r="CG416" s="267"/>
      <c r="CH416" s="267"/>
      <c r="CI416" s="267"/>
      <c r="CJ416" s="267"/>
      <c r="CK416" s="267"/>
      <c r="CL416" s="267"/>
      <c r="CM416" s="267"/>
      <c r="CN416" s="101">
        <f t="shared" si="28"/>
        <v>6</v>
      </c>
      <c r="CO416" s="101">
        <f t="shared" si="29"/>
        <v>6</v>
      </c>
    </row>
    <row r="417" spans="1:93" ht="13.9" customHeight="1" x14ac:dyDescent="0.2">
      <c r="A417" s="149">
        <v>6852</v>
      </c>
      <c r="B417" s="150" t="s">
        <v>854</v>
      </c>
      <c r="C417" s="150" t="s">
        <v>1340</v>
      </c>
      <c r="D417" s="150" t="s">
        <v>1341</v>
      </c>
      <c r="E417" s="150" t="s">
        <v>1348</v>
      </c>
      <c r="F417" s="149">
        <v>524063</v>
      </c>
      <c r="G417" s="149">
        <v>174446</v>
      </c>
      <c r="H417" s="150" t="s">
        <v>161</v>
      </c>
      <c r="I417" s="151">
        <v>44342</v>
      </c>
      <c r="J417" s="151"/>
      <c r="K417" s="149">
        <v>0</v>
      </c>
      <c r="L417" s="149">
        <v>5</v>
      </c>
      <c r="M417" s="149">
        <v>5</v>
      </c>
      <c r="N417" s="149">
        <v>41</v>
      </c>
      <c r="O417" s="149">
        <v>41</v>
      </c>
      <c r="P417" s="152" t="s">
        <v>327</v>
      </c>
      <c r="Q417" s="150" t="s">
        <v>1342</v>
      </c>
      <c r="R417" s="150" t="s">
        <v>381</v>
      </c>
      <c r="S417" s="151">
        <v>44861</v>
      </c>
      <c r="T417" s="151">
        <v>45077</v>
      </c>
      <c r="U417" s="152" t="s">
        <v>327</v>
      </c>
      <c r="V417" s="150" t="s">
        <v>330</v>
      </c>
      <c r="W417" s="151"/>
      <c r="X417" s="150" t="s">
        <v>331</v>
      </c>
      <c r="Y417" s="150" t="s">
        <v>343</v>
      </c>
      <c r="Z417" s="150" t="s">
        <v>343</v>
      </c>
      <c r="AA417" s="150" t="s">
        <v>334</v>
      </c>
      <c r="AB417" s="153">
        <v>7.0000000000000007E-2</v>
      </c>
      <c r="AC417" s="151">
        <v>44342</v>
      </c>
      <c r="AD417" s="150"/>
      <c r="AE417" s="151"/>
      <c r="AF417" s="150" t="s">
        <v>49</v>
      </c>
      <c r="AG417" s="152" t="s">
        <v>481</v>
      </c>
      <c r="AH417" s="150" t="s">
        <v>326</v>
      </c>
      <c r="AI417" s="138">
        <v>17320313</v>
      </c>
      <c r="AJ417" s="149"/>
      <c r="AK417" s="102"/>
      <c r="AL417" s="149"/>
      <c r="AM417" s="102"/>
      <c r="AN417" s="149">
        <v>0</v>
      </c>
      <c r="AO417" s="149">
        <v>1</v>
      </c>
      <c r="AP417" s="149">
        <v>4</v>
      </c>
      <c r="AQ417" s="149">
        <v>0</v>
      </c>
      <c r="AR417" s="149">
        <v>0</v>
      </c>
      <c r="AS417" s="149">
        <v>0</v>
      </c>
      <c r="AT417" s="149">
        <v>0</v>
      </c>
      <c r="AU417" s="149">
        <v>0</v>
      </c>
      <c r="AV417" s="149">
        <v>1</v>
      </c>
      <c r="AW417" s="149">
        <v>4</v>
      </c>
      <c r="AX417" s="149">
        <v>0</v>
      </c>
      <c r="AY417" s="149">
        <v>0</v>
      </c>
      <c r="AZ417" s="149">
        <v>0</v>
      </c>
      <c r="BA417" s="149">
        <v>0</v>
      </c>
      <c r="BB417" s="149">
        <v>0</v>
      </c>
      <c r="BC417" s="149">
        <v>0</v>
      </c>
      <c r="BD417" s="149">
        <v>0</v>
      </c>
      <c r="BE417" s="149">
        <v>0</v>
      </c>
      <c r="BF417" s="149">
        <v>0</v>
      </c>
      <c r="BG417" s="149">
        <v>0</v>
      </c>
      <c r="BH417" s="149">
        <v>0</v>
      </c>
      <c r="BI417" s="149">
        <v>0</v>
      </c>
      <c r="BJ417" s="149">
        <v>0</v>
      </c>
      <c r="BK417" s="149">
        <v>0</v>
      </c>
      <c r="BL417" s="149">
        <v>0</v>
      </c>
      <c r="BM417" s="149">
        <v>0</v>
      </c>
      <c r="BN417" s="149">
        <v>0</v>
      </c>
      <c r="BO417" s="149">
        <v>0</v>
      </c>
      <c r="BP417" s="152"/>
      <c r="BQ417" s="152"/>
      <c r="BR417" s="154" t="s">
        <v>359</v>
      </c>
      <c r="BS417" s="136">
        <v>5</v>
      </c>
      <c r="BT417" s="267"/>
      <c r="BU417" s="267">
        <f>M417</f>
        <v>5</v>
      </c>
      <c r="BV417" s="267"/>
      <c r="BW417" s="267"/>
      <c r="BX417" s="267"/>
      <c r="BY417" s="267"/>
      <c r="BZ417" s="267"/>
      <c r="CA417" s="267"/>
      <c r="CB417" s="267"/>
      <c r="CC417" s="267"/>
      <c r="CD417" s="267"/>
      <c r="CE417" s="267"/>
      <c r="CF417" s="267"/>
      <c r="CG417" s="267"/>
      <c r="CH417" s="267"/>
      <c r="CI417" s="267"/>
      <c r="CJ417" s="267"/>
      <c r="CK417" s="267"/>
      <c r="CL417" s="267"/>
      <c r="CM417" s="267"/>
      <c r="CN417" s="101">
        <f t="shared" si="28"/>
        <v>5</v>
      </c>
      <c r="CO417" s="101">
        <f t="shared" si="29"/>
        <v>5</v>
      </c>
    </row>
    <row r="418" spans="1:93" ht="13.9" customHeight="1" x14ac:dyDescent="0.2">
      <c r="A418" s="149">
        <v>7936</v>
      </c>
      <c r="B418" s="150" t="s">
        <v>854</v>
      </c>
      <c r="C418" s="150" t="s">
        <v>1349</v>
      </c>
      <c r="D418" s="150" t="s">
        <v>1350</v>
      </c>
      <c r="E418" s="150" t="s">
        <v>326</v>
      </c>
      <c r="F418" s="149">
        <v>529018</v>
      </c>
      <c r="G418" s="149">
        <v>172727</v>
      </c>
      <c r="H418" s="150" t="s">
        <v>168</v>
      </c>
      <c r="I418" s="151">
        <v>45246</v>
      </c>
      <c r="J418" s="151"/>
      <c r="K418" s="149">
        <v>2</v>
      </c>
      <c r="L418" s="149">
        <v>1</v>
      </c>
      <c r="M418" s="149">
        <v>-1</v>
      </c>
      <c r="N418" s="149">
        <v>1</v>
      </c>
      <c r="O418" s="149">
        <v>-1</v>
      </c>
      <c r="P418" s="152"/>
      <c r="Q418" s="150" t="s">
        <v>1351</v>
      </c>
      <c r="R418" s="150" t="s">
        <v>349</v>
      </c>
      <c r="S418" s="151">
        <v>44918</v>
      </c>
      <c r="T418" s="151">
        <v>44981</v>
      </c>
      <c r="U418" s="152"/>
      <c r="V418" s="150" t="s">
        <v>330</v>
      </c>
      <c r="W418" s="151"/>
      <c r="X418" s="150" t="s">
        <v>331</v>
      </c>
      <c r="Y418" s="150" t="s">
        <v>350</v>
      </c>
      <c r="Z418" s="150" t="s">
        <v>334</v>
      </c>
      <c r="AA418" s="150" t="s">
        <v>18</v>
      </c>
      <c r="AB418" s="153">
        <v>7.0000000000000001E-3</v>
      </c>
      <c r="AC418" s="151">
        <v>45246</v>
      </c>
      <c r="AD418" s="152" t="s">
        <v>327</v>
      </c>
      <c r="AE418" s="151"/>
      <c r="AF418" s="150" t="s">
        <v>70</v>
      </c>
      <c r="AG418" s="152" t="s">
        <v>352</v>
      </c>
      <c r="AH418" s="150" t="s">
        <v>326</v>
      </c>
      <c r="AI418" s="99"/>
      <c r="AJ418" s="149"/>
      <c r="AK418" s="102"/>
      <c r="AL418" s="149"/>
      <c r="AM418" s="102"/>
      <c r="AN418" s="149">
        <v>0</v>
      </c>
      <c r="AO418" s="149">
        <v>-1</v>
      </c>
      <c r="AP418" s="149">
        <v>0</v>
      </c>
      <c r="AQ418" s="149">
        <v>-1</v>
      </c>
      <c r="AR418" s="149">
        <v>0</v>
      </c>
      <c r="AS418" s="149">
        <v>1</v>
      </c>
      <c r="AT418" s="149">
        <v>0</v>
      </c>
      <c r="AU418" s="149">
        <v>0</v>
      </c>
      <c r="AV418" s="149">
        <v>-1</v>
      </c>
      <c r="AW418" s="149">
        <v>0</v>
      </c>
      <c r="AX418" s="149">
        <v>-1</v>
      </c>
      <c r="AY418" s="149">
        <v>0</v>
      </c>
      <c r="AZ418" s="149">
        <v>0</v>
      </c>
      <c r="BA418" s="149">
        <v>0</v>
      </c>
      <c r="BB418" s="149">
        <v>0</v>
      </c>
      <c r="BC418" s="149">
        <v>0</v>
      </c>
      <c r="BD418" s="149">
        <v>0</v>
      </c>
      <c r="BE418" s="149">
        <v>0</v>
      </c>
      <c r="BF418" s="149">
        <v>0</v>
      </c>
      <c r="BG418" s="149">
        <v>1</v>
      </c>
      <c r="BH418" s="149">
        <v>0</v>
      </c>
      <c r="BI418" s="149">
        <v>0</v>
      </c>
      <c r="BJ418" s="149">
        <v>0</v>
      </c>
      <c r="BK418" s="149">
        <v>0</v>
      </c>
      <c r="BL418" s="149">
        <v>0</v>
      </c>
      <c r="BM418" s="149">
        <v>0</v>
      </c>
      <c r="BN418" s="149">
        <v>0</v>
      </c>
      <c r="BO418" s="149">
        <v>0</v>
      </c>
      <c r="BP418" s="152"/>
      <c r="BQ418" s="152"/>
      <c r="BR418" s="154" t="s">
        <v>359</v>
      </c>
      <c r="BS418" s="136">
        <v>14</v>
      </c>
      <c r="BT418" s="267"/>
      <c r="BU418" s="267">
        <f>M418/2</f>
        <v>-0.5</v>
      </c>
      <c r="BV418" s="267">
        <f>M418/2</f>
        <v>-0.5</v>
      </c>
      <c r="BW418" s="267"/>
      <c r="BX418" s="267"/>
      <c r="BY418" s="267"/>
      <c r="BZ418" s="267"/>
      <c r="CA418" s="267"/>
      <c r="CB418" s="267"/>
      <c r="CC418" s="267"/>
      <c r="CD418" s="267"/>
      <c r="CE418" s="267"/>
      <c r="CF418" s="267"/>
      <c r="CG418" s="267"/>
      <c r="CH418" s="267"/>
      <c r="CI418" s="267"/>
      <c r="CJ418" s="267"/>
      <c r="CK418" s="267"/>
      <c r="CL418" s="267"/>
      <c r="CM418" s="267"/>
      <c r="CN418" s="101">
        <f t="shared" si="28"/>
        <v>-1</v>
      </c>
      <c r="CO418" s="101">
        <f t="shared" si="29"/>
        <v>-1</v>
      </c>
    </row>
    <row r="419" spans="1:93" ht="13.9" customHeight="1" x14ac:dyDescent="0.2">
      <c r="A419" s="149">
        <v>6852</v>
      </c>
      <c r="B419" s="150" t="s">
        <v>854</v>
      </c>
      <c r="C419" s="150" t="s">
        <v>1340</v>
      </c>
      <c r="D419" s="150" t="s">
        <v>1341</v>
      </c>
      <c r="E419" s="150" t="s">
        <v>402</v>
      </c>
      <c r="F419" s="149">
        <v>524063</v>
      </c>
      <c r="G419" s="149">
        <v>174446</v>
      </c>
      <c r="H419" s="150" t="s">
        <v>161</v>
      </c>
      <c r="I419" s="151">
        <v>44342</v>
      </c>
      <c r="J419" s="151"/>
      <c r="K419" s="149">
        <v>0</v>
      </c>
      <c r="L419" s="149">
        <v>4</v>
      </c>
      <c r="M419" s="149">
        <v>4</v>
      </c>
      <c r="N419" s="149">
        <v>41</v>
      </c>
      <c r="O419" s="149">
        <v>41</v>
      </c>
      <c r="P419" s="152" t="s">
        <v>327</v>
      </c>
      <c r="Q419" s="150" t="s">
        <v>1342</v>
      </c>
      <c r="R419" s="150" t="s">
        <v>381</v>
      </c>
      <c r="S419" s="151">
        <v>44861</v>
      </c>
      <c r="T419" s="151">
        <v>45077</v>
      </c>
      <c r="U419" s="152" t="s">
        <v>327</v>
      </c>
      <c r="V419" s="150" t="s">
        <v>330</v>
      </c>
      <c r="W419" s="151"/>
      <c r="X419" s="150" t="s">
        <v>331</v>
      </c>
      <c r="Y419" s="150" t="s">
        <v>343</v>
      </c>
      <c r="Z419" s="150" t="s">
        <v>343</v>
      </c>
      <c r="AA419" s="150" t="s">
        <v>334</v>
      </c>
      <c r="AB419" s="153">
        <v>5.6000000000000001E-2</v>
      </c>
      <c r="AC419" s="151">
        <v>44342</v>
      </c>
      <c r="AD419" s="150"/>
      <c r="AE419" s="151"/>
      <c r="AF419" s="150" t="s">
        <v>49</v>
      </c>
      <c r="AG419" s="152" t="s">
        <v>481</v>
      </c>
      <c r="AH419" s="150" t="s">
        <v>326</v>
      </c>
      <c r="AI419" s="138">
        <v>17320313</v>
      </c>
      <c r="AJ419" s="149"/>
      <c r="AK419" s="102"/>
      <c r="AL419" s="149"/>
      <c r="AM419" s="102"/>
      <c r="AN419" s="149">
        <v>0</v>
      </c>
      <c r="AO419" s="149">
        <v>1</v>
      </c>
      <c r="AP419" s="149">
        <v>3</v>
      </c>
      <c r="AQ419" s="149">
        <v>0</v>
      </c>
      <c r="AR419" s="149">
        <v>0</v>
      </c>
      <c r="AS419" s="149">
        <v>0</v>
      </c>
      <c r="AT419" s="149">
        <v>0</v>
      </c>
      <c r="AU419" s="149">
        <v>0</v>
      </c>
      <c r="AV419" s="149">
        <v>1</v>
      </c>
      <c r="AW419" s="149">
        <v>3</v>
      </c>
      <c r="AX419" s="149">
        <v>0</v>
      </c>
      <c r="AY419" s="149">
        <v>0</v>
      </c>
      <c r="AZ419" s="149">
        <v>0</v>
      </c>
      <c r="BA419" s="149">
        <v>0</v>
      </c>
      <c r="BB419" s="149">
        <v>0</v>
      </c>
      <c r="BC419" s="149">
        <v>0</v>
      </c>
      <c r="BD419" s="149">
        <v>0</v>
      </c>
      <c r="BE419" s="149">
        <v>0</v>
      </c>
      <c r="BF419" s="149">
        <v>0</v>
      </c>
      <c r="BG419" s="149">
        <v>0</v>
      </c>
      <c r="BH419" s="149">
        <v>0</v>
      </c>
      <c r="BI419" s="149">
        <v>0</v>
      </c>
      <c r="BJ419" s="149">
        <v>0</v>
      </c>
      <c r="BK419" s="149">
        <v>0</v>
      </c>
      <c r="BL419" s="149">
        <v>0</v>
      </c>
      <c r="BM419" s="149">
        <v>0</v>
      </c>
      <c r="BN419" s="149">
        <v>0</v>
      </c>
      <c r="BO419" s="149">
        <v>0</v>
      </c>
      <c r="BP419" s="152"/>
      <c r="BQ419" s="152"/>
      <c r="BR419" s="154" t="s">
        <v>359</v>
      </c>
      <c r="BS419" s="136">
        <v>5</v>
      </c>
      <c r="BT419" s="267"/>
      <c r="BU419" s="267">
        <f>M419</f>
        <v>4</v>
      </c>
      <c r="BV419" s="267"/>
      <c r="BW419" s="267"/>
      <c r="BX419" s="267"/>
      <c r="BY419" s="267"/>
      <c r="BZ419" s="267"/>
      <c r="CA419" s="267"/>
      <c r="CB419" s="267"/>
      <c r="CC419" s="267"/>
      <c r="CD419" s="267"/>
      <c r="CE419" s="267"/>
      <c r="CF419" s="267"/>
      <c r="CG419" s="267"/>
      <c r="CH419" s="267"/>
      <c r="CI419" s="267"/>
      <c r="CJ419" s="267"/>
      <c r="CK419" s="267"/>
      <c r="CL419" s="267"/>
      <c r="CM419" s="267"/>
      <c r="CN419" s="101">
        <f t="shared" si="28"/>
        <v>4</v>
      </c>
      <c r="CO419" s="101">
        <f t="shared" si="29"/>
        <v>4</v>
      </c>
    </row>
    <row r="420" spans="1:93" ht="13.9" customHeight="1" x14ac:dyDescent="0.2">
      <c r="A420" s="149">
        <v>6853</v>
      </c>
      <c r="B420" s="150" t="s">
        <v>854</v>
      </c>
      <c r="C420" s="150" t="s">
        <v>1352</v>
      </c>
      <c r="D420" s="150" t="s">
        <v>1353</v>
      </c>
      <c r="E420" s="150" t="s">
        <v>565</v>
      </c>
      <c r="F420" s="149">
        <v>529335</v>
      </c>
      <c r="G420" s="149">
        <v>176880</v>
      </c>
      <c r="H420" s="150" t="s">
        <v>167</v>
      </c>
      <c r="I420" s="151">
        <v>44873</v>
      </c>
      <c r="J420" s="151"/>
      <c r="K420" s="149">
        <v>0</v>
      </c>
      <c r="L420" s="149">
        <v>20</v>
      </c>
      <c r="M420" s="149">
        <v>20</v>
      </c>
      <c r="N420" s="149">
        <v>57</v>
      </c>
      <c r="O420" s="149">
        <v>57</v>
      </c>
      <c r="P420" s="152" t="s">
        <v>327</v>
      </c>
      <c r="Q420" s="150" t="s">
        <v>1354</v>
      </c>
      <c r="R420" s="150" t="s">
        <v>342</v>
      </c>
      <c r="S420" s="151">
        <v>44952</v>
      </c>
      <c r="T420" s="151">
        <v>45063</v>
      </c>
      <c r="U420" s="152" t="s">
        <v>327</v>
      </c>
      <c r="V420" s="150" t="s">
        <v>330</v>
      </c>
      <c r="W420" s="151"/>
      <c r="X420" s="150" t="s">
        <v>331</v>
      </c>
      <c r="Y420" s="150" t="s">
        <v>343</v>
      </c>
      <c r="Z420" s="150" t="s">
        <v>343</v>
      </c>
      <c r="AA420" s="150" t="s">
        <v>334</v>
      </c>
      <c r="AB420" s="153">
        <v>0.23300000000000001</v>
      </c>
      <c r="AC420" s="151">
        <v>44873</v>
      </c>
      <c r="AD420" s="150"/>
      <c r="AE420" s="151"/>
      <c r="AF420" s="150" t="s">
        <v>49</v>
      </c>
      <c r="AG420" s="152" t="s">
        <v>481</v>
      </c>
      <c r="AH420" s="150" t="s">
        <v>326</v>
      </c>
      <c r="AI420" s="99"/>
      <c r="AJ420" s="149"/>
      <c r="AK420" s="138">
        <v>14</v>
      </c>
      <c r="AL420" s="149"/>
      <c r="AM420" s="138">
        <v>6</v>
      </c>
      <c r="AN420" s="149">
        <v>0</v>
      </c>
      <c r="AO420" s="149">
        <v>6</v>
      </c>
      <c r="AP420" s="149">
        <v>8</v>
      </c>
      <c r="AQ420" s="149">
        <v>4</v>
      </c>
      <c r="AR420" s="149">
        <v>2</v>
      </c>
      <c r="AS420" s="149">
        <v>0</v>
      </c>
      <c r="AT420" s="149">
        <v>0</v>
      </c>
      <c r="AU420" s="149">
        <v>0</v>
      </c>
      <c r="AV420" s="149">
        <v>6</v>
      </c>
      <c r="AW420" s="149">
        <v>8</v>
      </c>
      <c r="AX420" s="149">
        <v>4</v>
      </c>
      <c r="AY420" s="149">
        <v>2</v>
      </c>
      <c r="AZ420" s="149">
        <v>0</v>
      </c>
      <c r="BA420" s="149">
        <v>0</v>
      </c>
      <c r="BB420" s="149">
        <v>0</v>
      </c>
      <c r="BC420" s="149">
        <v>0</v>
      </c>
      <c r="BD420" s="149">
        <v>0</v>
      </c>
      <c r="BE420" s="149">
        <v>0</v>
      </c>
      <c r="BF420" s="149">
        <v>0</v>
      </c>
      <c r="BG420" s="149">
        <v>0</v>
      </c>
      <c r="BH420" s="149">
        <v>0</v>
      </c>
      <c r="BI420" s="149">
        <v>0</v>
      </c>
      <c r="BJ420" s="149">
        <v>0</v>
      </c>
      <c r="BK420" s="149">
        <v>0</v>
      </c>
      <c r="BL420" s="149">
        <v>0</v>
      </c>
      <c r="BM420" s="149">
        <v>0</v>
      </c>
      <c r="BN420" s="149">
        <v>0</v>
      </c>
      <c r="BO420" s="149">
        <v>0</v>
      </c>
      <c r="BP420" s="152"/>
      <c r="BQ420" s="152" t="s">
        <v>327</v>
      </c>
      <c r="BR420" s="154" t="s">
        <v>149</v>
      </c>
      <c r="BS420" s="136">
        <v>5</v>
      </c>
      <c r="BT420" s="267"/>
      <c r="BU420" s="267">
        <f>M420</f>
        <v>20</v>
      </c>
      <c r="BV420" s="267"/>
      <c r="BW420" s="267"/>
      <c r="BX420" s="267"/>
      <c r="BY420" s="267"/>
      <c r="BZ420" s="267"/>
      <c r="CA420" s="267"/>
      <c r="CB420" s="267"/>
      <c r="CC420" s="267"/>
      <c r="CD420" s="267"/>
      <c r="CE420" s="267"/>
      <c r="CF420" s="267"/>
      <c r="CG420" s="267"/>
      <c r="CH420" s="267"/>
      <c r="CI420" s="267"/>
      <c r="CJ420" s="267"/>
      <c r="CK420" s="267"/>
      <c r="CL420" s="267"/>
      <c r="CM420" s="267"/>
      <c r="CN420" s="101">
        <f t="shared" si="28"/>
        <v>20</v>
      </c>
      <c r="CO420" s="101">
        <f t="shared" si="29"/>
        <v>20</v>
      </c>
    </row>
    <row r="421" spans="1:93" ht="13.9" customHeight="1" x14ac:dyDescent="0.2">
      <c r="A421" s="149">
        <v>6853</v>
      </c>
      <c r="B421" s="150" t="s">
        <v>854</v>
      </c>
      <c r="C421" s="150" t="s">
        <v>1352</v>
      </c>
      <c r="D421" s="150" t="s">
        <v>1353</v>
      </c>
      <c r="E421" s="150" t="s">
        <v>1285</v>
      </c>
      <c r="F421" s="149">
        <v>529335</v>
      </c>
      <c r="G421" s="149">
        <v>176880</v>
      </c>
      <c r="H421" s="150" t="s">
        <v>167</v>
      </c>
      <c r="I421" s="151">
        <v>44873</v>
      </c>
      <c r="J421" s="151"/>
      <c r="K421" s="149">
        <v>0</v>
      </c>
      <c r="L421" s="149">
        <v>19</v>
      </c>
      <c r="M421" s="149">
        <v>19</v>
      </c>
      <c r="N421" s="149">
        <v>57</v>
      </c>
      <c r="O421" s="149">
        <v>57</v>
      </c>
      <c r="P421" s="152" t="s">
        <v>327</v>
      </c>
      <c r="Q421" s="150" t="s">
        <v>1354</v>
      </c>
      <c r="R421" s="150" t="s">
        <v>342</v>
      </c>
      <c r="S421" s="151">
        <v>44952</v>
      </c>
      <c r="T421" s="151">
        <v>45063</v>
      </c>
      <c r="U421" s="152" t="s">
        <v>327</v>
      </c>
      <c r="V421" s="150" t="s">
        <v>330</v>
      </c>
      <c r="W421" s="151"/>
      <c r="X421" s="150" t="s">
        <v>331</v>
      </c>
      <c r="Y421" s="150" t="s">
        <v>343</v>
      </c>
      <c r="Z421" s="150" t="s">
        <v>343</v>
      </c>
      <c r="AA421" s="150" t="s">
        <v>334</v>
      </c>
      <c r="AB421" s="153">
        <v>0.186</v>
      </c>
      <c r="AC421" s="151">
        <v>44873</v>
      </c>
      <c r="AD421" s="150"/>
      <c r="AE421" s="151"/>
      <c r="AF421" s="150" t="s">
        <v>49</v>
      </c>
      <c r="AG421" s="152" t="s">
        <v>481</v>
      </c>
      <c r="AH421" s="150" t="s">
        <v>326</v>
      </c>
      <c r="AI421" s="99"/>
      <c r="AJ421" s="149"/>
      <c r="AK421" s="138">
        <v>19</v>
      </c>
      <c r="AL421" s="149"/>
      <c r="AM421" s="99"/>
      <c r="AN421" s="149">
        <v>0</v>
      </c>
      <c r="AO421" s="149">
        <v>6</v>
      </c>
      <c r="AP421" s="149">
        <v>7</v>
      </c>
      <c r="AQ421" s="149">
        <v>4</v>
      </c>
      <c r="AR421" s="149">
        <v>2</v>
      </c>
      <c r="AS421" s="149">
        <v>0</v>
      </c>
      <c r="AT421" s="149">
        <v>0</v>
      </c>
      <c r="AU421" s="149">
        <v>0</v>
      </c>
      <c r="AV421" s="149">
        <v>6</v>
      </c>
      <c r="AW421" s="149">
        <v>7</v>
      </c>
      <c r="AX421" s="149">
        <v>4</v>
      </c>
      <c r="AY421" s="149">
        <v>2</v>
      </c>
      <c r="AZ421" s="149">
        <v>0</v>
      </c>
      <c r="BA421" s="149">
        <v>0</v>
      </c>
      <c r="BB421" s="149">
        <v>0</v>
      </c>
      <c r="BC421" s="149">
        <v>0</v>
      </c>
      <c r="BD421" s="149">
        <v>0</v>
      </c>
      <c r="BE421" s="149">
        <v>0</v>
      </c>
      <c r="BF421" s="149">
        <v>0</v>
      </c>
      <c r="BG421" s="149">
        <v>0</v>
      </c>
      <c r="BH421" s="149">
        <v>0</v>
      </c>
      <c r="BI421" s="149">
        <v>0</v>
      </c>
      <c r="BJ421" s="149">
        <v>0</v>
      </c>
      <c r="BK421" s="149">
        <v>0</v>
      </c>
      <c r="BL421" s="149">
        <v>0</v>
      </c>
      <c r="BM421" s="149">
        <v>0</v>
      </c>
      <c r="BN421" s="149">
        <v>0</v>
      </c>
      <c r="BO421" s="149">
        <v>0</v>
      </c>
      <c r="BP421" s="152"/>
      <c r="BQ421" s="152" t="s">
        <v>327</v>
      </c>
      <c r="BR421" s="154" t="s">
        <v>149</v>
      </c>
      <c r="BS421" s="136">
        <v>5</v>
      </c>
      <c r="BT421" s="267"/>
      <c r="BU421" s="267">
        <f>M421</f>
        <v>19</v>
      </c>
      <c r="BV421" s="267"/>
      <c r="BW421" s="267"/>
      <c r="BX421" s="267"/>
      <c r="BY421" s="267"/>
      <c r="BZ421" s="267"/>
      <c r="CA421" s="267"/>
      <c r="CB421" s="267"/>
      <c r="CC421" s="267"/>
      <c r="CD421" s="267"/>
      <c r="CE421" s="267"/>
      <c r="CF421" s="267"/>
      <c r="CG421" s="267"/>
      <c r="CH421" s="267"/>
      <c r="CI421" s="267"/>
      <c r="CJ421" s="267"/>
      <c r="CK421" s="267"/>
      <c r="CL421" s="267"/>
      <c r="CM421" s="267"/>
      <c r="CN421" s="101">
        <f t="shared" si="28"/>
        <v>19</v>
      </c>
      <c r="CO421" s="101">
        <f t="shared" si="29"/>
        <v>19</v>
      </c>
    </row>
    <row r="422" spans="1:93" ht="13.9" customHeight="1" x14ac:dyDescent="0.2">
      <c r="A422" s="149">
        <v>6853</v>
      </c>
      <c r="B422" s="150" t="s">
        <v>854</v>
      </c>
      <c r="C422" s="150" t="s">
        <v>1352</v>
      </c>
      <c r="D422" s="150" t="s">
        <v>1353</v>
      </c>
      <c r="E422" s="150" t="s">
        <v>402</v>
      </c>
      <c r="F422" s="149">
        <v>529335</v>
      </c>
      <c r="G422" s="149">
        <v>176880</v>
      </c>
      <c r="H422" s="150" t="s">
        <v>167</v>
      </c>
      <c r="I422" s="151">
        <v>44873</v>
      </c>
      <c r="J422" s="151"/>
      <c r="K422" s="149">
        <v>0</v>
      </c>
      <c r="L422" s="149">
        <v>18</v>
      </c>
      <c r="M422" s="149">
        <v>18</v>
      </c>
      <c r="N422" s="149">
        <v>57</v>
      </c>
      <c r="O422" s="149">
        <v>57</v>
      </c>
      <c r="P422" s="152" t="s">
        <v>327</v>
      </c>
      <c r="Q422" s="150" t="s">
        <v>1354</v>
      </c>
      <c r="R422" s="150" t="s">
        <v>342</v>
      </c>
      <c r="S422" s="151">
        <v>44952</v>
      </c>
      <c r="T422" s="151">
        <v>45063</v>
      </c>
      <c r="U422" s="152" t="s">
        <v>327</v>
      </c>
      <c r="V422" s="150" t="s">
        <v>330</v>
      </c>
      <c r="W422" s="151"/>
      <c r="X422" s="150" t="s">
        <v>331</v>
      </c>
      <c r="Y422" s="150" t="s">
        <v>343</v>
      </c>
      <c r="Z422" s="150" t="s">
        <v>343</v>
      </c>
      <c r="AA422" s="150" t="s">
        <v>334</v>
      </c>
      <c r="AB422" s="153">
        <v>3.5000000000000003E-2</v>
      </c>
      <c r="AC422" s="151">
        <v>44873</v>
      </c>
      <c r="AD422" s="150"/>
      <c r="AE422" s="151"/>
      <c r="AF422" s="150" t="s">
        <v>49</v>
      </c>
      <c r="AG422" s="152" t="s">
        <v>481</v>
      </c>
      <c r="AH422" s="150" t="s">
        <v>326</v>
      </c>
      <c r="AI422" s="99"/>
      <c r="AJ422" s="149"/>
      <c r="AK422" s="138">
        <v>18</v>
      </c>
      <c r="AL422" s="149"/>
      <c r="AM422" s="99"/>
      <c r="AN422" s="149">
        <v>0</v>
      </c>
      <c r="AO422" s="149">
        <v>9</v>
      </c>
      <c r="AP422" s="149">
        <v>9</v>
      </c>
      <c r="AQ422" s="149">
        <v>0</v>
      </c>
      <c r="AR422" s="149">
        <v>0</v>
      </c>
      <c r="AS422" s="149">
        <v>0</v>
      </c>
      <c r="AT422" s="149">
        <v>0</v>
      </c>
      <c r="AU422" s="149">
        <v>0</v>
      </c>
      <c r="AV422" s="149">
        <v>9</v>
      </c>
      <c r="AW422" s="149">
        <v>9</v>
      </c>
      <c r="AX422" s="149">
        <v>0</v>
      </c>
      <c r="AY422" s="149">
        <v>0</v>
      </c>
      <c r="AZ422" s="149">
        <v>0</v>
      </c>
      <c r="BA422" s="149">
        <v>0</v>
      </c>
      <c r="BB422" s="149">
        <v>0</v>
      </c>
      <c r="BC422" s="149">
        <v>0</v>
      </c>
      <c r="BD422" s="149">
        <v>0</v>
      </c>
      <c r="BE422" s="149">
        <v>0</v>
      </c>
      <c r="BF422" s="149">
        <v>0</v>
      </c>
      <c r="BG422" s="149">
        <v>0</v>
      </c>
      <c r="BH422" s="149">
        <v>0</v>
      </c>
      <c r="BI422" s="149">
        <v>0</v>
      </c>
      <c r="BJ422" s="149">
        <v>0</v>
      </c>
      <c r="BK422" s="149">
        <v>0</v>
      </c>
      <c r="BL422" s="149">
        <v>0</v>
      </c>
      <c r="BM422" s="149">
        <v>0</v>
      </c>
      <c r="BN422" s="149">
        <v>0</v>
      </c>
      <c r="BO422" s="149">
        <v>0</v>
      </c>
      <c r="BP422" s="152"/>
      <c r="BQ422" s="152" t="s">
        <v>327</v>
      </c>
      <c r="BR422" s="154" t="s">
        <v>149</v>
      </c>
      <c r="BS422" s="136">
        <v>5</v>
      </c>
      <c r="BT422" s="267"/>
      <c r="BU422" s="267">
        <f>M422</f>
        <v>18</v>
      </c>
      <c r="BV422" s="267"/>
      <c r="BW422" s="267"/>
      <c r="BX422" s="267"/>
      <c r="BY422" s="267"/>
      <c r="BZ422" s="267"/>
      <c r="CA422" s="267"/>
      <c r="CB422" s="267"/>
      <c r="CC422" s="267"/>
      <c r="CD422" s="267"/>
      <c r="CE422" s="267"/>
      <c r="CF422" s="267"/>
      <c r="CG422" s="267"/>
      <c r="CH422" s="267"/>
      <c r="CI422" s="267"/>
      <c r="CJ422" s="267"/>
      <c r="CK422" s="267"/>
      <c r="CL422" s="267"/>
      <c r="CM422" s="267"/>
      <c r="CN422" s="101">
        <f t="shared" si="28"/>
        <v>18</v>
      </c>
      <c r="CO422" s="101">
        <f t="shared" si="29"/>
        <v>18</v>
      </c>
    </row>
    <row r="423" spans="1:93" ht="13.9" customHeight="1" x14ac:dyDescent="0.2">
      <c r="A423" s="149">
        <v>7296</v>
      </c>
      <c r="B423" s="150" t="s">
        <v>854</v>
      </c>
      <c r="C423" s="150" t="s">
        <v>1355</v>
      </c>
      <c r="D423" s="150" t="s">
        <v>1356</v>
      </c>
      <c r="E423" s="150" t="s">
        <v>1357</v>
      </c>
      <c r="F423" s="149">
        <v>522049</v>
      </c>
      <c r="G423" s="149">
        <v>173511</v>
      </c>
      <c r="H423" s="150" t="s">
        <v>166</v>
      </c>
      <c r="I423" s="151">
        <v>44652</v>
      </c>
      <c r="J423" s="151"/>
      <c r="K423" s="149">
        <v>0</v>
      </c>
      <c r="L423" s="149">
        <v>7</v>
      </c>
      <c r="M423" s="149">
        <v>7</v>
      </c>
      <c r="N423" s="149">
        <v>14</v>
      </c>
      <c r="O423" s="149">
        <v>14</v>
      </c>
      <c r="P423" s="152" t="s">
        <v>327</v>
      </c>
      <c r="Q423" s="150" t="s">
        <v>1358</v>
      </c>
      <c r="R423" s="150" t="s">
        <v>329</v>
      </c>
      <c r="S423" s="151">
        <v>43780</v>
      </c>
      <c r="T423" s="151">
        <v>44505</v>
      </c>
      <c r="U423" s="152"/>
      <c r="V423" s="150" t="s">
        <v>330</v>
      </c>
      <c r="W423" s="151"/>
      <c r="X423" s="150" t="s">
        <v>331</v>
      </c>
      <c r="Y423" s="150" t="s">
        <v>343</v>
      </c>
      <c r="Z423" s="150" t="s">
        <v>343</v>
      </c>
      <c r="AA423" s="150" t="s">
        <v>334</v>
      </c>
      <c r="AB423" s="153">
        <v>4.5999999999999999E-2</v>
      </c>
      <c r="AC423" s="151">
        <v>44819</v>
      </c>
      <c r="AD423" s="150"/>
      <c r="AE423" s="151"/>
      <c r="AF423" s="150" t="s">
        <v>49</v>
      </c>
      <c r="AG423" s="152" t="s">
        <v>383</v>
      </c>
      <c r="AH423" s="150" t="s">
        <v>326</v>
      </c>
      <c r="AI423" s="99"/>
      <c r="AJ423" s="149"/>
      <c r="AK423" s="138">
        <v>5</v>
      </c>
      <c r="AL423" s="149"/>
      <c r="AM423" s="138">
        <v>2</v>
      </c>
      <c r="AN423" s="149">
        <v>0</v>
      </c>
      <c r="AO423" s="149">
        <v>0</v>
      </c>
      <c r="AP423" s="149">
        <v>0</v>
      </c>
      <c r="AQ423" s="149">
        <v>5</v>
      </c>
      <c r="AR423" s="149">
        <v>2</v>
      </c>
      <c r="AS423" s="149">
        <v>0</v>
      </c>
      <c r="AT423" s="149">
        <v>0</v>
      </c>
      <c r="AU423" s="149">
        <v>0</v>
      </c>
      <c r="AV423" s="149">
        <v>0</v>
      </c>
      <c r="AW423" s="149">
        <v>0</v>
      </c>
      <c r="AX423" s="149">
        <v>5</v>
      </c>
      <c r="AY423" s="149">
        <v>2</v>
      </c>
      <c r="AZ423" s="149">
        <v>0</v>
      </c>
      <c r="BA423" s="149">
        <v>0</v>
      </c>
      <c r="BB423" s="149">
        <v>0</v>
      </c>
      <c r="BC423" s="149">
        <v>0</v>
      </c>
      <c r="BD423" s="149">
        <v>0</v>
      </c>
      <c r="BE423" s="149">
        <v>0</v>
      </c>
      <c r="BF423" s="149">
        <v>0</v>
      </c>
      <c r="BG423" s="149">
        <v>0</v>
      </c>
      <c r="BH423" s="149">
        <v>0</v>
      </c>
      <c r="BI423" s="149">
        <v>0</v>
      </c>
      <c r="BJ423" s="149">
        <v>0</v>
      </c>
      <c r="BK423" s="149">
        <v>0</v>
      </c>
      <c r="BL423" s="149">
        <v>0</v>
      </c>
      <c r="BM423" s="149">
        <v>0</v>
      </c>
      <c r="BN423" s="149">
        <v>0</v>
      </c>
      <c r="BO423" s="149">
        <v>0</v>
      </c>
      <c r="BP423" s="152"/>
      <c r="BQ423" s="152"/>
      <c r="BR423" s="154" t="s">
        <v>359</v>
      </c>
      <c r="BS423" s="136">
        <v>2</v>
      </c>
      <c r="BT423" s="267"/>
      <c r="BU423" s="267">
        <f>M423</f>
        <v>7</v>
      </c>
      <c r="BV423" s="267"/>
      <c r="BW423" s="267"/>
      <c r="BX423" s="267"/>
      <c r="BY423" s="267"/>
      <c r="BZ423" s="267"/>
      <c r="CA423" s="267"/>
      <c r="CB423" s="267"/>
      <c r="CC423" s="267"/>
      <c r="CD423" s="267"/>
      <c r="CE423" s="267"/>
      <c r="CF423" s="267"/>
      <c r="CG423" s="267"/>
      <c r="CH423" s="267"/>
      <c r="CI423" s="267"/>
      <c r="CJ423" s="267"/>
      <c r="CK423" s="267"/>
      <c r="CL423" s="267"/>
      <c r="CM423" s="267"/>
      <c r="CN423" s="101">
        <f t="shared" si="28"/>
        <v>7</v>
      </c>
      <c r="CO423" s="101">
        <f t="shared" si="29"/>
        <v>7</v>
      </c>
    </row>
    <row r="424" spans="1:93" ht="13.9" customHeight="1" x14ac:dyDescent="0.2">
      <c r="A424" s="149">
        <v>8001</v>
      </c>
      <c r="B424" s="150" t="s">
        <v>854</v>
      </c>
      <c r="C424" s="150" t="s">
        <v>1359</v>
      </c>
      <c r="D424" s="150" t="s">
        <v>1360</v>
      </c>
      <c r="E424" s="150" t="s">
        <v>326</v>
      </c>
      <c r="F424" s="149">
        <v>527860</v>
      </c>
      <c r="G424" s="149">
        <v>171448</v>
      </c>
      <c r="H424" s="150" t="s">
        <v>172</v>
      </c>
      <c r="I424" s="151">
        <v>45258</v>
      </c>
      <c r="J424" s="151"/>
      <c r="K424" s="149">
        <v>1</v>
      </c>
      <c r="L424" s="149">
        <v>1</v>
      </c>
      <c r="M424" s="149">
        <v>0</v>
      </c>
      <c r="N424" s="149">
        <v>1</v>
      </c>
      <c r="O424" s="149">
        <v>0</v>
      </c>
      <c r="P424" s="152"/>
      <c r="Q424" s="150" t="s">
        <v>1361</v>
      </c>
      <c r="R424" s="150" t="s">
        <v>349</v>
      </c>
      <c r="S424" s="151">
        <v>45096</v>
      </c>
      <c r="T424" s="151">
        <v>45258</v>
      </c>
      <c r="U424" s="152" t="s">
        <v>327</v>
      </c>
      <c r="V424" s="150" t="s">
        <v>330</v>
      </c>
      <c r="W424" s="151"/>
      <c r="X424" s="150" t="s">
        <v>331</v>
      </c>
      <c r="Y424" s="150" t="s">
        <v>332</v>
      </c>
      <c r="Z424" s="150" t="s">
        <v>334</v>
      </c>
      <c r="AA424" s="150" t="s">
        <v>16</v>
      </c>
      <c r="AB424" s="153">
        <v>0</v>
      </c>
      <c r="AC424" s="151">
        <v>45258</v>
      </c>
      <c r="AD424" s="152" t="s">
        <v>327</v>
      </c>
      <c r="AE424" s="151"/>
      <c r="AF424" s="150" t="s">
        <v>70</v>
      </c>
      <c r="AG424" s="152" t="s">
        <v>352</v>
      </c>
      <c r="AH424" s="150" t="s">
        <v>326</v>
      </c>
      <c r="AI424" s="99"/>
      <c r="AJ424" s="149"/>
      <c r="AK424" s="99"/>
      <c r="AL424" s="149"/>
      <c r="AM424" s="99"/>
      <c r="AN424" s="149">
        <v>0</v>
      </c>
      <c r="AO424" s="149">
        <v>0</v>
      </c>
      <c r="AP424" s="149">
        <v>0</v>
      </c>
      <c r="AQ424" s="149">
        <v>0</v>
      </c>
      <c r="AR424" s="149">
        <v>0</v>
      </c>
      <c r="AS424" s="149">
        <v>0</v>
      </c>
      <c r="AT424" s="149">
        <v>0</v>
      </c>
      <c r="AU424" s="149">
        <v>0</v>
      </c>
      <c r="AV424" s="149">
        <v>0</v>
      </c>
      <c r="AW424" s="149">
        <v>0</v>
      </c>
      <c r="AX424" s="149">
        <v>0</v>
      </c>
      <c r="AY424" s="149">
        <v>0</v>
      </c>
      <c r="AZ424" s="149">
        <v>0</v>
      </c>
      <c r="BA424" s="149">
        <v>0</v>
      </c>
      <c r="BB424" s="149">
        <v>0</v>
      </c>
      <c r="BC424" s="149">
        <v>0</v>
      </c>
      <c r="BD424" s="149">
        <v>0</v>
      </c>
      <c r="BE424" s="149">
        <v>0</v>
      </c>
      <c r="BF424" s="149">
        <v>0</v>
      </c>
      <c r="BG424" s="149">
        <v>0</v>
      </c>
      <c r="BH424" s="149">
        <v>0</v>
      </c>
      <c r="BI424" s="149">
        <v>0</v>
      </c>
      <c r="BJ424" s="149">
        <v>0</v>
      </c>
      <c r="BK424" s="149">
        <v>0</v>
      </c>
      <c r="BL424" s="149">
        <v>0</v>
      </c>
      <c r="BM424" s="149">
        <v>0</v>
      </c>
      <c r="BN424" s="149">
        <v>0</v>
      </c>
      <c r="BO424" s="149">
        <v>0</v>
      </c>
      <c r="BP424" s="152"/>
      <c r="BQ424" s="152"/>
      <c r="BR424" s="154" t="s">
        <v>359</v>
      </c>
      <c r="BS424" s="136">
        <v>14</v>
      </c>
      <c r="BT424" s="267"/>
      <c r="BU424" s="267">
        <f>M424/2</f>
        <v>0</v>
      </c>
      <c r="BV424" s="267">
        <f>M424/2</f>
        <v>0</v>
      </c>
      <c r="BW424" s="267"/>
      <c r="BX424" s="267"/>
      <c r="BY424" s="267"/>
      <c r="BZ424" s="267"/>
      <c r="CA424" s="267"/>
      <c r="CB424" s="267"/>
      <c r="CC424" s="267"/>
      <c r="CD424" s="267"/>
      <c r="CE424" s="267"/>
      <c r="CF424" s="267"/>
      <c r="CG424" s="267"/>
      <c r="CH424" s="267"/>
      <c r="CI424" s="267"/>
      <c r="CJ424" s="267"/>
      <c r="CK424" s="267"/>
      <c r="CL424" s="267"/>
      <c r="CM424" s="267"/>
      <c r="CN424" s="101">
        <f t="shared" si="28"/>
        <v>0</v>
      </c>
      <c r="CO424" s="101">
        <f t="shared" si="29"/>
        <v>0</v>
      </c>
    </row>
    <row r="425" spans="1:93" ht="13.9" customHeight="1" x14ac:dyDescent="0.2">
      <c r="A425" s="149">
        <v>2356</v>
      </c>
      <c r="B425" s="150" t="s">
        <v>854</v>
      </c>
      <c r="C425" s="150" t="s">
        <v>1362</v>
      </c>
      <c r="D425" s="150" t="s">
        <v>1363</v>
      </c>
      <c r="E425" s="150" t="s">
        <v>326</v>
      </c>
      <c r="F425" s="149">
        <v>525955</v>
      </c>
      <c r="G425" s="149">
        <v>174077</v>
      </c>
      <c r="H425" s="150" t="s">
        <v>177</v>
      </c>
      <c r="I425" s="151">
        <v>45382</v>
      </c>
      <c r="J425" s="151"/>
      <c r="K425" s="149">
        <v>0</v>
      </c>
      <c r="L425" s="149">
        <v>8</v>
      </c>
      <c r="M425" s="149">
        <v>8</v>
      </c>
      <c r="N425" s="149">
        <v>8</v>
      </c>
      <c r="O425" s="149">
        <v>8</v>
      </c>
      <c r="P425" s="152"/>
      <c r="Q425" s="150" t="s">
        <v>1364</v>
      </c>
      <c r="R425" s="150" t="s">
        <v>349</v>
      </c>
      <c r="S425" s="151">
        <v>44945</v>
      </c>
      <c r="T425" s="151">
        <v>45071</v>
      </c>
      <c r="U425" s="152" t="s">
        <v>327</v>
      </c>
      <c r="V425" s="150" t="s">
        <v>330</v>
      </c>
      <c r="W425" s="151"/>
      <c r="X425" s="150" t="s">
        <v>331</v>
      </c>
      <c r="Y425" s="150" t="s">
        <v>398</v>
      </c>
      <c r="Z425" s="150" t="s">
        <v>334</v>
      </c>
      <c r="AA425" s="150" t="s">
        <v>363</v>
      </c>
      <c r="AB425" s="153">
        <v>0.1</v>
      </c>
      <c r="AC425" s="151">
        <v>45382</v>
      </c>
      <c r="AD425" s="152" t="s">
        <v>327</v>
      </c>
      <c r="AE425" s="151"/>
      <c r="AF425" s="150" t="s">
        <v>70</v>
      </c>
      <c r="AG425" s="152" t="s">
        <v>352</v>
      </c>
      <c r="AH425" s="150" t="s">
        <v>326</v>
      </c>
      <c r="AI425" s="99"/>
      <c r="AJ425" s="149"/>
      <c r="AK425" s="99"/>
      <c r="AL425" s="149"/>
      <c r="AM425" s="99"/>
      <c r="AN425" s="149">
        <v>0</v>
      </c>
      <c r="AO425" s="149">
        <v>3</v>
      </c>
      <c r="AP425" s="149">
        <v>4</v>
      </c>
      <c r="AQ425" s="149">
        <v>1</v>
      </c>
      <c r="AR425" s="149">
        <v>0</v>
      </c>
      <c r="AS425" s="149">
        <v>0</v>
      </c>
      <c r="AT425" s="149">
        <v>0</v>
      </c>
      <c r="AU425" s="149">
        <v>0</v>
      </c>
      <c r="AV425" s="149">
        <v>3</v>
      </c>
      <c r="AW425" s="149">
        <v>4</v>
      </c>
      <c r="AX425" s="149">
        <v>1</v>
      </c>
      <c r="AY425" s="149">
        <v>0</v>
      </c>
      <c r="AZ425" s="149">
        <v>0</v>
      </c>
      <c r="BA425" s="149">
        <v>0</v>
      </c>
      <c r="BB425" s="149">
        <v>0</v>
      </c>
      <c r="BC425" s="149">
        <v>0</v>
      </c>
      <c r="BD425" s="149">
        <v>0</v>
      </c>
      <c r="BE425" s="149">
        <v>0</v>
      </c>
      <c r="BF425" s="149">
        <v>0</v>
      </c>
      <c r="BG425" s="149">
        <v>0</v>
      </c>
      <c r="BH425" s="149">
        <v>0</v>
      </c>
      <c r="BI425" s="149">
        <v>0</v>
      </c>
      <c r="BJ425" s="149">
        <v>0</v>
      </c>
      <c r="BK425" s="149">
        <v>0</v>
      </c>
      <c r="BL425" s="149">
        <v>0</v>
      </c>
      <c r="BM425" s="149">
        <v>0</v>
      </c>
      <c r="BN425" s="149">
        <v>0</v>
      </c>
      <c r="BO425" s="149">
        <v>0</v>
      </c>
      <c r="BP425" s="152"/>
      <c r="BQ425" s="152"/>
      <c r="BR425" s="154" t="s">
        <v>359</v>
      </c>
      <c r="BS425" s="136">
        <v>14</v>
      </c>
      <c r="BT425" s="267"/>
      <c r="BU425" s="267">
        <f>M425/2</f>
        <v>4</v>
      </c>
      <c r="BV425" s="267">
        <f>M425/2</f>
        <v>4</v>
      </c>
      <c r="BW425" s="267"/>
      <c r="BX425" s="267"/>
      <c r="BY425" s="267"/>
      <c r="BZ425" s="267"/>
      <c r="CA425" s="267"/>
      <c r="CB425" s="267"/>
      <c r="CC425" s="267"/>
      <c r="CD425" s="267"/>
      <c r="CE425" s="267"/>
      <c r="CF425" s="267"/>
      <c r="CG425" s="267"/>
      <c r="CH425" s="267"/>
      <c r="CI425" s="267"/>
      <c r="CJ425" s="267"/>
      <c r="CK425" s="267"/>
      <c r="CL425" s="267"/>
      <c r="CM425" s="267"/>
      <c r="CN425" s="101">
        <f t="shared" si="28"/>
        <v>8</v>
      </c>
      <c r="CO425" s="101">
        <f t="shared" si="29"/>
        <v>8</v>
      </c>
    </row>
    <row r="426" spans="1:93" ht="13.9" customHeight="1" x14ac:dyDescent="0.2">
      <c r="A426" s="149">
        <v>5220</v>
      </c>
      <c r="B426" s="150" t="s">
        <v>854</v>
      </c>
      <c r="C426" s="150" t="s">
        <v>1365</v>
      </c>
      <c r="D426" s="150" t="s">
        <v>1366</v>
      </c>
      <c r="E426" s="150" t="s">
        <v>326</v>
      </c>
      <c r="F426" s="149">
        <v>527650</v>
      </c>
      <c r="G426" s="149">
        <v>176358</v>
      </c>
      <c r="H426" s="150" t="s">
        <v>160</v>
      </c>
      <c r="I426" s="151">
        <v>45131</v>
      </c>
      <c r="J426" s="151"/>
      <c r="K426" s="149">
        <v>1</v>
      </c>
      <c r="L426" s="149">
        <v>2</v>
      </c>
      <c r="M426" s="149">
        <v>1</v>
      </c>
      <c r="N426" s="149">
        <v>2</v>
      </c>
      <c r="O426" s="149">
        <v>1</v>
      </c>
      <c r="P426" s="152"/>
      <c r="Q426" s="150" t="s">
        <v>1367</v>
      </c>
      <c r="R426" s="150" t="s">
        <v>349</v>
      </c>
      <c r="S426" s="151">
        <v>44974</v>
      </c>
      <c r="T426" s="151">
        <v>45065</v>
      </c>
      <c r="U426" s="152" t="s">
        <v>327</v>
      </c>
      <c r="V426" s="150" t="s">
        <v>330</v>
      </c>
      <c r="W426" s="151"/>
      <c r="X426" s="150" t="s">
        <v>331</v>
      </c>
      <c r="Y426" s="150" t="s">
        <v>350</v>
      </c>
      <c r="Z426" s="150" t="s">
        <v>334</v>
      </c>
      <c r="AA426" s="150" t="s">
        <v>399</v>
      </c>
      <c r="AB426" s="153">
        <v>1.4999999999999999E-2</v>
      </c>
      <c r="AC426" s="151">
        <v>45131</v>
      </c>
      <c r="AD426" s="152" t="s">
        <v>327</v>
      </c>
      <c r="AE426" s="151"/>
      <c r="AF426" s="150" t="s">
        <v>70</v>
      </c>
      <c r="AG426" s="152" t="s">
        <v>352</v>
      </c>
      <c r="AH426" s="150" t="s">
        <v>326</v>
      </c>
      <c r="AI426" s="99"/>
      <c r="AJ426" s="149"/>
      <c r="AK426" s="99"/>
      <c r="AL426" s="149"/>
      <c r="AM426" s="99"/>
      <c r="AN426" s="149">
        <v>0</v>
      </c>
      <c r="AO426" s="149">
        <v>0</v>
      </c>
      <c r="AP426" s="149">
        <v>2</v>
      </c>
      <c r="AQ426" s="149">
        <v>-1</v>
      </c>
      <c r="AR426" s="149">
        <v>0</v>
      </c>
      <c r="AS426" s="149">
        <v>0</v>
      </c>
      <c r="AT426" s="149">
        <v>0</v>
      </c>
      <c r="AU426" s="149">
        <v>0</v>
      </c>
      <c r="AV426" s="149">
        <v>0</v>
      </c>
      <c r="AW426" s="149">
        <v>2</v>
      </c>
      <c r="AX426" s="149">
        <v>-1</v>
      </c>
      <c r="AY426" s="149">
        <v>0</v>
      </c>
      <c r="AZ426" s="149">
        <v>0</v>
      </c>
      <c r="BA426" s="149">
        <v>0</v>
      </c>
      <c r="BB426" s="149">
        <v>0</v>
      </c>
      <c r="BC426" s="149">
        <v>0</v>
      </c>
      <c r="BD426" s="149">
        <v>0</v>
      </c>
      <c r="BE426" s="149">
        <v>0</v>
      </c>
      <c r="BF426" s="149">
        <v>0</v>
      </c>
      <c r="BG426" s="149">
        <v>0</v>
      </c>
      <c r="BH426" s="149">
        <v>0</v>
      </c>
      <c r="BI426" s="149">
        <v>0</v>
      </c>
      <c r="BJ426" s="149">
        <v>0</v>
      </c>
      <c r="BK426" s="149">
        <v>0</v>
      </c>
      <c r="BL426" s="149">
        <v>0</v>
      </c>
      <c r="BM426" s="149">
        <v>0</v>
      </c>
      <c r="BN426" s="149">
        <v>0</v>
      </c>
      <c r="BO426" s="149">
        <v>0</v>
      </c>
      <c r="BP426" s="152"/>
      <c r="BQ426" s="152"/>
      <c r="BR426" s="154" t="s">
        <v>359</v>
      </c>
      <c r="BS426" s="136">
        <v>13</v>
      </c>
      <c r="BT426" s="267"/>
      <c r="BU426" s="267">
        <f>M426</f>
        <v>1</v>
      </c>
      <c r="BV426" s="267"/>
      <c r="BW426" s="267"/>
      <c r="BX426" s="267"/>
      <c r="BY426" s="267"/>
      <c r="BZ426" s="267"/>
      <c r="CA426" s="267"/>
      <c r="CB426" s="267"/>
      <c r="CC426" s="267"/>
      <c r="CD426" s="267"/>
      <c r="CE426" s="267"/>
      <c r="CF426" s="267"/>
      <c r="CG426" s="267"/>
      <c r="CH426" s="267"/>
      <c r="CI426" s="267"/>
      <c r="CJ426" s="267"/>
      <c r="CK426" s="267"/>
      <c r="CL426" s="267"/>
      <c r="CM426" s="267"/>
      <c r="CN426" s="101">
        <f t="shared" si="28"/>
        <v>1</v>
      </c>
      <c r="CO426" s="101">
        <f t="shared" si="29"/>
        <v>1</v>
      </c>
    </row>
    <row r="427" spans="1:93" ht="13.9" customHeight="1" x14ac:dyDescent="0.2">
      <c r="A427" s="149">
        <v>7734</v>
      </c>
      <c r="B427" s="150" t="s">
        <v>854</v>
      </c>
      <c r="C427" s="150" t="s">
        <v>1368</v>
      </c>
      <c r="D427" s="150" t="s">
        <v>1369</v>
      </c>
      <c r="E427" s="150" t="s">
        <v>326</v>
      </c>
      <c r="F427" s="149">
        <v>525211</v>
      </c>
      <c r="G427" s="149">
        <v>174287</v>
      </c>
      <c r="H427" s="150" t="s">
        <v>161</v>
      </c>
      <c r="I427" s="151">
        <v>45382</v>
      </c>
      <c r="J427" s="151"/>
      <c r="K427" s="149">
        <v>0</v>
      </c>
      <c r="L427" s="149">
        <v>5</v>
      </c>
      <c r="M427" s="149">
        <v>5</v>
      </c>
      <c r="N427" s="149">
        <v>5</v>
      </c>
      <c r="O427" s="149">
        <v>5</v>
      </c>
      <c r="P427" s="152"/>
      <c r="Q427" s="150" t="s">
        <v>1370</v>
      </c>
      <c r="R427" s="150" t="s">
        <v>329</v>
      </c>
      <c r="S427" s="151">
        <v>44951</v>
      </c>
      <c r="T427" s="151">
        <v>45201</v>
      </c>
      <c r="U427" s="152" t="s">
        <v>327</v>
      </c>
      <c r="V427" s="150" t="s">
        <v>330</v>
      </c>
      <c r="W427" s="151"/>
      <c r="X427" s="150" t="s">
        <v>331</v>
      </c>
      <c r="Y427" s="150" t="s">
        <v>343</v>
      </c>
      <c r="Z427" s="150" t="s">
        <v>334</v>
      </c>
      <c r="AA427" s="150" t="s">
        <v>363</v>
      </c>
      <c r="AB427" s="153">
        <v>0.50900000000000001</v>
      </c>
      <c r="AC427" s="151">
        <v>45382</v>
      </c>
      <c r="AD427" s="152" t="s">
        <v>327</v>
      </c>
      <c r="AE427" s="151"/>
      <c r="AF427" s="150" t="s">
        <v>70</v>
      </c>
      <c r="AG427" s="152" t="s">
        <v>352</v>
      </c>
      <c r="AH427" s="150" t="s">
        <v>326</v>
      </c>
      <c r="AI427" s="99"/>
      <c r="AJ427" s="149"/>
      <c r="AK427" s="99"/>
      <c r="AL427" s="149"/>
      <c r="AM427" s="99"/>
      <c r="AN427" s="149">
        <v>0</v>
      </c>
      <c r="AO427" s="149">
        <v>0</v>
      </c>
      <c r="AP427" s="149">
        <v>1</v>
      </c>
      <c r="AQ427" s="149">
        <v>4</v>
      </c>
      <c r="AR427" s="149">
        <v>0</v>
      </c>
      <c r="AS427" s="149">
        <v>0</v>
      </c>
      <c r="AT427" s="149">
        <v>0</v>
      </c>
      <c r="AU427" s="149">
        <v>0</v>
      </c>
      <c r="AV427" s="149">
        <v>0</v>
      </c>
      <c r="AW427" s="149">
        <v>0</v>
      </c>
      <c r="AX427" s="149">
        <v>0</v>
      </c>
      <c r="AY427" s="149">
        <v>0</v>
      </c>
      <c r="AZ427" s="149">
        <v>0</v>
      </c>
      <c r="BA427" s="149">
        <v>0</v>
      </c>
      <c r="BB427" s="149">
        <v>0</v>
      </c>
      <c r="BC427" s="149">
        <v>0</v>
      </c>
      <c r="BD427" s="149">
        <v>1</v>
      </c>
      <c r="BE427" s="149">
        <v>4</v>
      </c>
      <c r="BF427" s="149">
        <v>0</v>
      </c>
      <c r="BG427" s="149">
        <v>0</v>
      </c>
      <c r="BH427" s="149">
        <v>0</v>
      </c>
      <c r="BI427" s="149">
        <v>0</v>
      </c>
      <c r="BJ427" s="149">
        <v>0</v>
      </c>
      <c r="BK427" s="149">
        <v>0</v>
      </c>
      <c r="BL427" s="149">
        <v>0</v>
      </c>
      <c r="BM427" s="149">
        <v>0</v>
      </c>
      <c r="BN427" s="149">
        <v>0</v>
      </c>
      <c r="BO427" s="149">
        <v>0</v>
      </c>
      <c r="BP427" s="152"/>
      <c r="BQ427" s="152"/>
      <c r="BR427" s="154" t="s">
        <v>359</v>
      </c>
      <c r="BS427" s="136">
        <v>4</v>
      </c>
      <c r="BT427" s="267"/>
      <c r="BU427" s="267">
        <f>M427/2</f>
        <v>2.5</v>
      </c>
      <c r="BV427" s="267">
        <f>M427/2</f>
        <v>2.5</v>
      </c>
      <c r="BW427" s="267"/>
      <c r="BX427" s="267"/>
      <c r="BY427" s="267"/>
      <c r="BZ427" s="267"/>
      <c r="CA427" s="267"/>
      <c r="CB427" s="267"/>
      <c r="CC427" s="267"/>
      <c r="CD427" s="267"/>
      <c r="CE427" s="267"/>
      <c r="CF427" s="267"/>
      <c r="CG427" s="267"/>
      <c r="CH427" s="267"/>
      <c r="CI427" s="267"/>
      <c r="CJ427" s="267"/>
      <c r="CK427" s="267"/>
      <c r="CL427" s="267"/>
      <c r="CM427" s="267"/>
      <c r="CN427" s="101">
        <f t="shared" si="28"/>
        <v>5</v>
      </c>
      <c r="CO427" s="101">
        <f t="shared" si="29"/>
        <v>5</v>
      </c>
    </row>
    <row r="428" spans="1:93" ht="13.9" customHeight="1" x14ac:dyDescent="0.2">
      <c r="A428" s="149">
        <v>3902</v>
      </c>
      <c r="B428" s="150" t="s">
        <v>854</v>
      </c>
      <c r="C428" s="150" t="s">
        <v>1371</v>
      </c>
      <c r="D428" s="150" t="s">
        <v>1069</v>
      </c>
      <c r="E428" s="150" t="s">
        <v>326</v>
      </c>
      <c r="F428" s="149">
        <v>526710</v>
      </c>
      <c r="G428" s="149">
        <v>175659</v>
      </c>
      <c r="H428" s="150" t="s">
        <v>162</v>
      </c>
      <c r="I428" s="151">
        <v>45382</v>
      </c>
      <c r="J428" s="151"/>
      <c r="K428" s="149">
        <v>0</v>
      </c>
      <c r="L428" s="149">
        <v>3</v>
      </c>
      <c r="M428" s="149">
        <v>3</v>
      </c>
      <c r="N428" s="149">
        <v>3</v>
      </c>
      <c r="O428" s="149">
        <v>3</v>
      </c>
      <c r="P428" s="152"/>
      <c r="Q428" s="150" t="s">
        <v>1372</v>
      </c>
      <c r="R428" s="150" t="s">
        <v>329</v>
      </c>
      <c r="S428" s="151">
        <v>44952</v>
      </c>
      <c r="T428" s="151">
        <v>45280</v>
      </c>
      <c r="U428" s="152" t="s">
        <v>327</v>
      </c>
      <c r="V428" s="150" t="s">
        <v>330</v>
      </c>
      <c r="W428" s="151"/>
      <c r="X428" s="150" t="s">
        <v>331</v>
      </c>
      <c r="Y428" s="150" t="s">
        <v>491</v>
      </c>
      <c r="Z428" s="150" t="s">
        <v>334</v>
      </c>
      <c r="AA428" s="150" t="s">
        <v>413</v>
      </c>
      <c r="AB428" s="153">
        <v>2.0199999999999999E-2</v>
      </c>
      <c r="AC428" s="151">
        <v>45382</v>
      </c>
      <c r="AD428" s="152" t="s">
        <v>327</v>
      </c>
      <c r="AE428" s="151"/>
      <c r="AF428" s="150" t="s">
        <v>70</v>
      </c>
      <c r="AG428" s="152" t="s">
        <v>352</v>
      </c>
      <c r="AH428" s="150" t="s">
        <v>1071</v>
      </c>
      <c r="AI428" s="99"/>
      <c r="AJ428" s="149"/>
      <c r="AK428" s="99"/>
      <c r="AL428" s="149"/>
      <c r="AM428" s="99"/>
      <c r="AN428" s="149">
        <v>0</v>
      </c>
      <c r="AO428" s="149">
        <v>2</v>
      </c>
      <c r="AP428" s="149">
        <v>0</v>
      </c>
      <c r="AQ428" s="149">
        <v>1</v>
      </c>
      <c r="AR428" s="149">
        <v>0</v>
      </c>
      <c r="AS428" s="149">
        <v>0</v>
      </c>
      <c r="AT428" s="149">
        <v>0</v>
      </c>
      <c r="AU428" s="149">
        <v>0</v>
      </c>
      <c r="AV428" s="149">
        <v>2</v>
      </c>
      <c r="AW428" s="149">
        <v>0</v>
      </c>
      <c r="AX428" s="149">
        <v>1</v>
      </c>
      <c r="AY428" s="149">
        <v>0</v>
      </c>
      <c r="AZ428" s="149">
        <v>0</v>
      </c>
      <c r="BA428" s="149">
        <v>0</v>
      </c>
      <c r="BB428" s="149">
        <v>0</v>
      </c>
      <c r="BC428" s="149">
        <v>0</v>
      </c>
      <c r="BD428" s="149">
        <v>0</v>
      </c>
      <c r="BE428" s="149">
        <v>0</v>
      </c>
      <c r="BF428" s="149">
        <v>0</v>
      </c>
      <c r="BG428" s="149">
        <v>0</v>
      </c>
      <c r="BH428" s="149">
        <v>0</v>
      </c>
      <c r="BI428" s="149">
        <v>0</v>
      </c>
      <c r="BJ428" s="149">
        <v>0</v>
      </c>
      <c r="BK428" s="149">
        <v>0</v>
      </c>
      <c r="BL428" s="149">
        <v>0</v>
      </c>
      <c r="BM428" s="149">
        <v>0</v>
      </c>
      <c r="BN428" s="149">
        <v>0</v>
      </c>
      <c r="BO428" s="149">
        <v>0</v>
      </c>
      <c r="BP428" s="152"/>
      <c r="BQ428" s="152"/>
      <c r="BR428" s="154" t="s">
        <v>148</v>
      </c>
      <c r="BS428" s="136">
        <v>14</v>
      </c>
      <c r="BT428" s="267"/>
      <c r="BU428" s="267">
        <f>M428/2</f>
        <v>1.5</v>
      </c>
      <c r="BV428" s="267">
        <f>M428/2</f>
        <v>1.5</v>
      </c>
      <c r="BW428" s="267"/>
      <c r="BX428" s="267"/>
      <c r="BY428" s="267"/>
      <c r="BZ428" s="267"/>
      <c r="CA428" s="267"/>
      <c r="CB428" s="267"/>
      <c r="CC428" s="267"/>
      <c r="CD428" s="267"/>
      <c r="CE428" s="267"/>
      <c r="CF428" s="267"/>
      <c r="CG428" s="267"/>
      <c r="CH428" s="267"/>
      <c r="CI428" s="267"/>
      <c r="CJ428" s="267"/>
      <c r="CK428" s="267"/>
      <c r="CL428" s="267"/>
      <c r="CM428" s="267"/>
      <c r="CN428" s="101">
        <f t="shared" si="28"/>
        <v>3</v>
      </c>
      <c r="CO428" s="101">
        <f t="shared" si="29"/>
        <v>3</v>
      </c>
    </row>
    <row r="429" spans="1:93" ht="13.9" customHeight="1" x14ac:dyDescent="0.2">
      <c r="A429" s="149">
        <v>7915</v>
      </c>
      <c r="B429" s="150" t="s">
        <v>854</v>
      </c>
      <c r="C429" s="150" t="s">
        <v>1373</v>
      </c>
      <c r="D429" s="150" t="s">
        <v>1374</v>
      </c>
      <c r="E429" s="150" t="s">
        <v>326</v>
      </c>
      <c r="F429" s="149">
        <v>527854</v>
      </c>
      <c r="G429" s="149">
        <v>172507</v>
      </c>
      <c r="H429" s="150" t="s">
        <v>174</v>
      </c>
      <c r="I429" s="151">
        <v>45382</v>
      </c>
      <c r="J429" s="151"/>
      <c r="K429" s="149">
        <v>0</v>
      </c>
      <c r="L429" s="149">
        <v>1</v>
      </c>
      <c r="M429" s="149">
        <v>1</v>
      </c>
      <c r="N429" s="149">
        <v>1</v>
      </c>
      <c r="O429" s="149">
        <v>1</v>
      </c>
      <c r="P429" s="152"/>
      <c r="Q429" s="150" t="s">
        <v>1375</v>
      </c>
      <c r="R429" s="150" t="s">
        <v>427</v>
      </c>
      <c r="S429" s="151">
        <v>44971</v>
      </c>
      <c r="T429" s="151">
        <v>45022</v>
      </c>
      <c r="U429" s="152" t="s">
        <v>327</v>
      </c>
      <c r="V429" s="150" t="s">
        <v>330</v>
      </c>
      <c r="W429" s="151"/>
      <c r="X429" s="150" t="s">
        <v>331</v>
      </c>
      <c r="Y429" s="150" t="s">
        <v>332</v>
      </c>
      <c r="Z429" s="150" t="s">
        <v>334</v>
      </c>
      <c r="AA429" s="150" t="s">
        <v>32</v>
      </c>
      <c r="AB429" s="153">
        <v>4.3E-3</v>
      </c>
      <c r="AC429" s="151">
        <v>45382</v>
      </c>
      <c r="AD429" s="152" t="s">
        <v>327</v>
      </c>
      <c r="AE429" s="151"/>
      <c r="AF429" s="150" t="s">
        <v>70</v>
      </c>
      <c r="AG429" s="152" t="s">
        <v>352</v>
      </c>
      <c r="AH429" s="150" t="s">
        <v>326</v>
      </c>
      <c r="AI429" s="99"/>
      <c r="AJ429" s="149"/>
      <c r="AK429" s="99"/>
      <c r="AL429" s="149"/>
      <c r="AM429" s="99"/>
      <c r="AN429" s="149">
        <v>0</v>
      </c>
      <c r="AO429" s="149">
        <v>1</v>
      </c>
      <c r="AP429" s="149">
        <v>0</v>
      </c>
      <c r="AQ429" s="149">
        <v>0</v>
      </c>
      <c r="AR429" s="149">
        <v>0</v>
      </c>
      <c r="AS429" s="149">
        <v>0</v>
      </c>
      <c r="AT429" s="149">
        <v>0</v>
      </c>
      <c r="AU429" s="149">
        <v>0</v>
      </c>
      <c r="AV429" s="149">
        <v>1</v>
      </c>
      <c r="AW429" s="149">
        <v>0</v>
      </c>
      <c r="AX429" s="149">
        <v>0</v>
      </c>
      <c r="AY429" s="149">
        <v>0</v>
      </c>
      <c r="AZ429" s="149">
        <v>0</v>
      </c>
      <c r="BA429" s="149">
        <v>0</v>
      </c>
      <c r="BB429" s="149">
        <v>0</v>
      </c>
      <c r="BC429" s="149">
        <v>0</v>
      </c>
      <c r="BD429" s="149">
        <v>0</v>
      </c>
      <c r="BE429" s="149">
        <v>0</v>
      </c>
      <c r="BF429" s="149">
        <v>0</v>
      </c>
      <c r="BG429" s="149">
        <v>0</v>
      </c>
      <c r="BH429" s="149">
        <v>0</v>
      </c>
      <c r="BI429" s="149">
        <v>0</v>
      </c>
      <c r="BJ429" s="149">
        <v>0</v>
      </c>
      <c r="BK429" s="149">
        <v>0</v>
      </c>
      <c r="BL429" s="149">
        <v>0</v>
      </c>
      <c r="BM429" s="149">
        <v>0</v>
      </c>
      <c r="BN429" s="149">
        <v>0</v>
      </c>
      <c r="BO429" s="149">
        <v>0</v>
      </c>
      <c r="BP429" s="152"/>
      <c r="BQ429" s="152"/>
      <c r="BR429" s="154" t="s">
        <v>359</v>
      </c>
      <c r="BS429" s="136">
        <v>14</v>
      </c>
      <c r="BT429" s="267"/>
      <c r="BU429" s="267">
        <f>M429/2</f>
        <v>0.5</v>
      </c>
      <c r="BV429" s="267">
        <f>M429/2</f>
        <v>0.5</v>
      </c>
      <c r="BW429" s="267"/>
      <c r="BX429" s="267"/>
      <c r="BY429" s="267"/>
      <c r="BZ429" s="267"/>
      <c r="CA429" s="267"/>
      <c r="CB429" s="267"/>
      <c r="CC429" s="267"/>
      <c r="CD429" s="267"/>
      <c r="CE429" s="267"/>
      <c r="CF429" s="267"/>
      <c r="CG429" s="267"/>
      <c r="CH429" s="267"/>
      <c r="CI429" s="267"/>
      <c r="CJ429" s="267"/>
      <c r="CK429" s="267"/>
      <c r="CL429" s="267"/>
      <c r="CM429" s="267"/>
      <c r="CN429" s="101">
        <f t="shared" si="28"/>
        <v>1</v>
      </c>
      <c r="CO429" s="101">
        <f t="shared" si="29"/>
        <v>1</v>
      </c>
    </row>
    <row r="430" spans="1:93" ht="13.9" customHeight="1" x14ac:dyDescent="0.2">
      <c r="A430" s="149">
        <v>7954</v>
      </c>
      <c r="B430" s="150" t="s">
        <v>854</v>
      </c>
      <c r="C430" s="150" t="s">
        <v>1376</v>
      </c>
      <c r="D430" s="150" t="s">
        <v>1377</v>
      </c>
      <c r="E430" s="150" t="s">
        <v>326</v>
      </c>
      <c r="F430" s="149">
        <v>525175</v>
      </c>
      <c r="G430" s="149">
        <v>174296</v>
      </c>
      <c r="H430" s="150" t="s">
        <v>161</v>
      </c>
      <c r="I430" s="151">
        <v>45382</v>
      </c>
      <c r="J430" s="151"/>
      <c r="K430" s="149">
        <v>0</v>
      </c>
      <c r="L430" s="149">
        <v>1</v>
      </c>
      <c r="M430" s="149">
        <v>1</v>
      </c>
      <c r="N430" s="149">
        <v>1</v>
      </c>
      <c r="O430" s="149">
        <v>1</v>
      </c>
      <c r="P430" s="152"/>
      <c r="Q430" s="150" t="s">
        <v>1378</v>
      </c>
      <c r="R430" s="150" t="s">
        <v>427</v>
      </c>
      <c r="S430" s="151">
        <v>44973</v>
      </c>
      <c r="T430" s="151">
        <v>45020</v>
      </c>
      <c r="U430" s="152" t="s">
        <v>327</v>
      </c>
      <c r="V430" s="150" t="s">
        <v>330</v>
      </c>
      <c r="W430" s="151"/>
      <c r="X430" s="150" t="s">
        <v>331</v>
      </c>
      <c r="Y430" s="150" t="s">
        <v>332</v>
      </c>
      <c r="Z430" s="150" t="s">
        <v>334</v>
      </c>
      <c r="AA430" s="150" t="s">
        <v>32</v>
      </c>
      <c r="AB430" s="153">
        <v>7.4999999999999997E-3</v>
      </c>
      <c r="AC430" s="151">
        <v>45382</v>
      </c>
      <c r="AD430" s="152" t="s">
        <v>327</v>
      </c>
      <c r="AE430" s="151"/>
      <c r="AF430" s="150" t="s">
        <v>70</v>
      </c>
      <c r="AG430" s="152" t="s">
        <v>352</v>
      </c>
      <c r="AH430" s="150" t="s">
        <v>326</v>
      </c>
      <c r="AI430" s="99"/>
      <c r="AJ430" s="149"/>
      <c r="AK430" s="99"/>
      <c r="AL430" s="149"/>
      <c r="AM430" s="99"/>
      <c r="AN430" s="149">
        <v>0</v>
      </c>
      <c r="AO430" s="149">
        <v>0</v>
      </c>
      <c r="AP430" s="149">
        <v>1</v>
      </c>
      <c r="AQ430" s="149">
        <v>0</v>
      </c>
      <c r="AR430" s="149">
        <v>0</v>
      </c>
      <c r="AS430" s="149">
        <v>0</v>
      </c>
      <c r="AT430" s="149">
        <v>0</v>
      </c>
      <c r="AU430" s="149">
        <v>0</v>
      </c>
      <c r="AV430" s="149">
        <v>0</v>
      </c>
      <c r="AW430" s="149">
        <v>1</v>
      </c>
      <c r="AX430" s="149">
        <v>0</v>
      </c>
      <c r="AY430" s="149">
        <v>0</v>
      </c>
      <c r="AZ430" s="149">
        <v>0</v>
      </c>
      <c r="BA430" s="149">
        <v>0</v>
      </c>
      <c r="BB430" s="149">
        <v>0</v>
      </c>
      <c r="BC430" s="149">
        <v>0</v>
      </c>
      <c r="BD430" s="149">
        <v>0</v>
      </c>
      <c r="BE430" s="149">
        <v>0</v>
      </c>
      <c r="BF430" s="149">
        <v>0</v>
      </c>
      <c r="BG430" s="149">
        <v>0</v>
      </c>
      <c r="BH430" s="149">
        <v>0</v>
      </c>
      <c r="BI430" s="149">
        <v>0</v>
      </c>
      <c r="BJ430" s="149">
        <v>0</v>
      </c>
      <c r="BK430" s="149">
        <v>0</v>
      </c>
      <c r="BL430" s="149">
        <v>0</v>
      </c>
      <c r="BM430" s="149">
        <v>0</v>
      </c>
      <c r="BN430" s="149">
        <v>0</v>
      </c>
      <c r="BO430" s="149">
        <v>0</v>
      </c>
      <c r="BP430" s="152"/>
      <c r="BQ430" s="152"/>
      <c r="BR430" s="154" t="s">
        <v>359</v>
      </c>
      <c r="BS430" s="136">
        <v>14</v>
      </c>
      <c r="BT430" s="267"/>
      <c r="BU430" s="267">
        <f>M430/2</f>
        <v>0.5</v>
      </c>
      <c r="BV430" s="267">
        <f>M430/2</f>
        <v>0.5</v>
      </c>
      <c r="BW430" s="267"/>
      <c r="BX430" s="267"/>
      <c r="BY430" s="267"/>
      <c r="BZ430" s="267"/>
      <c r="CA430" s="267"/>
      <c r="CB430" s="267"/>
      <c r="CC430" s="267"/>
      <c r="CD430" s="267"/>
      <c r="CE430" s="267"/>
      <c r="CF430" s="267"/>
      <c r="CG430" s="267"/>
      <c r="CH430" s="267"/>
      <c r="CI430" s="267"/>
      <c r="CJ430" s="267"/>
      <c r="CK430" s="267"/>
      <c r="CL430" s="267"/>
      <c r="CM430" s="267"/>
      <c r="CN430" s="101">
        <f t="shared" si="28"/>
        <v>1</v>
      </c>
      <c r="CO430" s="101">
        <f t="shared" si="29"/>
        <v>1</v>
      </c>
    </row>
    <row r="431" spans="1:93" ht="13.9" customHeight="1" x14ac:dyDescent="0.2">
      <c r="A431" s="149">
        <v>7863</v>
      </c>
      <c r="B431" s="150" t="s">
        <v>854</v>
      </c>
      <c r="C431" s="150" t="s">
        <v>1379</v>
      </c>
      <c r="D431" s="150" t="s">
        <v>1259</v>
      </c>
      <c r="E431" s="150" t="s">
        <v>326</v>
      </c>
      <c r="F431" s="149">
        <v>527882</v>
      </c>
      <c r="G431" s="149">
        <v>170985</v>
      </c>
      <c r="H431" s="150" t="s">
        <v>173</v>
      </c>
      <c r="I431" s="151">
        <v>45382</v>
      </c>
      <c r="J431" s="151"/>
      <c r="K431" s="149">
        <v>0</v>
      </c>
      <c r="L431" s="149">
        <v>1</v>
      </c>
      <c r="M431" s="149">
        <v>1</v>
      </c>
      <c r="N431" s="149">
        <v>1</v>
      </c>
      <c r="O431" s="149">
        <v>1</v>
      </c>
      <c r="P431" s="152"/>
      <c r="Q431" s="150" t="s">
        <v>1380</v>
      </c>
      <c r="R431" s="150" t="s">
        <v>427</v>
      </c>
      <c r="S431" s="151">
        <v>44979</v>
      </c>
      <c r="T431" s="151">
        <v>45051</v>
      </c>
      <c r="U431" s="152" t="s">
        <v>327</v>
      </c>
      <c r="V431" s="150" t="s">
        <v>330</v>
      </c>
      <c r="W431" s="151"/>
      <c r="X431" s="150" t="s">
        <v>331</v>
      </c>
      <c r="Y431" s="150" t="s">
        <v>332</v>
      </c>
      <c r="Z431" s="150" t="s">
        <v>334</v>
      </c>
      <c r="AA431" s="150" t="s">
        <v>26</v>
      </c>
      <c r="AB431" s="153">
        <v>4.0000000000000001E-3</v>
      </c>
      <c r="AC431" s="151">
        <v>45382</v>
      </c>
      <c r="AD431" s="152" t="s">
        <v>327</v>
      </c>
      <c r="AE431" s="151"/>
      <c r="AF431" s="150" t="s">
        <v>70</v>
      </c>
      <c r="AG431" s="152" t="s">
        <v>352</v>
      </c>
      <c r="AH431" s="150" t="s">
        <v>326</v>
      </c>
      <c r="AI431" s="99"/>
      <c r="AJ431" s="149"/>
      <c r="AK431" s="99"/>
      <c r="AL431" s="149"/>
      <c r="AM431" s="99"/>
      <c r="AN431" s="149">
        <v>1</v>
      </c>
      <c r="AO431" s="149">
        <v>0</v>
      </c>
      <c r="AP431" s="149">
        <v>0</v>
      </c>
      <c r="AQ431" s="149">
        <v>0</v>
      </c>
      <c r="AR431" s="149">
        <v>0</v>
      </c>
      <c r="AS431" s="149">
        <v>0</v>
      </c>
      <c r="AT431" s="149">
        <v>0</v>
      </c>
      <c r="AU431" s="149">
        <v>1</v>
      </c>
      <c r="AV431" s="149">
        <v>0</v>
      </c>
      <c r="AW431" s="149">
        <v>0</v>
      </c>
      <c r="AX431" s="149">
        <v>0</v>
      </c>
      <c r="AY431" s="149">
        <v>0</v>
      </c>
      <c r="AZ431" s="149">
        <v>0</v>
      </c>
      <c r="BA431" s="149">
        <v>0</v>
      </c>
      <c r="BB431" s="149">
        <v>0</v>
      </c>
      <c r="BC431" s="149">
        <v>0</v>
      </c>
      <c r="BD431" s="149">
        <v>0</v>
      </c>
      <c r="BE431" s="149">
        <v>0</v>
      </c>
      <c r="BF431" s="149">
        <v>0</v>
      </c>
      <c r="BG431" s="149">
        <v>0</v>
      </c>
      <c r="BH431" s="149">
        <v>0</v>
      </c>
      <c r="BI431" s="149">
        <v>0</v>
      </c>
      <c r="BJ431" s="149">
        <v>0</v>
      </c>
      <c r="BK431" s="149">
        <v>0</v>
      </c>
      <c r="BL431" s="149">
        <v>0</v>
      </c>
      <c r="BM431" s="149">
        <v>0</v>
      </c>
      <c r="BN431" s="149">
        <v>0</v>
      </c>
      <c r="BO431" s="149">
        <v>0</v>
      </c>
      <c r="BP431" s="152"/>
      <c r="BQ431" s="152"/>
      <c r="BR431" s="154" t="s">
        <v>142</v>
      </c>
      <c r="BS431" s="136">
        <v>14</v>
      </c>
      <c r="BT431" s="267"/>
      <c r="BU431" s="267">
        <f>M431/2</f>
        <v>0.5</v>
      </c>
      <c r="BV431" s="267">
        <f>M431/2</f>
        <v>0.5</v>
      </c>
      <c r="BW431" s="267"/>
      <c r="BX431" s="267"/>
      <c r="BY431" s="267"/>
      <c r="BZ431" s="267"/>
      <c r="CA431" s="267"/>
      <c r="CB431" s="267"/>
      <c r="CC431" s="267"/>
      <c r="CD431" s="267"/>
      <c r="CE431" s="267"/>
      <c r="CF431" s="267"/>
      <c r="CG431" s="267"/>
      <c r="CH431" s="267"/>
      <c r="CI431" s="267"/>
      <c r="CJ431" s="267"/>
      <c r="CK431" s="267"/>
      <c r="CL431" s="267"/>
      <c r="CM431" s="267"/>
      <c r="CN431" s="101">
        <f t="shared" si="28"/>
        <v>1</v>
      </c>
      <c r="CO431" s="101">
        <f t="shared" si="29"/>
        <v>1</v>
      </c>
    </row>
    <row r="432" spans="1:93" ht="13.9" customHeight="1" x14ac:dyDescent="0.2">
      <c r="A432" s="149">
        <v>7296</v>
      </c>
      <c r="B432" s="150" t="s">
        <v>854</v>
      </c>
      <c r="C432" s="150" t="s">
        <v>1355</v>
      </c>
      <c r="D432" s="150" t="s">
        <v>1356</v>
      </c>
      <c r="E432" s="150" t="s">
        <v>1381</v>
      </c>
      <c r="F432" s="149">
        <v>522049</v>
      </c>
      <c r="G432" s="149">
        <v>173511</v>
      </c>
      <c r="H432" s="150" t="s">
        <v>166</v>
      </c>
      <c r="I432" s="151">
        <v>44652</v>
      </c>
      <c r="J432" s="151"/>
      <c r="K432" s="149">
        <v>0</v>
      </c>
      <c r="L432" s="149">
        <v>7</v>
      </c>
      <c r="M432" s="149">
        <v>7</v>
      </c>
      <c r="N432" s="149">
        <v>14</v>
      </c>
      <c r="O432" s="149">
        <v>14</v>
      </c>
      <c r="P432" s="152" t="s">
        <v>327</v>
      </c>
      <c r="Q432" s="150" t="s">
        <v>1358</v>
      </c>
      <c r="R432" s="150" t="s">
        <v>329</v>
      </c>
      <c r="S432" s="151">
        <v>43780</v>
      </c>
      <c r="T432" s="151">
        <v>44505</v>
      </c>
      <c r="U432" s="152"/>
      <c r="V432" s="150" t="s">
        <v>330</v>
      </c>
      <c r="W432" s="151"/>
      <c r="X432" s="150" t="s">
        <v>331</v>
      </c>
      <c r="Y432" s="150" t="s">
        <v>343</v>
      </c>
      <c r="Z432" s="150" t="s">
        <v>343</v>
      </c>
      <c r="AA432" s="150" t="s">
        <v>334</v>
      </c>
      <c r="AB432" s="153">
        <v>4.1000000000000002E-2</v>
      </c>
      <c r="AC432" s="151">
        <v>44819</v>
      </c>
      <c r="AD432" s="150"/>
      <c r="AE432" s="151"/>
      <c r="AF432" s="150" t="s">
        <v>48</v>
      </c>
      <c r="AG432" s="152" t="s">
        <v>785</v>
      </c>
      <c r="AH432" s="150" t="s">
        <v>326</v>
      </c>
      <c r="AI432" s="99"/>
      <c r="AJ432" s="149"/>
      <c r="AK432" s="138">
        <v>7</v>
      </c>
      <c r="AL432" s="149"/>
      <c r="AM432" s="138"/>
      <c r="AN432" s="149">
        <v>0</v>
      </c>
      <c r="AO432" s="149">
        <v>0</v>
      </c>
      <c r="AP432" s="149">
        <v>0</v>
      </c>
      <c r="AQ432" s="149">
        <v>7</v>
      </c>
      <c r="AR432" s="149">
        <v>0</v>
      </c>
      <c r="AS432" s="149">
        <v>0</v>
      </c>
      <c r="AT432" s="149">
        <v>0</v>
      </c>
      <c r="AU432" s="149">
        <v>0</v>
      </c>
      <c r="AV432" s="149">
        <v>0</v>
      </c>
      <c r="AW432" s="149">
        <v>0</v>
      </c>
      <c r="AX432" s="149">
        <v>7</v>
      </c>
      <c r="AY432" s="149">
        <v>0</v>
      </c>
      <c r="AZ432" s="149">
        <v>0</v>
      </c>
      <c r="BA432" s="149">
        <v>0</v>
      </c>
      <c r="BB432" s="149">
        <v>0</v>
      </c>
      <c r="BC432" s="149">
        <v>0</v>
      </c>
      <c r="BD432" s="149">
        <v>0</v>
      </c>
      <c r="BE432" s="149">
        <v>0</v>
      </c>
      <c r="BF432" s="149">
        <v>0</v>
      </c>
      <c r="BG432" s="149">
        <v>0</v>
      </c>
      <c r="BH432" s="149">
        <v>0</v>
      </c>
      <c r="BI432" s="149">
        <v>0</v>
      </c>
      <c r="BJ432" s="149">
        <v>0</v>
      </c>
      <c r="BK432" s="149">
        <v>0</v>
      </c>
      <c r="BL432" s="149">
        <v>0</v>
      </c>
      <c r="BM432" s="149">
        <v>0</v>
      </c>
      <c r="BN432" s="149">
        <v>0</v>
      </c>
      <c r="BO432" s="149">
        <v>0</v>
      </c>
      <c r="BP432" s="152"/>
      <c r="BQ432" s="152"/>
      <c r="BR432" s="154" t="s">
        <v>359</v>
      </c>
      <c r="BS432" s="136">
        <v>2</v>
      </c>
      <c r="BT432" s="267"/>
      <c r="BU432" s="267">
        <f>M432</f>
        <v>7</v>
      </c>
      <c r="BV432" s="267"/>
      <c r="BW432" s="267"/>
      <c r="BX432" s="267"/>
      <c r="BY432" s="267"/>
      <c r="BZ432" s="267"/>
      <c r="CA432" s="267"/>
      <c r="CB432" s="267"/>
      <c r="CC432" s="267"/>
      <c r="CD432" s="267"/>
      <c r="CE432" s="267"/>
      <c r="CF432" s="267"/>
      <c r="CG432" s="267"/>
      <c r="CH432" s="267"/>
      <c r="CI432" s="267"/>
      <c r="CJ432" s="267"/>
      <c r="CK432" s="267"/>
      <c r="CL432" s="267"/>
      <c r="CM432" s="267"/>
      <c r="CN432" s="101">
        <f t="shared" si="28"/>
        <v>7</v>
      </c>
      <c r="CO432" s="101">
        <f t="shared" si="29"/>
        <v>7</v>
      </c>
    </row>
    <row r="433" spans="1:93" ht="13.9" customHeight="1" x14ac:dyDescent="0.2">
      <c r="A433" s="149">
        <v>7101</v>
      </c>
      <c r="B433" s="150" t="s">
        <v>854</v>
      </c>
      <c r="C433" s="150" t="s">
        <v>1382</v>
      </c>
      <c r="D433" s="150" t="s">
        <v>1383</v>
      </c>
      <c r="E433" s="150" t="s">
        <v>1384</v>
      </c>
      <c r="F433" s="149">
        <v>526922</v>
      </c>
      <c r="G433" s="149">
        <v>175807</v>
      </c>
      <c r="H433" s="150" t="s">
        <v>162</v>
      </c>
      <c r="I433" s="151">
        <v>44609</v>
      </c>
      <c r="J433" s="151"/>
      <c r="K433" s="149">
        <v>0</v>
      </c>
      <c r="L433" s="149">
        <v>47</v>
      </c>
      <c r="M433" s="149">
        <v>47</v>
      </c>
      <c r="N433" s="149">
        <v>126</v>
      </c>
      <c r="O433" s="149">
        <v>126</v>
      </c>
      <c r="P433" s="152" t="s">
        <v>327</v>
      </c>
      <c r="Q433" s="150" t="s">
        <v>1385</v>
      </c>
      <c r="R433" s="150" t="s">
        <v>342</v>
      </c>
      <c r="S433" s="151">
        <v>44592</v>
      </c>
      <c r="T433" s="151">
        <v>44673</v>
      </c>
      <c r="U433" s="152"/>
      <c r="V433" s="150" t="s">
        <v>330</v>
      </c>
      <c r="W433" s="151"/>
      <c r="X433" s="150" t="s">
        <v>331</v>
      </c>
      <c r="Y433" s="150" t="s">
        <v>343</v>
      </c>
      <c r="Z433" s="150" t="s">
        <v>343</v>
      </c>
      <c r="AA433" s="150" t="s">
        <v>334</v>
      </c>
      <c r="AB433" s="153">
        <v>0</v>
      </c>
      <c r="AC433" s="151">
        <v>44609</v>
      </c>
      <c r="AD433" s="150"/>
      <c r="AE433" s="151"/>
      <c r="AF433" s="150" t="s">
        <v>49</v>
      </c>
      <c r="AG433" s="152" t="s">
        <v>383</v>
      </c>
      <c r="AH433" s="150" t="s">
        <v>326</v>
      </c>
      <c r="AI433" s="99"/>
      <c r="AJ433" s="149"/>
      <c r="AK433" s="99"/>
      <c r="AL433" s="149"/>
      <c r="AM433" s="99"/>
      <c r="AN433" s="149">
        <v>0</v>
      </c>
      <c r="AO433" s="149">
        <v>18</v>
      </c>
      <c r="AP433" s="149">
        <v>10</v>
      </c>
      <c r="AQ433" s="149">
        <v>14</v>
      </c>
      <c r="AR433" s="149">
        <v>5</v>
      </c>
      <c r="AS433" s="149">
        <v>0</v>
      </c>
      <c r="AT433" s="149">
        <v>0</v>
      </c>
      <c r="AU433" s="149">
        <v>0</v>
      </c>
      <c r="AV433" s="149">
        <v>18</v>
      </c>
      <c r="AW433" s="149">
        <v>10</v>
      </c>
      <c r="AX433" s="149">
        <v>14</v>
      </c>
      <c r="AY433" s="149">
        <v>5</v>
      </c>
      <c r="AZ433" s="149">
        <v>0</v>
      </c>
      <c r="BA433" s="149">
        <v>0</v>
      </c>
      <c r="BB433" s="149">
        <v>0</v>
      </c>
      <c r="BC433" s="149">
        <v>0</v>
      </c>
      <c r="BD433" s="149">
        <v>0</v>
      </c>
      <c r="BE433" s="149">
        <v>0</v>
      </c>
      <c r="BF433" s="149">
        <v>0</v>
      </c>
      <c r="BG433" s="149">
        <v>0</v>
      </c>
      <c r="BH433" s="149">
        <v>0</v>
      </c>
      <c r="BI433" s="149">
        <v>0</v>
      </c>
      <c r="BJ433" s="149">
        <v>0</v>
      </c>
      <c r="BK433" s="149">
        <v>0</v>
      </c>
      <c r="BL433" s="149">
        <v>0</v>
      </c>
      <c r="BM433" s="149">
        <v>0</v>
      </c>
      <c r="BN433" s="149">
        <v>0</v>
      </c>
      <c r="BO433" s="149">
        <v>0</v>
      </c>
      <c r="BP433" s="152"/>
      <c r="BQ433" s="152"/>
      <c r="BR433" s="154" t="s">
        <v>148</v>
      </c>
      <c r="BS433" s="136">
        <v>5</v>
      </c>
      <c r="BT433" s="267"/>
      <c r="BU433" s="267">
        <f>M433</f>
        <v>47</v>
      </c>
      <c r="BV433" s="267"/>
      <c r="BW433" s="267"/>
      <c r="BX433" s="267"/>
      <c r="BY433" s="267"/>
      <c r="BZ433" s="267"/>
      <c r="CA433" s="267"/>
      <c r="CB433" s="267"/>
      <c r="CC433" s="267"/>
      <c r="CD433" s="267"/>
      <c r="CE433" s="267"/>
      <c r="CF433" s="267"/>
      <c r="CG433" s="267"/>
      <c r="CH433" s="267"/>
      <c r="CI433" s="267"/>
      <c r="CJ433" s="267"/>
      <c r="CK433" s="267"/>
      <c r="CL433" s="267"/>
      <c r="CM433" s="267"/>
      <c r="CN433" s="101">
        <f t="shared" si="28"/>
        <v>47</v>
      </c>
      <c r="CO433" s="101">
        <f t="shared" si="29"/>
        <v>47</v>
      </c>
    </row>
    <row r="434" spans="1:93" ht="13.9" customHeight="1" x14ac:dyDescent="0.2">
      <c r="A434" s="149">
        <v>7960</v>
      </c>
      <c r="B434" s="150" t="s">
        <v>854</v>
      </c>
      <c r="C434" s="150" t="s">
        <v>1386</v>
      </c>
      <c r="D434" s="150" t="s">
        <v>1387</v>
      </c>
      <c r="E434" s="150" t="s">
        <v>326</v>
      </c>
      <c r="F434" s="149">
        <v>522588</v>
      </c>
      <c r="G434" s="149">
        <v>173914</v>
      </c>
      <c r="H434" s="150" t="s">
        <v>166</v>
      </c>
      <c r="I434" s="151">
        <v>45382</v>
      </c>
      <c r="J434" s="151"/>
      <c r="K434" s="149">
        <v>1</v>
      </c>
      <c r="L434" s="149">
        <v>1</v>
      </c>
      <c r="M434" s="149">
        <v>0</v>
      </c>
      <c r="N434" s="149">
        <v>1</v>
      </c>
      <c r="O434" s="149">
        <v>0</v>
      </c>
      <c r="P434" s="152"/>
      <c r="Q434" s="150" t="s">
        <v>1388</v>
      </c>
      <c r="R434" s="150" t="s">
        <v>349</v>
      </c>
      <c r="S434" s="151">
        <v>45009</v>
      </c>
      <c r="T434" s="151">
        <v>45069</v>
      </c>
      <c r="U434" s="152" t="s">
        <v>327</v>
      </c>
      <c r="V434" s="150" t="s">
        <v>330</v>
      </c>
      <c r="W434" s="151"/>
      <c r="X434" s="150" t="s">
        <v>331</v>
      </c>
      <c r="Y434" s="150" t="s">
        <v>343</v>
      </c>
      <c r="Z434" s="150" t="s">
        <v>334</v>
      </c>
      <c r="AA434" s="150" t="s">
        <v>363</v>
      </c>
      <c r="AB434" s="153">
        <v>7.7499999999999999E-3</v>
      </c>
      <c r="AC434" s="151">
        <v>45382</v>
      </c>
      <c r="AD434" s="152" t="s">
        <v>327</v>
      </c>
      <c r="AE434" s="151"/>
      <c r="AF434" s="150" t="s">
        <v>70</v>
      </c>
      <c r="AG434" s="152" t="s">
        <v>337</v>
      </c>
      <c r="AH434" s="150" t="s">
        <v>326</v>
      </c>
      <c r="AI434" s="99"/>
      <c r="AJ434" s="149"/>
      <c r="AK434" s="99"/>
      <c r="AL434" s="149"/>
      <c r="AM434" s="99"/>
      <c r="AN434" s="149">
        <v>0</v>
      </c>
      <c r="AO434" s="149">
        <v>-1</v>
      </c>
      <c r="AP434" s="149">
        <v>1</v>
      </c>
      <c r="AQ434" s="149">
        <v>0</v>
      </c>
      <c r="AR434" s="149">
        <v>0</v>
      </c>
      <c r="AS434" s="149">
        <v>0</v>
      </c>
      <c r="AT434" s="149">
        <v>0</v>
      </c>
      <c r="AU434" s="149">
        <v>0</v>
      </c>
      <c r="AV434" s="149">
        <v>-1</v>
      </c>
      <c r="AW434" s="149">
        <v>0</v>
      </c>
      <c r="AX434" s="149">
        <v>0</v>
      </c>
      <c r="AY434" s="149">
        <v>0</v>
      </c>
      <c r="AZ434" s="149">
        <v>0</v>
      </c>
      <c r="BA434" s="149">
        <v>0</v>
      </c>
      <c r="BB434" s="149">
        <v>0</v>
      </c>
      <c r="BC434" s="149">
        <v>0</v>
      </c>
      <c r="BD434" s="149">
        <v>1</v>
      </c>
      <c r="BE434" s="149">
        <v>0</v>
      </c>
      <c r="BF434" s="149">
        <v>0</v>
      </c>
      <c r="BG434" s="149">
        <v>0</v>
      </c>
      <c r="BH434" s="149">
        <v>0</v>
      </c>
      <c r="BI434" s="149">
        <v>0</v>
      </c>
      <c r="BJ434" s="149">
        <v>0</v>
      </c>
      <c r="BK434" s="149">
        <v>0</v>
      </c>
      <c r="BL434" s="149">
        <v>0</v>
      </c>
      <c r="BM434" s="149">
        <v>0</v>
      </c>
      <c r="BN434" s="149">
        <v>0</v>
      </c>
      <c r="BO434" s="149">
        <v>0</v>
      </c>
      <c r="BP434" s="152"/>
      <c r="BQ434" s="152"/>
      <c r="BR434" s="154" t="s">
        <v>359</v>
      </c>
      <c r="BS434" s="136">
        <v>4</v>
      </c>
      <c r="BT434" s="267"/>
      <c r="BU434" s="267">
        <f>M434/2</f>
        <v>0</v>
      </c>
      <c r="BV434" s="267">
        <f>M434/2</f>
        <v>0</v>
      </c>
      <c r="BW434" s="267"/>
      <c r="BX434" s="267"/>
      <c r="BY434" s="267"/>
      <c r="BZ434" s="267"/>
      <c r="CA434" s="267"/>
      <c r="CB434" s="267"/>
      <c r="CC434" s="267"/>
      <c r="CD434" s="267"/>
      <c r="CE434" s="267"/>
      <c r="CF434" s="267"/>
      <c r="CG434" s="267"/>
      <c r="CH434" s="267"/>
      <c r="CI434" s="267"/>
      <c r="CJ434" s="267"/>
      <c r="CK434" s="267"/>
      <c r="CL434" s="267"/>
      <c r="CM434" s="267"/>
      <c r="CN434" s="101">
        <f t="shared" si="28"/>
        <v>0</v>
      </c>
      <c r="CO434" s="101">
        <f t="shared" si="29"/>
        <v>0</v>
      </c>
    </row>
    <row r="435" spans="1:93" ht="13.9" customHeight="1" x14ac:dyDescent="0.2">
      <c r="A435" s="149">
        <v>7280</v>
      </c>
      <c r="B435" s="150" t="s">
        <v>854</v>
      </c>
      <c r="C435" s="150" t="s">
        <v>1389</v>
      </c>
      <c r="D435" s="150" t="s">
        <v>1390</v>
      </c>
      <c r="E435" s="150" t="s">
        <v>326</v>
      </c>
      <c r="F435" s="149">
        <v>527825</v>
      </c>
      <c r="G435" s="149">
        <v>175532</v>
      </c>
      <c r="H435" s="150" t="s">
        <v>164</v>
      </c>
      <c r="I435" s="151">
        <v>45382</v>
      </c>
      <c r="J435" s="151"/>
      <c r="K435" s="149">
        <v>0</v>
      </c>
      <c r="L435" s="149">
        <v>1</v>
      </c>
      <c r="M435" s="149">
        <v>1</v>
      </c>
      <c r="N435" s="149">
        <v>1</v>
      </c>
      <c r="O435" s="149">
        <v>1</v>
      </c>
      <c r="P435" s="152"/>
      <c r="Q435" s="150" t="s">
        <v>1391</v>
      </c>
      <c r="R435" s="150" t="s">
        <v>349</v>
      </c>
      <c r="S435" s="151">
        <v>45020</v>
      </c>
      <c r="T435" s="151">
        <v>45219</v>
      </c>
      <c r="U435" s="152" t="s">
        <v>327</v>
      </c>
      <c r="V435" s="150" t="s">
        <v>330</v>
      </c>
      <c r="W435" s="151"/>
      <c r="X435" s="150" t="s">
        <v>331</v>
      </c>
      <c r="Y435" s="150" t="s">
        <v>350</v>
      </c>
      <c r="Z435" s="150" t="s">
        <v>334</v>
      </c>
      <c r="AA435" s="150" t="s">
        <v>32</v>
      </c>
      <c r="AB435" s="153">
        <v>1.0999999999999999E-2</v>
      </c>
      <c r="AC435" s="151">
        <v>45382</v>
      </c>
      <c r="AD435" s="152" t="s">
        <v>327</v>
      </c>
      <c r="AE435" s="151"/>
      <c r="AF435" s="150" t="s">
        <v>70</v>
      </c>
      <c r="AG435" s="152" t="s">
        <v>352</v>
      </c>
      <c r="AH435" s="150" t="s">
        <v>326</v>
      </c>
      <c r="AI435" s="99"/>
      <c r="AJ435" s="149"/>
      <c r="AK435" s="99"/>
      <c r="AL435" s="149"/>
      <c r="AM435" s="99"/>
      <c r="AN435" s="149">
        <v>0</v>
      </c>
      <c r="AO435" s="149">
        <v>0</v>
      </c>
      <c r="AP435" s="149">
        <v>1</v>
      </c>
      <c r="AQ435" s="149">
        <v>0</v>
      </c>
      <c r="AR435" s="149">
        <v>0</v>
      </c>
      <c r="AS435" s="149">
        <v>0</v>
      </c>
      <c r="AT435" s="149">
        <v>0</v>
      </c>
      <c r="AU435" s="149">
        <v>0</v>
      </c>
      <c r="AV435" s="149">
        <v>0</v>
      </c>
      <c r="AW435" s="149">
        <v>1</v>
      </c>
      <c r="AX435" s="149">
        <v>0</v>
      </c>
      <c r="AY435" s="149">
        <v>0</v>
      </c>
      <c r="AZ435" s="149">
        <v>0</v>
      </c>
      <c r="BA435" s="149">
        <v>0</v>
      </c>
      <c r="BB435" s="149">
        <v>0</v>
      </c>
      <c r="BC435" s="149">
        <v>0</v>
      </c>
      <c r="BD435" s="149">
        <v>0</v>
      </c>
      <c r="BE435" s="149">
        <v>0</v>
      </c>
      <c r="BF435" s="149">
        <v>0</v>
      </c>
      <c r="BG435" s="149">
        <v>0</v>
      </c>
      <c r="BH435" s="149">
        <v>0</v>
      </c>
      <c r="BI435" s="149">
        <v>0</v>
      </c>
      <c r="BJ435" s="149">
        <v>0</v>
      </c>
      <c r="BK435" s="149">
        <v>0</v>
      </c>
      <c r="BL435" s="149">
        <v>0</v>
      </c>
      <c r="BM435" s="149">
        <v>0</v>
      </c>
      <c r="BN435" s="149">
        <v>0</v>
      </c>
      <c r="BO435" s="149">
        <v>0</v>
      </c>
      <c r="BP435" s="152"/>
      <c r="BQ435" s="152"/>
      <c r="BR435" s="154" t="s">
        <v>148</v>
      </c>
      <c r="BS435" s="136">
        <v>14</v>
      </c>
      <c r="BT435" s="267"/>
      <c r="BU435" s="267">
        <f>M435/2</f>
        <v>0.5</v>
      </c>
      <c r="BV435" s="267">
        <f>M435/2</f>
        <v>0.5</v>
      </c>
      <c r="BW435" s="267"/>
      <c r="BX435" s="267"/>
      <c r="BY435" s="267"/>
      <c r="BZ435" s="267"/>
      <c r="CA435" s="267"/>
      <c r="CB435" s="267"/>
      <c r="CC435" s="267"/>
      <c r="CD435" s="267"/>
      <c r="CE435" s="267"/>
      <c r="CF435" s="267"/>
      <c r="CG435" s="267"/>
      <c r="CH435" s="267"/>
      <c r="CI435" s="267"/>
      <c r="CJ435" s="267"/>
      <c r="CK435" s="267"/>
      <c r="CL435" s="267"/>
      <c r="CM435" s="267"/>
      <c r="CN435" s="101">
        <f t="shared" si="28"/>
        <v>1</v>
      </c>
      <c r="CO435" s="101">
        <f t="shared" si="29"/>
        <v>1</v>
      </c>
    </row>
    <row r="436" spans="1:93" ht="13.9" customHeight="1" x14ac:dyDescent="0.2">
      <c r="A436" s="149">
        <v>7829</v>
      </c>
      <c r="B436" s="150" t="s">
        <v>854</v>
      </c>
      <c r="C436" s="150" t="s">
        <v>1392</v>
      </c>
      <c r="D436" s="150" t="s">
        <v>1393</v>
      </c>
      <c r="E436" s="150" t="s">
        <v>326</v>
      </c>
      <c r="F436" s="149">
        <v>524414</v>
      </c>
      <c r="G436" s="149">
        <v>175024</v>
      </c>
      <c r="H436" s="150" t="s">
        <v>171</v>
      </c>
      <c r="I436" s="151">
        <v>45127</v>
      </c>
      <c r="J436" s="151"/>
      <c r="K436" s="149">
        <v>1</v>
      </c>
      <c r="L436" s="149">
        <v>3</v>
      </c>
      <c r="M436" s="149">
        <v>2</v>
      </c>
      <c r="N436" s="149">
        <v>3</v>
      </c>
      <c r="O436" s="149">
        <v>2</v>
      </c>
      <c r="P436" s="152"/>
      <c r="Q436" s="150" t="s">
        <v>1394</v>
      </c>
      <c r="R436" s="150" t="s">
        <v>349</v>
      </c>
      <c r="S436" s="151">
        <v>45050</v>
      </c>
      <c r="T436" s="151">
        <v>45119</v>
      </c>
      <c r="U436" s="152" t="s">
        <v>327</v>
      </c>
      <c r="V436" s="150" t="s">
        <v>330</v>
      </c>
      <c r="W436" s="151"/>
      <c r="X436" s="150" t="s">
        <v>331</v>
      </c>
      <c r="Y436" s="150" t="s">
        <v>398</v>
      </c>
      <c r="Z436" s="150" t="s">
        <v>334</v>
      </c>
      <c r="AA436" s="150" t="s">
        <v>16</v>
      </c>
      <c r="AB436" s="153">
        <v>1.8350000000000002E-2</v>
      </c>
      <c r="AC436" s="151">
        <v>45127</v>
      </c>
      <c r="AD436" s="152" t="s">
        <v>327</v>
      </c>
      <c r="AE436" s="151"/>
      <c r="AF436" s="150" t="s">
        <v>70</v>
      </c>
      <c r="AG436" s="152" t="s">
        <v>352</v>
      </c>
      <c r="AH436" s="150" t="s">
        <v>326</v>
      </c>
      <c r="AI436" s="99"/>
      <c r="AJ436" s="149"/>
      <c r="AK436" s="99"/>
      <c r="AL436" s="149"/>
      <c r="AM436" s="99"/>
      <c r="AN436" s="149">
        <v>0</v>
      </c>
      <c r="AO436" s="149">
        <v>0</v>
      </c>
      <c r="AP436" s="149">
        <v>2</v>
      </c>
      <c r="AQ436" s="149">
        <v>1</v>
      </c>
      <c r="AR436" s="149">
        <v>0</v>
      </c>
      <c r="AS436" s="149">
        <v>-1</v>
      </c>
      <c r="AT436" s="149">
        <v>0</v>
      </c>
      <c r="AU436" s="149">
        <v>0</v>
      </c>
      <c r="AV436" s="149">
        <v>0</v>
      </c>
      <c r="AW436" s="149">
        <v>2</v>
      </c>
      <c r="AX436" s="149">
        <v>1</v>
      </c>
      <c r="AY436" s="149">
        <v>0</v>
      </c>
      <c r="AZ436" s="149">
        <v>0</v>
      </c>
      <c r="BA436" s="149">
        <v>0</v>
      </c>
      <c r="BB436" s="149">
        <v>0</v>
      </c>
      <c r="BC436" s="149">
        <v>0</v>
      </c>
      <c r="BD436" s="149">
        <v>0</v>
      </c>
      <c r="BE436" s="149">
        <v>0</v>
      </c>
      <c r="BF436" s="149">
        <v>0</v>
      </c>
      <c r="BG436" s="149">
        <v>-1</v>
      </c>
      <c r="BH436" s="149">
        <v>0</v>
      </c>
      <c r="BI436" s="149">
        <v>0</v>
      </c>
      <c r="BJ436" s="149">
        <v>0</v>
      </c>
      <c r="BK436" s="149">
        <v>0</v>
      </c>
      <c r="BL436" s="149">
        <v>0</v>
      </c>
      <c r="BM436" s="149">
        <v>0</v>
      </c>
      <c r="BN436" s="149">
        <v>0</v>
      </c>
      <c r="BO436" s="149">
        <v>0</v>
      </c>
      <c r="BP436" s="152"/>
      <c r="BQ436" s="152"/>
      <c r="BR436" s="154" t="s">
        <v>359</v>
      </c>
      <c r="BS436" s="136">
        <v>13</v>
      </c>
      <c r="BT436" s="267"/>
      <c r="BU436" s="267">
        <f>M436</f>
        <v>2</v>
      </c>
      <c r="BV436" s="267"/>
      <c r="BW436" s="267"/>
      <c r="BX436" s="267"/>
      <c r="BY436" s="267"/>
      <c r="BZ436" s="267"/>
      <c r="CA436" s="267"/>
      <c r="CB436" s="267"/>
      <c r="CC436" s="267"/>
      <c r="CD436" s="267"/>
      <c r="CE436" s="267"/>
      <c r="CF436" s="267"/>
      <c r="CG436" s="267"/>
      <c r="CH436" s="267"/>
      <c r="CI436" s="267"/>
      <c r="CJ436" s="267"/>
      <c r="CK436" s="267"/>
      <c r="CL436" s="267"/>
      <c r="CM436" s="267"/>
      <c r="CN436" s="101">
        <f t="shared" si="28"/>
        <v>2</v>
      </c>
      <c r="CO436" s="101">
        <f t="shared" si="29"/>
        <v>2</v>
      </c>
    </row>
    <row r="437" spans="1:93" ht="13.9" customHeight="1" x14ac:dyDescent="0.2">
      <c r="A437" s="149">
        <v>7101</v>
      </c>
      <c r="B437" s="150" t="s">
        <v>854</v>
      </c>
      <c r="C437" s="150" t="s">
        <v>1382</v>
      </c>
      <c r="D437" s="150" t="s">
        <v>1383</v>
      </c>
      <c r="E437" s="150" t="s">
        <v>1395</v>
      </c>
      <c r="F437" s="149">
        <v>526922</v>
      </c>
      <c r="G437" s="149">
        <v>175807</v>
      </c>
      <c r="H437" s="150" t="s">
        <v>162</v>
      </c>
      <c r="I437" s="151">
        <v>44609</v>
      </c>
      <c r="J437" s="151"/>
      <c r="K437" s="149">
        <v>0</v>
      </c>
      <c r="L437" s="149">
        <v>40</v>
      </c>
      <c r="M437" s="149">
        <v>40</v>
      </c>
      <c r="N437" s="149">
        <v>126</v>
      </c>
      <c r="O437" s="149">
        <v>126</v>
      </c>
      <c r="P437" s="152" t="s">
        <v>327</v>
      </c>
      <c r="Q437" s="150" t="s">
        <v>1385</v>
      </c>
      <c r="R437" s="150" t="s">
        <v>342</v>
      </c>
      <c r="S437" s="151">
        <v>44592</v>
      </c>
      <c r="T437" s="151">
        <v>44673</v>
      </c>
      <c r="U437" s="152"/>
      <c r="V437" s="150" t="s">
        <v>330</v>
      </c>
      <c r="W437" s="151"/>
      <c r="X437" s="150" t="s">
        <v>331</v>
      </c>
      <c r="Y437" s="150" t="s">
        <v>343</v>
      </c>
      <c r="Z437" s="150" t="s">
        <v>343</v>
      </c>
      <c r="AA437" s="150" t="s">
        <v>334</v>
      </c>
      <c r="AB437" s="153">
        <v>0</v>
      </c>
      <c r="AC437" s="151">
        <v>44609</v>
      </c>
      <c r="AD437" s="150"/>
      <c r="AE437" s="151"/>
      <c r="AF437" s="150" t="s">
        <v>49</v>
      </c>
      <c r="AG437" s="152" t="s">
        <v>383</v>
      </c>
      <c r="AH437" s="150" t="s">
        <v>326</v>
      </c>
      <c r="AI437" s="99"/>
      <c r="AJ437" s="149"/>
      <c r="AK437" s="99"/>
      <c r="AL437" s="149"/>
      <c r="AM437" s="99"/>
      <c r="AN437" s="149">
        <v>0</v>
      </c>
      <c r="AO437" s="149">
        <v>7</v>
      </c>
      <c r="AP437" s="149">
        <v>15</v>
      </c>
      <c r="AQ437" s="149">
        <v>14</v>
      </c>
      <c r="AR437" s="149">
        <v>3</v>
      </c>
      <c r="AS437" s="149">
        <v>1</v>
      </c>
      <c r="AT437" s="149">
        <v>0</v>
      </c>
      <c r="AU437" s="149">
        <v>0</v>
      </c>
      <c r="AV437" s="149">
        <v>7</v>
      </c>
      <c r="AW437" s="149">
        <v>15</v>
      </c>
      <c r="AX437" s="149">
        <v>14</v>
      </c>
      <c r="AY437" s="149">
        <v>3</v>
      </c>
      <c r="AZ437" s="149">
        <v>1</v>
      </c>
      <c r="BA437" s="149">
        <v>0</v>
      </c>
      <c r="BB437" s="149">
        <v>0</v>
      </c>
      <c r="BC437" s="149">
        <v>0</v>
      </c>
      <c r="BD437" s="149">
        <v>0</v>
      </c>
      <c r="BE437" s="149">
        <v>0</v>
      </c>
      <c r="BF437" s="149">
        <v>0</v>
      </c>
      <c r="BG437" s="149">
        <v>0</v>
      </c>
      <c r="BH437" s="149">
        <v>0</v>
      </c>
      <c r="BI437" s="149">
        <v>0</v>
      </c>
      <c r="BJ437" s="149">
        <v>0</v>
      </c>
      <c r="BK437" s="149">
        <v>0</v>
      </c>
      <c r="BL437" s="149">
        <v>0</v>
      </c>
      <c r="BM437" s="149">
        <v>0</v>
      </c>
      <c r="BN437" s="149">
        <v>0</v>
      </c>
      <c r="BO437" s="149">
        <v>0</v>
      </c>
      <c r="BP437" s="152"/>
      <c r="BQ437" s="152"/>
      <c r="BR437" s="154" t="s">
        <v>148</v>
      </c>
      <c r="BS437" s="136">
        <v>5</v>
      </c>
      <c r="BT437" s="267"/>
      <c r="BU437" s="267">
        <f>M437</f>
        <v>40</v>
      </c>
      <c r="BV437" s="267"/>
      <c r="BW437" s="267"/>
      <c r="BX437" s="267"/>
      <c r="BY437" s="267"/>
      <c r="BZ437" s="267"/>
      <c r="CA437" s="267"/>
      <c r="CB437" s="267"/>
      <c r="CC437" s="267"/>
      <c r="CD437" s="267"/>
      <c r="CE437" s="267"/>
      <c r="CF437" s="267"/>
      <c r="CG437" s="267"/>
      <c r="CH437" s="267"/>
      <c r="CI437" s="267"/>
      <c r="CJ437" s="267"/>
      <c r="CK437" s="267"/>
      <c r="CL437" s="267"/>
      <c r="CM437" s="267"/>
      <c r="CN437" s="101">
        <f t="shared" si="28"/>
        <v>40</v>
      </c>
      <c r="CO437" s="101">
        <f t="shared" si="29"/>
        <v>40</v>
      </c>
    </row>
    <row r="438" spans="1:93" ht="13.9" customHeight="1" x14ac:dyDescent="0.2">
      <c r="A438" s="149">
        <v>7101</v>
      </c>
      <c r="B438" s="150" t="s">
        <v>854</v>
      </c>
      <c r="C438" s="150" t="s">
        <v>1382</v>
      </c>
      <c r="D438" s="150" t="s">
        <v>1383</v>
      </c>
      <c r="E438" s="150" t="s">
        <v>1396</v>
      </c>
      <c r="F438" s="149">
        <v>526922</v>
      </c>
      <c r="G438" s="149">
        <v>175807</v>
      </c>
      <c r="H438" s="150" t="s">
        <v>162</v>
      </c>
      <c r="I438" s="151">
        <v>44609</v>
      </c>
      <c r="J438" s="151"/>
      <c r="K438" s="149">
        <v>0</v>
      </c>
      <c r="L438" s="149">
        <v>15</v>
      </c>
      <c r="M438" s="149">
        <v>15</v>
      </c>
      <c r="N438" s="149">
        <v>126</v>
      </c>
      <c r="O438" s="149">
        <v>126</v>
      </c>
      <c r="P438" s="152" t="s">
        <v>327</v>
      </c>
      <c r="Q438" s="150" t="s">
        <v>1385</v>
      </c>
      <c r="R438" s="150" t="s">
        <v>342</v>
      </c>
      <c r="S438" s="151">
        <v>44592</v>
      </c>
      <c r="T438" s="151">
        <v>44673</v>
      </c>
      <c r="U438" s="152"/>
      <c r="V438" s="150" t="s">
        <v>330</v>
      </c>
      <c r="W438" s="151"/>
      <c r="X438" s="150" t="s">
        <v>331</v>
      </c>
      <c r="Y438" s="150" t="s">
        <v>343</v>
      </c>
      <c r="Z438" s="150" t="s">
        <v>343</v>
      </c>
      <c r="AA438" s="150" t="s">
        <v>334</v>
      </c>
      <c r="AB438" s="153">
        <v>0</v>
      </c>
      <c r="AC438" s="151">
        <v>44609</v>
      </c>
      <c r="AD438" s="150"/>
      <c r="AE438" s="151"/>
      <c r="AF438" s="150" t="s">
        <v>49</v>
      </c>
      <c r="AG438" s="152" t="s">
        <v>383</v>
      </c>
      <c r="AH438" s="150" t="s">
        <v>326</v>
      </c>
      <c r="AI438" s="99"/>
      <c r="AJ438" s="149"/>
      <c r="AK438" s="99"/>
      <c r="AL438" s="149"/>
      <c r="AM438" s="99"/>
      <c r="AN438" s="149">
        <v>0</v>
      </c>
      <c r="AO438" s="149">
        <v>0</v>
      </c>
      <c r="AP438" s="149">
        <v>2</v>
      </c>
      <c r="AQ438" s="149">
        <v>8</v>
      </c>
      <c r="AR438" s="149">
        <v>3</v>
      </c>
      <c r="AS438" s="149">
        <v>2</v>
      </c>
      <c r="AT438" s="149">
        <v>0</v>
      </c>
      <c r="AU438" s="149">
        <v>0</v>
      </c>
      <c r="AV438" s="149">
        <v>0</v>
      </c>
      <c r="AW438" s="149">
        <v>2</v>
      </c>
      <c r="AX438" s="149">
        <v>8</v>
      </c>
      <c r="AY438" s="149">
        <v>3</v>
      </c>
      <c r="AZ438" s="149">
        <v>2</v>
      </c>
      <c r="BA438" s="149">
        <v>0</v>
      </c>
      <c r="BB438" s="149">
        <v>0</v>
      </c>
      <c r="BC438" s="149">
        <v>0</v>
      </c>
      <c r="BD438" s="149">
        <v>0</v>
      </c>
      <c r="BE438" s="149">
        <v>0</v>
      </c>
      <c r="BF438" s="149">
        <v>0</v>
      </c>
      <c r="BG438" s="149">
        <v>0</v>
      </c>
      <c r="BH438" s="149">
        <v>0</v>
      </c>
      <c r="BI438" s="149">
        <v>0</v>
      </c>
      <c r="BJ438" s="149">
        <v>0</v>
      </c>
      <c r="BK438" s="149">
        <v>0</v>
      </c>
      <c r="BL438" s="149">
        <v>0</v>
      </c>
      <c r="BM438" s="149">
        <v>0</v>
      </c>
      <c r="BN438" s="149">
        <v>0</v>
      </c>
      <c r="BO438" s="149">
        <v>0</v>
      </c>
      <c r="BP438" s="152"/>
      <c r="BQ438" s="152"/>
      <c r="BR438" s="154" t="s">
        <v>148</v>
      </c>
      <c r="BS438" s="136">
        <v>5</v>
      </c>
      <c r="BT438" s="267"/>
      <c r="BU438" s="267">
        <f>M438</f>
        <v>15</v>
      </c>
      <c r="BV438" s="267"/>
      <c r="BW438" s="267"/>
      <c r="BX438" s="267"/>
      <c r="BY438" s="267"/>
      <c r="BZ438" s="267"/>
      <c r="CA438" s="267"/>
      <c r="CB438" s="267"/>
      <c r="CC438" s="267"/>
      <c r="CD438" s="267"/>
      <c r="CE438" s="267"/>
      <c r="CF438" s="267"/>
      <c r="CG438" s="267"/>
      <c r="CH438" s="267"/>
      <c r="CI438" s="267"/>
      <c r="CJ438" s="267"/>
      <c r="CK438" s="267"/>
      <c r="CL438" s="267"/>
      <c r="CM438" s="267"/>
      <c r="CN438" s="101">
        <f t="shared" si="28"/>
        <v>15</v>
      </c>
      <c r="CO438" s="101">
        <f t="shared" si="29"/>
        <v>15</v>
      </c>
    </row>
    <row r="439" spans="1:93" ht="13.9" customHeight="1" x14ac:dyDescent="0.2">
      <c r="A439" s="149">
        <v>7101</v>
      </c>
      <c r="B439" s="150" t="s">
        <v>854</v>
      </c>
      <c r="C439" s="150" t="s">
        <v>1382</v>
      </c>
      <c r="D439" s="150" t="s">
        <v>1383</v>
      </c>
      <c r="E439" s="150" t="s">
        <v>1395</v>
      </c>
      <c r="F439" s="149">
        <v>526922</v>
      </c>
      <c r="G439" s="149">
        <v>175807</v>
      </c>
      <c r="H439" s="150" t="s">
        <v>162</v>
      </c>
      <c r="I439" s="151">
        <v>44609</v>
      </c>
      <c r="J439" s="151"/>
      <c r="K439" s="149">
        <v>0</v>
      </c>
      <c r="L439" s="149">
        <v>10</v>
      </c>
      <c r="M439" s="149">
        <v>10</v>
      </c>
      <c r="N439" s="149">
        <v>126</v>
      </c>
      <c r="O439" s="149">
        <v>126</v>
      </c>
      <c r="P439" s="152" t="s">
        <v>327</v>
      </c>
      <c r="Q439" s="150" t="s">
        <v>1385</v>
      </c>
      <c r="R439" s="150" t="s">
        <v>342</v>
      </c>
      <c r="S439" s="151">
        <v>44592</v>
      </c>
      <c r="T439" s="151">
        <v>44673</v>
      </c>
      <c r="U439" s="152"/>
      <c r="V439" s="150" t="s">
        <v>330</v>
      </c>
      <c r="W439" s="151"/>
      <c r="X439" s="150" t="s">
        <v>331</v>
      </c>
      <c r="Y439" s="150" t="s">
        <v>343</v>
      </c>
      <c r="Z439" s="150" t="s">
        <v>343</v>
      </c>
      <c r="AA439" s="150" t="s">
        <v>334</v>
      </c>
      <c r="AB439" s="153">
        <v>0</v>
      </c>
      <c r="AC439" s="151">
        <v>44609</v>
      </c>
      <c r="AD439" s="150"/>
      <c r="AE439" s="151"/>
      <c r="AF439" s="150" t="s">
        <v>48</v>
      </c>
      <c r="AG439" s="152" t="s">
        <v>785</v>
      </c>
      <c r="AH439" s="150" t="s">
        <v>326</v>
      </c>
      <c r="AI439" s="99"/>
      <c r="AJ439" s="149"/>
      <c r="AK439" s="99"/>
      <c r="AL439" s="149"/>
      <c r="AM439" s="99"/>
      <c r="AN439" s="149">
        <v>0</v>
      </c>
      <c r="AO439" s="149">
        <v>4</v>
      </c>
      <c r="AP439" s="149">
        <v>6</v>
      </c>
      <c r="AQ439" s="149">
        <v>0</v>
      </c>
      <c r="AR439" s="149">
        <v>0</v>
      </c>
      <c r="AS439" s="149">
        <v>0</v>
      </c>
      <c r="AT439" s="149">
        <v>0</v>
      </c>
      <c r="AU439" s="149">
        <v>0</v>
      </c>
      <c r="AV439" s="149">
        <v>4</v>
      </c>
      <c r="AW439" s="149">
        <v>6</v>
      </c>
      <c r="AX439" s="149">
        <v>0</v>
      </c>
      <c r="AY439" s="149">
        <v>0</v>
      </c>
      <c r="AZ439" s="149">
        <v>0</v>
      </c>
      <c r="BA439" s="149">
        <v>0</v>
      </c>
      <c r="BB439" s="149">
        <v>0</v>
      </c>
      <c r="BC439" s="149">
        <v>0</v>
      </c>
      <c r="BD439" s="149">
        <v>0</v>
      </c>
      <c r="BE439" s="149">
        <v>0</v>
      </c>
      <c r="BF439" s="149">
        <v>0</v>
      </c>
      <c r="BG439" s="149">
        <v>0</v>
      </c>
      <c r="BH439" s="149">
        <v>0</v>
      </c>
      <c r="BI439" s="149">
        <v>0</v>
      </c>
      <c r="BJ439" s="149">
        <v>0</v>
      </c>
      <c r="BK439" s="149">
        <v>0</v>
      </c>
      <c r="BL439" s="149">
        <v>0</v>
      </c>
      <c r="BM439" s="149">
        <v>0</v>
      </c>
      <c r="BN439" s="149">
        <v>0</v>
      </c>
      <c r="BO439" s="149">
        <v>0</v>
      </c>
      <c r="BP439" s="152"/>
      <c r="BQ439" s="152"/>
      <c r="BR439" s="154" t="s">
        <v>148</v>
      </c>
      <c r="BS439" s="136">
        <v>5</v>
      </c>
      <c r="BT439" s="267"/>
      <c r="BU439" s="267">
        <f>M439</f>
        <v>10</v>
      </c>
      <c r="BV439" s="267"/>
      <c r="BW439" s="267"/>
      <c r="BX439" s="267"/>
      <c r="BY439" s="267"/>
      <c r="BZ439" s="267"/>
      <c r="CA439" s="267"/>
      <c r="CB439" s="267"/>
      <c r="CC439" s="267"/>
      <c r="CD439" s="267"/>
      <c r="CE439" s="267"/>
      <c r="CF439" s="267"/>
      <c r="CG439" s="267"/>
      <c r="CH439" s="267"/>
      <c r="CI439" s="267"/>
      <c r="CJ439" s="267"/>
      <c r="CK439" s="267"/>
      <c r="CL439" s="267"/>
      <c r="CM439" s="267"/>
      <c r="CN439" s="101">
        <f t="shared" ref="CN439:CN502" si="30">SUM(BU439:BY439)</f>
        <v>10</v>
      </c>
      <c r="CO439" s="101">
        <f t="shared" ref="CO439:CO502" si="31">SUM(BU439:CD439)</f>
        <v>10</v>
      </c>
    </row>
    <row r="440" spans="1:93" ht="13.9" customHeight="1" x14ac:dyDescent="0.2">
      <c r="A440" s="149">
        <v>7980</v>
      </c>
      <c r="B440" s="150" t="s">
        <v>854</v>
      </c>
      <c r="C440" s="150" t="s">
        <v>1397</v>
      </c>
      <c r="D440" s="150" t="s">
        <v>1398</v>
      </c>
      <c r="E440" s="150" t="s">
        <v>326</v>
      </c>
      <c r="F440" s="149">
        <v>528153</v>
      </c>
      <c r="G440" s="149">
        <v>170863</v>
      </c>
      <c r="H440" s="150" t="s">
        <v>163</v>
      </c>
      <c r="I440" s="151">
        <v>45078</v>
      </c>
      <c r="J440" s="151"/>
      <c r="K440" s="149">
        <v>0</v>
      </c>
      <c r="L440" s="149">
        <v>1</v>
      </c>
      <c r="M440" s="149">
        <v>1</v>
      </c>
      <c r="N440" s="149">
        <v>1</v>
      </c>
      <c r="O440" s="149">
        <v>1</v>
      </c>
      <c r="P440" s="152"/>
      <c r="Q440" s="150" t="s">
        <v>1399</v>
      </c>
      <c r="R440" s="150" t="s">
        <v>349</v>
      </c>
      <c r="S440" s="151">
        <v>45040</v>
      </c>
      <c r="T440" s="151">
        <v>45096</v>
      </c>
      <c r="U440" s="152" t="s">
        <v>327</v>
      </c>
      <c r="V440" s="150" t="s">
        <v>330</v>
      </c>
      <c r="W440" s="151"/>
      <c r="X440" s="150" t="s">
        <v>331</v>
      </c>
      <c r="Y440" s="150" t="s">
        <v>491</v>
      </c>
      <c r="Z440" s="150" t="s">
        <v>334</v>
      </c>
      <c r="AA440" s="150" t="s">
        <v>413</v>
      </c>
      <c r="AB440" s="153">
        <v>5.6499999999999996E-3</v>
      </c>
      <c r="AC440" s="151">
        <v>45078</v>
      </c>
      <c r="AD440" s="152" t="s">
        <v>327</v>
      </c>
      <c r="AE440" s="151"/>
      <c r="AF440" s="150" t="s">
        <v>70</v>
      </c>
      <c r="AG440" s="152" t="s">
        <v>352</v>
      </c>
      <c r="AH440" s="150" t="s">
        <v>326</v>
      </c>
      <c r="AI440" s="99"/>
      <c r="AJ440" s="149"/>
      <c r="AK440" s="99"/>
      <c r="AL440" s="149"/>
      <c r="AM440" s="102"/>
      <c r="AN440" s="149">
        <v>0</v>
      </c>
      <c r="AO440" s="149">
        <v>1</v>
      </c>
      <c r="AP440" s="149">
        <v>0</v>
      </c>
      <c r="AQ440" s="149">
        <v>0</v>
      </c>
      <c r="AR440" s="149">
        <v>0</v>
      </c>
      <c r="AS440" s="149">
        <v>0</v>
      </c>
      <c r="AT440" s="149">
        <v>0</v>
      </c>
      <c r="AU440" s="149">
        <v>0</v>
      </c>
      <c r="AV440" s="149">
        <v>1</v>
      </c>
      <c r="AW440" s="149">
        <v>0</v>
      </c>
      <c r="AX440" s="149">
        <v>0</v>
      </c>
      <c r="AY440" s="149">
        <v>0</v>
      </c>
      <c r="AZ440" s="149">
        <v>0</v>
      </c>
      <c r="BA440" s="149">
        <v>0</v>
      </c>
      <c r="BB440" s="149">
        <v>0</v>
      </c>
      <c r="BC440" s="149">
        <v>0</v>
      </c>
      <c r="BD440" s="149">
        <v>0</v>
      </c>
      <c r="BE440" s="149">
        <v>0</v>
      </c>
      <c r="BF440" s="149">
        <v>0</v>
      </c>
      <c r="BG440" s="149">
        <v>0</v>
      </c>
      <c r="BH440" s="149">
        <v>0</v>
      </c>
      <c r="BI440" s="149">
        <v>0</v>
      </c>
      <c r="BJ440" s="149">
        <v>0</v>
      </c>
      <c r="BK440" s="149">
        <v>0</v>
      </c>
      <c r="BL440" s="149">
        <v>0</v>
      </c>
      <c r="BM440" s="149">
        <v>0</v>
      </c>
      <c r="BN440" s="149">
        <v>0</v>
      </c>
      <c r="BO440" s="149">
        <v>0</v>
      </c>
      <c r="BP440" s="152"/>
      <c r="BQ440" s="152"/>
      <c r="BR440" s="154" t="s">
        <v>359</v>
      </c>
      <c r="BS440" s="136">
        <v>13</v>
      </c>
      <c r="BT440" s="267"/>
      <c r="BU440" s="267">
        <f>M440</f>
        <v>1</v>
      </c>
      <c r="BV440" s="267"/>
      <c r="BW440" s="267"/>
      <c r="BX440" s="267"/>
      <c r="BY440" s="267"/>
      <c r="BZ440" s="267"/>
      <c r="CA440" s="267"/>
      <c r="CB440" s="267"/>
      <c r="CC440" s="267"/>
      <c r="CD440" s="267"/>
      <c r="CE440" s="267"/>
      <c r="CF440" s="267"/>
      <c r="CG440" s="267"/>
      <c r="CH440" s="267"/>
      <c r="CI440" s="267"/>
      <c r="CJ440" s="267"/>
      <c r="CK440" s="267"/>
      <c r="CL440" s="267"/>
      <c r="CM440" s="267"/>
      <c r="CN440" s="101">
        <f t="shared" si="30"/>
        <v>1</v>
      </c>
      <c r="CO440" s="101">
        <f t="shared" si="31"/>
        <v>1</v>
      </c>
    </row>
    <row r="441" spans="1:93" ht="13.9" customHeight="1" x14ac:dyDescent="0.2">
      <c r="A441" s="149">
        <v>7991</v>
      </c>
      <c r="B441" s="150" t="s">
        <v>854</v>
      </c>
      <c r="C441" s="150" t="s">
        <v>1400</v>
      </c>
      <c r="D441" s="150" t="s">
        <v>1401</v>
      </c>
      <c r="E441" s="150" t="s">
        <v>326</v>
      </c>
      <c r="F441" s="149">
        <v>528019</v>
      </c>
      <c r="G441" s="149">
        <v>175525</v>
      </c>
      <c r="H441" s="150" t="s">
        <v>164</v>
      </c>
      <c r="I441" s="151">
        <v>45382</v>
      </c>
      <c r="J441" s="151"/>
      <c r="K441" s="149">
        <v>2</v>
      </c>
      <c r="L441" s="149">
        <v>1</v>
      </c>
      <c r="M441" s="149">
        <v>-1</v>
      </c>
      <c r="N441" s="149">
        <v>1</v>
      </c>
      <c r="O441" s="149">
        <v>-1</v>
      </c>
      <c r="P441" s="152"/>
      <c r="Q441" s="150" t="s">
        <v>1402</v>
      </c>
      <c r="R441" s="150" t="s">
        <v>349</v>
      </c>
      <c r="S441" s="151">
        <v>45056</v>
      </c>
      <c r="T441" s="151">
        <v>45112</v>
      </c>
      <c r="U441" s="152" t="s">
        <v>327</v>
      </c>
      <c r="V441" s="150" t="s">
        <v>330</v>
      </c>
      <c r="W441" s="151"/>
      <c r="X441" s="150" t="s">
        <v>331</v>
      </c>
      <c r="Y441" s="150" t="s">
        <v>350</v>
      </c>
      <c r="Z441" s="150" t="s">
        <v>334</v>
      </c>
      <c r="AA441" s="150" t="s">
        <v>18</v>
      </c>
      <c r="AB441" s="153">
        <v>6.1999999999999998E-3</v>
      </c>
      <c r="AC441" s="151">
        <v>45382</v>
      </c>
      <c r="AD441" s="152" t="s">
        <v>327</v>
      </c>
      <c r="AE441" s="151"/>
      <c r="AF441" s="150" t="s">
        <v>70</v>
      </c>
      <c r="AG441" s="152" t="s">
        <v>352</v>
      </c>
      <c r="AH441" s="150" t="s">
        <v>326</v>
      </c>
      <c r="AI441" s="99"/>
      <c r="AJ441" s="149"/>
      <c r="AK441" s="99"/>
      <c r="AL441" s="149"/>
      <c r="AM441" s="102"/>
      <c r="AN441" s="149">
        <v>0</v>
      </c>
      <c r="AO441" s="149">
        <v>-1</v>
      </c>
      <c r="AP441" s="149">
        <v>-1</v>
      </c>
      <c r="AQ441" s="149">
        <v>0</v>
      </c>
      <c r="AR441" s="149">
        <v>1</v>
      </c>
      <c r="AS441" s="149">
        <v>0</v>
      </c>
      <c r="AT441" s="149">
        <v>0</v>
      </c>
      <c r="AU441" s="149">
        <v>0</v>
      </c>
      <c r="AV441" s="149">
        <v>-1</v>
      </c>
      <c r="AW441" s="149">
        <v>-1</v>
      </c>
      <c r="AX441" s="149">
        <v>0</v>
      </c>
      <c r="AY441" s="149">
        <v>0</v>
      </c>
      <c r="AZ441" s="149">
        <v>0</v>
      </c>
      <c r="BA441" s="149">
        <v>0</v>
      </c>
      <c r="BB441" s="149">
        <v>0</v>
      </c>
      <c r="BC441" s="149">
        <v>0</v>
      </c>
      <c r="BD441" s="149">
        <v>0</v>
      </c>
      <c r="BE441" s="149">
        <v>0</v>
      </c>
      <c r="BF441" s="149">
        <v>1</v>
      </c>
      <c r="BG441" s="149">
        <v>0</v>
      </c>
      <c r="BH441" s="149">
        <v>0</v>
      </c>
      <c r="BI441" s="149">
        <v>0</v>
      </c>
      <c r="BJ441" s="149">
        <v>0</v>
      </c>
      <c r="BK441" s="149">
        <v>0</v>
      </c>
      <c r="BL441" s="149">
        <v>0</v>
      </c>
      <c r="BM441" s="149">
        <v>0</v>
      </c>
      <c r="BN441" s="149">
        <v>0</v>
      </c>
      <c r="BO441" s="149">
        <v>0</v>
      </c>
      <c r="BP441" s="152"/>
      <c r="BQ441" s="152"/>
      <c r="BR441" s="154" t="s">
        <v>359</v>
      </c>
      <c r="BS441" s="136">
        <v>14</v>
      </c>
      <c r="BT441" s="267"/>
      <c r="BU441" s="267">
        <f>M441/2</f>
        <v>-0.5</v>
      </c>
      <c r="BV441" s="267">
        <f>M441/2</f>
        <v>-0.5</v>
      </c>
      <c r="BW441" s="267"/>
      <c r="BX441" s="267"/>
      <c r="BY441" s="267"/>
      <c r="BZ441" s="267"/>
      <c r="CA441" s="267"/>
      <c r="CB441" s="267"/>
      <c r="CC441" s="267"/>
      <c r="CD441" s="267"/>
      <c r="CE441" s="267"/>
      <c r="CF441" s="267"/>
      <c r="CG441" s="267"/>
      <c r="CH441" s="267"/>
      <c r="CI441" s="267"/>
      <c r="CJ441" s="267"/>
      <c r="CK441" s="267"/>
      <c r="CL441" s="267"/>
      <c r="CM441" s="267"/>
      <c r="CN441" s="101">
        <f t="shared" si="30"/>
        <v>-1</v>
      </c>
      <c r="CO441" s="101">
        <f t="shared" si="31"/>
        <v>-1</v>
      </c>
    </row>
    <row r="442" spans="1:93" ht="13.9" customHeight="1" x14ac:dyDescent="0.2">
      <c r="A442" s="149">
        <v>7992</v>
      </c>
      <c r="B442" s="150" t="s">
        <v>854</v>
      </c>
      <c r="C442" s="150" t="s">
        <v>1403</v>
      </c>
      <c r="D442" s="150" t="s">
        <v>1404</v>
      </c>
      <c r="E442" s="150" t="s">
        <v>326</v>
      </c>
      <c r="F442" s="149">
        <v>527301</v>
      </c>
      <c r="G442" s="149">
        <v>171404</v>
      </c>
      <c r="H442" s="150" t="s">
        <v>173</v>
      </c>
      <c r="I442" s="151">
        <v>45313</v>
      </c>
      <c r="J442" s="151"/>
      <c r="K442" s="149">
        <v>2</v>
      </c>
      <c r="L442" s="149">
        <v>4</v>
      </c>
      <c r="M442" s="149">
        <v>2</v>
      </c>
      <c r="N442" s="149">
        <v>4</v>
      </c>
      <c r="O442" s="149">
        <v>2</v>
      </c>
      <c r="P442" s="152"/>
      <c r="Q442" s="150" t="s">
        <v>1405</v>
      </c>
      <c r="R442" s="150" t="s">
        <v>349</v>
      </c>
      <c r="S442" s="151">
        <v>45063</v>
      </c>
      <c r="T442" s="151">
        <v>45162</v>
      </c>
      <c r="U442" s="152" t="s">
        <v>327</v>
      </c>
      <c r="V442" s="150" t="s">
        <v>330</v>
      </c>
      <c r="W442" s="151"/>
      <c r="X442" s="150" t="s">
        <v>331</v>
      </c>
      <c r="Y442" s="150" t="s">
        <v>398</v>
      </c>
      <c r="Z442" s="150" t="s">
        <v>334</v>
      </c>
      <c r="AA442" s="150" t="s">
        <v>413</v>
      </c>
      <c r="AB442" s="153">
        <v>7.9266670000000001E-3</v>
      </c>
      <c r="AC442" s="151">
        <v>45313</v>
      </c>
      <c r="AD442" s="152" t="s">
        <v>327</v>
      </c>
      <c r="AE442" s="151"/>
      <c r="AF442" s="150" t="s">
        <v>70</v>
      </c>
      <c r="AG442" s="152" t="s">
        <v>352</v>
      </c>
      <c r="AH442" s="150" t="s">
        <v>326</v>
      </c>
      <c r="AI442" s="99"/>
      <c r="AJ442" s="149"/>
      <c r="AK442" s="99"/>
      <c r="AL442" s="149"/>
      <c r="AM442" s="99"/>
      <c r="AN442" s="149">
        <v>0</v>
      </c>
      <c r="AO442" s="149">
        <v>2</v>
      </c>
      <c r="AP442" s="149">
        <v>0</v>
      </c>
      <c r="AQ442" s="149">
        <v>0</v>
      </c>
      <c r="AR442" s="149">
        <v>0</v>
      </c>
      <c r="AS442" s="149">
        <v>0</v>
      </c>
      <c r="AT442" s="149">
        <v>0</v>
      </c>
      <c r="AU442" s="149">
        <v>0</v>
      </c>
      <c r="AV442" s="149">
        <v>2</v>
      </c>
      <c r="AW442" s="149">
        <v>0</v>
      </c>
      <c r="AX442" s="149">
        <v>0</v>
      </c>
      <c r="AY442" s="149">
        <v>0</v>
      </c>
      <c r="AZ442" s="149">
        <v>0</v>
      </c>
      <c r="BA442" s="149">
        <v>0</v>
      </c>
      <c r="BB442" s="149">
        <v>0</v>
      </c>
      <c r="BC442" s="149">
        <v>0</v>
      </c>
      <c r="BD442" s="149">
        <v>0</v>
      </c>
      <c r="BE442" s="149">
        <v>0</v>
      </c>
      <c r="BF442" s="149">
        <v>0</v>
      </c>
      <c r="BG442" s="149">
        <v>0</v>
      </c>
      <c r="BH442" s="149">
        <v>0</v>
      </c>
      <c r="BI442" s="149">
        <v>0</v>
      </c>
      <c r="BJ442" s="149">
        <v>0</v>
      </c>
      <c r="BK442" s="149">
        <v>0</v>
      </c>
      <c r="BL442" s="149">
        <v>0</v>
      </c>
      <c r="BM442" s="149">
        <v>0</v>
      </c>
      <c r="BN442" s="149">
        <v>0</v>
      </c>
      <c r="BO442" s="149">
        <v>0</v>
      </c>
      <c r="BP442" s="152"/>
      <c r="BQ442" s="152"/>
      <c r="BR442" s="154" t="s">
        <v>142</v>
      </c>
      <c r="BS442" s="136">
        <v>14</v>
      </c>
      <c r="BT442" s="267"/>
      <c r="BU442" s="267">
        <f>M442/2</f>
        <v>1</v>
      </c>
      <c r="BV442" s="267">
        <f>M442/2</f>
        <v>1</v>
      </c>
      <c r="BW442" s="267"/>
      <c r="BX442" s="267"/>
      <c r="BY442" s="267"/>
      <c r="BZ442" s="267"/>
      <c r="CA442" s="267"/>
      <c r="CB442" s="267"/>
      <c r="CC442" s="267"/>
      <c r="CD442" s="267"/>
      <c r="CE442" s="267"/>
      <c r="CF442" s="267"/>
      <c r="CG442" s="267"/>
      <c r="CH442" s="267"/>
      <c r="CI442" s="267"/>
      <c r="CJ442" s="267"/>
      <c r="CK442" s="267"/>
      <c r="CL442" s="267"/>
      <c r="CM442" s="267"/>
      <c r="CN442" s="101">
        <f t="shared" si="30"/>
        <v>2</v>
      </c>
      <c r="CO442" s="101">
        <f t="shared" si="31"/>
        <v>2</v>
      </c>
    </row>
    <row r="443" spans="1:93" ht="13.9" customHeight="1" x14ac:dyDescent="0.2">
      <c r="A443" s="149">
        <v>8003</v>
      </c>
      <c r="B443" s="150" t="s">
        <v>854</v>
      </c>
      <c r="C443" s="150" t="s">
        <v>1406</v>
      </c>
      <c r="D443" s="150" t="s">
        <v>1407</v>
      </c>
      <c r="E443" s="150" t="s">
        <v>326</v>
      </c>
      <c r="F443" s="149">
        <v>526962</v>
      </c>
      <c r="G443" s="149">
        <v>171676</v>
      </c>
      <c r="H443" s="150" t="s">
        <v>173</v>
      </c>
      <c r="I443" s="151">
        <v>45314</v>
      </c>
      <c r="J443" s="151"/>
      <c r="K443" s="149">
        <v>2</v>
      </c>
      <c r="L443" s="149">
        <v>3</v>
      </c>
      <c r="M443" s="149">
        <v>1</v>
      </c>
      <c r="N443" s="149">
        <v>3</v>
      </c>
      <c r="O443" s="149">
        <v>1</v>
      </c>
      <c r="P443" s="152"/>
      <c r="Q443" s="150" t="s">
        <v>1408</v>
      </c>
      <c r="R443" s="150" t="s">
        <v>349</v>
      </c>
      <c r="S443" s="151">
        <v>45114</v>
      </c>
      <c r="T443" s="151">
        <v>45205</v>
      </c>
      <c r="U443" s="152" t="s">
        <v>327</v>
      </c>
      <c r="V443" s="150" t="s">
        <v>330</v>
      </c>
      <c r="W443" s="151"/>
      <c r="X443" s="150" t="s">
        <v>331</v>
      </c>
      <c r="Y443" s="150" t="s">
        <v>491</v>
      </c>
      <c r="Z443" s="150" t="s">
        <v>334</v>
      </c>
      <c r="AA443" s="150" t="s">
        <v>413</v>
      </c>
      <c r="AB443" s="153">
        <v>6.4000000000000003E-3</v>
      </c>
      <c r="AC443" s="151">
        <v>45314</v>
      </c>
      <c r="AD443" s="152" t="s">
        <v>327</v>
      </c>
      <c r="AE443" s="151"/>
      <c r="AF443" s="150" t="s">
        <v>70</v>
      </c>
      <c r="AG443" s="152" t="s">
        <v>352</v>
      </c>
      <c r="AH443" s="150" t="s">
        <v>326</v>
      </c>
      <c r="AI443" s="99"/>
      <c r="AJ443" s="149"/>
      <c r="AK443" s="99"/>
      <c r="AL443" s="149"/>
      <c r="AM443" s="102"/>
      <c r="AN443" s="149">
        <v>0</v>
      </c>
      <c r="AO443" s="149">
        <v>0</v>
      </c>
      <c r="AP443" s="149">
        <v>1</v>
      </c>
      <c r="AQ443" s="149">
        <v>0</v>
      </c>
      <c r="AR443" s="149">
        <v>0</v>
      </c>
      <c r="AS443" s="149">
        <v>0</v>
      </c>
      <c r="AT443" s="149">
        <v>0</v>
      </c>
      <c r="AU443" s="149">
        <v>0</v>
      </c>
      <c r="AV443" s="149">
        <v>0</v>
      </c>
      <c r="AW443" s="149">
        <v>1</v>
      </c>
      <c r="AX443" s="149">
        <v>0</v>
      </c>
      <c r="AY443" s="149">
        <v>0</v>
      </c>
      <c r="AZ443" s="149">
        <v>0</v>
      </c>
      <c r="BA443" s="149">
        <v>0</v>
      </c>
      <c r="BB443" s="149">
        <v>0</v>
      </c>
      <c r="BC443" s="149">
        <v>0</v>
      </c>
      <c r="BD443" s="149">
        <v>0</v>
      </c>
      <c r="BE443" s="149">
        <v>0</v>
      </c>
      <c r="BF443" s="149">
        <v>0</v>
      </c>
      <c r="BG443" s="149">
        <v>0</v>
      </c>
      <c r="BH443" s="149">
        <v>0</v>
      </c>
      <c r="BI443" s="149">
        <v>0</v>
      </c>
      <c r="BJ443" s="149">
        <v>0</v>
      </c>
      <c r="BK443" s="149">
        <v>0</v>
      </c>
      <c r="BL443" s="149">
        <v>0</v>
      </c>
      <c r="BM443" s="149">
        <v>0</v>
      </c>
      <c r="BN443" s="149">
        <v>0</v>
      </c>
      <c r="BO443" s="149">
        <v>0</v>
      </c>
      <c r="BP443" s="152"/>
      <c r="BQ443" s="152"/>
      <c r="BR443" s="154" t="s">
        <v>359</v>
      </c>
      <c r="BS443" s="136">
        <v>14</v>
      </c>
      <c r="BT443" s="267"/>
      <c r="BU443" s="267">
        <f>M443/2</f>
        <v>0.5</v>
      </c>
      <c r="BV443" s="267">
        <f>M443/2</f>
        <v>0.5</v>
      </c>
      <c r="BW443" s="267"/>
      <c r="BX443" s="267"/>
      <c r="BY443" s="267"/>
      <c r="BZ443" s="267"/>
      <c r="CA443" s="267"/>
      <c r="CB443" s="267"/>
      <c r="CC443" s="267"/>
      <c r="CD443" s="267"/>
      <c r="CE443" s="267"/>
      <c r="CF443" s="267"/>
      <c r="CG443" s="267"/>
      <c r="CH443" s="267"/>
      <c r="CI443" s="267"/>
      <c r="CJ443" s="267"/>
      <c r="CK443" s="267"/>
      <c r="CL443" s="267"/>
      <c r="CM443" s="267"/>
      <c r="CN443" s="101">
        <f t="shared" si="30"/>
        <v>1</v>
      </c>
      <c r="CO443" s="101">
        <f t="shared" si="31"/>
        <v>1</v>
      </c>
    </row>
    <row r="444" spans="1:93" ht="13.9" customHeight="1" x14ac:dyDescent="0.2">
      <c r="A444" s="149">
        <v>6983</v>
      </c>
      <c r="B444" s="150" t="s">
        <v>854</v>
      </c>
      <c r="C444" s="150" t="s">
        <v>1409</v>
      </c>
      <c r="D444" s="150" t="s">
        <v>1410</v>
      </c>
      <c r="E444" s="150" t="s">
        <v>326</v>
      </c>
      <c r="F444" s="149">
        <v>526930</v>
      </c>
      <c r="G444" s="149">
        <v>171771</v>
      </c>
      <c r="H444" s="150" t="s">
        <v>173</v>
      </c>
      <c r="I444" s="151">
        <v>45301</v>
      </c>
      <c r="J444" s="151"/>
      <c r="K444" s="149">
        <v>1</v>
      </c>
      <c r="L444" s="149">
        <v>3</v>
      </c>
      <c r="M444" s="149">
        <v>2</v>
      </c>
      <c r="N444" s="149">
        <v>3</v>
      </c>
      <c r="O444" s="149">
        <v>2</v>
      </c>
      <c r="P444" s="152"/>
      <c r="Q444" s="150" t="s">
        <v>1411</v>
      </c>
      <c r="R444" s="150" t="s">
        <v>349</v>
      </c>
      <c r="S444" s="151">
        <v>45103</v>
      </c>
      <c r="T444" s="151">
        <v>45232</v>
      </c>
      <c r="U444" s="152" t="s">
        <v>327</v>
      </c>
      <c r="V444" s="150" t="s">
        <v>330</v>
      </c>
      <c r="W444" s="151"/>
      <c r="X444" s="150" t="s">
        <v>331</v>
      </c>
      <c r="Y444" s="150" t="s">
        <v>398</v>
      </c>
      <c r="Z444" s="150" t="s">
        <v>334</v>
      </c>
      <c r="AA444" s="150" t="s">
        <v>413</v>
      </c>
      <c r="AB444" s="153">
        <v>9.3399999999999993E-3</v>
      </c>
      <c r="AC444" s="151">
        <v>45301</v>
      </c>
      <c r="AD444" s="152" t="s">
        <v>327</v>
      </c>
      <c r="AE444" s="151"/>
      <c r="AF444" s="150" t="s">
        <v>70</v>
      </c>
      <c r="AG444" s="152" t="s">
        <v>352</v>
      </c>
      <c r="AH444" s="150" t="s">
        <v>326</v>
      </c>
      <c r="AI444" s="99"/>
      <c r="AJ444" s="149"/>
      <c r="AK444" s="99"/>
      <c r="AL444" s="149"/>
      <c r="AM444" s="102"/>
      <c r="AN444" s="149">
        <v>0</v>
      </c>
      <c r="AO444" s="149">
        <v>2</v>
      </c>
      <c r="AP444" s="149">
        <v>0</v>
      </c>
      <c r="AQ444" s="149">
        <v>0</v>
      </c>
      <c r="AR444" s="149">
        <v>0</v>
      </c>
      <c r="AS444" s="149">
        <v>0</v>
      </c>
      <c r="AT444" s="149">
        <v>0</v>
      </c>
      <c r="AU444" s="149">
        <v>0</v>
      </c>
      <c r="AV444" s="149">
        <v>2</v>
      </c>
      <c r="AW444" s="149">
        <v>0</v>
      </c>
      <c r="AX444" s="149">
        <v>0</v>
      </c>
      <c r="AY444" s="149">
        <v>0</v>
      </c>
      <c r="AZ444" s="149">
        <v>0</v>
      </c>
      <c r="BA444" s="149">
        <v>0</v>
      </c>
      <c r="BB444" s="149">
        <v>0</v>
      </c>
      <c r="BC444" s="149">
        <v>0</v>
      </c>
      <c r="BD444" s="149">
        <v>0</v>
      </c>
      <c r="BE444" s="149">
        <v>0</v>
      </c>
      <c r="BF444" s="149">
        <v>0</v>
      </c>
      <c r="BG444" s="149">
        <v>0</v>
      </c>
      <c r="BH444" s="149">
        <v>0</v>
      </c>
      <c r="BI444" s="149">
        <v>0</v>
      </c>
      <c r="BJ444" s="149">
        <v>0</v>
      </c>
      <c r="BK444" s="149">
        <v>0</v>
      </c>
      <c r="BL444" s="149">
        <v>0</v>
      </c>
      <c r="BM444" s="149">
        <v>0</v>
      </c>
      <c r="BN444" s="149">
        <v>0</v>
      </c>
      <c r="BO444" s="149">
        <v>0</v>
      </c>
      <c r="BP444" s="152"/>
      <c r="BQ444" s="152"/>
      <c r="BR444" s="154" t="s">
        <v>359</v>
      </c>
      <c r="BS444" s="136">
        <v>14</v>
      </c>
      <c r="BT444" s="267"/>
      <c r="BU444" s="267">
        <f>M444/2</f>
        <v>1</v>
      </c>
      <c r="BV444" s="267">
        <f>M444/2</f>
        <v>1</v>
      </c>
      <c r="BW444" s="267"/>
      <c r="BX444" s="267"/>
      <c r="BY444" s="267"/>
      <c r="BZ444" s="267"/>
      <c r="CA444" s="267"/>
      <c r="CB444" s="267"/>
      <c r="CC444" s="267"/>
      <c r="CD444" s="267"/>
      <c r="CE444" s="267"/>
      <c r="CF444" s="267"/>
      <c r="CG444" s="267"/>
      <c r="CH444" s="267"/>
      <c r="CI444" s="267"/>
      <c r="CJ444" s="267"/>
      <c r="CK444" s="267"/>
      <c r="CL444" s="267"/>
      <c r="CM444" s="267"/>
      <c r="CN444" s="101">
        <f t="shared" si="30"/>
        <v>2</v>
      </c>
      <c r="CO444" s="101">
        <f t="shared" si="31"/>
        <v>2</v>
      </c>
    </row>
    <row r="445" spans="1:93" ht="13.9" customHeight="1" x14ac:dyDescent="0.2">
      <c r="A445" s="149">
        <v>4865</v>
      </c>
      <c r="B445" s="150" t="s">
        <v>854</v>
      </c>
      <c r="C445" s="150" t="s">
        <v>1412</v>
      </c>
      <c r="D445" s="150" t="s">
        <v>365</v>
      </c>
      <c r="E445" s="150" t="s">
        <v>326</v>
      </c>
      <c r="F445" s="149">
        <v>523686</v>
      </c>
      <c r="G445" s="149">
        <v>173656</v>
      </c>
      <c r="H445" s="150" t="s">
        <v>178</v>
      </c>
      <c r="I445" s="151">
        <v>45017</v>
      </c>
      <c r="J445" s="151"/>
      <c r="K445" s="149">
        <v>0</v>
      </c>
      <c r="L445" s="149">
        <v>2</v>
      </c>
      <c r="M445" s="149">
        <v>2</v>
      </c>
      <c r="N445" s="149">
        <v>2</v>
      </c>
      <c r="O445" s="149">
        <v>2</v>
      </c>
      <c r="P445" s="152"/>
      <c r="Q445" s="150" t="s">
        <v>1413</v>
      </c>
      <c r="R445" s="150" t="s">
        <v>349</v>
      </c>
      <c r="S445" s="151">
        <v>45124</v>
      </c>
      <c r="T445" s="151">
        <v>45364</v>
      </c>
      <c r="U445" s="152" t="s">
        <v>327</v>
      </c>
      <c r="V445" s="150" t="s">
        <v>330</v>
      </c>
      <c r="W445" s="151"/>
      <c r="X445" s="150" t="s">
        <v>331</v>
      </c>
      <c r="Y445" s="150" t="s">
        <v>343</v>
      </c>
      <c r="Z445" s="150" t="s">
        <v>334</v>
      </c>
      <c r="AA445" s="150" t="s">
        <v>363</v>
      </c>
      <c r="AB445" s="153">
        <v>1.09E-2</v>
      </c>
      <c r="AC445" s="151">
        <v>45017</v>
      </c>
      <c r="AD445" s="152" t="s">
        <v>327</v>
      </c>
      <c r="AE445" s="151"/>
      <c r="AF445" s="150" t="s">
        <v>70</v>
      </c>
      <c r="AG445" s="152" t="s">
        <v>352</v>
      </c>
      <c r="AH445" s="150" t="s">
        <v>326</v>
      </c>
      <c r="AI445" s="99"/>
      <c r="AJ445" s="149"/>
      <c r="AK445" s="99"/>
      <c r="AL445" s="149"/>
      <c r="AM445" s="99"/>
      <c r="AN445" s="149">
        <v>0</v>
      </c>
      <c r="AO445" s="149">
        <v>0</v>
      </c>
      <c r="AP445" s="149">
        <v>0</v>
      </c>
      <c r="AQ445" s="149">
        <v>2</v>
      </c>
      <c r="AR445" s="149">
        <v>0</v>
      </c>
      <c r="AS445" s="149">
        <v>0</v>
      </c>
      <c r="AT445" s="149">
        <v>0</v>
      </c>
      <c r="AU445" s="149">
        <v>0</v>
      </c>
      <c r="AV445" s="149">
        <v>0</v>
      </c>
      <c r="AW445" s="149">
        <v>0</v>
      </c>
      <c r="AX445" s="149">
        <v>0</v>
      </c>
      <c r="AY445" s="149">
        <v>0</v>
      </c>
      <c r="AZ445" s="149">
        <v>0</v>
      </c>
      <c r="BA445" s="149">
        <v>0</v>
      </c>
      <c r="BB445" s="149">
        <v>0</v>
      </c>
      <c r="BC445" s="149">
        <v>0</v>
      </c>
      <c r="BD445" s="149">
        <v>0</v>
      </c>
      <c r="BE445" s="149">
        <v>2</v>
      </c>
      <c r="BF445" s="149">
        <v>0</v>
      </c>
      <c r="BG445" s="149">
        <v>0</v>
      </c>
      <c r="BH445" s="149">
        <v>0</v>
      </c>
      <c r="BI445" s="149">
        <v>0</v>
      </c>
      <c r="BJ445" s="149">
        <v>0</v>
      </c>
      <c r="BK445" s="149">
        <v>0</v>
      </c>
      <c r="BL445" s="149">
        <v>0</v>
      </c>
      <c r="BM445" s="149">
        <v>0</v>
      </c>
      <c r="BN445" s="149">
        <v>0</v>
      </c>
      <c r="BO445" s="149">
        <v>0</v>
      </c>
      <c r="BP445" s="152"/>
      <c r="BQ445" s="152"/>
      <c r="BR445" s="154" t="s">
        <v>359</v>
      </c>
      <c r="BS445" s="136">
        <v>3</v>
      </c>
      <c r="BT445" s="267"/>
      <c r="BU445" s="267">
        <f>M445</f>
        <v>2</v>
      </c>
      <c r="BV445" s="267"/>
      <c r="BW445" s="267"/>
      <c r="BX445" s="267"/>
      <c r="BY445" s="267"/>
      <c r="BZ445" s="267"/>
      <c r="CA445" s="267"/>
      <c r="CB445" s="267"/>
      <c r="CC445" s="267"/>
      <c r="CD445" s="267"/>
      <c r="CE445" s="267"/>
      <c r="CF445" s="267"/>
      <c r="CG445" s="267"/>
      <c r="CH445" s="267"/>
      <c r="CI445" s="267"/>
      <c r="CJ445" s="267"/>
      <c r="CK445" s="267"/>
      <c r="CL445" s="267"/>
      <c r="CM445" s="267"/>
      <c r="CN445" s="101">
        <f t="shared" si="30"/>
        <v>2</v>
      </c>
      <c r="CO445" s="101">
        <f t="shared" si="31"/>
        <v>2</v>
      </c>
    </row>
    <row r="446" spans="1:93" ht="13.9" customHeight="1" x14ac:dyDescent="0.2">
      <c r="A446" s="149">
        <v>7748</v>
      </c>
      <c r="B446" s="150" t="s">
        <v>854</v>
      </c>
      <c r="C446" s="150" t="s">
        <v>1414</v>
      </c>
      <c r="D446" s="150" t="s">
        <v>1415</v>
      </c>
      <c r="E446" s="150" t="s">
        <v>326</v>
      </c>
      <c r="F446" s="149">
        <v>522924</v>
      </c>
      <c r="G446" s="149">
        <v>174688</v>
      </c>
      <c r="H446" s="150" t="s">
        <v>179</v>
      </c>
      <c r="I446" s="151">
        <v>45320</v>
      </c>
      <c r="J446" s="151"/>
      <c r="K446" s="149">
        <v>0</v>
      </c>
      <c r="L446" s="149">
        <v>1</v>
      </c>
      <c r="M446" s="149">
        <v>1</v>
      </c>
      <c r="N446" s="149">
        <v>1</v>
      </c>
      <c r="O446" s="149">
        <v>1</v>
      </c>
      <c r="P446" s="152"/>
      <c r="Q446" s="150" t="s">
        <v>1416</v>
      </c>
      <c r="R446" s="150" t="s">
        <v>349</v>
      </c>
      <c r="S446" s="151">
        <v>45139</v>
      </c>
      <c r="T446" s="151">
        <v>45191</v>
      </c>
      <c r="U446" s="152" t="s">
        <v>327</v>
      </c>
      <c r="V446" s="150" t="s">
        <v>330</v>
      </c>
      <c r="W446" s="151"/>
      <c r="X446" s="150" t="s">
        <v>331</v>
      </c>
      <c r="Y446" s="150" t="s">
        <v>343</v>
      </c>
      <c r="Z446" s="150" t="s">
        <v>334</v>
      </c>
      <c r="AA446" s="150" t="s">
        <v>363</v>
      </c>
      <c r="AB446" s="153">
        <v>0</v>
      </c>
      <c r="AC446" s="151">
        <v>45320</v>
      </c>
      <c r="AD446" s="152" t="s">
        <v>327</v>
      </c>
      <c r="AE446" s="151"/>
      <c r="AF446" s="150" t="s">
        <v>70</v>
      </c>
      <c r="AG446" s="152" t="s">
        <v>352</v>
      </c>
      <c r="AH446" s="150" t="s">
        <v>326</v>
      </c>
      <c r="AI446" s="99"/>
      <c r="AJ446" s="149"/>
      <c r="AK446" s="99"/>
      <c r="AL446" s="149"/>
      <c r="AM446" s="99"/>
      <c r="AN446" s="149">
        <v>0</v>
      </c>
      <c r="AO446" s="149">
        <v>0</v>
      </c>
      <c r="AP446" s="149">
        <v>0</v>
      </c>
      <c r="AQ446" s="149">
        <v>0</v>
      </c>
      <c r="AR446" s="149">
        <v>0</v>
      </c>
      <c r="AS446" s="149">
        <v>1</v>
      </c>
      <c r="AT446" s="149">
        <v>0</v>
      </c>
      <c r="AU446" s="149">
        <v>0</v>
      </c>
      <c r="AV446" s="149">
        <v>0</v>
      </c>
      <c r="AW446" s="149">
        <v>0</v>
      </c>
      <c r="AX446" s="149">
        <v>0</v>
      </c>
      <c r="AY446" s="149">
        <v>0</v>
      </c>
      <c r="AZ446" s="149">
        <v>0</v>
      </c>
      <c r="BA446" s="149">
        <v>0</v>
      </c>
      <c r="BB446" s="149">
        <v>0</v>
      </c>
      <c r="BC446" s="149">
        <v>0</v>
      </c>
      <c r="BD446" s="149">
        <v>0</v>
      </c>
      <c r="BE446" s="149">
        <v>0</v>
      </c>
      <c r="BF446" s="149">
        <v>0</v>
      </c>
      <c r="BG446" s="149">
        <v>1</v>
      </c>
      <c r="BH446" s="149">
        <v>0</v>
      </c>
      <c r="BI446" s="149">
        <v>0</v>
      </c>
      <c r="BJ446" s="149">
        <v>0</v>
      </c>
      <c r="BK446" s="149">
        <v>0</v>
      </c>
      <c r="BL446" s="149">
        <v>0</v>
      </c>
      <c r="BM446" s="149">
        <v>0</v>
      </c>
      <c r="BN446" s="149">
        <v>0</v>
      </c>
      <c r="BO446" s="149">
        <v>0</v>
      </c>
      <c r="BP446" s="152"/>
      <c r="BQ446" s="152"/>
      <c r="BR446" s="154" t="s">
        <v>359</v>
      </c>
      <c r="BS446" s="136">
        <v>4</v>
      </c>
      <c r="BT446" s="267"/>
      <c r="BU446" s="267">
        <f t="shared" ref="BU446:BU452" si="32">M446/2</f>
        <v>0.5</v>
      </c>
      <c r="BV446" s="267">
        <f t="shared" ref="BV446:BV452" si="33">M446/2</f>
        <v>0.5</v>
      </c>
      <c r="BW446" s="267"/>
      <c r="BX446" s="267"/>
      <c r="BY446" s="267"/>
      <c r="BZ446" s="267"/>
      <c r="CA446" s="267"/>
      <c r="CB446" s="267"/>
      <c r="CC446" s="267"/>
      <c r="CD446" s="267"/>
      <c r="CE446" s="267"/>
      <c r="CF446" s="267"/>
      <c r="CG446" s="267"/>
      <c r="CH446" s="267"/>
      <c r="CI446" s="267"/>
      <c r="CJ446" s="267"/>
      <c r="CK446" s="267"/>
      <c r="CL446" s="267"/>
      <c r="CM446" s="267"/>
      <c r="CN446" s="101">
        <f t="shared" si="30"/>
        <v>1</v>
      </c>
      <c r="CO446" s="101">
        <f t="shared" si="31"/>
        <v>1</v>
      </c>
    </row>
    <row r="447" spans="1:93" ht="13.9" customHeight="1" x14ac:dyDescent="0.2">
      <c r="A447" s="149">
        <v>5998</v>
      </c>
      <c r="B447" s="150" t="s">
        <v>854</v>
      </c>
      <c r="C447" s="150" t="s">
        <v>1417</v>
      </c>
      <c r="D447" s="150" t="s">
        <v>1418</v>
      </c>
      <c r="E447" s="150" t="s">
        <v>326</v>
      </c>
      <c r="F447" s="149">
        <v>527626</v>
      </c>
      <c r="G447" s="149">
        <v>176137</v>
      </c>
      <c r="H447" s="150" t="s">
        <v>167</v>
      </c>
      <c r="I447" s="151">
        <v>45382</v>
      </c>
      <c r="J447" s="151"/>
      <c r="K447" s="149">
        <v>1</v>
      </c>
      <c r="L447" s="149">
        <v>3</v>
      </c>
      <c r="M447" s="149">
        <v>2</v>
      </c>
      <c r="N447" s="149">
        <v>3</v>
      </c>
      <c r="O447" s="149">
        <v>2</v>
      </c>
      <c r="P447" s="152"/>
      <c r="Q447" s="150" t="s">
        <v>1419</v>
      </c>
      <c r="R447" s="150" t="s">
        <v>349</v>
      </c>
      <c r="S447" s="151">
        <v>45140</v>
      </c>
      <c r="T447" s="151">
        <v>45280</v>
      </c>
      <c r="U447" s="152" t="s">
        <v>327</v>
      </c>
      <c r="V447" s="150" t="s">
        <v>330</v>
      </c>
      <c r="W447" s="151"/>
      <c r="X447" s="150" t="s">
        <v>331</v>
      </c>
      <c r="Y447" s="150" t="s">
        <v>350</v>
      </c>
      <c r="Z447" s="150" t="s">
        <v>334</v>
      </c>
      <c r="AA447" s="150" t="s">
        <v>16</v>
      </c>
      <c r="AB447" s="153">
        <v>6.4999999999999997E-3</v>
      </c>
      <c r="AC447" s="151">
        <v>45382</v>
      </c>
      <c r="AD447" s="152" t="s">
        <v>327</v>
      </c>
      <c r="AE447" s="151"/>
      <c r="AF447" s="150" t="s">
        <v>70</v>
      </c>
      <c r="AG447" s="152" t="s">
        <v>352</v>
      </c>
      <c r="AH447" s="150" t="s">
        <v>326</v>
      </c>
      <c r="AI447" s="99"/>
      <c r="AJ447" s="149"/>
      <c r="AK447" s="99"/>
      <c r="AL447" s="149"/>
      <c r="AM447" s="99"/>
      <c r="AN447" s="149">
        <v>1</v>
      </c>
      <c r="AO447" s="149">
        <v>1</v>
      </c>
      <c r="AP447" s="149">
        <v>0</v>
      </c>
      <c r="AQ447" s="149">
        <v>-1</v>
      </c>
      <c r="AR447" s="149">
        <v>1</v>
      </c>
      <c r="AS447" s="149">
        <v>0</v>
      </c>
      <c r="AT447" s="149">
        <v>0</v>
      </c>
      <c r="AU447" s="149">
        <v>1</v>
      </c>
      <c r="AV447" s="149">
        <v>1</v>
      </c>
      <c r="AW447" s="149">
        <v>0</v>
      </c>
      <c r="AX447" s="149">
        <v>0</v>
      </c>
      <c r="AY447" s="149">
        <v>1</v>
      </c>
      <c r="AZ447" s="149">
        <v>0</v>
      </c>
      <c r="BA447" s="149">
        <v>0</v>
      </c>
      <c r="BB447" s="149">
        <v>0</v>
      </c>
      <c r="BC447" s="149">
        <v>0</v>
      </c>
      <c r="BD447" s="149">
        <v>0</v>
      </c>
      <c r="BE447" s="149">
        <v>-1</v>
      </c>
      <c r="BF447" s="149">
        <v>0</v>
      </c>
      <c r="BG447" s="149">
        <v>0</v>
      </c>
      <c r="BH447" s="149">
        <v>0</v>
      </c>
      <c r="BI447" s="149">
        <v>0</v>
      </c>
      <c r="BJ447" s="149">
        <v>0</v>
      </c>
      <c r="BK447" s="149">
        <v>0</v>
      </c>
      <c r="BL447" s="149">
        <v>0</v>
      </c>
      <c r="BM447" s="149">
        <v>0</v>
      </c>
      <c r="BN447" s="149">
        <v>0</v>
      </c>
      <c r="BO447" s="149">
        <v>0</v>
      </c>
      <c r="BP447" s="152"/>
      <c r="BQ447" s="152"/>
      <c r="BR447" s="154" t="s">
        <v>359</v>
      </c>
      <c r="BS447" s="136">
        <v>14</v>
      </c>
      <c r="BT447" s="267"/>
      <c r="BU447" s="267">
        <f t="shared" si="32"/>
        <v>1</v>
      </c>
      <c r="BV447" s="267">
        <f t="shared" si="33"/>
        <v>1</v>
      </c>
      <c r="BW447" s="267"/>
      <c r="BX447" s="267"/>
      <c r="BY447" s="267"/>
      <c r="BZ447" s="267"/>
      <c r="CA447" s="267"/>
      <c r="CB447" s="267"/>
      <c r="CC447" s="267"/>
      <c r="CD447" s="267"/>
      <c r="CE447" s="267"/>
      <c r="CF447" s="267"/>
      <c r="CG447" s="267"/>
      <c r="CH447" s="267"/>
      <c r="CI447" s="267"/>
      <c r="CJ447" s="267"/>
      <c r="CK447" s="267"/>
      <c r="CL447" s="267"/>
      <c r="CM447" s="267"/>
      <c r="CN447" s="101">
        <f t="shared" si="30"/>
        <v>2</v>
      </c>
      <c r="CO447" s="101">
        <f t="shared" si="31"/>
        <v>2</v>
      </c>
    </row>
    <row r="448" spans="1:93" ht="13.9" customHeight="1" x14ac:dyDescent="0.2">
      <c r="A448" s="149">
        <v>8028</v>
      </c>
      <c r="B448" s="150" t="s">
        <v>854</v>
      </c>
      <c r="C448" s="150" t="s">
        <v>1420</v>
      </c>
      <c r="D448" s="150" t="s">
        <v>1421</v>
      </c>
      <c r="E448" s="150" t="s">
        <v>326</v>
      </c>
      <c r="F448" s="149">
        <v>527719</v>
      </c>
      <c r="G448" s="149">
        <v>171291</v>
      </c>
      <c r="H448" s="150" t="s">
        <v>173</v>
      </c>
      <c r="I448" s="151">
        <v>45267</v>
      </c>
      <c r="J448" s="151"/>
      <c r="K448" s="149">
        <v>1</v>
      </c>
      <c r="L448" s="149">
        <v>4</v>
      </c>
      <c r="M448" s="149">
        <v>3</v>
      </c>
      <c r="N448" s="149">
        <v>4</v>
      </c>
      <c r="O448" s="149">
        <v>3</v>
      </c>
      <c r="P448" s="152"/>
      <c r="Q448" s="150" t="s">
        <v>1422</v>
      </c>
      <c r="R448" s="150" t="s">
        <v>349</v>
      </c>
      <c r="S448" s="151">
        <v>45148</v>
      </c>
      <c r="T448" s="151">
        <v>45253</v>
      </c>
      <c r="U448" s="152" t="s">
        <v>327</v>
      </c>
      <c r="V448" s="150" t="s">
        <v>330</v>
      </c>
      <c r="W448" s="151"/>
      <c r="X448" s="150" t="s">
        <v>331</v>
      </c>
      <c r="Y448" s="150" t="s">
        <v>491</v>
      </c>
      <c r="Z448" s="150" t="s">
        <v>334</v>
      </c>
      <c r="AA448" s="150" t="s">
        <v>16</v>
      </c>
      <c r="AB448" s="153">
        <v>1.2152E-2</v>
      </c>
      <c r="AC448" s="151">
        <v>45267</v>
      </c>
      <c r="AD448" s="152" t="s">
        <v>327</v>
      </c>
      <c r="AE448" s="151"/>
      <c r="AF448" s="150" t="s">
        <v>70</v>
      </c>
      <c r="AG448" s="152" t="s">
        <v>352</v>
      </c>
      <c r="AH448" s="150" t="s">
        <v>326</v>
      </c>
      <c r="AI448" s="99"/>
      <c r="AJ448" s="149"/>
      <c r="AK448" s="99"/>
      <c r="AL448" s="149"/>
      <c r="AM448" s="99"/>
      <c r="AN448" s="149">
        <v>0</v>
      </c>
      <c r="AO448" s="149">
        <v>2</v>
      </c>
      <c r="AP448" s="149">
        <v>1</v>
      </c>
      <c r="AQ448" s="149">
        <v>1</v>
      </c>
      <c r="AR448" s="149">
        <v>-1</v>
      </c>
      <c r="AS448" s="149">
        <v>0</v>
      </c>
      <c r="AT448" s="149">
        <v>0</v>
      </c>
      <c r="AU448" s="149">
        <v>0</v>
      </c>
      <c r="AV448" s="149">
        <v>2</v>
      </c>
      <c r="AW448" s="149">
        <v>1</v>
      </c>
      <c r="AX448" s="149">
        <v>1</v>
      </c>
      <c r="AY448" s="149">
        <v>0</v>
      </c>
      <c r="AZ448" s="149">
        <v>0</v>
      </c>
      <c r="BA448" s="149">
        <v>0</v>
      </c>
      <c r="BB448" s="149">
        <v>0</v>
      </c>
      <c r="BC448" s="149">
        <v>0</v>
      </c>
      <c r="BD448" s="149">
        <v>0</v>
      </c>
      <c r="BE448" s="149">
        <v>0</v>
      </c>
      <c r="BF448" s="149">
        <v>-1</v>
      </c>
      <c r="BG448" s="149">
        <v>0</v>
      </c>
      <c r="BH448" s="149">
        <v>0</v>
      </c>
      <c r="BI448" s="149">
        <v>0</v>
      </c>
      <c r="BJ448" s="149">
        <v>0</v>
      </c>
      <c r="BK448" s="149">
        <v>0</v>
      </c>
      <c r="BL448" s="149">
        <v>0</v>
      </c>
      <c r="BM448" s="149">
        <v>0</v>
      </c>
      <c r="BN448" s="149">
        <v>0</v>
      </c>
      <c r="BO448" s="149">
        <v>0</v>
      </c>
      <c r="BP448" s="152"/>
      <c r="BQ448" s="152"/>
      <c r="BR448" s="154" t="s">
        <v>142</v>
      </c>
      <c r="BS448" s="136">
        <v>14</v>
      </c>
      <c r="BT448" s="267"/>
      <c r="BU448" s="267">
        <f t="shared" si="32"/>
        <v>1.5</v>
      </c>
      <c r="BV448" s="267">
        <f t="shared" si="33"/>
        <v>1.5</v>
      </c>
      <c r="BW448" s="267"/>
      <c r="BX448" s="267"/>
      <c r="BY448" s="267"/>
      <c r="BZ448" s="267"/>
      <c r="CA448" s="267"/>
      <c r="CB448" s="267"/>
      <c r="CC448" s="267"/>
      <c r="CD448" s="267"/>
      <c r="CE448" s="267"/>
      <c r="CF448" s="267"/>
      <c r="CG448" s="267"/>
      <c r="CH448" s="267"/>
      <c r="CI448" s="267"/>
      <c r="CJ448" s="267"/>
      <c r="CK448" s="267"/>
      <c r="CL448" s="267"/>
      <c r="CM448" s="267"/>
      <c r="CN448" s="101">
        <f t="shared" si="30"/>
        <v>3</v>
      </c>
      <c r="CO448" s="101">
        <f t="shared" si="31"/>
        <v>3</v>
      </c>
    </row>
    <row r="449" spans="1:93" ht="13.9" customHeight="1" x14ac:dyDescent="0.2">
      <c r="A449" s="149">
        <v>7924</v>
      </c>
      <c r="B449" s="150" t="s">
        <v>854</v>
      </c>
      <c r="C449" s="150" t="s">
        <v>1423</v>
      </c>
      <c r="D449" s="150" t="s">
        <v>1424</v>
      </c>
      <c r="E449" s="150" t="s">
        <v>326</v>
      </c>
      <c r="F449" s="149">
        <v>529471</v>
      </c>
      <c r="G449" s="149">
        <v>171314</v>
      </c>
      <c r="H449" s="150" t="s">
        <v>163</v>
      </c>
      <c r="I449" s="151">
        <v>45382</v>
      </c>
      <c r="J449" s="151"/>
      <c r="K449" s="149">
        <v>1</v>
      </c>
      <c r="L449" s="149">
        <v>7</v>
      </c>
      <c r="M449" s="149">
        <v>6</v>
      </c>
      <c r="N449" s="149">
        <v>7</v>
      </c>
      <c r="O449" s="149">
        <v>6</v>
      </c>
      <c r="P449" s="152"/>
      <c r="Q449" s="150" t="s">
        <v>1425</v>
      </c>
      <c r="R449" s="150" t="s">
        <v>381</v>
      </c>
      <c r="S449" s="151">
        <v>45177</v>
      </c>
      <c r="T449" s="151">
        <v>45321</v>
      </c>
      <c r="U449" s="152" t="s">
        <v>327</v>
      </c>
      <c r="V449" s="150" t="s">
        <v>330</v>
      </c>
      <c r="W449" s="151"/>
      <c r="X449" s="150" t="s">
        <v>331</v>
      </c>
      <c r="Y449" s="150" t="s">
        <v>343</v>
      </c>
      <c r="Z449" s="150" t="s">
        <v>334</v>
      </c>
      <c r="AA449" s="150" t="s">
        <v>363</v>
      </c>
      <c r="AB449" s="153">
        <v>0.47499999999999998</v>
      </c>
      <c r="AC449" s="151">
        <v>45382</v>
      </c>
      <c r="AD449" s="152" t="s">
        <v>327</v>
      </c>
      <c r="AE449" s="151"/>
      <c r="AF449" s="150" t="s">
        <v>70</v>
      </c>
      <c r="AG449" s="152" t="s">
        <v>352</v>
      </c>
      <c r="AH449" s="150" t="s">
        <v>326</v>
      </c>
      <c r="AI449" s="99"/>
      <c r="AJ449" s="149"/>
      <c r="AK449" s="99"/>
      <c r="AL449" s="149"/>
      <c r="AM449" s="99"/>
      <c r="AN449" s="149">
        <v>0</v>
      </c>
      <c r="AO449" s="149">
        <v>2</v>
      </c>
      <c r="AP449" s="149">
        <v>3</v>
      </c>
      <c r="AQ449" s="149">
        <v>2</v>
      </c>
      <c r="AR449" s="149">
        <v>0</v>
      </c>
      <c r="AS449" s="149">
        <v>-1</v>
      </c>
      <c r="AT449" s="149">
        <v>0</v>
      </c>
      <c r="AU449" s="149">
        <v>0</v>
      </c>
      <c r="AV449" s="149">
        <v>2</v>
      </c>
      <c r="AW449" s="149">
        <v>3</v>
      </c>
      <c r="AX449" s="149">
        <v>2</v>
      </c>
      <c r="AY449" s="149">
        <v>0</v>
      </c>
      <c r="AZ449" s="149">
        <v>0</v>
      </c>
      <c r="BA449" s="149">
        <v>0</v>
      </c>
      <c r="BB449" s="149">
        <v>0</v>
      </c>
      <c r="BC449" s="149">
        <v>0</v>
      </c>
      <c r="BD449" s="149">
        <v>0</v>
      </c>
      <c r="BE449" s="149">
        <v>0</v>
      </c>
      <c r="BF449" s="149">
        <v>0</v>
      </c>
      <c r="BG449" s="149">
        <v>-1</v>
      </c>
      <c r="BH449" s="149">
        <v>0</v>
      </c>
      <c r="BI449" s="149">
        <v>0</v>
      </c>
      <c r="BJ449" s="149">
        <v>0</v>
      </c>
      <c r="BK449" s="149">
        <v>0</v>
      </c>
      <c r="BL449" s="149">
        <v>0</v>
      </c>
      <c r="BM449" s="149">
        <v>0</v>
      </c>
      <c r="BN449" s="149">
        <v>0</v>
      </c>
      <c r="BO449" s="149">
        <v>0</v>
      </c>
      <c r="BP449" s="152"/>
      <c r="BQ449" s="152"/>
      <c r="BR449" s="154" t="s">
        <v>359</v>
      </c>
      <c r="BS449" s="136">
        <v>4</v>
      </c>
      <c r="BT449" s="267"/>
      <c r="BU449" s="267">
        <f t="shared" si="32"/>
        <v>3</v>
      </c>
      <c r="BV449" s="267">
        <f t="shared" si="33"/>
        <v>3</v>
      </c>
      <c r="BW449" s="267"/>
      <c r="BX449" s="267"/>
      <c r="BY449" s="267"/>
      <c r="BZ449" s="267"/>
      <c r="CA449" s="267"/>
      <c r="CB449" s="267"/>
      <c r="CC449" s="267"/>
      <c r="CD449" s="267"/>
      <c r="CE449" s="267"/>
      <c r="CF449" s="267"/>
      <c r="CG449" s="267"/>
      <c r="CH449" s="267"/>
      <c r="CI449" s="267"/>
      <c r="CJ449" s="267"/>
      <c r="CK449" s="267"/>
      <c r="CL449" s="267"/>
      <c r="CM449" s="267"/>
      <c r="CN449" s="101">
        <f t="shared" si="30"/>
        <v>6</v>
      </c>
      <c r="CO449" s="101">
        <f t="shared" si="31"/>
        <v>6</v>
      </c>
    </row>
    <row r="450" spans="1:93" ht="13.9" customHeight="1" x14ac:dyDescent="0.2">
      <c r="A450" s="149">
        <v>7836</v>
      </c>
      <c r="B450" s="150" t="s">
        <v>854</v>
      </c>
      <c r="C450" s="150" t="s">
        <v>1426</v>
      </c>
      <c r="D450" s="150" t="s">
        <v>1427</v>
      </c>
      <c r="E450" s="150" t="s">
        <v>326</v>
      </c>
      <c r="F450" s="149">
        <v>525243</v>
      </c>
      <c r="G450" s="149">
        <v>174663</v>
      </c>
      <c r="H450" s="150" t="s">
        <v>161</v>
      </c>
      <c r="I450" s="151">
        <v>45382</v>
      </c>
      <c r="J450" s="151"/>
      <c r="K450" s="149">
        <v>0</v>
      </c>
      <c r="L450" s="149">
        <v>2</v>
      </c>
      <c r="M450" s="149">
        <v>2</v>
      </c>
      <c r="N450" s="149">
        <v>2</v>
      </c>
      <c r="O450" s="149">
        <v>2</v>
      </c>
      <c r="P450" s="152"/>
      <c r="Q450" s="150" t="s">
        <v>1428</v>
      </c>
      <c r="R450" s="150" t="s">
        <v>349</v>
      </c>
      <c r="S450" s="151">
        <v>45163</v>
      </c>
      <c r="T450" s="151">
        <v>45246</v>
      </c>
      <c r="U450" s="152" t="s">
        <v>327</v>
      </c>
      <c r="V450" s="150" t="s">
        <v>330</v>
      </c>
      <c r="W450" s="151"/>
      <c r="X450" s="150" t="s">
        <v>331</v>
      </c>
      <c r="Y450" s="150" t="s">
        <v>350</v>
      </c>
      <c r="Z450" s="150" t="s">
        <v>334</v>
      </c>
      <c r="AA450" s="150" t="s">
        <v>29</v>
      </c>
      <c r="AB450" s="153">
        <v>4.5500000000000002E-3</v>
      </c>
      <c r="AC450" s="151">
        <v>45382</v>
      </c>
      <c r="AD450" s="152" t="s">
        <v>327</v>
      </c>
      <c r="AE450" s="151"/>
      <c r="AF450" s="150" t="s">
        <v>70</v>
      </c>
      <c r="AG450" s="152" t="s">
        <v>352</v>
      </c>
      <c r="AH450" s="150" t="s">
        <v>326</v>
      </c>
      <c r="AI450" s="99"/>
      <c r="AJ450" s="149"/>
      <c r="AK450" s="99"/>
      <c r="AL450" s="149"/>
      <c r="AM450" s="99"/>
      <c r="AN450" s="149">
        <v>0</v>
      </c>
      <c r="AO450" s="149">
        <v>1</v>
      </c>
      <c r="AP450" s="149">
        <v>1</v>
      </c>
      <c r="AQ450" s="149">
        <v>0</v>
      </c>
      <c r="AR450" s="149">
        <v>0</v>
      </c>
      <c r="AS450" s="149">
        <v>0</v>
      </c>
      <c r="AT450" s="149">
        <v>0</v>
      </c>
      <c r="AU450" s="149">
        <v>0</v>
      </c>
      <c r="AV450" s="149">
        <v>1</v>
      </c>
      <c r="AW450" s="149">
        <v>1</v>
      </c>
      <c r="AX450" s="149">
        <v>0</v>
      </c>
      <c r="AY450" s="149">
        <v>0</v>
      </c>
      <c r="AZ450" s="149">
        <v>0</v>
      </c>
      <c r="BA450" s="149">
        <v>0</v>
      </c>
      <c r="BB450" s="149">
        <v>0</v>
      </c>
      <c r="BC450" s="149">
        <v>0</v>
      </c>
      <c r="BD450" s="149">
        <v>0</v>
      </c>
      <c r="BE450" s="149">
        <v>0</v>
      </c>
      <c r="BF450" s="149">
        <v>0</v>
      </c>
      <c r="BG450" s="149">
        <v>0</v>
      </c>
      <c r="BH450" s="149">
        <v>0</v>
      </c>
      <c r="BI450" s="149">
        <v>0</v>
      </c>
      <c r="BJ450" s="149">
        <v>0</v>
      </c>
      <c r="BK450" s="149">
        <v>0</v>
      </c>
      <c r="BL450" s="149">
        <v>0</v>
      </c>
      <c r="BM450" s="149">
        <v>0</v>
      </c>
      <c r="BN450" s="149">
        <v>0</v>
      </c>
      <c r="BO450" s="149">
        <v>0</v>
      </c>
      <c r="BP450" s="152"/>
      <c r="BQ450" s="152"/>
      <c r="BR450" s="154" t="s">
        <v>463</v>
      </c>
      <c r="BS450" s="136">
        <v>14</v>
      </c>
      <c r="BT450" s="267"/>
      <c r="BU450" s="267">
        <f t="shared" si="32"/>
        <v>1</v>
      </c>
      <c r="BV450" s="267">
        <f t="shared" si="33"/>
        <v>1</v>
      </c>
      <c r="BW450" s="267"/>
      <c r="BX450" s="267"/>
      <c r="BY450" s="267"/>
      <c r="BZ450" s="267"/>
      <c r="CA450" s="267"/>
      <c r="CB450" s="267"/>
      <c r="CC450" s="267"/>
      <c r="CD450" s="267"/>
      <c r="CE450" s="267"/>
      <c r="CF450" s="267"/>
      <c r="CG450" s="267"/>
      <c r="CH450" s="267"/>
      <c r="CI450" s="267"/>
      <c r="CJ450" s="267"/>
      <c r="CK450" s="267"/>
      <c r="CL450" s="267"/>
      <c r="CM450" s="267"/>
      <c r="CN450" s="101">
        <f t="shared" si="30"/>
        <v>2</v>
      </c>
      <c r="CO450" s="101">
        <f t="shared" si="31"/>
        <v>2</v>
      </c>
    </row>
    <row r="451" spans="1:93" ht="13.9" customHeight="1" x14ac:dyDescent="0.2">
      <c r="A451" s="149">
        <v>3260</v>
      </c>
      <c r="B451" s="150" t="s">
        <v>854</v>
      </c>
      <c r="C451" s="150" t="s">
        <v>1429</v>
      </c>
      <c r="D451" s="150" t="s">
        <v>1430</v>
      </c>
      <c r="E451" s="150" t="s">
        <v>326</v>
      </c>
      <c r="F451" s="149">
        <v>529282</v>
      </c>
      <c r="G451" s="149">
        <v>171042</v>
      </c>
      <c r="H451" s="150" t="s">
        <v>163</v>
      </c>
      <c r="I451" s="151">
        <v>45377</v>
      </c>
      <c r="J451" s="151"/>
      <c r="K451" s="149">
        <v>0</v>
      </c>
      <c r="L451" s="149">
        <v>1</v>
      </c>
      <c r="M451" s="149">
        <v>1</v>
      </c>
      <c r="N451" s="149">
        <v>1</v>
      </c>
      <c r="O451" s="149">
        <v>1</v>
      </c>
      <c r="P451" s="152"/>
      <c r="Q451" s="150" t="s">
        <v>1431</v>
      </c>
      <c r="R451" s="150" t="s">
        <v>427</v>
      </c>
      <c r="S451" s="151">
        <v>45177</v>
      </c>
      <c r="T451" s="151">
        <v>45229</v>
      </c>
      <c r="U451" s="152" t="s">
        <v>327</v>
      </c>
      <c r="V451" s="150" t="s">
        <v>330</v>
      </c>
      <c r="W451" s="151"/>
      <c r="X451" s="150" t="s">
        <v>331</v>
      </c>
      <c r="Y451" s="150" t="s">
        <v>332</v>
      </c>
      <c r="Z451" s="150" t="s">
        <v>334</v>
      </c>
      <c r="AA451" s="150" t="s">
        <v>26</v>
      </c>
      <c r="AB451" s="153">
        <v>5.0000000000000001E-3</v>
      </c>
      <c r="AC451" s="151">
        <v>45377</v>
      </c>
      <c r="AD451" s="152" t="s">
        <v>327</v>
      </c>
      <c r="AE451" s="151"/>
      <c r="AF451" s="150" t="s">
        <v>70</v>
      </c>
      <c r="AG451" s="152" t="s">
        <v>352</v>
      </c>
      <c r="AH451" s="150" t="s">
        <v>326</v>
      </c>
      <c r="AI451" s="99"/>
      <c r="AJ451" s="149"/>
      <c r="AK451" s="99"/>
      <c r="AL451" s="149"/>
      <c r="AM451" s="99"/>
      <c r="AN451" s="149">
        <v>0</v>
      </c>
      <c r="AO451" s="149">
        <v>1</v>
      </c>
      <c r="AP451" s="149">
        <v>0</v>
      </c>
      <c r="AQ451" s="149">
        <v>0</v>
      </c>
      <c r="AR451" s="149">
        <v>0</v>
      </c>
      <c r="AS451" s="149">
        <v>0</v>
      </c>
      <c r="AT451" s="149">
        <v>0</v>
      </c>
      <c r="AU451" s="149">
        <v>0</v>
      </c>
      <c r="AV451" s="149">
        <v>1</v>
      </c>
      <c r="AW451" s="149">
        <v>0</v>
      </c>
      <c r="AX451" s="149">
        <v>0</v>
      </c>
      <c r="AY451" s="149">
        <v>0</v>
      </c>
      <c r="AZ451" s="149">
        <v>0</v>
      </c>
      <c r="BA451" s="149">
        <v>0</v>
      </c>
      <c r="BB451" s="149">
        <v>0</v>
      </c>
      <c r="BC451" s="149">
        <v>0</v>
      </c>
      <c r="BD451" s="149">
        <v>0</v>
      </c>
      <c r="BE451" s="149">
        <v>0</v>
      </c>
      <c r="BF451" s="149">
        <v>0</v>
      </c>
      <c r="BG451" s="149">
        <v>0</v>
      </c>
      <c r="BH451" s="149">
        <v>0</v>
      </c>
      <c r="BI451" s="149">
        <v>0</v>
      </c>
      <c r="BJ451" s="149">
        <v>0</v>
      </c>
      <c r="BK451" s="149">
        <v>0</v>
      </c>
      <c r="BL451" s="149">
        <v>0</v>
      </c>
      <c r="BM451" s="149">
        <v>0</v>
      </c>
      <c r="BN451" s="149">
        <v>0</v>
      </c>
      <c r="BO451" s="149">
        <v>0</v>
      </c>
      <c r="BP451" s="152"/>
      <c r="BQ451" s="152"/>
      <c r="BR451" s="154" t="s">
        <v>359</v>
      </c>
      <c r="BS451" s="136">
        <v>14</v>
      </c>
      <c r="BT451" s="267"/>
      <c r="BU451" s="267">
        <f t="shared" si="32"/>
        <v>0.5</v>
      </c>
      <c r="BV451" s="267">
        <f t="shared" si="33"/>
        <v>0.5</v>
      </c>
      <c r="BW451" s="267"/>
      <c r="BX451" s="267"/>
      <c r="BY451" s="267"/>
      <c r="BZ451" s="267"/>
      <c r="CA451" s="267"/>
      <c r="CB451" s="267"/>
      <c r="CC451" s="267"/>
      <c r="CD451" s="267"/>
      <c r="CE451" s="267"/>
      <c r="CF451" s="267"/>
      <c r="CG451" s="267"/>
      <c r="CH451" s="267"/>
      <c r="CI451" s="267"/>
      <c r="CJ451" s="267"/>
      <c r="CK451" s="267"/>
      <c r="CL451" s="267"/>
      <c r="CM451" s="267"/>
      <c r="CN451" s="101">
        <f t="shared" si="30"/>
        <v>1</v>
      </c>
      <c r="CO451" s="101">
        <f t="shared" si="31"/>
        <v>1</v>
      </c>
    </row>
    <row r="452" spans="1:93" ht="13.9" customHeight="1" x14ac:dyDescent="0.2">
      <c r="A452" s="149">
        <v>8046</v>
      </c>
      <c r="B452" s="150" t="s">
        <v>854</v>
      </c>
      <c r="C452" s="150" t="s">
        <v>1432</v>
      </c>
      <c r="D452" s="150" t="s">
        <v>1433</v>
      </c>
      <c r="E452" s="150" t="s">
        <v>326</v>
      </c>
      <c r="F452" s="149">
        <v>525920</v>
      </c>
      <c r="G452" s="149">
        <v>174386</v>
      </c>
      <c r="H452" s="150" t="s">
        <v>177</v>
      </c>
      <c r="I452" s="151">
        <v>45351</v>
      </c>
      <c r="J452" s="151"/>
      <c r="K452" s="149">
        <v>0</v>
      </c>
      <c r="L452" s="149">
        <v>1</v>
      </c>
      <c r="M452" s="149">
        <v>1</v>
      </c>
      <c r="N452" s="149">
        <v>1</v>
      </c>
      <c r="O452" s="149">
        <v>1</v>
      </c>
      <c r="P452" s="152"/>
      <c r="Q452" s="150" t="s">
        <v>1434</v>
      </c>
      <c r="R452" s="150" t="s">
        <v>349</v>
      </c>
      <c r="S452" s="151">
        <v>45197</v>
      </c>
      <c r="T452" s="151">
        <v>45261</v>
      </c>
      <c r="U452" s="152" t="s">
        <v>327</v>
      </c>
      <c r="V452" s="150" t="s">
        <v>330</v>
      </c>
      <c r="W452" s="151"/>
      <c r="X452" s="150" t="s">
        <v>331</v>
      </c>
      <c r="Y452" s="150" t="s">
        <v>491</v>
      </c>
      <c r="Z452" s="150" t="s">
        <v>334</v>
      </c>
      <c r="AA452" s="150" t="s">
        <v>413</v>
      </c>
      <c r="AB452" s="153">
        <v>5.592667E-3</v>
      </c>
      <c r="AC452" s="151">
        <v>45351</v>
      </c>
      <c r="AD452" s="152" t="s">
        <v>327</v>
      </c>
      <c r="AE452" s="151"/>
      <c r="AF452" s="150" t="s">
        <v>70</v>
      </c>
      <c r="AG452" s="152" t="s">
        <v>352</v>
      </c>
      <c r="AH452" s="150" t="s">
        <v>326</v>
      </c>
      <c r="AI452" s="99"/>
      <c r="AJ452" s="149"/>
      <c r="AK452" s="99"/>
      <c r="AL452" s="149"/>
      <c r="AM452" s="99"/>
      <c r="AN452" s="149">
        <v>0</v>
      </c>
      <c r="AO452" s="149">
        <v>0</v>
      </c>
      <c r="AP452" s="149">
        <v>1</v>
      </c>
      <c r="AQ452" s="149">
        <v>0</v>
      </c>
      <c r="AR452" s="149">
        <v>0</v>
      </c>
      <c r="AS452" s="149">
        <v>0</v>
      </c>
      <c r="AT452" s="149">
        <v>0</v>
      </c>
      <c r="AU452" s="149">
        <v>0</v>
      </c>
      <c r="AV452" s="149">
        <v>0</v>
      </c>
      <c r="AW452" s="149">
        <v>1</v>
      </c>
      <c r="AX452" s="149">
        <v>0</v>
      </c>
      <c r="AY452" s="149">
        <v>0</v>
      </c>
      <c r="AZ452" s="149">
        <v>0</v>
      </c>
      <c r="BA452" s="149">
        <v>0</v>
      </c>
      <c r="BB452" s="149">
        <v>0</v>
      </c>
      <c r="BC452" s="149">
        <v>0</v>
      </c>
      <c r="BD452" s="149">
        <v>0</v>
      </c>
      <c r="BE452" s="149">
        <v>0</v>
      </c>
      <c r="BF452" s="149">
        <v>0</v>
      </c>
      <c r="BG452" s="149">
        <v>0</v>
      </c>
      <c r="BH452" s="149">
        <v>0</v>
      </c>
      <c r="BI452" s="149">
        <v>0</v>
      </c>
      <c r="BJ452" s="149">
        <v>0</v>
      </c>
      <c r="BK452" s="149">
        <v>0</v>
      </c>
      <c r="BL452" s="149">
        <v>0</v>
      </c>
      <c r="BM452" s="149">
        <v>0</v>
      </c>
      <c r="BN452" s="149">
        <v>0</v>
      </c>
      <c r="BO452" s="149">
        <v>0</v>
      </c>
      <c r="BP452" s="152"/>
      <c r="BQ452" s="152"/>
      <c r="BR452" s="154" t="s">
        <v>1435</v>
      </c>
      <c r="BS452" s="136">
        <v>14</v>
      </c>
      <c r="BT452" s="267"/>
      <c r="BU452" s="267">
        <f t="shared" si="32"/>
        <v>0.5</v>
      </c>
      <c r="BV452" s="267">
        <f t="shared" si="33"/>
        <v>0.5</v>
      </c>
      <c r="BW452" s="267"/>
      <c r="BX452" s="267"/>
      <c r="BY452" s="267"/>
      <c r="BZ452" s="267"/>
      <c r="CA452" s="267"/>
      <c r="CB452" s="267"/>
      <c r="CC452" s="267"/>
      <c r="CD452" s="267"/>
      <c r="CE452" s="267"/>
      <c r="CF452" s="267"/>
      <c r="CG452" s="267"/>
      <c r="CH452" s="267"/>
      <c r="CI452" s="267"/>
      <c r="CJ452" s="267"/>
      <c r="CK452" s="267"/>
      <c r="CL452" s="267"/>
      <c r="CM452" s="267"/>
      <c r="CN452" s="101">
        <f t="shared" si="30"/>
        <v>1</v>
      </c>
      <c r="CO452" s="101">
        <f t="shared" si="31"/>
        <v>1</v>
      </c>
    </row>
    <row r="453" spans="1:93" ht="13.9" customHeight="1" x14ac:dyDescent="0.2">
      <c r="A453" s="149">
        <v>6955</v>
      </c>
      <c r="B453" s="150" t="s">
        <v>854</v>
      </c>
      <c r="C453" s="150" t="s">
        <v>1436</v>
      </c>
      <c r="D453" s="150" t="s">
        <v>1316</v>
      </c>
      <c r="E453" s="150" t="s">
        <v>326</v>
      </c>
      <c r="F453" s="149">
        <v>526542</v>
      </c>
      <c r="G453" s="149">
        <v>174943</v>
      </c>
      <c r="H453" s="150" t="s">
        <v>177</v>
      </c>
      <c r="I453" s="151">
        <v>44553</v>
      </c>
      <c r="J453" s="151"/>
      <c r="K453" s="149">
        <v>0</v>
      </c>
      <c r="L453" s="149">
        <v>1</v>
      </c>
      <c r="M453" s="149">
        <v>1</v>
      </c>
      <c r="N453" s="149">
        <v>1</v>
      </c>
      <c r="O453" s="149">
        <v>1</v>
      </c>
      <c r="P453" s="152"/>
      <c r="Q453" s="150" t="s">
        <v>1437</v>
      </c>
      <c r="R453" s="150" t="s">
        <v>381</v>
      </c>
      <c r="S453" s="151">
        <v>45232</v>
      </c>
      <c r="T453" s="151">
        <v>45322</v>
      </c>
      <c r="U453" s="152" t="s">
        <v>327</v>
      </c>
      <c r="V453" s="150" t="s">
        <v>330</v>
      </c>
      <c r="W453" s="151"/>
      <c r="X453" s="150" t="s">
        <v>331</v>
      </c>
      <c r="Y453" s="150" t="s">
        <v>332</v>
      </c>
      <c r="Z453" s="150" t="s">
        <v>334</v>
      </c>
      <c r="AA453" s="150" t="s">
        <v>29</v>
      </c>
      <c r="AB453" s="153">
        <v>3.3999999999999998E-3</v>
      </c>
      <c r="AC453" s="151">
        <v>44553</v>
      </c>
      <c r="AD453" s="150"/>
      <c r="AE453" s="151"/>
      <c r="AF453" s="150" t="s">
        <v>70</v>
      </c>
      <c r="AG453" s="152" t="s">
        <v>352</v>
      </c>
      <c r="AH453" s="150" t="s">
        <v>326</v>
      </c>
      <c r="AI453" s="99"/>
      <c r="AJ453" s="149"/>
      <c r="AK453" s="99"/>
      <c r="AL453" s="149"/>
      <c r="AM453" s="99"/>
      <c r="AN453" s="149">
        <v>0</v>
      </c>
      <c r="AO453" s="149">
        <v>0</v>
      </c>
      <c r="AP453" s="149">
        <v>1</v>
      </c>
      <c r="AQ453" s="149">
        <v>0</v>
      </c>
      <c r="AR453" s="149">
        <v>0</v>
      </c>
      <c r="AS453" s="149">
        <v>0</v>
      </c>
      <c r="AT453" s="149">
        <v>0</v>
      </c>
      <c r="AU453" s="149">
        <v>0</v>
      </c>
      <c r="AV453" s="149">
        <v>0</v>
      </c>
      <c r="AW453" s="149">
        <v>1</v>
      </c>
      <c r="AX453" s="149">
        <v>0</v>
      </c>
      <c r="AY453" s="149">
        <v>0</v>
      </c>
      <c r="AZ453" s="149">
        <v>0</v>
      </c>
      <c r="BA453" s="149">
        <v>0</v>
      </c>
      <c r="BB453" s="149">
        <v>0</v>
      </c>
      <c r="BC453" s="149">
        <v>0</v>
      </c>
      <c r="BD453" s="149">
        <v>0</v>
      </c>
      <c r="BE453" s="149">
        <v>0</v>
      </c>
      <c r="BF453" s="149">
        <v>0</v>
      </c>
      <c r="BG453" s="149">
        <v>0</v>
      </c>
      <c r="BH453" s="149">
        <v>0</v>
      </c>
      <c r="BI453" s="149">
        <v>0</v>
      </c>
      <c r="BJ453" s="149">
        <v>0</v>
      </c>
      <c r="BK453" s="149">
        <v>0</v>
      </c>
      <c r="BL453" s="149">
        <v>0</v>
      </c>
      <c r="BM453" s="149">
        <v>0</v>
      </c>
      <c r="BN453" s="149">
        <v>0</v>
      </c>
      <c r="BO453" s="149">
        <v>0</v>
      </c>
      <c r="BP453" s="152"/>
      <c r="BQ453" s="152"/>
      <c r="BR453" s="154" t="s">
        <v>359</v>
      </c>
      <c r="BS453" s="136">
        <v>13</v>
      </c>
      <c r="BT453" s="267"/>
      <c r="BU453" s="267">
        <f>M453</f>
        <v>1</v>
      </c>
      <c r="BV453" s="267"/>
      <c r="BW453" s="267"/>
      <c r="BX453" s="267"/>
      <c r="BY453" s="267"/>
      <c r="BZ453" s="267"/>
      <c r="CA453" s="267"/>
      <c r="CB453" s="267"/>
      <c r="CC453" s="267"/>
      <c r="CD453" s="267"/>
      <c r="CE453" s="267"/>
      <c r="CF453" s="267"/>
      <c r="CG453" s="267"/>
      <c r="CH453" s="267"/>
      <c r="CI453" s="267"/>
      <c r="CJ453" s="267"/>
      <c r="CK453" s="267"/>
      <c r="CL453" s="267"/>
      <c r="CM453" s="267"/>
      <c r="CN453" s="101">
        <f t="shared" si="30"/>
        <v>1</v>
      </c>
      <c r="CO453" s="101">
        <f t="shared" si="31"/>
        <v>1</v>
      </c>
    </row>
    <row r="454" spans="1:93" ht="13.9" customHeight="1" x14ac:dyDescent="0.2">
      <c r="A454" s="149">
        <v>7498</v>
      </c>
      <c r="B454" s="150" t="s">
        <v>854</v>
      </c>
      <c r="C454" s="150" t="s">
        <v>1438</v>
      </c>
      <c r="D454" s="150" t="s">
        <v>1439</v>
      </c>
      <c r="E454" s="150" t="s">
        <v>326</v>
      </c>
      <c r="F454" s="149">
        <v>527633</v>
      </c>
      <c r="G454" s="149">
        <v>172951</v>
      </c>
      <c r="H454" s="150" t="s">
        <v>174</v>
      </c>
      <c r="I454" s="151">
        <v>44651</v>
      </c>
      <c r="J454" s="151"/>
      <c r="K454" s="149">
        <v>1</v>
      </c>
      <c r="L454" s="149">
        <v>8</v>
      </c>
      <c r="M454" s="149">
        <v>7</v>
      </c>
      <c r="N454" s="149">
        <v>8</v>
      </c>
      <c r="O454" s="149">
        <v>7</v>
      </c>
      <c r="P454" s="152"/>
      <c r="Q454" s="150" t="s">
        <v>1440</v>
      </c>
      <c r="R454" s="150" t="s">
        <v>349</v>
      </c>
      <c r="S454" s="151">
        <v>44249</v>
      </c>
      <c r="T454" s="151">
        <v>44369</v>
      </c>
      <c r="U454" s="152"/>
      <c r="V454" s="150" t="s">
        <v>330</v>
      </c>
      <c r="W454" s="151"/>
      <c r="X454" s="150" t="s">
        <v>331</v>
      </c>
      <c r="Y454" s="150" t="s">
        <v>398</v>
      </c>
      <c r="Z454" s="150" t="s">
        <v>334</v>
      </c>
      <c r="AA454" s="150" t="s">
        <v>16</v>
      </c>
      <c r="AB454" s="153">
        <v>6.2E-2</v>
      </c>
      <c r="AC454" s="151">
        <v>44745</v>
      </c>
      <c r="AD454" s="150"/>
      <c r="AE454" s="151"/>
      <c r="AF454" s="150" t="s">
        <v>70</v>
      </c>
      <c r="AG454" s="152" t="s">
        <v>352</v>
      </c>
      <c r="AH454" s="150" t="s">
        <v>326</v>
      </c>
      <c r="AI454" s="99"/>
      <c r="AJ454" s="149"/>
      <c r="AK454" s="99"/>
      <c r="AL454" s="149"/>
      <c r="AM454" s="99"/>
      <c r="AN454" s="149">
        <v>0</v>
      </c>
      <c r="AO454" s="149">
        <v>1</v>
      </c>
      <c r="AP454" s="149">
        <v>5</v>
      </c>
      <c r="AQ454" s="149">
        <v>2</v>
      </c>
      <c r="AR454" s="149">
        <v>0</v>
      </c>
      <c r="AS454" s="149">
        <v>-1</v>
      </c>
      <c r="AT454" s="149">
        <v>0</v>
      </c>
      <c r="AU454" s="149">
        <v>0</v>
      </c>
      <c r="AV454" s="149">
        <v>1</v>
      </c>
      <c r="AW454" s="149">
        <v>5</v>
      </c>
      <c r="AX454" s="149">
        <v>2</v>
      </c>
      <c r="AY454" s="149">
        <v>0</v>
      </c>
      <c r="AZ454" s="149">
        <v>0</v>
      </c>
      <c r="BA454" s="149">
        <v>0</v>
      </c>
      <c r="BB454" s="149">
        <v>0</v>
      </c>
      <c r="BC454" s="149">
        <v>0</v>
      </c>
      <c r="BD454" s="149">
        <v>0</v>
      </c>
      <c r="BE454" s="149">
        <v>0</v>
      </c>
      <c r="BF454" s="149">
        <v>0</v>
      </c>
      <c r="BG454" s="149">
        <v>-1</v>
      </c>
      <c r="BH454" s="149">
        <v>0</v>
      </c>
      <c r="BI454" s="149">
        <v>0</v>
      </c>
      <c r="BJ454" s="149">
        <v>0</v>
      </c>
      <c r="BK454" s="149">
        <v>0</v>
      </c>
      <c r="BL454" s="149">
        <v>0</v>
      </c>
      <c r="BM454" s="149">
        <v>0</v>
      </c>
      <c r="BN454" s="149">
        <v>0</v>
      </c>
      <c r="BO454" s="149">
        <v>0</v>
      </c>
      <c r="BP454" s="152"/>
      <c r="BQ454" s="152"/>
      <c r="BR454" s="154" t="s">
        <v>359</v>
      </c>
      <c r="BS454" s="136">
        <v>12</v>
      </c>
      <c r="BT454" s="267"/>
      <c r="BU454" s="267"/>
      <c r="BV454" s="267">
        <f>M454</f>
        <v>7</v>
      </c>
      <c r="BW454" s="267"/>
      <c r="BX454" s="267"/>
      <c r="BY454" s="267"/>
      <c r="BZ454" s="267"/>
      <c r="CA454" s="267"/>
      <c r="CB454" s="267"/>
      <c r="CC454" s="267"/>
      <c r="CD454" s="267"/>
      <c r="CE454" s="267"/>
      <c r="CF454" s="267"/>
      <c r="CG454" s="267"/>
      <c r="CH454" s="267"/>
      <c r="CI454" s="267"/>
      <c r="CJ454" s="267"/>
      <c r="CK454" s="267"/>
      <c r="CL454" s="267"/>
      <c r="CM454" s="267"/>
      <c r="CN454" s="101">
        <f t="shared" si="30"/>
        <v>7</v>
      </c>
      <c r="CO454" s="101">
        <f t="shared" si="31"/>
        <v>7</v>
      </c>
    </row>
    <row r="455" spans="1:93" ht="13.9" customHeight="1" x14ac:dyDescent="0.2">
      <c r="A455" s="149">
        <v>7797</v>
      </c>
      <c r="B455" s="150" t="s">
        <v>854</v>
      </c>
      <c r="C455" s="150" t="s">
        <v>1441</v>
      </c>
      <c r="D455" s="150" t="s">
        <v>1442</v>
      </c>
      <c r="E455" s="150" t="s">
        <v>326</v>
      </c>
      <c r="F455" s="149">
        <v>528052</v>
      </c>
      <c r="G455" s="149">
        <v>172514</v>
      </c>
      <c r="H455" s="150" t="s">
        <v>174</v>
      </c>
      <c r="I455" s="151">
        <v>45047</v>
      </c>
      <c r="J455" s="151"/>
      <c r="K455" s="149">
        <v>1</v>
      </c>
      <c r="L455" s="149">
        <v>8</v>
      </c>
      <c r="M455" s="149">
        <v>7</v>
      </c>
      <c r="N455" s="149">
        <v>8</v>
      </c>
      <c r="O455" s="149">
        <v>7</v>
      </c>
      <c r="P455" s="152"/>
      <c r="Q455" s="150" t="s">
        <v>1443</v>
      </c>
      <c r="R455" s="150" t="s">
        <v>349</v>
      </c>
      <c r="S455" s="151">
        <v>44615</v>
      </c>
      <c r="T455" s="151">
        <v>44743</v>
      </c>
      <c r="U455" s="152"/>
      <c r="V455" s="150" t="s">
        <v>330</v>
      </c>
      <c r="W455" s="151"/>
      <c r="X455" s="150" t="s">
        <v>331</v>
      </c>
      <c r="Y455" s="150" t="s">
        <v>343</v>
      </c>
      <c r="Z455" s="150" t="s">
        <v>334</v>
      </c>
      <c r="AA455" s="150" t="s">
        <v>363</v>
      </c>
      <c r="AB455" s="153">
        <v>0.01</v>
      </c>
      <c r="AC455" s="151">
        <v>45287</v>
      </c>
      <c r="AD455" s="152" t="s">
        <v>327</v>
      </c>
      <c r="AE455" s="151"/>
      <c r="AF455" s="150" t="s">
        <v>70</v>
      </c>
      <c r="AG455" s="152" t="s">
        <v>352</v>
      </c>
      <c r="AH455" s="150" t="s">
        <v>326</v>
      </c>
      <c r="AI455" s="99"/>
      <c r="AJ455" s="149"/>
      <c r="AK455" s="138">
        <v>8</v>
      </c>
      <c r="AL455" s="149"/>
      <c r="AM455" s="138">
        <v>8</v>
      </c>
      <c r="AN455" s="149">
        <v>0</v>
      </c>
      <c r="AO455" s="149">
        <v>3</v>
      </c>
      <c r="AP455" s="149">
        <v>3</v>
      </c>
      <c r="AQ455" s="149">
        <v>1</v>
      </c>
      <c r="AR455" s="149">
        <v>0</v>
      </c>
      <c r="AS455" s="149">
        <v>0</v>
      </c>
      <c r="AT455" s="149">
        <v>0</v>
      </c>
      <c r="AU455" s="149">
        <v>0</v>
      </c>
      <c r="AV455" s="149">
        <v>3</v>
      </c>
      <c r="AW455" s="149">
        <v>3</v>
      </c>
      <c r="AX455" s="149">
        <v>2</v>
      </c>
      <c r="AY455" s="149">
        <v>0</v>
      </c>
      <c r="AZ455" s="149">
        <v>0</v>
      </c>
      <c r="BA455" s="149">
        <v>0</v>
      </c>
      <c r="BB455" s="149">
        <v>0</v>
      </c>
      <c r="BC455" s="149">
        <v>0</v>
      </c>
      <c r="BD455" s="149">
        <v>0</v>
      </c>
      <c r="BE455" s="149">
        <v>-1</v>
      </c>
      <c r="BF455" s="149">
        <v>0</v>
      </c>
      <c r="BG455" s="149">
        <v>0</v>
      </c>
      <c r="BH455" s="149">
        <v>0</v>
      </c>
      <c r="BI455" s="149">
        <v>0</v>
      </c>
      <c r="BJ455" s="149">
        <v>0</v>
      </c>
      <c r="BK455" s="149">
        <v>0</v>
      </c>
      <c r="BL455" s="149">
        <v>0</v>
      </c>
      <c r="BM455" s="149">
        <v>0</v>
      </c>
      <c r="BN455" s="149">
        <v>0</v>
      </c>
      <c r="BO455" s="149">
        <v>0</v>
      </c>
      <c r="BP455" s="152"/>
      <c r="BQ455" s="152"/>
      <c r="BR455" s="154" t="s">
        <v>359</v>
      </c>
      <c r="BS455" s="136">
        <v>2</v>
      </c>
      <c r="BT455" s="267"/>
      <c r="BU455" s="267"/>
      <c r="BV455" s="267">
        <f>M455</f>
        <v>7</v>
      </c>
      <c r="BW455" s="267"/>
      <c r="BX455" s="267"/>
      <c r="BY455" s="267"/>
      <c r="BZ455" s="267"/>
      <c r="CA455" s="267"/>
      <c r="CB455" s="267"/>
      <c r="CC455" s="267"/>
      <c r="CD455" s="267"/>
      <c r="CE455" s="267"/>
      <c r="CF455" s="267"/>
      <c r="CG455" s="267"/>
      <c r="CH455" s="267"/>
      <c r="CI455" s="267"/>
      <c r="CJ455" s="267"/>
      <c r="CK455" s="267"/>
      <c r="CL455" s="267"/>
      <c r="CM455" s="267"/>
      <c r="CN455" s="101">
        <f t="shared" si="30"/>
        <v>7</v>
      </c>
      <c r="CO455" s="101">
        <f t="shared" si="31"/>
        <v>7</v>
      </c>
    </row>
    <row r="456" spans="1:93" ht="13.9" customHeight="1" x14ac:dyDescent="0.2">
      <c r="A456" s="149">
        <v>8043</v>
      </c>
      <c r="B456" s="150" t="s">
        <v>854</v>
      </c>
      <c r="C456" s="150" t="s">
        <v>1444</v>
      </c>
      <c r="D456" s="150" t="s">
        <v>1445</v>
      </c>
      <c r="E456" s="150" t="s">
        <v>326</v>
      </c>
      <c r="F456" s="149">
        <v>527388</v>
      </c>
      <c r="G456" s="149">
        <v>176323</v>
      </c>
      <c r="H456" s="150" t="s">
        <v>170</v>
      </c>
      <c r="I456" s="151">
        <v>45349</v>
      </c>
      <c r="J456" s="151"/>
      <c r="K456" s="149">
        <v>2</v>
      </c>
      <c r="L456" s="149">
        <v>6</v>
      </c>
      <c r="M456" s="149">
        <v>4</v>
      </c>
      <c r="N456" s="149">
        <v>6</v>
      </c>
      <c r="O456" s="149">
        <v>4</v>
      </c>
      <c r="P456" s="152"/>
      <c r="Q456" s="150" t="s">
        <v>1446</v>
      </c>
      <c r="R456" s="150" t="s">
        <v>349</v>
      </c>
      <c r="S456" s="151">
        <v>45183</v>
      </c>
      <c r="T456" s="151">
        <v>45280</v>
      </c>
      <c r="U456" s="152" t="s">
        <v>327</v>
      </c>
      <c r="V456" s="150" t="s">
        <v>330</v>
      </c>
      <c r="W456" s="151"/>
      <c r="X456" s="150" t="s">
        <v>331</v>
      </c>
      <c r="Y456" s="150" t="s">
        <v>398</v>
      </c>
      <c r="Z456" s="150" t="s">
        <v>334</v>
      </c>
      <c r="AA456" s="150" t="s">
        <v>399</v>
      </c>
      <c r="AB456" s="153">
        <v>1.468125E-2</v>
      </c>
      <c r="AC456" s="151">
        <v>45349</v>
      </c>
      <c r="AD456" s="152" t="s">
        <v>327</v>
      </c>
      <c r="AE456" s="151"/>
      <c r="AF456" s="150" t="s">
        <v>70</v>
      </c>
      <c r="AG456" s="152" t="s">
        <v>337</v>
      </c>
      <c r="AH456" s="150" t="s">
        <v>326</v>
      </c>
      <c r="AI456" s="99"/>
      <c r="AJ456" s="149"/>
      <c r="AK456" s="99"/>
      <c r="AL456" s="149"/>
      <c r="AM456" s="99"/>
      <c r="AN456" s="149">
        <v>0</v>
      </c>
      <c r="AO456" s="149">
        <v>4</v>
      </c>
      <c r="AP456" s="149">
        <v>1</v>
      </c>
      <c r="AQ456" s="149">
        <v>-1</v>
      </c>
      <c r="AR456" s="149">
        <v>0</v>
      </c>
      <c r="AS456" s="149">
        <v>0</v>
      </c>
      <c r="AT456" s="149">
        <v>0</v>
      </c>
      <c r="AU456" s="149">
        <v>0</v>
      </c>
      <c r="AV456" s="149">
        <v>4</v>
      </c>
      <c r="AW456" s="149">
        <v>1</v>
      </c>
      <c r="AX456" s="149">
        <v>-1</v>
      </c>
      <c r="AY456" s="149">
        <v>0</v>
      </c>
      <c r="AZ456" s="149">
        <v>0</v>
      </c>
      <c r="BA456" s="149">
        <v>0</v>
      </c>
      <c r="BB456" s="149">
        <v>0</v>
      </c>
      <c r="BC456" s="149">
        <v>0</v>
      </c>
      <c r="BD456" s="149">
        <v>0</v>
      </c>
      <c r="BE456" s="149">
        <v>0</v>
      </c>
      <c r="BF456" s="149">
        <v>0</v>
      </c>
      <c r="BG456" s="149">
        <v>0</v>
      </c>
      <c r="BH456" s="149">
        <v>0</v>
      </c>
      <c r="BI456" s="149">
        <v>0</v>
      </c>
      <c r="BJ456" s="149">
        <v>0</v>
      </c>
      <c r="BK456" s="149">
        <v>0</v>
      </c>
      <c r="BL456" s="149">
        <v>0</v>
      </c>
      <c r="BM456" s="149">
        <v>0</v>
      </c>
      <c r="BN456" s="149">
        <v>0</v>
      </c>
      <c r="BO456" s="149">
        <v>0</v>
      </c>
      <c r="BP456" s="152"/>
      <c r="BQ456" s="152"/>
      <c r="BR456" s="154" t="s">
        <v>359</v>
      </c>
      <c r="BS456" s="136">
        <v>12</v>
      </c>
      <c r="BT456" s="267"/>
      <c r="BU456" s="267">
        <f>M456</f>
        <v>4</v>
      </c>
      <c r="BV456" s="267"/>
      <c r="BW456" s="267"/>
      <c r="BX456" s="267"/>
      <c r="BY456" s="267"/>
      <c r="BZ456" s="267"/>
      <c r="CA456" s="267"/>
      <c r="CB456" s="267"/>
      <c r="CC456" s="267"/>
      <c r="CD456" s="267"/>
      <c r="CE456" s="267"/>
      <c r="CF456" s="267"/>
      <c r="CG456" s="267"/>
      <c r="CH456" s="267"/>
      <c r="CI456" s="267"/>
      <c r="CJ456" s="267"/>
      <c r="CK456" s="267"/>
      <c r="CL456" s="267"/>
      <c r="CM456" s="267"/>
      <c r="CN456" s="101">
        <f t="shared" si="30"/>
        <v>4</v>
      </c>
      <c r="CO456" s="101">
        <f t="shared" si="31"/>
        <v>4</v>
      </c>
    </row>
    <row r="457" spans="1:93" ht="13.9" customHeight="1" x14ac:dyDescent="0.2">
      <c r="A457" s="149">
        <v>7768</v>
      </c>
      <c r="B457" s="150" t="s">
        <v>854</v>
      </c>
      <c r="C457" s="150" t="s">
        <v>1447</v>
      </c>
      <c r="D457" s="150" t="s">
        <v>1448</v>
      </c>
      <c r="E457" s="150" t="s">
        <v>1449</v>
      </c>
      <c r="F457" s="149">
        <v>525371</v>
      </c>
      <c r="G457" s="149">
        <v>174696</v>
      </c>
      <c r="H457" s="150" t="s">
        <v>177</v>
      </c>
      <c r="I457" s="151">
        <v>45382</v>
      </c>
      <c r="J457" s="151"/>
      <c r="K457" s="149">
        <v>1</v>
      </c>
      <c r="L457" s="149">
        <v>1</v>
      </c>
      <c r="M457" s="149">
        <v>0</v>
      </c>
      <c r="N457" s="149">
        <v>1</v>
      </c>
      <c r="O457" s="149">
        <v>0</v>
      </c>
      <c r="P457" s="152"/>
      <c r="Q457" s="150" t="s">
        <v>1450</v>
      </c>
      <c r="R457" s="150" t="s">
        <v>349</v>
      </c>
      <c r="S457" s="151">
        <v>45260</v>
      </c>
      <c r="T457" s="151">
        <v>45362</v>
      </c>
      <c r="U457" s="152" t="s">
        <v>327</v>
      </c>
      <c r="V457" s="150" t="s">
        <v>330</v>
      </c>
      <c r="W457" s="151"/>
      <c r="X457" s="150" t="s">
        <v>331</v>
      </c>
      <c r="Y457" s="150" t="s">
        <v>332</v>
      </c>
      <c r="Z457" s="150" t="s">
        <v>334</v>
      </c>
      <c r="AA457" s="150" t="s">
        <v>16</v>
      </c>
      <c r="AB457" s="153">
        <v>1.0999999999999999E-2</v>
      </c>
      <c r="AC457" s="151">
        <v>45382</v>
      </c>
      <c r="AD457" s="152" t="s">
        <v>327</v>
      </c>
      <c r="AE457" s="151"/>
      <c r="AF457" s="150" t="s">
        <v>70</v>
      </c>
      <c r="AG457" s="152" t="s">
        <v>352</v>
      </c>
      <c r="AH457" s="150" t="s">
        <v>326</v>
      </c>
      <c r="AI457" s="99"/>
      <c r="AJ457" s="149"/>
      <c r="AK457" s="102"/>
      <c r="AL457" s="149"/>
      <c r="AM457" s="102"/>
      <c r="AN457" s="149">
        <v>0</v>
      </c>
      <c r="AO457" s="149">
        <v>0</v>
      </c>
      <c r="AP457" s="149">
        <v>0</v>
      </c>
      <c r="AQ457" s="149">
        <v>0</v>
      </c>
      <c r="AR457" s="149">
        <v>0</v>
      </c>
      <c r="AS457" s="149">
        <v>0</v>
      </c>
      <c r="AT457" s="149">
        <v>0</v>
      </c>
      <c r="AU457" s="149">
        <v>0</v>
      </c>
      <c r="AV457" s="149">
        <v>0</v>
      </c>
      <c r="AW457" s="149">
        <v>0</v>
      </c>
      <c r="AX457" s="149">
        <v>0</v>
      </c>
      <c r="AY457" s="149">
        <v>0</v>
      </c>
      <c r="AZ457" s="149">
        <v>0</v>
      </c>
      <c r="BA457" s="149">
        <v>0</v>
      </c>
      <c r="BB457" s="149">
        <v>0</v>
      </c>
      <c r="BC457" s="149">
        <v>0</v>
      </c>
      <c r="BD457" s="149">
        <v>0</v>
      </c>
      <c r="BE457" s="149">
        <v>0</v>
      </c>
      <c r="BF457" s="149">
        <v>0</v>
      </c>
      <c r="BG457" s="149">
        <v>0</v>
      </c>
      <c r="BH457" s="149">
        <v>0</v>
      </c>
      <c r="BI457" s="149">
        <v>0</v>
      </c>
      <c r="BJ457" s="149">
        <v>0</v>
      </c>
      <c r="BK457" s="149">
        <v>0</v>
      </c>
      <c r="BL457" s="149">
        <v>0</v>
      </c>
      <c r="BM457" s="149">
        <v>0</v>
      </c>
      <c r="BN457" s="149">
        <v>0</v>
      </c>
      <c r="BO457" s="149">
        <v>0</v>
      </c>
      <c r="BP457" s="152" t="s">
        <v>143</v>
      </c>
      <c r="BQ457" s="152"/>
      <c r="BR457" s="154" t="s">
        <v>463</v>
      </c>
      <c r="BS457" s="136">
        <v>14</v>
      </c>
      <c r="BT457" s="267"/>
      <c r="BU457" s="267">
        <f>M457/2</f>
        <v>0</v>
      </c>
      <c r="BV457" s="267">
        <f>M457/2</f>
        <v>0</v>
      </c>
      <c r="BW457" s="267"/>
      <c r="BX457" s="267"/>
      <c r="BY457" s="267"/>
      <c r="BZ457" s="267"/>
      <c r="CA457" s="267"/>
      <c r="CB457" s="267"/>
      <c r="CC457" s="267"/>
      <c r="CD457" s="267"/>
      <c r="CE457" s="267"/>
      <c r="CF457" s="267"/>
      <c r="CG457" s="267"/>
      <c r="CH457" s="267"/>
      <c r="CI457" s="267"/>
      <c r="CJ457" s="267"/>
      <c r="CK457" s="267"/>
      <c r="CL457" s="267"/>
      <c r="CM457" s="267"/>
      <c r="CN457" s="101">
        <f t="shared" si="30"/>
        <v>0</v>
      </c>
      <c r="CO457" s="101">
        <f t="shared" si="31"/>
        <v>0</v>
      </c>
    </row>
    <row r="458" spans="1:93" ht="13.9" customHeight="1" x14ac:dyDescent="0.2">
      <c r="A458" s="149">
        <v>7692</v>
      </c>
      <c r="B458" s="150" t="s">
        <v>854</v>
      </c>
      <c r="C458" s="150" t="s">
        <v>1451</v>
      </c>
      <c r="D458" s="150" t="s">
        <v>1452</v>
      </c>
      <c r="E458" s="150" t="s">
        <v>326</v>
      </c>
      <c r="F458" s="149">
        <v>525937</v>
      </c>
      <c r="G458" s="149">
        <v>173389</v>
      </c>
      <c r="H458" s="150" t="s">
        <v>175</v>
      </c>
      <c r="I458" s="151">
        <v>45017</v>
      </c>
      <c r="J458" s="151"/>
      <c r="K458" s="149">
        <v>1</v>
      </c>
      <c r="L458" s="149">
        <v>3</v>
      </c>
      <c r="M458" s="149">
        <v>2</v>
      </c>
      <c r="N458" s="149">
        <v>3</v>
      </c>
      <c r="O458" s="149">
        <v>2</v>
      </c>
      <c r="P458" s="152"/>
      <c r="Q458" s="150" t="s">
        <v>1453</v>
      </c>
      <c r="R458" s="150" t="s">
        <v>349</v>
      </c>
      <c r="S458" s="151">
        <v>45294</v>
      </c>
      <c r="T458" s="151">
        <v>45355</v>
      </c>
      <c r="U458" s="152" t="s">
        <v>327</v>
      </c>
      <c r="V458" s="150" t="s">
        <v>330</v>
      </c>
      <c r="W458" s="151"/>
      <c r="X458" s="150" t="s">
        <v>331</v>
      </c>
      <c r="Y458" s="150" t="s">
        <v>332</v>
      </c>
      <c r="Z458" s="150" t="s">
        <v>334</v>
      </c>
      <c r="AA458" s="150" t="s">
        <v>26</v>
      </c>
      <c r="AB458" s="153">
        <v>1.0999999999999999E-2</v>
      </c>
      <c r="AC458" s="151">
        <v>45017</v>
      </c>
      <c r="AD458" s="152" t="s">
        <v>327</v>
      </c>
      <c r="AE458" s="151"/>
      <c r="AF458" s="150" t="s">
        <v>70</v>
      </c>
      <c r="AG458" s="152" t="s">
        <v>352</v>
      </c>
      <c r="AH458" s="150" t="s">
        <v>326</v>
      </c>
      <c r="AI458" s="99"/>
      <c r="AJ458" s="149"/>
      <c r="AK458" s="102"/>
      <c r="AL458" s="149"/>
      <c r="AM458" s="102"/>
      <c r="AN458" s="149">
        <v>1</v>
      </c>
      <c r="AO458" s="149">
        <v>1</v>
      </c>
      <c r="AP458" s="149">
        <v>0</v>
      </c>
      <c r="AQ458" s="149">
        <v>0</v>
      </c>
      <c r="AR458" s="149">
        <v>0</v>
      </c>
      <c r="AS458" s="149">
        <v>0</v>
      </c>
      <c r="AT458" s="149">
        <v>0</v>
      </c>
      <c r="AU458" s="149">
        <v>1</v>
      </c>
      <c r="AV458" s="149">
        <v>1</v>
      </c>
      <c r="AW458" s="149">
        <v>0</v>
      </c>
      <c r="AX458" s="149">
        <v>0</v>
      </c>
      <c r="AY458" s="149">
        <v>0</v>
      </c>
      <c r="AZ458" s="149">
        <v>0</v>
      </c>
      <c r="BA458" s="149">
        <v>0</v>
      </c>
      <c r="BB458" s="149">
        <v>0</v>
      </c>
      <c r="BC458" s="149">
        <v>0</v>
      </c>
      <c r="BD458" s="149">
        <v>0</v>
      </c>
      <c r="BE458" s="149">
        <v>0</v>
      </c>
      <c r="BF458" s="149">
        <v>0</v>
      </c>
      <c r="BG458" s="149">
        <v>0</v>
      </c>
      <c r="BH458" s="149">
        <v>0</v>
      </c>
      <c r="BI458" s="149">
        <v>0</v>
      </c>
      <c r="BJ458" s="149">
        <v>0</v>
      </c>
      <c r="BK458" s="149">
        <v>0</v>
      </c>
      <c r="BL458" s="149">
        <v>0</v>
      </c>
      <c r="BM458" s="149">
        <v>0</v>
      </c>
      <c r="BN458" s="149">
        <v>0</v>
      </c>
      <c r="BO458" s="149">
        <v>0</v>
      </c>
      <c r="BP458" s="152"/>
      <c r="BQ458" s="152"/>
      <c r="BR458" s="154" t="s">
        <v>151</v>
      </c>
      <c r="BS458" s="136">
        <v>13</v>
      </c>
      <c r="BT458" s="267"/>
      <c r="BU458" s="267">
        <f>M458</f>
        <v>2</v>
      </c>
      <c r="BV458" s="267"/>
      <c r="BW458" s="267"/>
      <c r="BX458" s="267"/>
      <c r="BY458" s="267"/>
      <c r="BZ458" s="267"/>
      <c r="CA458" s="267"/>
      <c r="CB458" s="267"/>
      <c r="CC458" s="267"/>
      <c r="CD458" s="267"/>
      <c r="CE458" s="267"/>
      <c r="CF458" s="267"/>
      <c r="CG458" s="267"/>
      <c r="CH458" s="267"/>
      <c r="CI458" s="267"/>
      <c r="CJ458" s="267"/>
      <c r="CK458" s="267"/>
      <c r="CL458" s="267"/>
      <c r="CM458" s="267"/>
      <c r="CN458" s="101">
        <f t="shared" si="30"/>
        <v>2</v>
      </c>
      <c r="CO458" s="101">
        <f t="shared" si="31"/>
        <v>2</v>
      </c>
    </row>
    <row r="459" spans="1:93" ht="13.9" customHeight="1" x14ac:dyDescent="0.2">
      <c r="A459" s="149">
        <v>2320</v>
      </c>
      <c r="B459" s="150" t="s">
        <v>1216</v>
      </c>
      <c r="C459" s="150" t="s">
        <v>1454</v>
      </c>
      <c r="D459" s="150" t="s">
        <v>1455</v>
      </c>
      <c r="E459" s="150" t="s">
        <v>326</v>
      </c>
      <c r="F459" s="149">
        <v>527260</v>
      </c>
      <c r="G459" s="149">
        <v>177215</v>
      </c>
      <c r="H459" s="150" t="s">
        <v>160</v>
      </c>
      <c r="I459" s="151">
        <v>43190</v>
      </c>
      <c r="J459" s="151"/>
      <c r="K459" s="149">
        <v>0</v>
      </c>
      <c r="L459" s="149">
        <v>94</v>
      </c>
      <c r="M459" s="149">
        <v>94</v>
      </c>
      <c r="N459" s="149">
        <v>118</v>
      </c>
      <c r="O459" s="149">
        <v>118</v>
      </c>
      <c r="P459" s="152" t="s">
        <v>327</v>
      </c>
      <c r="Q459" s="150" t="s">
        <v>1456</v>
      </c>
      <c r="R459" s="150" t="s">
        <v>329</v>
      </c>
      <c r="S459" s="151">
        <v>41855</v>
      </c>
      <c r="T459" s="151">
        <v>42185</v>
      </c>
      <c r="U459" s="152"/>
      <c r="V459" s="150" t="s">
        <v>330</v>
      </c>
      <c r="W459" s="151"/>
      <c r="X459" s="150" t="s">
        <v>331</v>
      </c>
      <c r="Y459" s="150" t="s">
        <v>343</v>
      </c>
      <c r="Z459" s="150" t="s">
        <v>343</v>
      </c>
      <c r="AA459" s="150" t="s">
        <v>334</v>
      </c>
      <c r="AB459" s="153">
        <v>0.247</v>
      </c>
      <c r="AC459" s="151"/>
      <c r="AD459" s="150"/>
      <c r="AE459" s="151"/>
      <c r="AF459" s="150" t="s">
        <v>70</v>
      </c>
      <c r="AG459" s="152" t="s">
        <v>352</v>
      </c>
      <c r="AH459" s="150" t="s">
        <v>1457</v>
      </c>
      <c r="AI459" s="99"/>
      <c r="AJ459" s="149">
        <v>94</v>
      </c>
      <c r="AK459" s="102"/>
      <c r="AL459" s="149">
        <v>94</v>
      </c>
      <c r="AM459" s="102"/>
      <c r="AN459" s="149">
        <v>0</v>
      </c>
      <c r="AO459" s="149">
        <v>21</v>
      </c>
      <c r="AP459" s="149">
        <v>47</v>
      </c>
      <c r="AQ459" s="149">
        <v>23</v>
      </c>
      <c r="AR459" s="149">
        <v>3</v>
      </c>
      <c r="AS459" s="149">
        <v>0</v>
      </c>
      <c r="AT459" s="149">
        <v>0</v>
      </c>
      <c r="AU459" s="149">
        <v>0</v>
      </c>
      <c r="AV459" s="149">
        <v>21</v>
      </c>
      <c r="AW459" s="149">
        <v>47</v>
      </c>
      <c r="AX459" s="149">
        <v>23</v>
      </c>
      <c r="AY459" s="149">
        <v>3</v>
      </c>
      <c r="AZ459" s="149">
        <v>0</v>
      </c>
      <c r="BA459" s="149">
        <v>0</v>
      </c>
      <c r="BB459" s="149">
        <v>0</v>
      </c>
      <c r="BC459" s="149">
        <v>0</v>
      </c>
      <c r="BD459" s="149">
        <v>0</v>
      </c>
      <c r="BE459" s="149">
        <v>0</v>
      </c>
      <c r="BF459" s="149">
        <v>0</v>
      </c>
      <c r="BG459" s="149">
        <v>0</v>
      </c>
      <c r="BH459" s="149">
        <v>0</v>
      </c>
      <c r="BI459" s="149">
        <v>0</v>
      </c>
      <c r="BJ459" s="149">
        <v>0</v>
      </c>
      <c r="BK459" s="149">
        <v>0</v>
      </c>
      <c r="BL459" s="149">
        <v>0</v>
      </c>
      <c r="BM459" s="149">
        <v>0</v>
      </c>
      <c r="BN459" s="149">
        <v>0</v>
      </c>
      <c r="BO459" s="149">
        <v>0</v>
      </c>
      <c r="BP459" s="152"/>
      <c r="BQ459" s="152"/>
      <c r="BR459" s="154" t="s">
        <v>408</v>
      </c>
      <c r="BS459" s="136">
        <v>8</v>
      </c>
      <c r="BT459" s="267"/>
      <c r="BU459" s="267"/>
      <c r="BV459" s="267"/>
      <c r="BW459" s="267"/>
      <c r="BX459" s="267"/>
      <c r="BY459" s="267">
        <f>M459/2</f>
        <v>47</v>
      </c>
      <c r="BZ459" s="267">
        <f>M459/2</f>
        <v>47</v>
      </c>
      <c r="CA459" s="267"/>
      <c r="CB459" s="267"/>
      <c r="CC459" s="267"/>
      <c r="CD459" s="267"/>
      <c r="CE459" s="267"/>
      <c r="CF459" s="267"/>
      <c r="CG459" s="267"/>
      <c r="CH459" s="267"/>
      <c r="CI459" s="267"/>
      <c r="CJ459" s="267"/>
      <c r="CK459" s="267"/>
      <c r="CL459" s="267"/>
      <c r="CM459" s="267"/>
      <c r="CN459" s="101">
        <f t="shared" si="30"/>
        <v>47</v>
      </c>
      <c r="CO459" s="101">
        <f t="shared" si="31"/>
        <v>94</v>
      </c>
    </row>
    <row r="460" spans="1:93" ht="13.9" customHeight="1" x14ac:dyDescent="0.2">
      <c r="A460" s="149">
        <v>2320</v>
      </c>
      <c r="B460" s="150" t="s">
        <v>1216</v>
      </c>
      <c r="C460" s="150" t="s">
        <v>1454</v>
      </c>
      <c r="D460" s="150" t="s">
        <v>1455</v>
      </c>
      <c r="E460" s="150" t="s">
        <v>326</v>
      </c>
      <c r="F460" s="149">
        <v>527260</v>
      </c>
      <c r="G460" s="149">
        <v>177215</v>
      </c>
      <c r="H460" s="150" t="s">
        <v>160</v>
      </c>
      <c r="I460" s="151">
        <v>43190</v>
      </c>
      <c r="J460" s="151"/>
      <c r="K460" s="149">
        <v>0</v>
      </c>
      <c r="L460" s="149">
        <v>14</v>
      </c>
      <c r="M460" s="149">
        <v>14</v>
      </c>
      <c r="N460" s="149">
        <v>118</v>
      </c>
      <c r="O460" s="149">
        <v>118</v>
      </c>
      <c r="P460" s="152" t="s">
        <v>327</v>
      </c>
      <c r="Q460" s="150" t="s">
        <v>1456</v>
      </c>
      <c r="R460" s="150" t="s">
        <v>329</v>
      </c>
      <c r="S460" s="151">
        <v>41855</v>
      </c>
      <c r="T460" s="151">
        <v>42185</v>
      </c>
      <c r="U460" s="152"/>
      <c r="V460" s="150" t="s">
        <v>330</v>
      </c>
      <c r="W460" s="151"/>
      <c r="X460" s="150" t="s">
        <v>331</v>
      </c>
      <c r="Y460" s="150" t="s">
        <v>343</v>
      </c>
      <c r="Z460" s="150" t="s">
        <v>343</v>
      </c>
      <c r="AA460" s="150" t="s">
        <v>334</v>
      </c>
      <c r="AB460" s="153">
        <v>3.6999999999999998E-2</v>
      </c>
      <c r="AC460" s="151"/>
      <c r="AD460" s="150"/>
      <c r="AE460" s="151"/>
      <c r="AF460" s="150" t="s">
        <v>49</v>
      </c>
      <c r="AG460" s="152" t="s">
        <v>383</v>
      </c>
      <c r="AH460" s="150" t="s">
        <v>1457</v>
      </c>
      <c r="AI460" s="99"/>
      <c r="AJ460" s="149">
        <v>14</v>
      </c>
      <c r="AK460" s="102"/>
      <c r="AL460" s="149">
        <v>14</v>
      </c>
      <c r="AM460" s="102"/>
      <c r="AN460" s="149">
        <v>0</v>
      </c>
      <c r="AO460" s="149">
        <v>1</v>
      </c>
      <c r="AP460" s="149">
        <v>0</v>
      </c>
      <c r="AQ460" s="149">
        <v>13</v>
      </c>
      <c r="AR460" s="149">
        <v>0</v>
      </c>
      <c r="AS460" s="149">
        <v>0</v>
      </c>
      <c r="AT460" s="149">
        <v>0</v>
      </c>
      <c r="AU460" s="149">
        <v>0</v>
      </c>
      <c r="AV460" s="149">
        <v>1</v>
      </c>
      <c r="AW460" s="149">
        <v>0</v>
      </c>
      <c r="AX460" s="149">
        <v>13</v>
      </c>
      <c r="AY460" s="149">
        <v>0</v>
      </c>
      <c r="AZ460" s="149">
        <v>0</v>
      </c>
      <c r="BA460" s="149">
        <v>0</v>
      </c>
      <c r="BB460" s="149">
        <v>0</v>
      </c>
      <c r="BC460" s="149">
        <v>0</v>
      </c>
      <c r="BD460" s="149">
        <v>0</v>
      </c>
      <c r="BE460" s="149">
        <v>0</v>
      </c>
      <c r="BF460" s="149">
        <v>0</v>
      </c>
      <c r="BG460" s="149">
        <v>0</v>
      </c>
      <c r="BH460" s="149">
        <v>0</v>
      </c>
      <c r="BI460" s="149">
        <v>0</v>
      </c>
      <c r="BJ460" s="149">
        <v>0</v>
      </c>
      <c r="BK460" s="149">
        <v>0</v>
      </c>
      <c r="BL460" s="149">
        <v>0</v>
      </c>
      <c r="BM460" s="149">
        <v>0</v>
      </c>
      <c r="BN460" s="149">
        <v>0</v>
      </c>
      <c r="BO460" s="149">
        <v>0</v>
      </c>
      <c r="BP460" s="152"/>
      <c r="BQ460" s="152"/>
      <c r="BR460" s="154" t="s">
        <v>408</v>
      </c>
      <c r="BS460" s="136">
        <v>8</v>
      </c>
      <c r="BT460" s="267"/>
      <c r="BU460" s="267"/>
      <c r="BV460" s="267"/>
      <c r="BW460" s="267"/>
      <c r="BX460" s="267"/>
      <c r="BY460" s="267">
        <f>M460/2</f>
        <v>7</v>
      </c>
      <c r="BZ460" s="267">
        <f>M460/2</f>
        <v>7</v>
      </c>
      <c r="CA460" s="267"/>
      <c r="CB460" s="267"/>
      <c r="CC460" s="267"/>
      <c r="CD460" s="267"/>
      <c r="CE460" s="267"/>
      <c r="CF460" s="267"/>
      <c r="CG460" s="267"/>
      <c r="CH460" s="267"/>
      <c r="CI460" s="267"/>
      <c r="CJ460" s="267"/>
      <c r="CK460" s="267"/>
      <c r="CL460" s="267"/>
      <c r="CM460" s="267"/>
      <c r="CN460" s="101">
        <f t="shared" si="30"/>
        <v>7</v>
      </c>
      <c r="CO460" s="101">
        <f t="shared" si="31"/>
        <v>14</v>
      </c>
    </row>
    <row r="461" spans="1:93" ht="13.9" customHeight="1" x14ac:dyDescent="0.2">
      <c r="A461" s="149">
        <v>2320</v>
      </c>
      <c r="B461" s="150" t="s">
        <v>1216</v>
      </c>
      <c r="C461" s="150" t="s">
        <v>1454</v>
      </c>
      <c r="D461" s="150" t="s">
        <v>1455</v>
      </c>
      <c r="E461" s="150" t="s">
        <v>326</v>
      </c>
      <c r="F461" s="149">
        <v>527260</v>
      </c>
      <c r="G461" s="149">
        <v>177215</v>
      </c>
      <c r="H461" s="150" t="s">
        <v>160</v>
      </c>
      <c r="I461" s="151">
        <v>43190</v>
      </c>
      <c r="J461" s="151"/>
      <c r="K461" s="149">
        <v>0</v>
      </c>
      <c r="L461" s="149">
        <v>10</v>
      </c>
      <c r="M461" s="149">
        <v>10</v>
      </c>
      <c r="N461" s="149">
        <v>118</v>
      </c>
      <c r="O461" s="149">
        <v>118</v>
      </c>
      <c r="P461" s="152" t="s">
        <v>327</v>
      </c>
      <c r="Q461" s="150" t="s">
        <v>1456</v>
      </c>
      <c r="R461" s="150" t="s">
        <v>329</v>
      </c>
      <c r="S461" s="151">
        <v>41855</v>
      </c>
      <c r="T461" s="151">
        <v>42185</v>
      </c>
      <c r="U461" s="152"/>
      <c r="V461" s="150" t="s">
        <v>330</v>
      </c>
      <c r="W461" s="151"/>
      <c r="X461" s="150" t="s">
        <v>331</v>
      </c>
      <c r="Y461" s="150" t="s">
        <v>343</v>
      </c>
      <c r="Z461" s="150" t="s">
        <v>343</v>
      </c>
      <c r="AA461" s="150" t="s">
        <v>334</v>
      </c>
      <c r="AB461" s="153">
        <v>2.5999999999999999E-2</v>
      </c>
      <c r="AC461" s="151"/>
      <c r="AD461" s="150"/>
      <c r="AE461" s="151"/>
      <c r="AF461" s="150" t="s">
        <v>48</v>
      </c>
      <c r="AG461" s="152" t="s">
        <v>344</v>
      </c>
      <c r="AH461" s="150" t="s">
        <v>1457</v>
      </c>
      <c r="AI461" s="99"/>
      <c r="AJ461" s="149">
        <v>10</v>
      </c>
      <c r="AK461" s="102"/>
      <c r="AL461" s="149">
        <v>10</v>
      </c>
      <c r="AM461" s="102"/>
      <c r="AN461" s="149">
        <v>0</v>
      </c>
      <c r="AO461" s="149">
        <v>6</v>
      </c>
      <c r="AP461" s="149">
        <v>2</v>
      </c>
      <c r="AQ461" s="149">
        <v>2</v>
      </c>
      <c r="AR461" s="149">
        <v>0</v>
      </c>
      <c r="AS461" s="149">
        <v>0</v>
      </c>
      <c r="AT461" s="149">
        <v>0</v>
      </c>
      <c r="AU461" s="149">
        <v>0</v>
      </c>
      <c r="AV461" s="149">
        <v>6</v>
      </c>
      <c r="AW461" s="149">
        <v>2</v>
      </c>
      <c r="AX461" s="149">
        <v>2</v>
      </c>
      <c r="AY461" s="149">
        <v>0</v>
      </c>
      <c r="AZ461" s="149">
        <v>0</v>
      </c>
      <c r="BA461" s="149">
        <v>0</v>
      </c>
      <c r="BB461" s="149">
        <v>0</v>
      </c>
      <c r="BC461" s="149">
        <v>0</v>
      </c>
      <c r="BD461" s="149">
        <v>0</v>
      </c>
      <c r="BE461" s="149">
        <v>0</v>
      </c>
      <c r="BF461" s="149">
        <v>0</v>
      </c>
      <c r="BG461" s="149">
        <v>0</v>
      </c>
      <c r="BH461" s="149">
        <v>0</v>
      </c>
      <c r="BI461" s="149">
        <v>0</v>
      </c>
      <c r="BJ461" s="149">
        <v>0</v>
      </c>
      <c r="BK461" s="149">
        <v>0</v>
      </c>
      <c r="BL461" s="149">
        <v>0</v>
      </c>
      <c r="BM461" s="149">
        <v>0</v>
      </c>
      <c r="BN461" s="149">
        <v>0</v>
      </c>
      <c r="BO461" s="149">
        <v>0</v>
      </c>
      <c r="BP461" s="152"/>
      <c r="BQ461" s="152"/>
      <c r="BR461" s="154" t="s">
        <v>408</v>
      </c>
      <c r="BS461" s="136">
        <v>8</v>
      </c>
      <c r="BT461" s="267"/>
      <c r="BU461" s="267"/>
      <c r="BV461" s="267"/>
      <c r="BW461" s="267"/>
      <c r="BX461" s="267"/>
      <c r="BY461" s="267">
        <f>M461/2</f>
        <v>5</v>
      </c>
      <c r="BZ461" s="267">
        <f>M461/2</f>
        <v>5</v>
      </c>
      <c r="CA461" s="267"/>
      <c r="CB461" s="267"/>
      <c r="CC461" s="267"/>
      <c r="CD461" s="267"/>
      <c r="CE461" s="267"/>
      <c r="CF461" s="267"/>
      <c r="CG461" s="267"/>
      <c r="CH461" s="267"/>
      <c r="CI461" s="267"/>
      <c r="CJ461" s="267"/>
      <c r="CK461" s="267"/>
      <c r="CL461" s="267"/>
      <c r="CM461" s="267"/>
      <c r="CN461" s="101">
        <f t="shared" si="30"/>
        <v>5</v>
      </c>
      <c r="CO461" s="101">
        <f t="shared" si="31"/>
        <v>10</v>
      </c>
    </row>
    <row r="462" spans="1:93" ht="13.9" customHeight="1" x14ac:dyDescent="0.2">
      <c r="A462" s="149">
        <v>2530</v>
      </c>
      <c r="B462" s="150" t="s">
        <v>1216</v>
      </c>
      <c r="C462" s="150" t="s">
        <v>1458</v>
      </c>
      <c r="D462" s="150" t="s">
        <v>1459</v>
      </c>
      <c r="E462" s="150" t="s">
        <v>326</v>
      </c>
      <c r="F462" s="149">
        <v>527684</v>
      </c>
      <c r="G462" s="149">
        <v>171814</v>
      </c>
      <c r="H462" s="150" t="s">
        <v>172</v>
      </c>
      <c r="I462" s="151"/>
      <c r="J462" s="151"/>
      <c r="K462" s="149">
        <v>3</v>
      </c>
      <c r="L462" s="149">
        <v>6</v>
      </c>
      <c r="M462" s="149">
        <v>3</v>
      </c>
      <c r="N462" s="149">
        <v>6</v>
      </c>
      <c r="O462" s="149">
        <v>3</v>
      </c>
      <c r="P462" s="152"/>
      <c r="Q462" s="150" t="s">
        <v>1460</v>
      </c>
      <c r="R462" s="150" t="s">
        <v>349</v>
      </c>
      <c r="S462" s="151">
        <v>45201</v>
      </c>
      <c r="T462" s="151">
        <v>45299</v>
      </c>
      <c r="U462" s="152" t="s">
        <v>327</v>
      </c>
      <c r="V462" s="150" t="s">
        <v>330</v>
      </c>
      <c r="W462" s="151"/>
      <c r="X462" s="150" t="s">
        <v>331</v>
      </c>
      <c r="Y462" s="150" t="s">
        <v>350</v>
      </c>
      <c r="Z462" s="150" t="s">
        <v>334</v>
      </c>
      <c r="AA462" s="150" t="s">
        <v>413</v>
      </c>
      <c r="AB462" s="153">
        <v>2.4E-2</v>
      </c>
      <c r="AC462" s="151"/>
      <c r="AD462" s="150"/>
      <c r="AE462" s="151"/>
      <c r="AF462" s="150" t="s">
        <v>70</v>
      </c>
      <c r="AG462" s="152" t="s">
        <v>337</v>
      </c>
      <c r="AH462" s="150" t="s">
        <v>326</v>
      </c>
      <c r="AI462" s="99"/>
      <c r="AJ462" s="149"/>
      <c r="AK462" s="102"/>
      <c r="AL462" s="149"/>
      <c r="AM462" s="102"/>
      <c r="AN462" s="149">
        <v>0</v>
      </c>
      <c r="AO462" s="149">
        <v>0</v>
      </c>
      <c r="AP462" s="149">
        <v>3</v>
      </c>
      <c r="AQ462" s="149">
        <v>0</v>
      </c>
      <c r="AR462" s="149">
        <v>0</v>
      </c>
      <c r="AS462" s="149">
        <v>0</v>
      </c>
      <c r="AT462" s="149">
        <v>0</v>
      </c>
      <c r="AU462" s="149">
        <v>0</v>
      </c>
      <c r="AV462" s="149">
        <v>0</v>
      </c>
      <c r="AW462" s="149">
        <v>3</v>
      </c>
      <c r="AX462" s="149">
        <v>0</v>
      </c>
      <c r="AY462" s="149">
        <v>0</v>
      </c>
      <c r="AZ462" s="149">
        <v>0</v>
      </c>
      <c r="BA462" s="149">
        <v>0</v>
      </c>
      <c r="BB462" s="149">
        <v>0</v>
      </c>
      <c r="BC462" s="149">
        <v>0</v>
      </c>
      <c r="BD462" s="149">
        <v>0</v>
      </c>
      <c r="BE462" s="149">
        <v>0</v>
      </c>
      <c r="BF462" s="149">
        <v>0</v>
      </c>
      <c r="BG462" s="149">
        <v>0</v>
      </c>
      <c r="BH462" s="149">
        <v>0</v>
      </c>
      <c r="BI462" s="149">
        <v>0</v>
      </c>
      <c r="BJ462" s="149">
        <v>0</v>
      </c>
      <c r="BK462" s="149">
        <v>0</v>
      </c>
      <c r="BL462" s="149">
        <v>0</v>
      </c>
      <c r="BM462" s="149">
        <v>0</v>
      </c>
      <c r="BN462" s="149">
        <v>0</v>
      </c>
      <c r="BO462" s="149">
        <v>0</v>
      </c>
      <c r="BP462" s="152" t="s">
        <v>142</v>
      </c>
      <c r="BQ462" s="152"/>
      <c r="BR462" s="154" t="s">
        <v>142</v>
      </c>
      <c r="BS462" s="136">
        <v>16</v>
      </c>
      <c r="BT462" s="267"/>
      <c r="BU462" s="267">
        <f>M462/3</f>
        <v>1</v>
      </c>
      <c r="BV462" s="267">
        <f>M462/3</f>
        <v>1</v>
      </c>
      <c r="BW462" s="267">
        <f>M462/3</f>
        <v>1</v>
      </c>
      <c r="BX462" s="267"/>
      <c r="BY462" s="267"/>
      <c r="BZ462" s="267"/>
      <c r="CA462" s="267"/>
      <c r="CB462" s="267"/>
      <c r="CC462" s="267"/>
      <c r="CD462" s="267"/>
      <c r="CE462" s="267"/>
      <c r="CF462" s="267"/>
      <c r="CG462" s="267"/>
      <c r="CH462" s="267"/>
      <c r="CI462" s="267"/>
      <c r="CJ462" s="267"/>
      <c r="CK462" s="267"/>
      <c r="CL462" s="267"/>
      <c r="CM462" s="267"/>
      <c r="CN462" s="101">
        <f t="shared" si="30"/>
        <v>3</v>
      </c>
      <c r="CO462" s="101">
        <f t="shared" si="31"/>
        <v>3</v>
      </c>
    </row>
    <row r="463" spans="1:93" ht="13.9" customHeight="1" x14ac:dyDescent="0.2">
      <c r="A463" s="149">
        <v>5442</v>
      </c>
      <c r="B463" s="150" t="s">
        <v>1216</v>
      </c>
      <c r="C463" s="150" t="s">
        <v>1461</v>
      </c>
      <c r="D463" s="150" t="s">
        <v>1462</v>
      </c>
      <c r="E463" s="150" t="s">
        <v>326</v>
      </c>
      <c r="F463" s="149">
        <v>525614</v>
      </c>
      <c r="G463" s="149">
        <v>172864</v>
      </c>
      <c r="H463" s="150" t="s">
        <v>169</v>
      </c>
      <c r="I463" s="151">
        <v>41729</v>
      </c>
      <c r="J463" s="151"/>
      <c r="K463" s="149">
        <v>0</v>
      </c>
      <c r="L463" s="149">
        <v>1</v>
      </c>
      <c r="M463" s="149">
        <v>1</v>
      </c>
      <c r="N463" s="149">
        <v>1</v>
      </c>
      <c r="O463" s="149">
        <v>1</v>
      </c>
      <c r="P463" s="152"/>
      <c r="Q463" s="150" t="s">
        <v>1463</v>
      </c>
      <c r="R463" s="150" t="s">
        <v>349</v>
      </c>
      <c r="S463" s="151">
        <v>41470</v>
      </c>
      <c r="T463" s="151">
        <v>41558</v>
      </c>
      <c r="U463" s="152"/>
      <c r="V463" s="150" t="s">
        <v>330</v>
      </c>
      <c r="W463" s="151"/>
      <c r="X463" s="150" t="s">
        <v>331</v>
      </c>
      <c r="Y463" s="150" t="s">
        <v>343</v>
      </c>
      <c r="Z463" s="150" t="s">
        <v>334</v>
      </c>
      <c r="AA463" s="150" t="s">
        <v>363</v>
      </c>
      <c r="AB463" s="153">
        <v>4.0000000000000001E-3</v>
      </c>
      <c r="AC463" s="151"/>
      <c r="AD463" s="150"/>
      <c r="AE463" s="151"/>
      <c r="AF463" s="150" t="s">
        <v>70</v>
      </c>
      <c r="AG463" s="152" t="s">
        <v>352</v>
      </c>
      <c r="AH463" s="150" t="s">
        <v>326</v>
      </c>
      <c r="AI463" s="99"/>
      <c r="AJ463" s="149"/>
      <c r="AK463" s="102"/>
      <c r="AL463" s="149"/>
      <c r="AM463" s="102"/>
      <c r="AN463" s="149">
        <v>0</v>
      </c>
      <c r="AO463" s="149">
        <v>1</v>
      </c>
      <c r="AP463" s="149">
        <v>0</v>
      </c>
      <c r="AQ463" s="149">
        <v>0</v>
      </c>
      <c r="AR463" s="149">
        <v>0</v>
      </c>
      <c r="AS463" s="149">
        <v>0</v>
      </c>
      <c r="AT463" s="149">
        <v>0</v>
      </c>
      <c r="AU463" s="149">
        <v>0</v>
      </c>
      <c r="AV463" s="149">
        <v>0</v>
      </c>
      <c r="AW463" s="149">
        <v>0</v>
      </c>
      <c r="AX463" s="149">
        <v>0</v>
      </c>
      <c r="AY463" s="149">
        <v>0</v>
      </c>
      <c r="AZ463" s="149">
        <v>0</v>
      </c>
      <c r="BA463" s="149">
        <v>0</v>
      </c>
      <c r="BB463" s="149">
        <v>0</v>
      </c>
      <c r="BC463" s="149">
        <v>1</v>
      </c>
      <c r="BD463" s="149">
        <v>0</v>
      </c>
      <c r="BE463" s="149">
        <v>0</v>
      </c>
      <c r="BF463" s="149">
        <v>0</v>
      </c>
      <c r="BG463" s="149">
        <v>0</v>
      </c>
      <c r="BH463" s="149">
        <v>0</v>
      </c>
      <c r="BI463" s="149">
        <v>0</v>
      </c>
      <c r="BJ463" s="149">
        <v>0</v>
      </c>
      <c r="BK463" s="149">
        <v>0</v>
      </c>
      <c r="BL463" s="149">
        <v>0</v>
      </c>
      <c r="BM463" s="149">
        <v>0</v>
      </c>
      <c r="BN463" s="149">
        <v>0</v>
      </c>
      <c r="BO463" s="149">
        <v>0</v>
      </c>
      <c r="BP463" s="152"/>
      <c r="BQ463" s="152"/>
      <c r="BR463" s="154" t="s">
        <v>151</v>
      </c>
      <c r="BS463" s="136">
        <v>7</v>
      </c>
      <c r="BT463" s="267"/>
      <c r="BU463" s="267"/>
      <c r="BV463" s="267">
        <f>M463/4</f>
        <v>0.25</v>
      </c>
      <c r="BW463" s="267">
        <f>M463/4</f>
        <v>0.25</v>
      </c>
      <c r="BX463" s="267">
        <f>M463/4</f>
        <v>0.25</v>
      </c>
      <c r="BY463" s="267">
        <f>M463/4</f>
        <v>0.25</v>
      </c>
      <c r="BZ463" s="267"/>
      <c r="CA463" s="267"/>
      <c r="CB463" s="267"/>
      <c r="CC463" s="267"/>
      <c r="CD463" s="267"/>
      <c r="CE463" s="267"/>
      <c r="CF463" s="267"/>
      <c r="CG463" s="267"/>
      <c r="CH463" s="267"/>
      <c r="CI463" s="267"/>
      <c r="CJ463" s="267"/>
      <c r="CK463" s="267"/>
      <c r="CL463" s="267"/>
      <c r="CM463" s="267"/>
      <c r="CN463" s="101">
        <f t="shared" si="30"/>
        <v>1</v>
      </c>
      <c r="CO463" s="101">
        <f t="shared" si="31"/>
        <v>1</v>
      </c>
    </row>
    <row r="464" spans="1:93" ht="13.9" customHeight="1" x14ac:dyDescent="0.2">
      <c r="A464" s="149">
        <v>3511</v>
      </c>
      <c r="B464" s="150" t="s">
        <v>1216</v>
      </c>
      <c r="C464" s="150" t="s">
        <v>1464</v>
      </c>
      <c r="D464" s="150" t="s">
        <v>598</v>
      </c>
      <c r="E464" s="150" t="s">
        <v>1465</v>
      </c>
      <c r="F464" s="149">
        <v>529369</v>
      </c>
      <c r="G464" s="149">
        <v>177317</v>
      </c>
      <c r="H464" s="150" t="s">
        <v>149</v>
      </c>
      <c r="I464" s="151">
        <v>42825</v>
      </c>
      <c r="J464" s="151"/>
      <c r="K464" s="149">
        <v>0</v>
      </c>
      <c r="L464" s="149">
        <v>72</v>
      </c>
      <c r="M464" s="149">
        <v>72</v>
      </c>
      <c r="N464" s="149">
        <v>2971</v>
      </c>
      <c r="O464" s="149">
        <v>2966</v>
      </c>
      <c r="P464" s="152" t="s">
        <v>327</v>
      </c>
      <c r="Q464" s="150" t="s">
        <v>1466</v>
      </c>
      <c r="R464" s="150" t="s">
        <v>1467</v>
      </c>
      <c r="S464" s="151">
        <v>41774</v>
      </c>
      <c r="T464" s="151">
        <v>42046</v>
      </c>
      <c r="U464" s="152"/>
      <c r="V464" s="150" t="s">
        <v>330</v>
      </c>
      <c r="W464" s="151"/>
      <c r="X464" s="150" t="s">
        <v>331</v>
      </c>
      <c r="Y464" s="150" t="s">
        <v>343</v>
      </c>
      <c r="Z464" s="150" t="s">
        <v>343</v>
      </c>
      <c r="AA464" s="150" t="s">
        <v>334</v>
      </c>
      <c r="AB464" s="153">
        <v>0.435</v>
      </c>
      <c r="AC464" s="151"/>
      <c r="AD464" s="150"/>
      <c r="AE464" s="151"/>
      <c r="AF464" s="150" t="s">
        <v>49</v>
      </c>
      <c r="AG464" s="152" t="s">
        <v>470</v>
      </c>
      <c r="AH464" s="150" t="s">
        <v>601</v>
      </c>
      <c r="AI464" s="99"/>
      <c r="AJ464" s="149"/>
      <c r="AK464" s="149">
        <v>65</v>
      </c>
      <c r="AL464" s="149"/>
      <c r="AM464" s="149">
        <v>7</v>
      </c>
      <c r="AN464" s="149">
        <v>0</v>
      </c>
      <c r="AO464" s="149">
        <v>11</v>
      </c>
      <c r="AP464" s="149">
        <v>32</v>
      </c>
      <c r="AQ464" s="149">
        <v>22</v>
      </c>
      <c r="AR464" s="149">
        <v>7</v>
      </c>
      <c r="AS464" s="149">
        <v>0</v>
      </c>
      <c r="AT464" s="149">
        <v>0</v>
      </c>
      <c r="AU464" s="149">
        <v>0</v>
      </c>
      <c r="AV464" s="149">
        <v>11</v>
      </c>
      <c r="AW464" s="149">
        <v>32</v>
      </c>
      <c r="AX464" s="149">
        <v>22</v>
      </c>
      <c r="AY464" s="149">
        <v>7</v>
      </c>
      <c r="AZ464" s="149">
        <v>0</v>
      </c>
      <c r="BA464" s="149">
        <v>0</v>
      </c>
      <c r="BB464" s="149">
        <v>0</v>
      </c>
      <c r="BC464" s="149">
        <v>0</v>
      </c>
      <c r="BD464" s="149">
        <v>0</v>
      </c>
      <c r="BE464" s="149">
        <v>0</v>
      </c>
      <c r="BF464" s="149">
        <v>0</v>
      </c>
      <c r="BG464" s="149">
        <v>0</v>
      </c>
      <c r="BH464" s="149">
        <v>0</v>
      </c>
      <c r="BI464" s="149">
        <v>0</v>
      </c>
      <c r="BJ464" s="149">
        <v>0</v>
      </c>
      <c r="BK464" s="149">
        <v>0</v>
      </c>
      <c r="BL464" s="149">
        <v>0</v>
      </c>
      <c r="BM464" s="149">
        <v>0</v>
      </c>
      <c r="BN464" s="149">
        <v>0</v>
      </c>
      <c r="BO464" s="149">
        <v>0</v>
      </c>
      <c r="BP464" s="152"/>
      <c r="BQ464" s="152" t="s">
        <v>327</v>
      </c>
      <c r="BR464" s="154" t="s">
        <v>149</v>
      </c>
      <c r="BS464" s="136">
        <v>8</v>
      </c>
      <c r="BT464" s="267"/>
      <c r="BU464" s="267"/>
      <c r="BV464" s="267"/>
      <c r="BW464" s="267"/>
      <c r="BX464" s="267"/>
      <c r="BY464" s="267"/>
      <c r="BZ464" s="267"/>
      <c r="CA464" s="267"/>
      <c r="CB464" s="267"/>
      <c r="CC464" s="267"/>
      <c r="CD464" s="267">
        <f>M464</f>
        <v>72</v>
      </c>
      <c r="CE464" s="267"/>
      <c r="CF464" s="267"/>
      <c r="CG464" s="267"/>
      <c r="CH464" s="267"/>
      <c r="CI464" s="267"/>
      <c r="CJ464" s="267"/>
      <c r="CK464" s="267"/>
      <c r="CL464" s="267"/>
      <c r="CM464" s="267"/>
      <c r="CN464" s="101">
        <f t="shared" si="30"/>
        <v>0</v>
      </c>
      <c r="CO464" s="101">
        <f t="shared" si="31"/>
        <v>72</v>
      </c>
    </row>
    <row r="465" spans="1:93" ht="13.9" customHeight="1" x14ac:dyDescent="0.2">
      <c r="A465" s="149">
        <v>3511</v>
      </c>
      <c r="B465" s="150" t="s">
        <v>1216</v>
      </c>
      <c r="C465" s="150" t="s">
        <v>1464</v>
      </c>
      <c r="D465" s="150" t="s">
        <v>598</v>
      </c>
      <c r="E465" s="150" t="s">
        <v>1468</v>
      </c>
      <c r="F465" s="149">
        <v>529369</v>
      </c>
      <c r="G465" s="149">
        <v>177317</v>
      </c>
      <c r="H465" s="150" t="s">
        <v>149</v>
      </c>
      <c r="I465" s="151">
        <v>42825</v>
      </c>
      <c r="J465" s="151"/>
      <c r="K465" s="149">
        <v>0</v>
      </c>
      <c r="L465" s="149">
        <v>151</v>
      </c>
      <c r="M465" s="149">
        <v>151</v>
      </c>
      <c r="N465" s="149">
        <v>2971</v>
      </c>
      <c r="O465" s="149">
        <v>2966</v>
      </c>
      <c r="P465" s="152" t="s">
        <v>327</v>
      </c>
      <c r="Q465" s="150" t="s">
        <v>1466</v>
      </c>
      <c r="R465" s="150" t="s">
        <v>1467</v>
      </c>
      <c r="S465" s="151">
        <v>41774</v>
      </c>
      <c r="T465" s="151">
        <v>42046</v>
      </c>
      <c r="U465" s="152"/>
      <c r="V465" s="150" t="s">
        <v>330</v>
      </c>
      <c r="W465" s="151"/>
      <c r="X465" s="150" t="s">
        <v>331</v>
      </c>
      <c r="Y465" s="150" t="s">
        <v>343</v>
      </c>
      <c r="Z465" s="150" t="s">
        <v>343</v>
      </c>
      <c r="AA465" s="150" t="s">
        <v>334</v>
      </c>
      <c r="AB465" s="153">
        <v>0.91100000000000003</v>
      </c>
      <c r="AC465" s="151"/>
      <c r="AD465" s="150"/>
      <c r="AE465" s="151"/>
      <c r="AF465" s="150" t="s">
        <v>70</v>
      </c>
      <c r="AG465" s="152" t="s">
        <v>352</v>
      </c>
      <c r="AH465" s="150" t="s">
        <v>601</v>
      </c>
      <c r="AI465" s="99"/>
      <c r="AJ465" s="149"/>
      <c r="AK465" s="149">
        <v>136</v>
      </c>
      <c r="AL465" s="149"/>
      <c r="AM465" s="149">
        <v>15</v>
      </c>
      <c r="AN465" s="149">
        <v>19</v>
      </c>
      <c r="AO465" s="149">
        <v>30</v>
      </c>
      <c r="AP465" s="149">
        <v>91</v>
      </c>
      <c r="AQ465" s="149">
        <v>11</v>
      </c>
      <c r="AR465" s="149">
        <v>0</v>
      </c>
      <c r="AS465" s="149">
        <v>0</v>
      </c>
      <c r="AT465" s="149">
        <v>0</v>
      </c>
      <c r="AU465" s="149">
        <v>19</v>
      </c>
      <c r="AV465" s="149">
        <v>30</v>
      </c>
      <c r="AW465" s="149">
        <v>91</v>
      </c>
      <c r="AX465" s="149">
        <v>11</v>
      </c>
      <c r="AY465" s="149">
        <v>0</v>
      </c>
      <c r="AZ465" s="149">
        <v>0</v>
      </c>
      <c r="BA465" s="149">
        <v>0</v>
      </c>
      <c r="BB465" s="149">
        <v>0</v>
      </c>
      <c r="BC465" s="149">
        <v>0</v>
      </c>
      <c r="BD465" s="149">
        <v>0</v>
      </c>
      <c r="BE465" s="149">
        <v>0</v>
      </c>
      <c r="BF465" s="149">
        <v>0</v>
      </c>
      <c r="BG465" s="149">
        <v>0</v>
      </c>
      <c r="BH465" s="149">
        <v>0</v>
      </c>
      <c r="BI465" s="149">
        <v>0</v>
      </c>
      <c r="BJ465" s="149">
        <v>0</v>
      </c>
      <c r="BK465" s="149">
        <v>0</v>
      </c>
      <c r="BL465" s="149">
        <v>0</v>
      </c>
      <c r="BM465" s="149">
        <v>0</v>
      </c>
      <c r="BN465" s="149">
        <v>0</v>
      </c>
      <c r="BO465" s="149">
        <v>0</v>
      </c>
      <c r="BP465" s="152"/>
      <c r="BQ465" s="152" t="s">
        <v>327</v>
      </c>
      <c r="BR465" s="154" t="s">
        <v>149</v>
      </c>
      <c r="BS465" s="136">
        <v>8</v>
      </c>
      <c r="BT465" s="267"/>
      <c r="BU465" s="267"/>
      <c r="BV465" s="267"/>
      <c r="BW465" s="267"/>
      <c r="BX465" s="267"/>
      <c r="BY465" s="267"/>
      <c r="BZ465" s="267"/>
      <c r="CA465" s="267"/>
      <c r="CB465" s="267"/>
      <c r="CC465" s="267">
        <f>M465</f>
        <v>151</v>
      </c>
      <c r="CD465" s="267"/>
      <c r="CE465" s="267"/>
      <c r="CF465" s="267"/>
      <c r="CG465" s="267"/>
      <c r="CH465" s="267"/>
      <c r="CI465" s="267"/>
      <c r="CJ465" s="267"/>
      <c r="CK465" s="267"/>
      <c r="CL465" s="267"/>
      <c r="CM465" s="267"/>
      <c r="CN465" s="101">
        <f t="shared" si="30"/>
        <v>0</v>
      </c>
      <c r="CO465" s="101">
        <f t="shared" si="31"/>
        <v>151</v>
      </c>
    </row>
    <row r="466" spans="1:93" ht="13.9" customHeight="1" x14ac:dyDescent="0.2">
      <c r="A466" s="149">
        <v>3511</v>
      </c>
      <c r="B466" s="150" t="s">
        <v>1216</v>
      </c>
      <c r="C466" s="150" t="s">
        <v>1464</v>
      </c>
      <c r="D466" s="150" t="s">
        <v>598</v>
      </c>
      <c r="E466" s="150" t="s">
        <v>1469</v>
      </c>
      <c r="F466" s="149">
        <v>529369</v>
      </c>
      <c r="G466" s="149">
        <v>177317</v>
      </c>
      <c r="H466" s="150" t="s">
        <v>149</v>
      </c>
      <c r="I466" s="151">
        <v>42825</v>
      </c>
      <c r="J466" s="151"/>
      <c r="K466" s="149">
        <v>0</v>
      </c>
      <c r="L466" s="149">
        <v>96</v>
      </c>
      <c r="M466" s="149">
        <v>96</v>
      </c>
      <c r="N466" s="149">
        <v>2971</v>
      </c>
      <c r="O466" s="149">
        <v>2966</v>
      </c>
      <c r="P466" s="152" t="s">
        <v>327</v>
      </c>
      <c r="Q466" s="150" t="s">
        <v>1466</v>
      </c>
      <c r="R466" s="150" t="s">
        <v>1467</v>
      </c>
      <c r="S466" s="151">
        <v>41774</v>
      </c>
      <c r="T466" s="151">
        <v>42046</v>
      </c>
      <c r="U466" s="152"/>
      <c r="V466" s="150" t="s">
        <v>330</v>
      </c>
      <c r="W466" s="151"/>
      <c r="X466" s="150" t="s">
        <v>331</v>
      </c>
      <c r="Y466" s="150" t="s">
        <v>343</v>
      </c>
      <c r="Z466" s="150" t="s">
        <v>343</v>
      </c>
      <c r="AA466" s="150" t="s">
        <v>334</v>
      </c>
      <c r="AB466" s="153">
        <v>0.57299999999999995</v>
      </c>
      <c r="AC466" s="151"/>
      <c r="AD466" s="150"/>
      <c r="AE466" s="151"/>
      <c r="AF466" s="150" t="s">
        <v>48</v>
      </c>
      <c r="AG466" s="152" t="s">
        <v>992</v>
      </c>
      <c r="AH466" s="150" t="s">
        <v>601</v>
      </c>
      <c r="AI466" s="99"/>
      <c r="AJ466" s="149"/>
      <c r="AK466" s="149">
        <v>86</v>
      </c>
      <c r="AL466" s="149"/>
      <c r="AM466" s="149">
        <v>10</v>
      </c>
      <c r="AN466" s="149">
        <v>12</v>
      </c>
      <c r="AO466" s="149">
        <v>19</v>
      </c>
      <c r="AP466" s="149">
        <v>57</v>
      </c>
      <c r="AQ466" s="149">
        <v>8</v>
      </c>
      <c r="AR466" s="149">
        <v>0</v>
      </c>
      <c r="AS466" s="149">
        <v>0</v>
      </c>
      <c r="AT466" s="149">
        <v>0</v>
      </c>
      <c r="AU466" s="149">
        <v>12</v>
      </c>
      <c r="AV466" s="149">
        <v>19</v>
      </c>
      <c r="AW466" s="149">
        <v>57</v>
      </c>
      <c r="AX466" s="149">
        <v>8</v>
      </c>
      <c r="AY466" s="149">
        <v>0</v>
      </c>
      <c r="AZ466" s="149">
        <v>0</v>
      </c>
      <c r="BA466" s="149">
        <v>0</v>
      </c>
      <c r="BB466" s="149">
        <v>0</v>
      </c>
      <c r="BC466" s="149">
        <v>0</v>
      </c>
      <c r="BD466" s="149">
        <v>0</v>
      </c>
      <c r="BE466" s="149">
        <v>0</v>
      </c>
      <c r="BF466" s="149">
        <v>0</v>
      </c>
      <c r="BG466" s="149">
        <v>0</v>
      </c>
      <c r="BH466" s="149">
        <v>0</v>
      </c>
      <c r="BI466" s="149">
        <v>0</v>
      </c>
      <c r="BJ466" s="149">
        <v>0</v>
      </c>
      <c r="BK466" s="149">
        <v>0</v>
      </c>
      <c r="BL466" s="149">
        <v>0</v>
      </c>
      <c r="BM466" s="149">
        <v>0</v>
      </c>
      <c r="BN466" s="149">
        <v>0</v>
      </c>
      <c r="BO466" s="149">
        <v>0</v>
      </c>
      <c r="BP466" s="152"/>
      <c r="BQ466" s="152" t="s">
        <v>327</v>
      </c>
      <c r="BR466" s="154" t="s">
        <v>149</v>
      </c>
      <c r="BS466" s="136">
        <v>8</v>
      </c>
      <c r="BT466" s="267"/>
      <c r="BU466" s="267"/>
      <c r="BV466" s="267"/>
      <c r="BW466" s="267"/>
      <c r="BX466" s="267"/>
      <c r="BY466" s="267"/>
      <c r="BZ466" s="267"/>
      <c r="CA466" s="267"/>
      <c r="CB466" s="267"/>
      <c r="CC466" s="267">
        <f>M466</f>
        <v>96</v>
      </c>
      <c r="CD466" s="267"/>
      <c r="CE466" s="267"/>
      <c r="CF466" s="267"/>
      <c r="CG466" s="267"/>
      <c r="CH466" s="267"/>
      <c r="CI466" s="267"/>
      <c r="CJ466" s="267"/>
      <c r="CK466" s="267"/>
      <c r="CL466" s="267"/>
      <c r="CM466" s="267"/>
      <c r="CN466" s="101">
        <f t="shared" si="30"/>
        <v>0</v>
      </c>
      <c r="CO466" s="101">
        <f t="shared" si="31"/>
        <v>96</v>
      </c>
    </row>
    <row r="467" spans="1:93" ht="13.9" customHeight="1" x14ac:dyDescent="0.2">
      <c r="A467" s="149">
        <v>3511</v>
      </c>
      <c r="B467" s="150" t="s">
        <v>1216</v>
      </c>
      <c r="C467" s="150" t="s">
        <v>1464</v>
      </c>
      <c r="D467" s="150" t="s">
        <v>598</v>
      </c>
      <c r="E467" s="150" t="s">
        <v>1470</v>
      </c>
      <c r="F467" s="149">
        <v>529369</v>
      </c>
      <c r="G467" s="149">
        <v>177317</v>
      </c>
      <c r="H467" s="150" t="s">
        <v>149</v>
      </c>
      <c r="I467" s="151">
        <v>42825</v>
      </c>
      <c r="J467" s="151"/>
      <c r="K467" s="149">
        <v>0</v>
      </c>
      <c r="L467" s="149">
        <v>86</v>
      </c>
      <c r="M467" s="149">
        <v>86</v>
      </c>
      <c r="N467" s="149">
        <v>2971</v>
      </c>
      <c r="O467" s="149">
        <v>2966</v>
      </c>
      <c r="P467" s="152" t="s">
        <v>327</v>
      </c>
      <c r="Q467" s="150" t="s">
        <v>1466</v>
      </c>
      <c r="R467" s="150" t="s">
        <v>1467</v>
      </c>
      <c r="S467" s="151">
        <v>41774</v>
      </c>
      <c r="T467" s="151">
        <v>42046</v>
      </c>
      <c r="U467" s="152"/>
      <c r="V467" s="150" t="s">
        <v>330</v>
      </c>
      <c r="W467" s="151"/>
      <c r="X467" s="150" t="s">
        <v>331</v>
      </c>
      <c r="Y467" s="150" t="s">
        <v>343</v>
      </c>
      <c r="Z467" s="150" t="s">
        <v>343</v>
      </c>
      <c r="AA467" s="150" t="s">
        <v>334</v>
      </c>
      <c r="AB467" s="153">
        <v>0.52400000000000002</v>
      </c>
      <c r="AC467" s="151"/>
      <c r="AD467" s="150"/>
      <c r="AE467" s="151"/>
      <c r="AF467" s="150" t="s">
        <v>70</v>
      </c>
      <c r="AG467" s="152" t="s">
        <v>352</v>
      </c>
      <c r="AH467" s="150" t="s">
        <v>601</v>
      </c>
      <c r="AI467" s="99"/>
      <c r="AJ467" s="149"/>
      <c r="AK467" s="149">
        <v>77</v>
      </c>
      <c r="AL467" s="149"/>
      <c r="AM467" s="149">
        <v>9</v>
      </c>
      <c r="AN467" s="149">
        <v>0</v>
      </c>
      <c r="AO467" s="149">
        <v>17</v>
      </c>
      <c r="AP467" s="149">
        <v>30</v>
      </c>
      <c r="AQ467" s="149">
        <v>39</v>
      </c>
      <c r="AR467" s="149">
        <v>0</v>
      </c>
      <c r="AS467" s="149">
        <v>0</v>
      </c>
      <c r="AT467" s="149">
        <v>0</v>
      </c>
      <c r="AU467" s="149">
        <v>0</v>
      </c>
      <c r="AV467" s="149">
        <v>17</v>
      </c>
      <c r="AW467" s="149">
        <v>30</v>
      </c>
      <c r="AX467" s="149">
        <v>39</v>
      </c>
      <c r="AY467" s="149">
        <v>0</v>
      </c>
      <c r="AZ467" s="149">
        <v>0</v>
      </c>
      <c r="BA467" s="149">
        <v>0</v>
      </c>
      <c r="BB467" s="149">
        <v>0</v>
      </c>
      <c r="BC467" s="149">
        <v>0</v>
      </c>
      <c r="BD467" s="149">
        <v>0</v>
      </c>
      <c r="BE467" s="149">
        <v>0</v>
      </c>
      <c r="BF467" s="149">
        <v>0</v>
      </c>
      <c r="BG467" s="149">
        <v>0</v>
      </c>
      <c r="BH467" s="149">
        <v>0</v>
      </c>
      <c r="BI467" s="149">
        <v>0</v>
      </c>
      <c r="BJ467" s="149">
        <v>0</v>
      </c>
      <c r="BK467" s="149">
        <v>0</v>
      </c>
      <c r="BL467" s="149">
        <v>0</v>
      </c>
      <c r="BM467" s="149">
        <v>0</v>
      </c>
      <c r="BN467" s="149">
        <v>0</v>
      </c>
      <c r="BO467" s="149">
        <v>0</v>
      </c>
      <c r="BP467" s="152"/>
      <c r="BQ467" s="152" t="s">
        <v>327</v>
      </c>
      <c r="BR467" s="154" t="s">
        <v>149</v>
      </c>
      <c r="BS467" s="136">
        <v>8</v>
      </c>
      <c r="BT467" s="267"/>
      <c r="BU467" s="267"/>
      <c r="BV467" s="267"/>
      <c r="BW467" s="267"/>
      <c r="BX467" s="267"/>
      <c r="BY467" s="267"/>
      <c r="BZ467" s="267"/>
      <c r="CA467" s="267"/>
      <c r="CB467" s="267"/>
      <c r="CC467" s="267">
        <f>M467</f>
        <v>86</v>
      </c>
      <c r="CD467" s="267"/>
      <c r="CE467" s="267"/>
      <c r="CF467" s="267"/>
      <c r="CG467" s="267"/>
      <c r="CH467" s="267"/>
      <c r="CI467" s="267"/>
      <c r="CJ467" s="267"/>
      <c r="CK467" s="267"/>
      <c r="CL467" s="267"/>
      <c r="CM467" s="267"/>
      <c r="CN467" s="101">
        <f t="shared" si="30"/>
        <v>0</v>
      </c>
      <c r="CO467" s="101">
        <f t="shared" si="31"/>
        <v>86</v>
      </c>
    </row>
    <row r="468" spans="1:93" ht="13.9" customHeight="1" x14ac:dyDescent="0.2">
      <c r="A468" s="149">
        <v>3511</v>
      </c>
      <c r="B468" s="150" t="s">
        <v>1216</v>
      </c>
      <c r="C468" s="150" t="s">
        <v>1464</v>
      </c>
      <c r="D468" s="150" t="s">
        <v>598</v>
      </c>
      <c r="E468" s="150" t="s">
        <v>1471</v>
      </c>
      <c r="F468" s="149">
        <v>529369</v>
      </c>
      <c r="G468" s="149">
        <v>177317</v>
      </c>
      <c r="H468" s="150" t="s">
        <v>149</v>
      </c>
      <c r="I468" s="151">
        <v>42825</v>
      </c>
      <c r="J468" s="151"/>
      <c r="K468" s="149">
        <v>0</v>
      </c>
      <c r="L468" s="149">
        <v>59</v>
      </c>
      <c r="M468" s="149">
        <v>59</v>
      </c>
      <c r="N468" s="149">
        <v>2971</v>
      </c>
      <c r="O468" s="149">
        <v>2966</v>
      </c>
      <c r="P468" s="152" t="s">
        <v>327</v>
      </c>
      <c r="Q468" s="150" t="s">
        <v>1466</v>
      </c>
      <c r="R468" s="150" t="s">
        <v>1467</v>
      </c>
      <c r="S468" s="151">
        <v>41774</v>
      </c>
      <c r="T468" s="151">
        <v>42046</v>
      </c>
      <c r="U468" s="152"/>
      <c r="V468" s="150" t="s">
        <v>330</v>
      </c>
      <c r="W468" s="151"/>
      <c r="X468" s="150" t="s">
        <v>331</v>
      </c>
      <c r="Y468" s="150" t="s">
        <v>343</v>
      </c>
      <c r="Z468" s="150" t="s">
        <v>343</v>
      </c>
      <c r="AA468" s="150" t="s">
        <v>334</v>
      </c>
      <c r="AB468" s="153">
        <v>0.35599999999999998</v>
      </c>
      <c r="AC468" s="151"/>
      <c r="AD468" s="150"/>
      <c r="AE468" s="151"/>
      <c r="AF468" s="150" t="s">
        <v>49</v>
      </c>
      <c r="AG468" s="152" t="s">
        <v>470</v>
      </c>
      <c r="AH468" s="150" t="s">
        <v>601</v>
      </c>
      <c r="AI468" s="99"/>
      <c r="AJ468" s="149"/>
      <c r="AK468" s="138">
        <v>53</v>
      </c>
      <c r="AL468" s="149"/>
      <c r="AM468" s="138">
        <v>6</v>
      </c>
      <c r="AN468" s="149">
        <v>7</v>
      </c>
      <c r="AO468" s="149">
        <v>12</v>
      </c>
      <c r="AP468" s="149">
        <v>36</v>
      </c>
      <c r="AQ468" s="149">
        <v>4</v>
      </c>
      <c r="AR468" s="149">
        <v>0</v>
      </c>
      <c r="AS468" s="149">
        <v>0</v>
      </c>
      <c r="AT468" s="149">
        <v>0</v>
      </c>
      <c r="AU468" s="149">
        <v>7</v>
      </c>
      <c r="AV468" s="149">
        <v>12</v>
      </c>
      <c r="AW468" s="149">
        <v>36</v>
      </c>
      <c r="AX468" s="149">
        <v>4</v>
      </c>
      <c r="AY468" s="149">
        <v>0</v>
      </c>
      <c r="AZ468" s="149">
        <v>0</v>
      </c>
      <c r="BA468" s="149">
        <v>0</v>
      </c>
      <c r="BB468" s="149">
        <v>0</v>
      </c>
      <c r="BC468" s="149">
        <v>0</v>
      </c>
      <c r="BD468" s="149">
        <v>0</v>
      </c>
      <c r="BE468" s="149">
        <v>0</v>
      </c>
      <c r="BF468" s="149">
        <v>0</v>
      </c>
      <c r="BG468" s="149">
        <v>0</v>
      </c>
      <c r="BH468" s="149">
        <v>0</v>
      </c>
      <c r="BI468" s="149">
        <v>0</v>
      </c>
      <c r="BJ468" s="149">
        <v>0</v>
      </c>
      <c r="BK468" s="149">
        <v>0</v>
      </c>
      <c r="BL468" s="149">
        <v>0</v>
      </c>
      <c r="BM468" s="149">
        <v>0</v>
      </c>
      <c r="BN468" s="149">
        <v>0</v>
      </c>
      <c r="BO468" s="149">
        <v>0</v>
      </c>
      <c r="BP468" s="152"/>
      <c r="BQ468" s="152" t="s">
        <v>327</v>
      </c>
      <c r="BR468" s="154" t="s">
        <v>149</v>
      </c>
      <c r="BS468" s="136">
        <v>8</v>
      </c>
      <c r="BT468" s="267"/>
      <c r="BU468" s="267"/>
      <c r="BV468" s="267"/>
      <c r="BW468" s="267"/>
      <c r="BX468" s="267"/>
      <c r="BY468" s="267"/>
      <c r="BZ468" s="267"/>
      <c r="CA468" s="267"/>
      <c r="CB468" s="267"/>
      <c r="CC468" s="267">
        <f>M468</f>
        <v>59</v>
      </c>
      <c r="CD468" s="267"/>
      <c r="CE468" s="267"/>
      <c r="CF468" s="267"/>
      <c r="CG468" s="267"/>
      <c r="CH468" s="267"/>
      <c r="CI468" s="267"/>
      <c r="CJ468" s="267"/>
      <c r="CK468" s="267"/>
      <c r="CL468" s="267"/>
      <c r="CM468" s="267"/>
      <c r="CN468" s="101">
        <f t="shared" si="30"/>
        <v>0</v>
      </c>
      <c r="CO468" s="101">
        <f t="shared" si="31"/>
        <v>59</v>
      </c>
    </row>
    <row r="469" spans="1:93" ht="13.9" customHeight="1" x14ac:dyDescent="0.2">
      <c r="A469" s="149">
        <v>3511</v>
      </c>
      <c r="B469" s="150" t="s">
        <v>1216</v>
      </c>
      <c r="C469" s="150" t="s">
        <v>1464</v>
      </c>
      <c r="D469" s="150" t="s">
        <v>598</v>
      </c>
      <c r="E469" s="150" t="s">
        <v>1472</v>
      </c>
      <c r="F469" s="149">
        <v>529369</v>
      </c>
      <c r="G469" s="149">
        <v>177317</v>
      </c>
      <c r="H469" s="150" t="s">
        <v>149</v>
      </c>
      <c r="I469" s="151">
        <v>42825</v>
      </c>
      <c r="J469" s="151"/>
      <c r="K469" s="149">
        <v>0</v>
      </c>
      <c r="L469" s="149">
        <v>17</v>
      </c>
      <c r="M469" s="149">
        <v>17</v>
      </c>
      <c r="N469" s="149">
        <v>2971</v>
      </c>
      <c r="O469" s="149">
        <v>2966</v>
      </c>
      <c r="P469" s="152" t="s">
        <v>327</v>
      </c>
      <c r="Q469" s="150" t="s">
        <v>1466</v>
      </c>
      <c r="R469" s="150" t="s">
        <v>1467</v>
      </c>
      <c r="S469" s="151">
        <v>41774</v>
      </c>
      <c r="T469" s="151">
        <v>42046</v>
      </c>
      <c r="U469" s="152"/>
      <c r="V469" s="150" t="s">
        <v>330</v>
      </c>
      <c r="W469" s="151"/>
      <c r="X469" s="150" t="s">
        <v>331</v>
      </c>
      <c r="Y469" s="150" t="s">
        <v>343</v>
      </c>
      <c r="Z469" s="150" t="s">
        <v>343</v>
      </c>
      <c r="AA469" s="150" t="s">
        <v>334</v>
      </c>
      <c r="AB469" s="153">
        <v>0.10299999999999999</v>
      </c>
      <c r="AC469" s="151"/>
      <c r="AD469" s="150"/>
      <c r="AE469" s="151"/>
      <c r="AF469" s="150" t="s">
        <v>70</v>
      </c>
      <c r="AG469" s="152" t="s">
        <v>352</v>
      </c>
      <c r="AH469" s="150" t="s">
        <v>601</v>
      </c>
      <c r="AI469" s="99"/>
      <c r="AJ469" s="149"/>
      <c r="AK469" s="149">
        <v>15</v>
      </c>
      <c r="AL469" s="149"/>
      <c r="AM469" s="149">
        <v>2</v>
      </c>
      <c r="AN469" s="149">
        <v>2</v>
      </c>
      <c r="AO469" s="149">
        <v>3</v>
      </c>
      <c r="AP469" s="149">
        <v>10</v>
      </c>
      <c r="AQ469" s="149">
        <v>2</v>
      </c>
      <c r="AR469" s="149">
        <v>0</v>
      </c>
      <c r="AS469" s="149">
        <v>0</v>
      </c>
      <c r="AT469" s="149">
        <v>0</v>
      </c>
      <c r="AU469" s="149">
        <v>2</v>
      </c>
      <c r="AV469" s="149">
        <v>3</v>
      </c>
      <c r="AW469" s="149">
        <v>10</v>
      </c>
      <c r="AX469" s="149">
        <v>2</v>
      </c>
      <c r="AY469" s="149">
        <v>0</v>
      </c>
      <c r="AZ469" s="149">
        <v>0</v>
      </c>
      <c r="BA469" s="149">
        <v>0</v>
      </c>
      <c r="BB469" s="149">
        <v>0</v>
      </c>
      <c r="BC469" s="149">
        <v>0</v>
      </c>
      <c r="BD469" s="149">
        <v>0</v>
      </c>
      <c r="BE469" s="149">
        <v>0</v>
      </c>
      <c r="BF469" s="149">
        <v>0</v>
      </c>
      <c r="BG469" s="149">
        <v>0</v>
      </c>
      <c r="BH469" s="149">
        <v>0</v>
      </c>
      <c r="BI469" s="149">
        <v>0</v>
      </c>
      <c r="BJ469" s="149">
        <v>0</v>
      </c>
      <c r="BK469" s="149">
        <v>0</v>
      </c>
      <c r="BL469" s="149">
        <v>0</v>
      </c>
      <c r="BM469" s="149">
        <v>0</v>
      </c>
      <c r="BN469" s="149">
        <v>0</v>
      </c>
      <c r="BO469" s="149">
        <v>0</v>
      </c>
      <c r="BP469" s="152"/>
      <c r="BQ469" s="152" t="s">
        <v>327</v>
      </c>
      <c r="BR469" s="154" t="s">
        <v>149</v>
      </c>
      <c r="BS469" s="136">
        <v>8</v>
      </c>
      <c r="BT469" s="267"/>
      <c r="BU469" s="267"/>
      <c r="BV469" s="267"/>
      <c r="BW469" s="267"/>
      <c r="BX469" s="267"/>
      <c r="BY469" s="267"/>
      <c r="BZ469" s="267"/>
      <c r="CA469" s="267"/>
      <c r="CB469" s="267"/>
      <c r="CC469" s="267">
        <f>M469</f>
        <v>17</v>
      </c>
      <c r="CD469" s="267"/>
      <c r="CE469" s="267"/>
      <c r="CF469" s="267"/>
      <c r="CG469" s="267"/>
      <c r="CH469" s="267"/>
      <c r="CI469" s="267"/>
      <c r="CJ469" s="267"/>
      <c r="CK469" s="267"/>
      <c r="CL469" s="267"/>
      <c r="CM469" s="267"/>
      <c r="CN469" s="101">
        <f t="shared" si="30"/>
        <v>0</v>
      </c>
      <c r="CO469" s="101">
        <f t="shared" si="31"/>
        <v>17</v>
      </c>
    </row>
    <row r="470" spans="1:93" ht="13.9" customHeight="1" x14ac:dyDescent="0.2">
      <c r="A470" s="149">
        <v>3511</v>
      </c>
      <c r="B470" s="150" t="s">
        <v>1216</v>
      </c>
      <c r="C470" s="150" t="s">
        <v>1464</v>
      </c>
      <c r="D470" s="150" t="s">
        <v>598</v>
      </c>
      <c r="E470" s="150" t="s">
        <v>1473</v>
      </c>
      <c r="F470" s="149">
        <v>529369</v>
      </c>
      <c r="G470" s="149">
        <v>177317</v>
      </c>
      <c r="H470" s="150" t="s">
        <v>149</v>
      </c>
      <c r="I470" s="151">
        <v>42825</v>
      </c>
      <c r="J470" s="151"/>
      <c r="K470" s="149">
        <v>0</v>
      </c>
      <c r="L470" s="149">
        <v>136</v>
      </c>
      <c r="M470" s="149">
        <v>136</v>
      </c>
      <c r="N470" s="149">
        <v>2971</v>
      </c>
      <c r="O470" s="149">
        <v>2966</v>
      </c>
      <c r="P470" s="152" t="s">
        <v>327</v>
      </c>
      <c r="Q470" s="150" t="s">
        <v>1466</v>
      </c>
      <c r="R470" s="150" t="s">
        <v>1467</v>
      </c>
      <c r="S470" s="151">
        <v>41774</v>
      </c>
      <c r="T470" s="151">
        <v>42046</v>
      </c>
      <c r="U470" s="152"/>
      <c r="V470" s="150" t="s">
        <v>330</v>
      </c>
      <c r="W470" s="151"/>
      <c r="X470" s="150" t="s">
        <v>331</v>
      </c>
      <c r="Y470" s="150" t="s">
        <v>343</v>
      </c>
      <c r="Z470" s="150" t="s">
        <v>343</v>
      </c>
      <c r="AA470" s="150" t="s">
        <v>334</v>
      </c>
      <c r="AB470" s="153">
        <v>0.82099999999999995</v>
      </c>
      <c r="AC470" s="151"/>
      <c r="AD470" s="150"/>
      <c r="AE470" s="151"/>
      <c r="AF470" s="150" t="s">
        <v>70</v>
      </c>
      <c r="AG470" s="152" t="s">
        <v>352</v>
      </c>
      <c r="AH470" s="150" t="s">
        <v>601</v>
      </c>
      <c r="AI470" s="99"/>
      <c r="AJ470" s="149"/>
      <c r="AK470" s="149">
        <v>122</v>
      </c>
      <c r="AL470" s="149"/>
      <c r="AM470" s="149">
        <v>14</v>
      </c>
      <c r="AN470" s="149">
        <v>17</v>
      </c>
      <c r="AO470" s="149">
        <v>27</v>
      </c>
      <c r="AP470" s="149">
        <v>82</v>
      </c>
      <c r="AQ470" s="149">
        <v>10</v>
      </c>
      <c r="AR470" s="149">
        <v>0</v>
      </c>
      <c r="AS470" s="149">
        <v>0</v>
      </c>
      <c r="AT470" s="149">
        <v>0</v>
      </c>
      <c r="AU470" s="149">
        <v>17</v>
      </c>
      <c r="AV470" s="149">
        <v>27</v>
      </c>
      <c r="AW470" s="149">
        <v>82</v>
      </c>
      <c r="AX470" s="149">
        <v>10</v>
      </c>
      <c r="AY470" s="149">
        <v>0</v>
      </c>
      <c r="AZ470" s="149">
        <v>0</v>
      </c>
      <c r="BA470" s="149">
        <v>0</v>
      </c>
      <c r="BB470" s="149">
        <v>0</v>
      </c>
      <c r="BC470" s="149">
        <v>0</v>
      </c>
      <c r="BD470" s="149">
        <v>0</v>
      </c>
      <c r="BE470" s="149">
        <v>0</v>
      </c>
      <c r="BF470" s="149">
        <v>0</v>
      </c>
      <c r="BG470" s="149">
        <v>0</v>
      </c>
      <c r="BH470" s="149">
        <v>0</v>
      </c>
      <c r="BI470" s="149">
        <v>0</v>
      </c>
      <c r="BJ470" s="149">
        <v>0</v>
      </c>
      <c r="BK470" s="149">
        <v>0</v>
      </c>
      <c r="BL470" s="149">
        <v>0</v>
      </c>
      <c r="BM470" s="149">
        <v>0</v>
      </c>
      <c r="BN470" s="149">
        <v>0</v>
      </c>
      <c r="BO470" s="149">
        <v>0</v>
      </c>
      <c r="BP470" s="152"/>
      <c r="BQ470" s="152" t="s">
        <v>327</v>
      </c>
      <c r="BR470" s="154" t="s">
        <v>149</v>
      </c>
      <c r="BS470" s="136">
        <v>8</v>
      </c>
      <c r="BT470" s="267"/>
      <c r="BU470" s="267"/>
      <c r="BV470" s="267"/>
      <c r="BW470" s="267"/>
      <c r="BX470" s="267"/>
      <c r="BY470" s="267"/>
      <c r="BZ470" s="267"/>
      <c r="CA470" s="267"/>
      <c r="CB470" s="267">
        <f t="shared" ref="CB470:CB480" si="34">M470</f>
        <v>136</v>
      </c>
      <c r="CC470" s="267"/>
      <c r="CD470" s="267"/>
      <c r="CE470" s="267"/>
      <c r="CF470" s="267"/>
      <c r="CG470" s="267"/>
      <c r="CH470" s="267"/>
      <c r="CI470" s="267"/>
      <c r="CJ470" s="267"/>
      <c r="CK470" s="267"/>
      <c r="CL470" s="267"/>
      <c r="CM470" s="267"/>
      <c r="CN470" s="101">
        <f t="shared" si="30"/>
        <v>0</v>
      </c>
      <c r="CO470" s="101">
        <f t="shared" si="31"/>
        <v>136</v>
      </c>
    </row>
    <row r="471" spans="1:93" ht="13.9" customHeight="1" x14ac:dyDescent="0.2">
      <c r="A471" s="149">
        <v>3511</v>
      </c>
      <c r="B471" s="150" t="s">
        <v>1216</v>
      </c>
      <c r="C471" s="150" t="s">
        <v>1464</v>
      </c>
      <c r="D471" s="150" t="s">
        <v>598</v>
      </c>
      <c r="E471" s="150" t="s">
        <v>1474</v>
      </c>
      <c r="F471" s="149">
        <v>529369</v>
      </c>
      <c r="G471" s="149">
        <v>177317</v>
      </c>
      <c r="H471" s="150" t="s">
        <v>149</v>
      </c>
      <c r="I471" s="151">
        <v>42825</v>
      </c>
      <c r="J471" s="151"/>
      <c r="K471" s="149">
        <v>0</v>
      </c>
      <c r="L471" s="149">
        <v>101</v>
      </c>
      <c r="M471" s="149">
        <v>101</v>
      </c>
      <c r="N471" s="149">
        <v>2971</v>
      </c>
      <c r="O471" s="149">
        <v>2966</v>
      </c>
      <c r="P471" s="152" t="s">
        <v>327</v>
      </c>
      <c r="Q471" s="150" t="s">
        <v>1466</v>
      </c>
      <c r="R471" s="150" t="s">
        <v>1467</v>
      </c>
      <c r="S471" s="151">
        <v>41774</v>
      </c>
      <c r="T471" s="151">
        <v>42046</v>
      </c>
      <c r="U471" s="152"/>
      <c r="V471" s="150" t="s">
        <v>330</v>
      </c>
      <c r="W471" s="151"/>
      <c r="X471" s="150" t="s">
        <v>331</v>
      </c>
      <c r="Y471" s="150" t="s">
        <v>343</v>
      </c>
      <c r="Z471" s="150" t="s">
        <v>343</v>
      </c>
      <c r="AA471" s="150" t="s">
        <v>334</v>
      </c>
      <c r="AB471" s="153">
        <v>0.61</v>
      </c>
      <c r="AC471" s="151"/>
      <c r="AD471" s="150"/>
      <c r="AE471" s="151"/>
      <c r="AF471" s="150" t="s">
        <v>48</v>
      </c>
      <c r="AG471" s="152" t="s">
        <v>344</v>
      </c>
      <c r="AH471" s="150" t="s">
        <v>601</v>
      </c>
      <c r="AI471" s="99"/>
      <c r="AJ471" s="149"/>
      <c r="AK471" s="149">
        <v>91</v>
      </c>
      <c r="AL471" s="149"/>
      <c r="AM471" s="149">
        <v>10</v>
      </c>
      <c r="AN471" s="149">
        <v>0</v>
      </c>
      <c r="AO471" s="149">
        <v>45</v>
      </c>
      <c r="AP471" s="149">
        <v>46</v>
      </c>
      <c r="AQ471" s="149">
        <v>10</v>
      </c>
      <c r="AR471" s="149">
        <v>0</v>
      </c>
      <c r="AS471" s="149">
        <v>0</v>
      </c>
      <c r="AT471" s="149">
        <v>0</v>
      </c>
      <c r="AU471" s="149">
        <v>0</v>
      </c>
      <c r="AV471" s="149">
        <v>45</v>
      </c>
      <c r="AW471" s="149">
        <v>46</v>
      </c>
      <c r="AX471" s="149">
        <v>10</v>
      </c>
      <c r="AY471" s="149">
        <v>0</v>
      </c>
      <c r="AZ471" s="149">
        <v>0</v>
      </c>
      <c r="BA471" s="149">
        <v>0</v>
      </c>
      <c r="BB471" s="149">
        <v>0</v>
      </c>
      <c r="BC471" s="149">
        <v>0</v>
      </c>
      <c r="BD471" s="149">
        <v>0</v>
      </c>
      <c r="BE471" s="149">
        <v>0</v>
      </c>
      <c r="BF471" s="149">
        <v>0</v>
      </c>
      <c r="BG471" s="149">
        <v>0</v>
      </c>
      <c r="BH471" s="149">
        <v>0</v>
      </c>
      <c r="BI471" s="149">
        <v>0</v>
      </c>
      <c r="BJ471" s="149">
        <v>0</v>
      </c>
      <c r="BK471" s="149">
        <v>0</v>
      </c>
      <c r="BL471" s="149">
        <v>0</v>
      </c>
      <c r="BM471" s="149">
        <v>0</v>
      </c>
      <c r="BN471" s="149">
        <v>0</v>
      </c>
      <c r="BO471" s="149">
        <v>0</v>
      </c>
      <c r="BP471" s="152"/>
      <c r="BQ471" s="152" t="s">
        <v>327</v>
      </c>
      <c r="BR471" s="154" t="s">
        <v>149</v>
      </c>
      <c r="BS471" s="136">
        <v>8</v>
      </c>
      <c r="BT471" s="267"/>
      <c r="BU471" s="267"/>
      <c r="BV471" s="267"/>
      <c r="BW471" s="267"/>
      <c r="BX471" s="267"/>
      <c r="BY471" s="267"/>
      <c r="BZ471" s="267"/>
      <c r="CA471" s="267"/>
      <c r="CB471" s="267">
        <f t="shared" si="34"/>
        <v>101</v>
      </c>
      <c r="CC471" s="267"/>
      <c r="CD471" s="267"/>
      <c r="CE471" s="267"/>
      <c r="CF471" s="267"/>
      <c r="CG471" s="267"/>
      <c r="CH471" s="267"/>
      <c r="CI471" s="267"/>
      <c r="CJ471" s="267"/>
      <c r="CK471" s="267"/>
      <c r="CL471" s="267"/>
      <c r="CM471" s="267"/>
      <c r="CN471" s="101">
        <f t="shared" si="30"/>
        <v>0</v>
      </c>
      <c r="CO471" s="101">
        <f t="shared" si="31"/>
        <v>101</v>
      </c>
    </row>
    <row r="472" spans="1:93" ht="13.9" customHeight="1" x14ac:dyDescent="0.2">
      <c r="A472" s="149">
        <v>3511</v>
      </c>
      <c r="B472" s="150" t="s">
        <v>1216</v>
      </c>
      <c r="C472" s="150" t="s">
        <v>1464</v>
      </c>
      <c r="D472" s="150" t="s">
        <v>598</v>
      </c>
      <c r="E472" s="150" t="s">
        <v>1475</v>
      </c>
      <c r="F472" s="149">
        <v>529369</v>
      </c>
      <c r="G472" s="149">
        <v>177317</v>
      </c>
      <c r="H472" s="150" t="s">
        <v>149</v>
      </c>
      <c r="I472" s="151">
        <v>42825</v>
      </c>
      <c r="J472" s="151"/>
      <c r="K472" s="149">
        <v>0</v>
      </c>
      <c r="L472" s="149">
        <v>54</v>
      </c>
      <c r="M472" s="149">
        <v>54</v>
      </c>
      <c r="N472" s="149">
        <v>2971</v>
      </c>
      <c r="O472" s="149">
        <v>2966</v>
      </c>
      <c r="P472" s="152" t="s">
        <v>327</v>
      </c>
      <c r="Q472" s="150" t="s">
        <v>1466</v>
      </c>
      <c r="R472" s="150" t="s">
        <v>1467</v>
      </c>
      <c r="S472" s="151">
        <v>41774</v>
      </c>
      <c r="T472" s="151">
        <v>42046</v>
      </c>
      <c r="U472" s="152"/>
      <c r="V472" s="150" t="s">
        <v>330</v>
      </c>
      <c r="W472" s="151"/>
      <c r="X472" s="150" t="s">
        <v>331</v>
      </c>
      <c r="Y472" s="150" t="s">
        <v>343</v>
      </c>
      <c r="Z472" s="150" t="s">
        <v>343</v>
      </c>
      <c r="AA472" s="150" t="s">
        <v>334</v>
      </c>
      <c r="AB472" s="153">
        <v>0.32600000000000001</v>
      </c>
      <c r="AC472" s="151"/>
      <c r="AD472" s="150"/>
      <c r="AE472" s="151"/>
      <c r="AF472" s="150" t="s">
        <v>49</v>
      </c>
      <c r="AG472" s="152" t="s">
        <v>470</v>
      </c>
      <c r="AH472" s="150" t="s">
        <v>601</v>
      </c>
      <c r="AI472" s="99"/>
      <c r="AJ472" s="149"/>
      <c r="AK472" s="138">
        <v>49</v>
      </c>
      <c r="AL472" s="149"/>
      <c r="AM472" s="138">
        <v>5</v>
      </c>
      <c r="AN472" s="149">
        <v>0</v>
      </c>
      <c r="AO472" s="149">
        <v>8</v>
      </c>
      <c r="AP472" s="149">
        <v>25</v>
      </c>
      <c r="AQ472" s="149">
        <v>16</v>
      </c>
      <c r="AR472" s="149">
        <v>5</v>
      </c>
      <c r="AS472" s="149">
        <v>0</v>
      </c>
      <c r="AT472" s="149">
        <v>0</v>
      </c>
      <c r="AU472" s="149">
        <v>0</v>
      </c>
      <c r="AV472" s="149">
        <v>8</v>
      </c>
      <c r="AW472" s="149">
        <v>25</v>
      </c>
      <c r="AX472" s="149">
        <v>16</v>
      </c>
      <c r="AY472" s="149">
        <v>5</v>
      </c>
      <c r="AZ472" s="149">
        <v>0</v>
      </c>
      <c r="BA472" s="149">
        <v>0</v>
      </c>
      <c r="BB472" s="149">
        <v>0</v>
      </c>
      <c r="BC472" s="149">
        <v>0</v>
      </c>
      <c r="BD472" s="149">
        <v>0</v>
      </c>
      <c r="BE472" s="149">
        <v>0</v>
      </c>
      <c r="BF472" s="149">
        <v>0</v>
      </c>
      <c r="BG472" s="149">
        <v>0</v>
      </c>
      <c r="BH472" s="149">
        <v>0</v>
      </c>
      <c r="BI472" s="149">
        <v>0</v>
      </c>
      <c r="BJ472" s="149">
        <v>0</v>
      </c>
      <c r="BK472" s="149">
        <v>0</v>
      </c>
      <c r="BL472" s="149">
        <v>0</v>
      </c>
      <c r="BM472" s="149">
        <v>0</v>
      </c>
      <c r="BN472" s="149">
        <v>0</v>
      </c>
      <c r="BO472" s="149">
        <v>0</v>
      </c>
      <c r="BP472" s="152"/>
      <c r="BQ472" s="152" t="s">
        <v>327</v>
      </c>
      <c r="BR472" s="154" t="s">
        <v>149</v>
      </c>
      <c r="BS472" s="136">
        <v>8</v>
      </c>
      <c r="BT472" s="267"/>
      <c r="BU472" s="267"/>
      <c r="BV472" s="267"/>
      <c r="BW472" s="267"/>
      <c r="BX472" s="267"/>
      <c r="BY472" s="267"/>
      <c r="BZ472" s="267"/>
      <c r="CA472" s="267"/>
      <c r="CB472" s="267">
        <f t="shared" si="34"/>
        <v>54</v>
      </c>
      <c r="CC472" s="267"/>
      <c r="CD472" s="267"/>
      <c r="CE472" s="267"/>
      <c r="CF472" s="267"/>
      <c r="CG472" s="267"/>
      <c r="CH472" s="267"/>
      <c r="CI472" s="267"/>
      <c r="CJ472" s="267"/>
      <c r="CK472" s="267"/>
      <c r="CL472" s="267"/>
      <c r="CM472" s="267"/>
      <c r="CN472" s="101">
        <f t="shared" si="30"/>
        <v>0</v>
      </c>
      <c r="CO472" s="101">
        <f t="shared" si="31"/>
        <v>54</v>
      </c>
    </row>
    <row r="473" spans="1:93" ht="13.9" customHeight="1" x14ac:dyDescent="0.2">
      <c r="A473" s="149">
        <v>3511</v>
      </c>
      <c r="B473" s="150" t="s">
        <v>1216</v>
      </c>
      <c r="C473" s="150" t="s">
        <v>1464</v>
      </c>
      <c r="D473" s="150" t="s">
        <v>598</v>
      </c>
      <c r="E473" s="150" t="s">
        <v>1476</v>
      </c>
      <c r="F473" s="149">
        <v>529369</v>
      </c>
      <c r="G473" s="149">
        <v>177317</v>
      </c>
      <c r="H473" s="150" t="s">
        <v>149</v>
      </c>
      <c r="I473" s="151">
        <v>42825</v>
      </c>
      <c r="J473" s="151"/>
      <c r="K473" s="149">
        <v>0</v>
      </c>
      <c r="L473" s="149">
        <v>36</v>
      </c>
      <c r="M473" s="149">
        <v>36</v>
      </c>
      <c r="N473" s="149">
        <v>2971</v>
      </c>
      <c r="O473" s="149">
        <v>2966</v>
      </c>
      <c r="P473" s="152" t="s">
        <v>327</v>
      </c>
      <c r="Q473" s="150" t="s">
        <v>1466</v>
      </c>
      <c r="R473" s="150" t="s">
        <v>1467</v>
      </c>
      <c r="S473" s="151">
        <v>41774</v>
      </c>
      <c r="T473" s="151">
        <v>42046</v>
      </c>
      <c r="U473" s="152"/>
      <c r="V473" s="150" t="s">
        <v>330</v>
      </c>
      <c r="W473" s="151"/>
      <c r="X473" s="150" t="s">
        <v>331</v>
      </c>
      <c r="Y473" s="150" t="s">
        <v>343</v>
      </c>
      <c r="Z473" s="150" t="s">
        <v>343</v>
      </c>
      <c r="AA473" s="150" t="s">
        <v>334</v>
      </c>
      <c r="AB473" s="153">
        <v>0.217</v>
      </c>
      <c r="AC473" s="151"/>
      <c r="AD473" s="150"/>
      <c r="AE473" s="151"/>
      <c r="AF473" s="150" t="s">
        <v>49</v>
      </c>
      <c r="AG473" s="152" t="s">
        <v>470</v>
      </c>
      <c r="AH473" s="150" t="s">
        <v>601</v>
      </c>
      <c r="AI473" s="99"/>
      <c r="AJ473" s="149"/>
      <c r="AK473" s="138">
        <v>32</v>
      </c>
      <c r="AL473" s="149"/>
      <c r="AM473" s="138">
        <v>4</v>
      </c>
      <c r="AN473" s="149">
        <v>0</v>
      </c>
      <c r="AO473" s="149">
        <v>5</v>
      </c>
      <c r="AP473" s="149">
        <v>16</v>
      </c>
      <c r="AQ473" s="149">
        <v>11</v>
      </c>
      <c r="AR473" s="149">
        <v>4</v>
      </c>
      <c r="AS473" s="149">
        <v>0</v>
      </c>
      <c r="AT473" s="149">
        <v>0</v>
      </c>
      <c r="AU473" s="149">
        <v>0</v>
      </c>
      <c r="AV473" s="149">
        <v>5</v>
      </c>
      <c r="AW473" s="149">
        <v>16</v>
      </c>
      <c r="AX473" s="149">
        <v>11</v>
      </c>
      <c r="AY473" s="149">
        <v>4</v>
      </c>
      <c r="AZ473" s="149">
        <v>0</v>
      </c>
      <c r="BA473" s="149">
        <v>0</v>
      </c>
      <c r="BB473" s="149">
        <v>0</v>
      </c>
      <c r="BC473" s="149">
        <v>0</v>
      </c>
      <c r="BD473" s="149">
        <v>0</v>
      </c>
      <c r="BE473" s="149">
        <v>0</v>
      </c>
      <c r="BF473" s="149">
        <v>0</v>
      </c>
      <c r="BG473" s="149">
        <v>0</v>
      </c>
      <c r="BH473" s="149">
        <v>0</v>
      </c>
      <c r="BI473" s="149">
        <v>0</v>
      </c>
      <c r="BJ473" s="149">
        <v>0</v>
      </c>
      <c r="BK473" s="149">
        <v>0</v>
      </c>
      <c r="BL473" s="149">
        <v>0</v>
      </c>
      <c r="BM473" s="149">
        <v>0</v>
      </c>
      <c r="BN473" s="149">
        <v>0</v>
      </c>
      <c r="BO473" s="149">
        <v>0</v>
      </c>
      <c r="BP473" s="152"/>
      <c r="BQ473" s="152" t="s">
        <v>327</v>
      </c>
      <c r="BR473" s="154" t="s">
        <v>149</v>
      </c>
      <c r="BS473" s="136">
        <v>8</v>
      </c>
      <c r="BT473" s="267"/>
      <c r="BU473" s="267"/>
      <c r="BV473" s="267"/>
      <c r="BW473" s="267"/>
      <c r="BX473" s="267"/>
      <c r="BY473" s="267"/>
      <c r="BZ473" s="267"/>
      <c r="CA473" s="267"/>
      <c r="CB473" s="267">
        <f t="shared" si="34"/>
        <v>36</v>
      </c>
      <c r="CC473" s="267"/>
      <c r="CD473" s="267"/>
      <c r="CE473" s="267"/>
      <c r="CF473" s="267"/>
      <c r="CG473" s="267"/>
      <c r="CH473" s="267"/>
      <c r="CI473" s="267"/>
      <c r="CJ473" s="267"/>
      <c r="CK473" s="267"/>
      <c r="CL473" s="267"/>
      <c r="CM473" s="267"/>
      <c r="CN473" s="101">
        <f t="shared" si="30"/>
        <v>0</v>
      </c>
      <c r="CO473" s="101">
        <f t="shared" si="31"/>
        <v>36</v>
      </c>
    </row>
    <row r="474" spans="1:93" ht="13.9" customHeight="1" x14ac:dyDescent="0.2">
      <c r="A474" s="149">
        <v>3511</v>
      </c>
      <c r="B474" s="150" t="s">
        <v>1216</v>
      </c>
      <c r="C474" s="150" t="s">
        <v>1464</v>
      </c>
      <c r="D474" s="150" t="s">
        <v>598</v>
      </c>
      <c r="E474" s="150" t="s">
        <v>1477</v>
      </c>
      <c r="F474" s="149">
        <v>529369</v>
      </c>
      <c r="G474" s="149">
        <v>177317</v>
      </c>
      <c r="H474" s="150" t="s">
        <v>149</v>
      </c>
      <c r="I474" s="151">
        <v>42825</v>
      </c>
      <c r="J474" s="151"/>
      <c r="K474" s="149">
        <v>0</v>
      </c>
      <c r="L474" s="149">
        <v>27</v>
      </c>
      <c r="M474" s="149">
        <v>27</v>
      </c>
      <c r="N474" s="149">
        <v>2971</v>
      </c>
      <c r="O474" s="149">
        <v>2966</v>
      </c>
      <c r="P474" s="152" t="s">
        <v>327</v>
      </c>
      <c r="Q474" s="150" t="s">
        <v>1466</v>
      </c>
      <c r="R474" s="150" t="s">
        <v>1467</v>
      </c>
      <c r="S474" s="151">
        <v>41774</v>
      </c>
      <c r="T474" s="151">
        <v>42046</v>
      </c>
      <c r="U474" s="152"/>
      <c r="V474" s="150" t="s">
        <v>330</v>
      </c>
      <c r="W474" s="151"/>
      <c r="X474" s="150" t="s">
        <v>331</v>
      </c>
      <c r="Y474" s="150" t="s">
        <v>343</v>
      </c>
      <c r="Z474" s="150" t="s">
        <v>343</v>
      </c>
      <c r="AA474" s="150" t="s">
        <v>334</v>
      </c>
      <c r="AB474" s="153">
        <v>0.16400000000000001</v>
      </c>
      <c r="AC474" s="151"/>
      <c r="AD474" s="150"/>
      <c r="AE474" s="151"/>
      <c r="AF474" s="150" t="s">
        <v>49</v>
      </c>
      <c r="AG474" s="152" t="s">
        <v>470</v>
      </c>
      <c r="AH474" s="150" t="s">
        <v>601</v>
      </c>
      <c r="AI474" s="99"/>
      <c r="AJ474" s="149"/>
      <c r="AK474" s="138">
        <v>24</v>
      </c>
      <c r="AL474" s="149"/>
      <c r="AM474" s="138">
        <v>3</v>
      </c>
      <c r="AN474" s="149">
        <v>0</v>
      </c>
      <c r="AO474" s="149">
        <v>4</v>
      </c>
      <c r="AP474" s="149">
        <v>12</v>
      </c>
      <c r="AQ474" s="149">
        <v>8</v>
      </c>
      <c r="AR474" s="149">
        <v>3</v>
      </c>
      <c r="AS474" s="149">
        <v>0</v>
      </c>
      <c r="AT474" s="149">
        <v>0</v>
      </c>
      <c r="AU474" s="149">
        <v>0</v>
      </c>
      <c r="AV474" s="149">
        <v>4</v>
      </c>
      <c r="AW474" s="149">
        <v>12</v>
      </c>
      <c r="AX474" s="149">
        <v>8</v>
      </c>
      <c r="AY474" s="149">
        <v>3</v>
      </c>
      <c r="AZ474" s="149">
        <v>0</v>
      </c>
      <c r="BA474" s="149">
        <v>0</v>
      </c>
      <c r="BB474" s="149">
        <v>0</v>
      </c>
      <c r="BC474" s="149">
        <v>0</v>
      </c>
      <c r="BD474" s="149">
        <v>0</v>
      </c>
      <c r="BE474" s="149">
        <v>0</v>
      </c>
      <c r="BF474" s="149">
        <v>0</v>
      </c>
      <c r="BG474" s="149">
        <v>0</v>
      </c>
      <c r="BH474" s="149">
        <v>0</v>
      </c>
      <c r="BI474" s="149">
        <v>0</v>
      </c>
      <c r="BJ474" s="149">
        <v>0</v>
      </c>
      <c r="BK474" s="149">
        <v>0</v>
      </c>
      <c r="BL474" s="149">
        <v>0</v>
      </c>
      <c r="BM474" s="149">
        <v>0</v>
      </c>
      <c r="BN474" s="149">
        <v>0</v>
      </c>
      <c r="BO474" s="149">
        <v>0</v>
      </c>
      <c r="BP474" s="152"/>
      <c r="BQ474" s="152" t="s">
        <v>327</v>
      </c>
      <c r="BR474" s="154" t="s">
        <v>149</v>
      </c>
      <c r="BS474" s="136">
        <v>8</v>
      </c>
      <c r="BT474" s="267"/>
      <c r="BU474" s="267"/>
      <c r="BV474" s="267"/>
      <c r="BW474" s="267"/>
      <c r="BX474" s="267"/>
      <c r="BY474" s="267"/>
      <c r="BZ474" s="267"/>
      <c r="CA474" s="267"/>
      <c r="CB474" s="267">
        <f t="shared" si="34"/>
        <v>27</v>
      </c>
      <c r="CC474" s="267"/>
      <c r="CD474" s="267"/>
      <c r="CE474" s="267"/>
      <c r="CF474" s="267"/>
      <c r="CG474" s="267"/>
      <c r="CH474" s="267"/>
      <c r="CI474" s="267"/>
      <c r="CJ474" s="267"/>
      <c r="CK474" s="267"/>
      <c r="CL474" s="267"/>
      <c r="CM474" s="267"/>
      <c r="CN474" s="101">
        <f t="shared" si="30"/>
        <v>0</v>
      </c>
      <c r="CO474" s="101">
        <f t="shared" si="31"/>
        <v>27</v>
      </c>
    </row>
    <row r="475" spans="1:93" ht="13.9" customHeight="1" x14ac:dyDescent="0.2">
      <c r="A475" s="149">
        <v>3511</v>
      </c>
      <c r="B475" s="150" t="s">
        <v>1216</v>
      </c>
      <c r="C475" s="150" t="s">
        <v>1464</v>
      </c>
      <c r="D475" s="150" t="s">
        <v>598</v>
      </c>
      <c r="E475" s="150" t="s">
        <v>1478</v>
      </c>
      <c r="F475" s="149">
        <v>529369</v>
      </c>
      <c r="G475" s="149">
        <v>177317</v>
      </c>
      <c r="H475" s="150" t="s">
        <v>149</v>
      </c>
      <c r="I475" s="151">
        <v>42825</v>
      </c>
      <c r="J475" s="151"/>
      <c r="K475" s="149">
        <v>0</v>
      </c>
      <c r="L475" s="149">
        <v>17</v>
      </c>
      <c r="M475" s="149">
        <v>17</v>
      </c>
      <c r="N475" s="149">
        <v>2971</v>
      </c>
      <c r="O475" s="149">
        <v>2966</v>
      </c>
      <c r="P475" s="152" t="s">
        <v>327</v>
      </c>
      <c r="Q475" s="150" t="s">
        <v>1466</v>
      </c>
      <c r="R475" s="150" t="s">
        <v>1467</v>
      </c>
      <c r="S475" s="151">
        <v>41774</v>
      </c>
      <c r="T475" s="151">
        <v>42046</v>
      </c>
      <c r="U475" s="152"/>
      <c r="V475" s="150" t="s">
        <v>330</v>
      </c>
      <c r="W475" s="151"/>
      <c r="X475" s="150" t="s">
        <v>331</v>
      </c>
      <c r="Y475" s="150" t="s">
        <v>343</v>
      </c>
      <c r="Z475" s="150" t="s">
        <v>343</v>
      </c>
      <c r="AA475" s="150" t="s">
        <v>334</v>
      </c>
      <c r="AB475" s="153">
        <v>0.10199999999999999</v>
      </c>
      <c r="AC475" s="151"/>
      <c r="AD475" s="150"/>
      <c r="AE475" s="151"/>
      <c r="AF475" s="150" t="s">
        <v>49</v>
      </c>
      <c r="AG475" s="152" t="s">
        <v>470</v>
      </c>
      <c r="AH475" s="150" t="s">
        <v>601</v>
      </c>
      <c r="AI475" s="102"/>
      <c r="AJ475" s="149"/>
      <c r="AK475" s="149">
        <v>15</v>
      </c>
      <c r="AL475" s="149"/>
      <c r="AM475" s="149">
        <v>2</v>
      </c>
      <c r="AN475" s="149">
        <v>0</v>
      </c>
      <c r="AO475" s="149">
        <v>2</v>
      </c>
      <c r="AP475" s="149">
        <v>7</v>
      </c>
      <c r="AQ475" s="149">
        <v>8</v>
      </c>
      <c r="AR475" s="149">
        <v>0</v>
      </c>
      <c r="AS475" s="149">
        <v>0</v>
      </c>
      <c r="AT475" s="149">
        <v>0</v>
      </c>
      <c r="AU475" s="149">
        <v>0</v>
      </c>
      <c r="AV475" s="149">
        <v>2</v>
      </c>
      <c r="AW475" s="149">
        <v>7</v>
      </c>
      <c r="AX475" s="149">
        <v>8</v>
      </c>
      <c r="AY475" s="149">
        <v>0</v>
      </c>
      <c r="AZ475" s="149">
        <v>0</v>
      </c>
      <c r="BA475" s="149">
        <v>0</v>
      </c>
      <c r="BB475" s="149">
        <v>0</v>
      </c>
      <c r="BC475" s="149">
        <v>0</v>
      </c>
      <c r="BD475" s="149">
        <v>0</v>
      </c>
      <c r="BE475" s="149">
        <v>0</v>
      </c>
      <c r="BF475" s="149">
        <v>0</v>
      </c>
      <c r="BG475" s="149">
        <v>0</v>
      </c>
      <c r="BH475" s="149">
        <v>0</v>
      </c>
      <c r="BI475" s="149">
        <v>0</v>
      </c>
      <c r="BJ475" s="149">
        <v>0</v>
      </c>
      <c r="BK475" s="149">
        <v>0</v>
      </c>
      <c r="BL475" s="149">
        <v>0</v>
      </c>
      <c r="BM475" s="149">
        <v>0</v>
      </c>
      <c r="BN475" s="149">
        <v>0</v>
      </c>
      <c r="BO475" s="149">
        <v>0</v>
      </c>
      <c r="BP475" s="152"/>
      <c r="BQ475" s="152" t="s">
        <v>327</v>
      </c>
      <c r="BR475" s="154" t="s">
        <v>149</v>
      </c>
      <c r="BS475" s="136">
        <v>8</v>
      </c>
      <c r="BT475" s="267"/>
      <c r="BU475" s="267"/>
      <c r="BV475" s="267"/>
      <c r="BW475" s="267"/>
      <c r="BX475" s="267"/>
      <c r="BY475" s="267"/>
      <c r="BZ475" s="267"/>
      <c r="CA475" s="267"/>
      <c r="CB475" s="267">
        <f t="shared" si="34"/>
        <v>17</v>
      </c>
      <c r="CC475" s="267"/>
      <c r="CD475" s="267"/>
      <c r="CE475" s="267"/>
      <c r="CF475" s="267"/>
      <c r="CG475" s="267"/>
      <c r="CH475" s="267"/>
      <c r="CI475" s="267"/>
      <c r="CJ475" s="267"/>
      <c r="CK475" s="267"/>
      <c r="CL475" s="267"/>
      <c r="CM475" s="267"/>
      <c r="CN475" s="101">
        <f t="shared" si="30"/>
        <v>0</v>
      </c>
      <c r="CO475" s="101">
        <f t="shared" si="31"/>
        <v>17</v>
      </c>
    </row>
    <row r="476" spans="1:93" ht="13.9" customHeight="1" x14ac:dyDescent="0.2">
      <c r="A476" s="149">
        <v>3511</v>
      </c>
      <c r="B476" s="150" t="s">
        <v>1216</v>
      </c>
      <c r="C476" s="150" t="s">
        <v>1464</v>
      </c>
      <c r="D476" s="150" t="s">
        <v>598</v>
      </c>
      <c r="E476" s="150" t="s">
        <v>1479</v>
      </c>
      <c r="F476" s="149">
        <v>529369</v>
      </c>
      <c r="G476" s="149">
        <v>177317</v>
      </c>
      <c r="H476" s="150" t="s">
        <v>149</v>
      </c>
      <c r="I476" s="151">
        <v>42825</v>
      </c>
      <c r="J476" s="151"/>
      <c r="K476" s="149">
        <v>0</v>
      </c>
      <c r="L476" s="149">
        <v>17</v>
      </c>
      <c r="M476" s="149">
        <v>17</v>
      </c>
      <c r="N476" s="149">
        <v>2971</v>
      </c>
      <c r="O476" s="149">
        <v>2966</v>
      </c>
      <c r="P476" s="152" t="s">
        <v>327</v>
      </c>
      <c r="Q476" s="150" t="s">
        <v>1466</v>
      </c>
      <c r="R476" s="150" t="s">
        <v>1467</v>
      </c>
      <c r="S476" s="151">
        <v>41774</v>
      </c>
      <c r="T476" s="151">
        <v>42046</v>
      </c>
      <c r="U476" s="152"/>
      <c r="V476" s="150" t="s">
        <v>330</v>
      </c>
      <c r="W476" s="151"/>
      <c r="X476" s="150" t="s">
        <v>331</v>
      </c>
      <c r="Y476" s="150" t="s">
        <v>343</v>
      </c>
      <c r="Z476" s="150" t="s">
        <v>343</v>
      </c>
      <c r="AA476" s="150" t="s">
        <v>334</v>
      </c>
      <c r="AB476" s="153">
        <v>0.10199999999999999</v>
      </c>
      <c r="AC476" s="151"/>
      <c r="AD476" s="150"/>
      <c r="AE476" s="151"/>
      <c r="AF476" s="150" t="s">
        <v>49</v>
      </c>
      <c r="AG476" s="152" t="s">
        <v>470</v>
      </c>
      <c r="AH476" s="150" t="s">
        <v>601</v>
      </c>
      <c r="AI476" s="102"/>
      <c r="AJ476" s="149"/>
      <c r="AK476" s="149">
        <v>15</v>
      </c>
      <c r="AL476" s="149"/>
      <c r="AM476" s="149">
        <v>2</v>
      </c>
      <c r="AN476" s="149">
        <v>0</v>
      </c>
      <c r="AO476" s="149">
        <v>2</v>
      </c>
      <c r="AP476" s="149">
        <v>7</v>
      </c>
      <c r="AQ476" s="149">
        <v>8</v>
      </c>
      <c r="AR476" s="149">
        <v>0</v>
      </c>
      <c r="AS476" s="149">
        <v>0</v>
      </c>
      <c r="AT476" s="149">
        <v>0</v>
      </c>
      <c r="AU476" s="149">
        <v>0</v>
      </c>
      <c r="AV476" s="149">
        <v>2</v>
      </c>
      <c r="AW476" s="149">
        <v>7</v>
      </c>
      <c r="AX476" s="149">
        <v>8</v>
      </c>
      <c r="AY476" s="149">
        <v>0</v>
      </c>
      <c r="AZ476" s="149">
        <v>0</v>
      </c>
      <c r="BA476" s="149">
        <v>0</v>
      </c>
      <c r="BB476" s="149">
        <v>0</v>
      </c>
      <c r="BC476" s="149">
        <v>0</v>
      </c>
      <c r="BD476" s="149">
        <v>0</v>
      </c>
      <c r="BE476" s="149">
        <v>0</v>
      </c>
      <c r="BF476" s="149">
        <v>0</v>
      </c>
      <c r="BG476" s="149">
        <v>0</v>
      </c>
      <c r="BH476" s="149">
        <v>0</v>
      </c>
      <c r="BI476" s="149">
        <v>0</v>
      </c>
      <c r="BJ476" s="149">
        <v>0</v>
      </c>
      <c r="BK476" s="149">
        <v>0</v>
      </c>
      <c r="BL476" s="149">
        <v>0</v>
      </c>
      <c r="BM476" s="149">
        <v>0</v>
      </c>
      <c r="BN476" s="149">
        <v>0</v>
      </c>
      <c r="BO476" s="149">
        <v>0</v>
      </c>
      <c r="BP476" s="152"/>
      <c r="BQ476" s="152" t="s">
        <v>327</v>
      </c>
      <c r="BR476" s="154" t="s">
        <v>149</v>
      </c>
      <c r="BS476" s="136">
        <v>8</v>
      </c>
      <c r="BT476" s="267"/>
      <c r="BU476" s="267"/>
      <c r="BV476" s="267"/>
      <c r="BW476" s="267"/>
      <c r="BX476" s="267"/>
      <c r="BY476" s="267"/>
      <c r="BZ476" s="267"/>
      <c r="CA476" s="267"/>
      <c r="CB476" s="267">
        <f t="shared" si="34"/>
        <v>17</v>
      </c>
      <c r="CC476" s="267"/>
      <c r="CD476" s="267"/>
      <c r="CE476" s="267"/>
      <c r="CF476" s="267"/>
      <c r="CG476" s="267"/>
      <c r="CH476" s="267"/>
      <c r="CI476" s="267"/>
      <c r="CJ476" s="267"/>
      <c r="CK476" s="267"/>
      <c r="CL476" s="267"/>
      <c r="CM476" s="267"/>
      <c r="CN476" s="101">
        <f t="shared" si="30"/>
        <v>0</v>
      </c>
      <c r="CO476" s="101">
        <f t="shared" si="31"/>
        <v>17</v>
      </c>
    </row>
    <row r="477" spans="1:93" ht="13.9" customHeight="1" x14ac:dyDescent="0.2">
      <c r="A477" s="149">
        <v>3511</v>
      </c>
      <c r="B477" s="150" t="s">
        <v>1216</v>
      </c>
      <c r="C477" s="150" t="s">
        <v>1464</v>
      </c>
      <c r="D477" s="150" t="s">
        <v>598</v>
      </c>
      <c r="E477" s="150" t="s">
        <v>1480</v>
      </c>
      <c r="F477" s="149">
        <v>529369</v>
      </c>
      <c r="G477" s="149">
        <v>177317</v>
      </c>
      <c r="H477" s="150" t="s">
        <v>149</v>
      </c>
      <c r="I477" s="151">
        <v>42825</v>
      </c>
      <c r="J477" s="151"/>
      <c r="K477" s="149">
        <v>0</v>
      </c>
      <c r="L477" s="149">
        <v>11</v>
      </c>
      <c r="M477" s="149">
        <v>11</v>
      </c>
      <c r="N477" s="149">
        <v>2971</v>
      </c>
      <c r="O477" s="149">
        <v>2966</v>
      </c>
      <c r="P477" s="152" t="s">
        <v>327</v>
      </c>
      <c r="Q477" s="150" t="s">
        <v>1466</v>
      </c>
      <c r="R477" s="150" t="s">
        <v>1467</v>
      </c>
      <c r="S477" s="151">
        <v>41774</v>
      </c>
      <c r="T477" s="151">
        <v>42046</v>
      </c>
      <c r="U477" s="152"/>
      <c r="V477" s="150" t="s">
        <v>330</v>
      </c>
      <c r="W477" s="151"/>
      <c r="X477" s="150" t="s">
        <v>331</v>
      </c>
      <c r="Y477" s="150" t="s">
        <v>343</v>
      </c>
      <c r="Z477" s="150" t="s">
        <v>343</v>
      </c>
      <c r="AA477" s="150" t="s">
        <v>334</v>
      </c>
      <c r="AB477" s="153">
        <v>6.0999999999999999E-2</v>
      </c>
      <c r="AC477" s="151"/>
      <c r="AD477" s="150"/>
      <c r="AE477" s="151"/>
      <c r="AF477" s="150" t="s">
        <v>48</v>
      </c>
      <c r="AG477" s="152" t="s">
        <v>992</v>
      </c>
      <c r="AH477" s="150" t="s">
        <v>601</v>
      </c>
      <c r="AI477" s="102"/>
      <c r="AJ477" s="149"/>
      <c r="AK477" s="149">
        <v>10</v>
      </c>
      <c r="AL477" s="149"/>
      <c r="AM477" s="149">
        <v>1</v>
      </c>
      <c r="AN477" s="149">
        <v>0</v>
      </c>
      <c r="AO477" s="149">
        <v>2</v>
      </c>
      <c r="AP477" s="149">
        <v>5</v>
      </c>
      <c r="AQ477" s="149">
        <v>3</v>
      </c>
      <c r="AR477" s="149">
        <v>1</v>
      </c>
      <c r="AS477" s="149">
        <v>0</v>
      </c>
      <c r="AT477" s="149">
        <v>0</v>
      </c>
      <c r="AU477" s="149">
        <v>0</v>
      </c>
      <c r="AV477" s="149">
        <v>2</v>
      </c>
      <c r="AW477" s="149">
        <v>5</v>
      </c>
      <c r="AX477" s="149">
        <v>3</v>
      </c>
      <c r="AY477" s="149">
        <v>0</v>
      </c>
      <c r="AZ477" s="149">
        <v>0</v>
      </c>
      <c r="BA477" s="149">
        <v>0</v>
      </c>
      <c r="BB477" s="149">
        <v>0</v>
      </c>
      <c r="BC477" s="149">
        <v>0</v>
      </c>
      <c r="BD477" s="149">
        <v>0</v>
      </c>
      <c r="BE477" s="149">
        <v>0</v>
      </c>
      <c r="BF477" s="149">
        <v>1</v>
      </c>
      <c r="BG477" s="149">
        <v>0</v>
      </c>
      <c r="BH477" s="149">
        <v>0</v>
      </c>
      <c r="BI477" s="149">
        <v>0</v>
      </c>
      <c r="BJ477" s="149">
        <v>0</v>
      </c>
      <c r="BK477" s="149">
        <v>0</v>
      </c>
      <c r="BL477" s="149">
        <v>0</v>
      </c>
      <c r="BM477" s="149">
        <v>0</v>
      </c>
      <c r="BN477" s="149">
        <v>0</v>
      </c>
      <c r="BO477" s="149">
        <v>0</v>
      </c>
      <c r="BP477" s="152"/>
      <c r="BQ477" s="152" t="s">
        <v>327</v>
      </c>
      <c r="BR477" s="154" t="s">
        <v>149</v>
      </c>
      <c r="BS477" s="136">
        <v>8</v>
      </c>
      <c r="BT477" s="267"/>
      <c r="BU477" s="267"/>
      <c r="BV477" s="267"/>
      <c r="BW477" s="267"/>
      <c r="BX477" s="267"/>
      <c r="BY477" s="267"/>
      <c r="BZ477" s="267"/>
      <c r="CA477" s="267"/>
      <c r="CB477" s="267">
        <f t="shared" si="34"/>
        <v>11</v>
      </c>
      <c r="CC477" s="267"/>
      <c r="CD477" s="267"/>
      <c r="CE477" s="267"/>
      <c r="CF477" s="267"/>
      <c r="CG477" s="267"/>
      <c r="CH477" s="267"/>
      <c r="CI477" s="267"/>
      <c r="CJ477" s="267"/>
      <c r="CK477" s="267"/>
      <c r="CL477" s="267"/>
      <c r="CM477" s="267"/>
      <c r="CN477" s="101">
        <f t="shared" si="30"/>
        <v>0</v>
      </c>
      <c r="CO477" s="101">
        <f t="shared" si="31"/>
        <v>11</v>
      </c>
    </row>
    <row r="478" spans="1:93" ht="13.9" customHeight="1" x14ac:dyDescent="0.2">
      <c r="A478" s="149">
        <v>3511</v>
      </c>
      <c r="B478" s="150" t="s">
        <v>1216</v>
      </c>
      <c r="C478" s="150" t="s">
        <v>1464</v>
      </c>
      <c r="D478" s="150" t="s">
        <v>598</v>
      </c>
      <c r="E478" s="150" t="s">
        <v>1481</v>
      </c>
      <c r="F478" s="149">
        <v>529369</v>
      </c>
      <c r="G478" s="149">
        <v>177317</v>
      </c>
      <c r="H478" s="150" t="s">
        <v>149</v>
      </c>
      <c r="I478" s="151">
        <v>42825</v>
      </c>
      <c r="J478" s="151"/>
      <c r="K478" s="149">
        <v>0</v>
      </c>
      <c r="L478" s="149">
        <v>11</v>
      </c>
      <c r="M478" s="149">
        <v>11</v>
      </c>
      <c r="N478" s="149">
        <v>2971</v>
      </c>
      <c r="O478" s="149">
        <v>2966</v>
      </c>
      <c r="P478" s="152" t="s">
        <v>327</v>
      </c>
      <c r="Q478" s="150" t="s">
        <v>1466</v>
      </c>
      <c r="R478" s="150" t="s">
        <v>1467</v>
      </c>
      <c r="S478" s="151">
        <v>41774</v>
      </c>
      <c r="T478" s="151">
        <v>42046</v>
      </c>
      <c r="U478" s="152"/>
      <c r="V478" s="150" t="s">
        <v>330</v>
      </c>
      <c r="W478" s="151"/>
      <c r="X478" s="150" t="s">
        <v>331</v>
      </c>
      <c r="Y478" s="150" t="s">
        <v>343</v>
      </c>
      <c r="Z478" s="150" t="s">
        <v>343</v>
      </c>
      <c r="AA478" s="150" t="s">
        <v>334</v>
      </c>
      <c r="AB478" s="153">
        <v>6.6000000000000003E-2</v>
      </c>
      <c r="AC478" s="151"/>
      <c r="AD478" s="150"/>
      <c r="AE478" s="151"/>
      <c r="AF478" s="150" t="s">
        <v>49</v>
      </c>
      <c r="AG478" s="152" t="s">
        <v>470</v>
      </c>
      <c r="AH478" s="150" t="s">
        <v>601</v>
      </c>
      <c r="AI478" s="102"/>
      <c r="AJ478" s="149"/>
      <c r="AK478" s="149">
        <v>10</v>
      </c>
      <c r="AL478" s="149"/>
      <c r="AM478" s="149">
        <v>1</v>
      </c>
      <c r="AN478" s="149">
        <v>0</v>
      </c>
      <c r="AO478" s="149">
        <v>2</v>
      </c>
      <c r="AP478" s="149">
        <v>5</v>
      </c>
      <c r="AQ478" s="149">
        <v>4</v>
      </c>
      <c r="AR478" s="149">
        <v>0</v>
      </c>
      <c r="AS478" s="149">
        <v>0</v>
      </c>
      <c r="AT478" s="149">
        <v>0</v>
      </c>
      <c r="AU478" s="149">
        <v>0</v>
      </c>
      <c r="AV478" s="149">
        <v>2</v>
      </c>
      <c r="AW478" s="149">
        <v>5</v>
      </c>
      <c r="AX478" s="149">
        <v>4</v>
      </c>
      <c r="AY478" s="149">
        <v>0</v>
      </c>
      <c r="AZ478" s="149">
        <v>0</v>
      </c>
      <c r="BA478" s="149">
        <v>0</v>
      </c>
      <c r="BB478" s="149">
        <v>0</v>
      </c>
      <c r="BC478" s="149">
        <v>0</v>
      </c>
      <c r="BD478" s="149">
        <v>0</v>
      </c>
      <c r="BE478" s="149">
        <v>0</v>
      </c>
      <c r="BF478" s="149">
        <v>0</v>
      </c>
      <c r="BG478" s="149">
        <v>0</v>
      </c>
      <c r="BH478" s="149">
        <v>0</v>
      </c>
      <c r="BI478" s="149">
        <v>0</v>
      </c>
      <c r="BJ478" s="149">
        <v>0</v>
      </c>
      <c r="BK478" s="149">
        <v>0</v>
      </c>
      <c r="BL478" s="149">
        <v>0</v>
      </c>
      <c r="BM478" s="149">
        <v>0</v>
      </c>
      <c r="BN478" s="149">
        <v>0</v>
      </c>
      <c r="BO478" s="149">
        <v>0</v>
      </c>
      <c r="BP478" s="152"/>
      <c r="BQ478" s="152" t="s">
        <v>327</v>
      </c>
      <c r="BR478" s="154" t="s">
        <v>149</v>
      </c>
      <c r="BS478" s="136">
        <v>8</v>
      </c>
      <c r="BT478" s="267"/>
      <c r="BU478" s="267"/>
      <c r="BV478" s="267"/>
      <c r="BW478" s="267"/>
      <c r="BX478" s="267"/>
      <c r="BY478" s="267"/>
      <c r="BZ478" s="267"/>
      <c r="CA478" s="267"/>
      <c r="CB478" s="267">
        <f t="shared" si="34"/>
        <v>11</v>
      </c>
      <c r="CC478" s="267"/>
      <c r="CD478" s="267"/>
      <c r="CE478" s="267"/>
      <c r="CF478" s="267"/>
      <c r="CG478" s="267"/>
      <c r="CH478" s="267"/>
      <c r="CI478" s="267"/>
      <c r="CJ478" s="267"/>
      <c r="CK478" s="267"/>
      <c r="CL478" s="267"/>
      <c r="CM478" s="267"/>
      <c r="CN478" s="101">
        <f t="shared" si="30"/>
        <v>0</v>
      </c>
      <c r="CO478" s="101">
        <f t="shared" si="31"/>
        <v>11</v>
      </c>
    </row>
    <row r="479" spans="1:93" ht="13.9" customHeight="1" x14ac:dyDescent="0.2">
      <c r="A479" s="149">
        <v>3511</v>
      </c>
      <c r="B479" s="150" t="s">
        <v>1216</v>
      </c>
      <c r="C479" s="150" t="s">
        <v>1464</v>
      </c>
      <c r="D479" s="150" t="s">
        <v>598</v>
      </c>
      <c r="E479" s="150" t="s">
        <v>1482</v>
      </c>
      <c r="F479" s="149">
        <v>529369</v>
      </c>
      <c r="G479" s="149">
        <v>177317</v>
      </c>
      <c r="H479" s="150" t="s">
        <v>149</v>
      </c>
      <c r="I479" s="151">
        <v>42825</v>
      </c>
      <c r="J479" s="151"/>
      <c r="K479" s="149">
        <v>0</v>
      </c>
      <c r="L479" s="149">
        <v>6</v>
      </c>
      <c r="M479" s="149">
        <v>6</v>
      </c>
      <c r="N479" s="149">
        <v>2971</v>
      </c>
      <c r="O479" s="149">
        <v>2966</v>
      </c>
      <c r="P479" s="152" t="s">
        <v>327</v>
      </c>
      <c r="Q479" s="150" t="s">
        <v>1466</v>
      </c>
      <c r="R479" s="150" t="s">
        <v>1467</v>
      </c>
      <c r="S479" s="151">
        <v>41774</v>
      </c>
      <c r="T479" s="151">
        <v>42046</v>
      </c>
      <c r="U479" s="152"/>
      <c r="V479" s="150" t="s">
        <v>330</v>
      </c>
      <c r="W479" s="151"/>
      <c r="X479" s="150" t="s">
        <v>331</v>
      </c>
      <c r="Y479" s="150" t="s">
        <v>343</v>
      </c>
      <c r="Z479" s="150" t="s">
        <v>343</v>
      </c>
      <c r="AA479" s="150" t="s">
        <v>334</v>
      </c>
      <c r="AB479" s="153">
        <v>3.5999999999999997E-2</v>
      </c>
      <c r="AC479" s="151"/>
      <c r="AD479" s="150"/>
      <c r="AE479" s="151"/>
      <c r="AF479" s="150" t="s">
        <v>49</v>
      </c>
      <c r="AG479" s="152" t="s">
        <v>470</v>
      </c>
      <c r="AH479" s="150" t="s">
        <v>601</v>
      </c>
      <c r="AI479" s="102"/>
      <c r="AJ479" s="149"/>
      <c r="AK479" s="149">
        <v>5</v>
      </c>
      <c r="AL479" s="149"/>
      <c r="AM479" s="149">
        <v>1</v>
      </c>
      <c r="AN479" s="149">
        <v>0</v>
      </c>
      <c r="AO479" s="149">
        <v>0</v>
      </c>
      <c r="AP479" s="149">
        <v>2</v>
      </c>
      <c r="AQ479" s="149">
        <v>4</v>
      </c>
      <c r="AR479" s="149">
        <v>0</v>
      </c>
      <c r="AS479" s="149">
        <v>0</v>
      </c>
      <c r="AT479" s="149">
        <v>0</v>
      </c>
      <c r="AU479" s="149">
        <v>0</v>
      </c>
      <c r="AV479" s="149">
        <v>0</v>
      </c>
      <c r="AW479" s="149">
        <v>2</v>
      </c>
      <c r="AX479" s="149">
        <v>4</v>
      </c>
      <c r="AY479" s="149">
        <v>0</v>
      </c>
      <c r="AZ479" s="149">
        <v>0</v>
      </c>
      <c r="BA479" s="149">
        <v>0</v>
      </c>
      <c r="BB479" s="149">
        <v>0</v>
      </c>
      <c r="BC479" s="149">
        <v>0</v>
      </c>
      <c r="BD479" s="149">
        <v>0</v>
      </c>
      <c r="BE479" s="149">
        <v>0</v>
      </c>
      <c r="BF479" s="149">
        <v>0</v>
      </c>
      <c r="BG479" s="149">
        <v>0</v>
      </c>
      <c r="BH479" s="149">
        <v>0</v>
      </c>
      <c r="BI479" s="149">
        <v>0</v>
      </c>
      <c r="BJ479" s="149">
        <v>0</v>
      </c>
      <c r="BK479" s="149">
        <v>0</v>
      </c>
      <c r="BL479" s="149">
        <v>0</v>
      </c>
      <c r="BM479" s="149">
        <v>0</v>
      </c>
      <c r="BN479" s="149">
        <v>0</v>
      </c>
      <c r="BO479" s="149">
        <v>0</v>
      </c>
      <c r="BP479" s="152"/>
      <c r="BQ479" s="152" t="s">
        <v>327</v>
      </c>
      <c r="BR479" s="154" t="s">
        <v>149</v>
      </c>
      <c r="BS479" s="136">
        <v>8</v>
      </c>
      <c r="BT479" s="267"/>
      <c r="BU479" s="267"/>
      <c r="BV479" s="267"/>
      <c r="BW479" s="267"/>
      <c r="BX479" s="267"/>
      <c r="BY479" s="267"/>
      <c r="BZ479" s="267"/>
      <c r="CA479" s="267"/>
      <c r="CB479" s="267">
        <f t="shared" si="34"/>
        <v>6</v>
      </c>
      <c r="CC479" s="267"/>
      <c r="CD479" s="267"/>
      <c r="CE479" s="267"/>
      <c r="CF479" s="267"/>
      <c r="CG479" s="267"/>
      <c r="CH479" s="267"/>
      <c r="CI479" s="267"/>
      <c r="CJ479" s="267"/>
      <c r="CK479" s="267"/>
      <c r="CL479" s="267"/>
      <c r="CM479" s="267"/>
      <c r="CN479" s="101">
        <f t="shared" si="30"/>
        <v>0</v>
      </c>
      <c r="CO479" s="101">
        <f t="shared" si="31"/>
        <v>6</v>
      </c>
    </row>
    <row r="480" spans="1:93" ht="13.9" customHeight="1" x14ac:dyDescent="0.2">
      <c r="A480" s="149">
        <v>3511</v>
      </c>
      <c r="B480" s="150" t="s">
        <v>1216</v>
      </c>
      <c r="C480" s="150" t="s">
        <v>1464</v>
      </c>
      <c r="D480" s="150" t="s">
        <v>598</v>
      </c>
      <c r="E480" s="150" t="s">
        <v>1483</v>
      </c>
      <c r="F480" s="149">
        <v>529369</v>
      </c>
      <c r="G480" s="149">
        <v>177317</v>
      </c>
      <c r="H480" s="150" t="s">
        <v>149</v>
      </c>
      <c r="I480" s="151">
        <v>42825</v>
      </c>
      <c r="J480" s="151"/>
      <c r="K480" s="149">
        <v>5</v>
      </c>
      <c r="L480" s="149">
        <v>0</v>
      </c>
      <c r="M480" s="149">
        <v>-5</v>
      </c>
      <c r="N480" s="149">
        <v>2971</v>
      </c>
      <c r="O480" s="149">
        <v>2966</v>
      </c>
      <c r="P480" s="152" t="s">
        <v>327</v>
      </c>
      <c r="Q480" s="150" t="s">
        <v>1466</v>
      </c>
      <c r="R480" s="150" t="s">
        <v>1467</v>
      </c>
      <c r="S480" s="151">
        <v>41774</v>
      </c>
      <c r="T480" s="151">
        <v>42046</v>
      </c>
      <c r="U480" s="152"/>
      <c r="V480" s="150" t="s">
        <v>330</v>
      </c>
      <c r="W480" s="151"/>
      <c r="X480" s="150" t="s">
        <v>331</v>
      </c>
      <c r="Y480" s="150" t="s">
        <v>343</v>
      </c>
      <c r="Z480" s="150" t="s">
        <v>343</v>
      </c>
      <c r="AA480" s="150" t="s">
        <v>334</v>
      </c>
      <c r="AB480" s="153">
        <v>0</v>
      </c>
      <c r="AC480" s="151"/>
      <c r="AD480" s="150"/>
      <c r="AE480" s="151"/>
      <c r="AF480" s="150" t="s">
        <v>70</v>
      </c>
      <c r="AG480" s="152" t="s">
        <v>352</v>
      </c>
      <c r="AH480" s="150" t="s">
        <v>601</v>
      </c>
      <c r="AI480" s="102"/>
      <c r="AJ480" s="149"/>
      <c r="AK480" s="102"/>
      <c r="AL480" s="149"/>
      <c r="AM480" s="102"/>
      <c r="AN480" s="149">
        <v>0</v>
      </c>
      <c r="AO480" s="149">
        <v>0</v>
      </c>
      <c r="AP480" s="149">
        <v>0</v>
      </c>
      <c r="AQ480" s="149">
        <v>0</v>
      </c>
      <c r="AR480" s="149">
        <v>0</v>
      </c>
      <c r="AS480" s="149">
        <v>0</v>
      </c>
      <c r="AT480" s="149">
        <v>-5</v>
      </c>
      <c r="AU480" s="149">
        <v>0</v>
      </c>
      <c r="AV480" s="149">
        <v>0</v>
      </c>
      <c r="AW480" s="149">
        <v>0</v>
      </c>
      <c r="AX480" s="149">
        <v>0</v>
      </c>
      <c r="AY480" s="149">
        <v>0</v>
      </c>
      <c r="AZ480" s="149">
        <v>0</v>
      </c>
      <c r="BA480" s="149">
        <v>-5</v>
      </c>
      <c r="BB480" s="149">
        <v>0</v>
      </c>
      <c r="BC480" s="149">
        <v>0</v>
      </c>
      <c r="BD480" s="149">
        <v>0</v>
      </c>
      <c r="BE480" s="149">
        <v>0</v>
      </c>
      <c r="BF480" s="149">
        <v>0</v>
      </c>
      <c r="BG480" s="149">
        <v>0</v>
      </c>
      <c r="BH480" s="149">
        <v>0</v>
      </c>
      <c r="BI480" s="149">
        <v>0</v>
      </c>
      <c r="BJ480" s="149">
        <v>0</v>
      </c>
      <c r="BK480" s="149">
        <v>0</v>
      </c>
      <c r="BL480" s="149">
        <v>0</v>
      </c>
      <c r="BM480" s="149">
        <v>0</v>
      </c>
      <c r="BN480" s="149">
        <v>0</v>
      </c>
      <c r="BO480" s="149">
        <v>0</v>
      </c>
      <c r="BP480" s="152"/>
      <c r="BQ480" s="152" t="s">
        <v>327</v>
      </c>
      <c r="BR480" s="154" t="s">
        <v>149</v>
      </c>
      <c r="BS480" s="136">
        <v>8</v>
      </c>
      <c r="BT480" s="267"/>
      <c r="BU480" s="267"/>
      <c r="BV480" s="267"/>
      <c r="BW480" s="267"/>
      <c r="BX480" s="267"/>
      <c r="BY480" s="267"/>
      <c r="BZ480" s="267"/>
      <c r="CA480" s="267"/>
      <c r="CB480" s="267">
        <f t="shared" si="34"/>
        <v>-5</v>
      </c>
      <c r="CC480" s="267"/>
      <c r="CD480" s="267"/>
      <c r="CE480" s="267"/>
      <c r="CF480" s="267"/>
      <c r="CG480" s="267"/>
      <c r="CH480" s="267"/>
      <c r="CI480" s="267"/>
      <c r="CJ480" s="267"/>
      <c r="CK480" s="267"/>
      <c r="CL480" s="267"/>
      <c r="CM480" s="267"/>
      <c r="CN480" s="101">
        <f t="shared" si="30"/>
        <v>0</v>
      </c>
      <c r="CO480" s="101">
        <f t="shared" si="31"/>
        <v>-5</v>
      </c>
    </row>
    <row r="481" spans="1:93" ht="13.9" customHeight="1" x14ac:dyDescent="0.2">
      <c r="A481" s="149">
        <v>4797</v>
      </c>
      <c r="B481" s="150" t="s">
        <v>1216</v>
      </c>
      <c r="C481" s="150" t="s">
        <v>1484</v>
      </c>
      <c r="D481" s="150" t="s">
        <v>1485</v>
      </c>
      <c r="E481" s="150" t="s">
        <v>1486</v>
      </c>
      <c r="F481" s="149">
        <v>527293</v>
      </c>
      <c r="G481" s="149">
        <v>177185</v>
      </c>
      <c r="H481" s="150" t="s">
        <v>160</v>
      </c>
      <c r="I481" s="151">
        <v>41870</v>
      </c>
      <c r="J481" s="151"/>
      <c r="K481" s="149">
        <v>0</v>
      </c>
      <c r="L481" s="149">
        <v>1</v>
      </c>
      <c r="M481" s="149">
        <v>1</v>
      </c>
      <c r="N481" s="149">
        <v>2</v>
      </c>
      <c r="O481" s="149">
        <v>2</v>
      </c>
      <c r="P481" s="152"/>
      <c r="Q481" s="150" t="s">
        <v>1487</v>
      </c>
      <c r="R481" s="150" t="s">
        <v>427</v>
      </c>
      <c r="S481" s="151">
        <v>41814</v>
      </c>
      <c r="T481" s="151">
        <v>41870</v>
      </c>
      <c r="U481" s="152"/>
      <c r="V481" s="150" t="s">
        <v>330</v>
      </c>
      <c r="W481" s="151"/>
      <c r="X481" s="150" t="s">
        <v>331</v>
      </c>
      <c r="Y481" s="150" t="s">
        <v>332</v>
      </c>
      <c r="Z481" s="150" t="s">
        <v>334</v>
      </c>
      <c r="AA481" s="150" t="s">
        <v>29</v>
      </c>
      <c r="AB481" s="153">
        <v>7.0000000000000001E-3</v>
      </c>
      <c r="AC481" s="151"/>
      <c r="AD481" s="150"/>
      <c r="AE481" s="151"/>
      <c r="AF481" s="150" t="s">
        <v>70</v>
      </c>
      <c r="AG481" s="152" t="s">
        <v>352</v>
      </c>
      <c r="AH481" s="150" t="s">
        <v>326</v>
      </c>
      <c r="AI481" s="102"/>
      <c r="AJ481" s="149"/>
      <c r="AK481" s="102"/>
      <c r="AL481" s="149"/>
      <c r="AM481" s="102"/>
      <c r="AN481" s="149">
        <v>0</v>
      </c>
      <c r="AO481" s="149">
        <v>0</v>
      </c>
      <c r="AP481" s="149">
        <v>0</v>
      </c>
      <c r="AQ481" s="149">
        <v>1</v>
      </c>
      <c r="AR481" s="149">
        <v>0</v>
      </c>
      <c r="AS481" s="149">
        <v>0</v>
      </c>
      <c r="AT481" s="149">
        <v>0</v>
      </c>
      <c r="AU481" s="149">
        <v>0</v>
      </c>
      <c r="AV481" s="149">
        <v>0</v>
      </c>
      <c r="AW481" s="149">
        <v>0</v>
      </c>
      <c r="AX481" s="149">
        <v>1</v>
      </c>
      <c r="AY481" s="149">
        <v>0</v>
      </c>
      <c r="AZ481" s="149">
        <v>0</v>
      </c>
      <c r="BA481" s="149">
        <v>0</v>
      </c>
      <c r="BB481" s="149">
        <v>0</v>
      </c>
      <c r="BC481" s="149">
        <v>0</v>
      </c>
      <c r="BD481" s="149">
        <v>0</v>
      </c>
      <c r="BE481" s="149">
        <v>0</v>
      </c>
      <c r="BF481" s="149">
        <v>0</v>
      </c>
      <c r="BG481" s="149">
        <v>0</v>
      </c>
      <c r="BH481" s="149">
        <v>0</v>
      </c>
      <c r="BI481" s="149">
        <v>0</v>
      </c>
      <c r="BJ481" s="149">
        <v>0</v>
      </c>
      <c r="BK481" s="149">
        <v>0</v>
      </c>
      <c r="BL481" s="149">
        <v>0</v>
      </c>
      <c r="BM481" s="149">
        <v>0</v>
      </c>
      <c r="BN481" s="149">
        <v>0</v>
      </c>
      <c r="BO481" s="149">
        <v>0</v>
      </c>
      <c r="BP481" s="152"/>
      <c r="BQ481" s="152"/>
      <c r="BR481" s="154" t="s">
        <v>408</v>
      </c>
      <c r="BS481" s="136">
        <v>15</v>
      </c>
      <c r="BT481" s="267"/>
      <c r="BU481" s="267">
        <f>M481/4</f>
        <v>0.25</v>
      </c>
      <c r="BV481" s="267">
        <f>M481/4</f>
        <v>0.25</v>
      </c>
      <c r="BW481" s="267">
        <f>M481/4</f>
        <v>0.25</v>
      </c>
      <c r="BX481" s="267">
        <f>M481/4</f>
        <v>0.25</v>
      </c>
      <c r="BY481" s="267"/>
      <c r="BZ481" s="267"/>
      <c r="CA481" s="267"/>
      <c r="CB481" s="267"/>
      <c r="CC481" s="267"/>
      <c r="CD481" s="267"/>
      <c r="CE481" s="267"/>
      <c r="CF481" s="267"/>
      <c r="CG481" s="267"/>
      <c r="CH481" s="267"/>
      <c r="CI481" s="267"/>
      <c r="CJ481" s="267"/>
      <c r="CK481" s="267"/>
      <c r="CL481" s="267"/>
      <c r="CM481" s="267"/>
      <c r="CN481" s="101">
        <f t="shared" si="30"/>
        <v>1</v>
      </c>
      <c r="CO481" s="101">
        <f t="shared" si="31"/>
        <v>1</v>
      </c>
    </row>
    <row r="482" spans="1:93" ht="13.9" customHeight="1" x14ac:dyDescent="0.2">
      <c r="A482" s="149">
        <v>3511</v>
      </c>
      <c r="B482" s="150" t="s">
        <v>1216</v>
      </c>
      <c r="C482" s="150" t="s">
        <v>1464</v>
      </c>
      <c r="D482" s="150" t="s">
        <v>598</v>
      </c>
      <c r="E482" s="150" t="s">
        <v>1488</v>
      </c>
      <c r="F482" s="149">
        <v>529369</v>
      </c>
      <c r="G482" s="149">
        <v>177317</v>
      </c>
      <c r="H482" s="150" t="s">
        <v>149</v>
      </c>
      <c r="I482" s="151">
        <v>42825</v>
      </c>
      <c r="J482" s="151"/>
      <c r="K482" s="149">
        <v>0</v>
      </c>
      <c r="L482" s="149">
        <v>166</v>
      </c>
      <c r="M482" s="149">
        <v>166</v>
      </c>
      <c r="N482" s="149">
        <v>2971</v>
      </c>
      <c r="O482" s="149">
        <v>2966</v>
      </c>
      <c r="P482" s="152" t="s">
        <v>327</v>
      </c>
      <c r="Q482" s="150" t="s">
        <v>1466</v>
      </c>
      <c r="R482" s="150" t="s">
        <v>1467</v>
      </c>
      <c r="S482" s="151">
        <v>41774</v>
      </c>
      <c r="T482" s="151">
        <v>42046</v>
      </c>
      <c r="U482" s="152"/>
      <c r="V482" s="150" t="s">
        <v>330</v>
      </c>
      <c r="W482" s="151"/>
      <c r="X482" s="150" t="s">
        <v>331</v>
      </c>
      <c r="Y482" s="150" t="s">
        <v>343</v>
      </c>
      <c r="Z482" s="150" t="s">
        <v>343</v>
      </c>
      <c r="AA482" s="150" t="s">
        <v>334</v>
      </c>
      <c r="AB482" s="153">
        <v>1.0009999999999999</v>
      </c>
      <c r="AC482" s="151"/>
      <c r="AD482" s="150"/>
      <c r="AE482" s="151"/>
      <c r="AF482" s="150" t="s">
        <v>70</v>
      </c>
      <c r="AG482" s="152" t="s">
        <v>352</v>
      </c>
      <c r="AH482" s="150" t="s">
        <v>601</v>
      </c>
      <c r="AI482" s="99"/>
      <c r="AJ482" s="149"/>
      <c r="AK482" s="138">
        <v>149</v>
      </c>
      <c r="AL482" s="149"/>
      <c r="AM482" s="138">
        <v>17</v>
      </c>
      <c r="AN482" s="149">
        <v>0</v>
      </c>
      <c r="AO482" s="149">
        <v>33</v>
      </c>
      <c r="AP482" s="149">
        <v>58</v>
      </c>
      <c r="AQ482" s="149">
        <v>75</v>
      </c>
      <c r="AR482" s="149">
        <v>0</v>
      </c>
      <c r="AS482" s="149">
        <v>0</v>
      </c>
      <c r="AT482" s="149">
        <v>0</v>
      </c>
      <c r="AU482" s="149">
        <v>0</v>
      </c>
      <c r="AV482" s="149">
        <v>33</v>
      </c>
      <c r="AW482" s="149">
        <v>58</v>
      </c>
      <c r="AX482" s="149">
        <v>75</v>
      </c>
      <c r="AY482" s="149">
        <v>0</v>
      </c>
      <c r="AZ482" s="149">
        <v>0</v>
      </c>
      <c r="BA482" s="149">
        <v>0</v>
      </c>
      <c r="BB482" s="149">
        <v>0</v>
      </c>
      <c r="BC482" s="149">
        <v>0</v>
      </c>
      <c r="BD482" s="149">
        <v>0</v>
      </c>
      <c r="BE482" s="149">
        <v>0</v>
      </c>
      <c r="BF482" s="149">
        <v>0</v>
      </c>
      <c r="BG482" s="149">
        <v>0</v>
      </c>
      <c r="BH482" s="149">
        <v>0</v>
      </c>
      <c r="BI482" s="149">
        <v>0</v>
      </c>
      <c r="BJ482" s="149">
        <v>0</v>
      </c>
      <c r="BK482" s="149">
        <v>0</v>
      </c>
      <c r="BL482" s="149">
        <v>0</v>
      </c>
      <c r="BM482" s="149">
        <v>0</v>
      </c>
      <c r="BN482" s="149">
        <v>0</v>
      </c>
      <c r="BO482" s="149">
        <v>0</v>
      </c>
      <c r="BP482" s="152"/>
      <c r="BQ482" s="152" t="s">
        <v>327</v>
      </c>
      <c r="BR482" s="154" t="s">
        <v>149</v>
      </c>
      <c r="BS482" s="136">
        <v>8</v>
      </c>
      <c r="BT482" s="267"/>
      <c r="BU482" s="267"/>
      <c r="BV482" s="267"/>
      <c r="BW482" s="267"/>
      <c r="BX482" s="267"/>
      <c r="BY482" s="267"/>
      <c r="BZ482" s="267">
        <f>M482</f>
        <v>166</v>
      </c>
      <c r="CA482" s="267"/>
      <c r="CB482" s="267"/>
      <c r="CC482" s="267"/>
      <c r="CD482" s="267"/>
      <c r="CE482" s="267"/>
      <c r="CF482" s="267"/>
      <c r="CG482" s="267"/>
      <c r="CH482" s="267"/>
      <c r="CI482" s="267"/>
      <c r="CJ482" s="267"/>
      <c r="CK482" s="267"/>
      <c r="CL482" s="267"/>
      <c r="CM482" s="267"/>
      <c r="CN482" s="101">
        <f t="shared" si="30"/>
        <v>0</v>
      </c>
      <c r="CO482" s="101">
        <f t="shared" si="31"/>
        <v>166</v>
      </c>
    </row>
    <row r="483" spans="1:93" ht="13.9" customHeight="1" x14ac:dyDescent="0.2">
      <c r="A483" s="149">
        <v>3511</v>
      </c>
      <c r="B483" s="150" t="s">
        <v>1216</v>
      </c>
      <c r="C483" s="150" t="s">
        <v>1489</v>
      </c>
      <c r="D483" s="150" t="s">
        <v>598</v>
      </c>
      <c r="E483" s="150" t="s">
        <v>1490</v>
      </c>
      <c r="F483" s="149">
        <v>529369</v>
      </c>
      <c r="G483" s="149">
        <v>177317</v>
      </c>
      <c r="H483" s="150" t="s">
        <v>149</v>
      </c>
      <c r="I483" s="151">
        <v>43672</v>
      </c>
      <c r="J483" s="151"/>
      <c r="K483" s="149">
        <v>0</v>
      </c>
      <c r="L483" s="149">
        <v>13</v>
      </c>
      <c r="M483" s="149">
        <v>13</v>
      </c>
      <c r="N483" s="149">
        <v>559</v>
      </c>
      <c r="O483" s="149">
        <v>559</v>
      </c>
      <c r="P483" s="152" t="s">
        <v>327</v>
      </c>
      <c r="Q483" s="150" t="s">
        <v>1491</v>
      </c>
      <c r="R483" s="150" t="s">
        <v>388</v>
      </c>
      <c r="S483" s="151">
        <v>43433</v>
      </c>
      <c r="T483" s="151">
        <v>43546</v>
      </c>
      <c r="U483" s="152"/>
      <c r="V483" s="150" t="s">
        <v>330</v>
      </c>
      <c r="W483" s="151"/>
      <c r="X483" s="150" t="s">
        <v>331</v>
      </c>
      <c r="Y483" s="150" t="s">
        <v>343</v>
      </c>
      <c r="Z483" s="150" t="s">
        <v>343</v>
      </c>
      <c r="AA483" s="150" t="s">
        <v>334</v>
      </c>
      <c r="AB483" s="153">
        <v>7.1999999999999995E-2</v>
      </c>
      <c r="AC483" s="151"/>
      <c r="AD483" s="150"/>
      <c r="AE483" s="151"/>
      <c r="AF483" s="150" t="s">
        <v>48</v>
      </c>
      <c r="AG483" s="152" t="s">
        <v>344</v>
      </c>
      <c r="AH483" s="150" t="s">
        <v>601</v>
      </c>
      <c r="AI483" s="99"/>
      <c r="AJ483" s="149">
        <v>13</v>
      </c>
      <c r="AK483" s="99"/>
      <c r="AL483" s="149"/>
      <c r="AM483" s="99"/>
      <c r="AN483" s="149">
        <v>0</v>
      </c>
      <c r="AO483" s="149">
        <v>6</v>
      </c>
      <c r="AP483" s="149">
        <v>6</v>
      </c>
      <c r="AQ483" s="149">
        <v>1</v>
      </c>
      <c r="AR483" s="149">
        <v>0</v>
      </c>
      <c r="AS483" s="149">
        <v>0</v>
      </c>
      <c r="AT483" s="149">
        <v>0</v>
      </c>
      <c r="AU483" s="149">
        <v>0</v>
      </c>
      <c r="AV483" s="149">
        <v>6</v>
      </c>
      <c r="AW483" s="149">
        <v>6</v>
      </c>
      <c r="AX483" s="149">
        <v>1</v>
      </c>
      <c r="AY483" s="149">
        <v>0</v>
      </c>
      <c r="AZ483" s="149">
        <v>0</v>
      </c>
      <c r="BA483" s="149">
        <v>0</v>
      </c>
      <c r="BB483" s="149">
        <v>0</v>
      </c>
      <c r="BC483" s="149">
        <v>0</v>
      </c>
      <c r="BD483" s="149">
        <v>0</v>
      </c>
      <c r="BE483" s="149">
        <v>0</v>
      </c>
      <c r="BF483" s="149">
        <v>0</v>
      </c>
      <c r="BG483" s="149">
        <v>0</v>
      </c>
      <c r="BH483" s="149">
        <v>0</v>
      </c>
      <c r="BI483" s="149">
        <v>0</v>
      </c>
      <c r="BJ483" s="149">
        <v>0</v>
      </c>
      <c r="BK483" s="149">
        <v>0</v>
      </c>
      <c r="BL483" s="149">
        <v>0</v>
      </c>
      <c r="BM483" s="149">
        <v>0</v>
      </c>
      <c r="BN483" s="149">
        <v>0</v>
      </c>
      <c r="BO483" s="149">
        <v>0</v>
      </c>
      <c r="BP483" s="152"/>
      <c r="BQ483" s="152" t="s">
        <v>327</v>
      </c>
      <c r="BR483" s="154" t="s">
        <v>149</v>
      </c>
      <c r="BS483" s="136">
        <v>8</v>
      </c>
      <c r="BT483" s="267"/>
      <c r="BU483" s="267"/>
      <c r="BV483" s="267"/>
      <c r="BW483" s="267"/>
      <c r="BX483" s="267"/>
      <c r="BY483" s="267"/>
      <c r="BZ483" s="267">
        <f>M483</f>
        <v>13</v>
      </c>
      <c r="CA483" s="267"/>
      <c r="CB483" s="267"/>
      <c r="CC483" s="267"/>
      <c r="CD483" s="267"/>
      <c r="CE483" s="267"/>
      <c r="CF483" s="267"/>
      <c r="CG483" s="267"/>
      <c r="CH483" s="267"/>
      <c r="CI483" s="267"/>
      <c r="CJ483" s="267"/>
      <c r="CK483" s="267"/>
      <c r="CL483" s="267"/>
      <c r="CM483" s="267"/>
      <c r="CN483" s="101">
        <f t="shared" si="30"/>
        <v>0</v>
      </c>
      <c r="CO483" s="101">
        <f t="shared" si="31"/>
        <v>13</v>
      </c>
    </row>
    <row r="484" spans="1:93" ht="13.9" customHeight="1" x14ac:dyDescent="0.2">
      <c r="A484" s="149">
        <v>464</v>
      </c>
      <c r="B484" s="150" t="s">
        <v>1216</v>
      </c>
      <c r="C484" s="150" t="s">
        <v>1492</v>
      </c>
      <c r="D484" s="150" t="s">
        <v>1493</v>
      </c>
      <c r="E484" s="150" t="s">
        <v>402</v>
      </c>
      <c r="F484" s="149">
        <v>529321</v>
      </c>
      <c r="G484" s="149">
        <v>177258</v>
      </c>
      <c r="H484" s="150" t="s">
        <v>149</v>
      </c>
      <c r="I484" s="151">
        <v>44606</v>
      </c>
      <c r="J484" s="151"/>
      <c r="K484" s="149">
        <v>0</v>
      </c>
      <c r="L484" s="149">
        <v>42</v>
      </c>
      <c r="M484" s="149">
        <v>42</v>
      </c>
      <c r="N484" s="149">
        <v>307</v>
      </c>
      <c r="O484" s="149">
        <v>307</v>
      </c>
      <c r="P484" s="152" t="s">
        <v>327</v>
      </c>
      <c r="Q484" s="150" t="s">
        <v>1494</v>
      </c>
      <c r="R484" s="150" t="s">
        <v>329</v>
      </c>
      <c r="S484" s="151">
        <v>42338</v>
      </c>
      <c r="T484" s="151">
        <v>43552</v>
      </c>
      <c r="U484" s="152"/>
      <c r="V484" s="150" t="s">
        <v>330</v>
      </c>
      <c r="W484" s="151"/>
      <c r="X484" s="150" t="s">
        <v>331</v>
      </c>
      <c r="Y484" s="150" t="s">
        <v>343</v>
      </c>
      <c r="Z484" s="150" t="s">
        <v>343</v>
      </c>
      <c r="AA484" s="150" t="s">
        <v>334</v>
      </c>
      <c r="AB484" s="153">
        <v>3.9E-2</v>
      </c>
      <c r="AC484" s="151"/>
      <c r="AD484" s="150"/>
      <c r="AE484" s="151"/>
      <c r="AF484" s="150" t="s">
        <v>70</v>
      </c>
      <c r="AG484" s="152" t="s">
        <v>352</v>
      </c>
      <c r="AH484" s="150" t="s">
        <v>1495</v>
      </c>
      <c r="AI484" s="138">
        <v>17320035</v>
      </c>
      <c r="AJ484" s="149"/>
      <c r="AK484" s="138">
        <v>38</v>
      </c>
      <c r="AL484" s="149"/>
      <c r="AM484" s="138">
        <v>4</v>
      </c>
      <c r="AN484" s="149">
        <v>0</v>
      </c>
      <c r="AO484" s="149">
        <v>10</v>
      </c>
      <c r="AP484" s="149">
        <v>21</v>
      </c>
      <c r="AQ484" s="149">
        <v>10</v>
      </c>
      <c r="AR484" s="149">
        <v>1</v>
      </c>
      <c r="AS484" s="149">
        <v>0</v>
      </c>
      <c r="AT484" s="149">
        <v>0</v>
      </c>
      <c r="AU484" s="149">
        <v>0</v>
      </c>
      <c r="AV484" s="149">
        <v>10</v>
      </c>
      <c r="AW484" s="149">
        <v>21</v>
      </c>
      <c r="AX484" s="149">
        <v>10</v>
      </c>
      <c r="AY484" s="149">
        <v>1</v>
      </c>
      <c r="AZ484" s="149">
        <v>0</v>
      </c>
      <c r="BA484" s="149">
        <v>0</v>
      </c>
      <c r="BB484" s="149">
        <v>0</v>
      </c>
      <c r="BC484" s="149">
        <v>0</v>
      </c>
      <c r="BD484" s="149">
        <v>0</v>
      </c>
      <c r="BE484" s="149">
        <v>0</v>
      </c>
      <c r="BF484" s="149">
        <v>0</v>
      </c>
      <c r="BG484" s="149">
        <v>0</v>
      </c>
      <c r="BH484" s="149">
        <v>0</v>
      </c>
      <c r="BI484" s="149">
        <v>0</v>
      </c>
      <c r="BJ484" s="149">
        <v>0</v>
      </c>
      <c r="BK484" s="149">
        <v>0</v>
      </c>
      <c r="BL484" s="149">
        <v>0</v>
      </c>
      <c r="BM484" s="149">
        <v>0</v>
      </c>
      <c r="BN484" s="149">
        <v>0</v>
      </c>
      <c r="BO484" s="149">
        <v>0</v>
      </c>
      <c r="BP484" s="152"/>
      <c r="BQ484" s="152" t="s">
        <v>327</v>
      </c>
      <c r="BR484" s="154" t="s">
        <v>149</v>
      </c>
      <c r="BS484" s="136">
        <v>10</v>
      </c>
      <c r="BT484" s="267"/>
      <c r="BU484" s="267"/>
      <c r="BV484" s="267"/>
      <c r="BW484" s="267"/>
      <c r="BX484" s="267">
        <f t="shared" ref="BX484:BX490" si="35">M484/3</f>
        <v>14</v>
      </c>
      <c r="BY484" s="267">
        <f t="shared" ref="BY484:BY490" si="36">M484/3</f>
        <v>14</v>
      </c>
      <c r="BZ484" s="267">
        <f t="shared" ref="BZ484:BZ490" si="37">M484/3</f>
        <v>14</v>
      </c>
      <c r="CA484" s="267"/>
      <c r="CB484" s="267"/>
      <c r="CC484" s="267"/>
      <c r="CD484" s="267"/>
      <c r="CE484" s="267"/>
      <c r="CF484" s="267"/>
      <c r="CG484" s="267"/>
      <c r="CH484" s="267"/>
      <c r="CI484" s="267"/>
      <c r="CJ484" s="267"/>
      <c r="CK484" s="267"/>
      <c r="CL484" s="267"/>
      <c r="CM484" s="267"/>
      <c r="CN484" s="101">
        <f t="shared" si="30"/>
        <v>28</v>
      </c>
      <c r="CO484" s="101">
        <f t="shared" si="31"/>
        <v>42</v>
      </c>
    </row>
    <row r="485" spans="1:93" ht="13.9" customHeight="1" x14ac:dyDescent="0.2">
      <c r="A485" s="149">
        <v>464</v>
      </c>
      <c r="B485" s="150" t="s">
        <v>1216</v>
      </c>
      <c r="C485" s="150" t="s">
        <v>1492</v>
      </c>
      <c r="D485" s="150" t="s">
        <v>1493</v>
      </c>
      <c r="E485" s="150" t="s">
        <v>565</v>
      </c>
      <c r="F485" s="149">
        <v>529321</v>
      </c>
      <c r="G485" s="149">
        <v>177258</v>
      </c>
      <c r="H485" s="150" t="s">
        <v>149</v>
      </c>
      <c r="I485" s="151">
        <v>44606</v>
      </c>
      <c r="J485" s="151"/>
      <c r="K485" s="149">
        <v>0</v>
      </c>
      <c r="L485" s="149">
        <v>111</v>
      </c>
      <c r="M485" s="149">
        <v>111</v>
      </c>
      <c r="N485" s="149">
        <v>307</v>
      </c>
      <c r="O485" s="149">
        <v>307</v>
      </c>
      <c r="P485" s="152" t="s">
        <v>327</v>
      </c>
      <c r="Q485" s="150" t="s">
        <v>1494</v>
      </c>
      <c r="R485" s="150" t="s">
        <v>329</v>
      </c>
      <c r="S485" s="151">
        <v>42338</v>
      </c>
      <c r="T485" s="151">
        <v>43552</v>
      </c>
      <c r="U485" s="152"/>
      <c r="V485" s="150" t="s">
        <v>330</v>
      </c>
      <c r="W485" s="151"/>
      <c r="X485" s="150" t="s">
        <v>331</v>
      </c>
      <c r="Y485" s="150" t="s">
        <v>343</v>
      </c>
      <c r="Z485" s="150" t="s">
        <v>343</v>
      </c>
      <c r="AA485" s="150" t="s">
        <v>334</v>
      </c>
      <c r="AB485" s="153">
        <v>0.09</v>
      </c>
      <c r="AC485" s="151"/>
      <c r="AD485" s="150"/>
      <c r="AE485" s="151"/>
      <c r="AF485" s="150" t="s">
        <v>70</v>
      </c>
      <c r="AG485" s="152" t="s">
        <v>352</v>
      </c>
      <c r="AH485" s="150" t="s">
        <v>1495</v>
      </c>
      <c r="AI485" s="138">
        <v>17320035</v>
      </c>
      <c r="AJ485" s="149"/>
      <c r="AK485" s="138">
        <v>100</v>
      </c>
      <c r="AL485" s="149"/>
      <c r="AM485" s="138">
        <v>11</v>
      </c>
      <c r="AN485" s="149">
        <v>1</v>
      </c>
      <c r="AO485" s="149">
        <v>40</v>
      </c>
      <c r="AP485" s="149">
        <v>60</v>
      </c>
      <c r="AQ485" s="149">
        <v>10</v>
      </c>
      <c r="AR485" s="149">
        <v>0</v>
      </c>
      <c r="AS485" s="149">
        <v>0</v>
      </c>
      <c r="AT485" s="149">
        <v>0</v>
      </c>
      <c r="AU485" s="149">
        <v>1</v>
      </c>
      <c r="AV485" s="149">
        <v>40</v>
      </c>
      <c r="AW485" s="149">
        <v>60</v>
      </c>
      <c r="AX485" s="149">
        <v>10</v>
      </c>
      <c r="AY485" s="149">
        <v>0</v>
      </c>
      <c r="AZ485" s="149">
        <v>0</v>
      </c>
      <c r="BA485" s="149">
        <v>0</v>
      </c>
      <c r="BB485" s="149">
        <v>0</v>
      </c>
      <c r="BC485" s="149">
        <v>0</v>
      </c>
      <c r="BD485" s="149">
        <v>0</v>
      </c>
      <c r="BE485" s="149">
        <v>0</v>
      </c>
      <c r="BF485" s="149">
        <v>0</v>
      </c>
      <c r="BG485" s="149">
        <v>0</v>
      </c>
      <c r="BH485" s="149">
        <v>0</v>
      </c>
      <c r="BI485" s="149">
        <v>0</v>
      </c>
      <c r="BJ485" s="149">
        <v>0</v>
      </c>
      <c r="BK485" s="149">
        <v>0</v>
      </c>
      <c r="BL485" s="149">
        <v>0</v>
      </c>
      <c r="BM485" s="149">
        <v>0</v>
      </c>
      <c r="BN485" s="149">
        <v>0</v>
      </c>
      <c r="BO485" s="149">
        <v>0</v>
      </c>
      <c r="BP485" s="152"/>
      <c r="BQ485" s="152" t="s">
        <v>327</v>
      </c>
      <c r="BR485" s="154" t="s">
        <v>149</v>
      </c>
      <c r="BS485" s="136">
        <v>10</v>
      </c>
      <c r="BT485" s="267"/>
      <c r="BU485" s="267"/>
      <c r="BV485" s="267"/>
      <c r="BW485" s="267"/>
      <c r="BX485" s="267">
        <f t="shared" si="35"/>
        <v>37</v>
      </c>
      <c r="BY485" s="267">
        <f t="shared" si="36"/>
        <v>37</v>
      </c>
      <c r="BZ485" s="267">
        <f t="shared" si="37"/>
        <v>37</v>
      </c>
      <c r="CA485" s="267"/>
      <c r="CB485" s="267"/>
      <c r="CC485" s="267"/>
      <c r="CD485" s="267"/>
      <c r="CE485" s="267"/>
      <c r="CF485" s="267"/>
      <c r="CG485" s="267"/>
      <c r="CH485" s="267"/>
      <c r="CI485" s="267"/>
      <c r="CJ485" s="267"/>
      <c r="CK485" s="267"/>
      <c r="CL485" s="267"/>
      <c r="CM485" s="267"/>
      <c r="CN485" s="101">
        <f t="shared" si="30"/>
        <v>74</v>
      </c>
      <c r="CO485" s="101">
        <f t="shared" si="31"/>
        <v>111</v>
      </c>
    </row>
    <row r="486" spans="1:93" ht="13.9" customHeight="1" x14ac:dyDescent="0.2">
      <c r="A486" s="149">
        <v>464</v>
      </c>
      <c r="B486" s="150" t="s">
        <v>1216</v>
      </c>
      <c r="C486" s="150" t="s">
        <v>1492</v>
      </c>
      <c r="D486" s="150" t="s">
        <v>1493</v>
      </c>
      <c r="E486" s="150" t="s">
        <v>1285</v>
      </c>
      <c r="F486" s="149">
        <v>529321</v>
      </c>
      <c r="G486" s="149">
        <v>177258</v>
      </c>
      <c r="H486" s="150" t="s">
        <v>149</v>
      </c>
      <c r="I486" s="151">
        <v>44606</v>
      </c>
      <c r="J486" s="151"/>
      <c r="K486" s="149">
        <v>0</v>
      </c>
      <c r="L486" s="149">
        <v>10</v>
      </c>
      <c r="M486" s="149">
        <v>10</v>
      </c>
      <c r="N486" s="149">
        <v>307</v>
      </c>
      <c r="O486" s="149">
        <v>307</v>
      </c>
      <c r="P486" s="152" t="s">
        <v>327</v>
      </c>
      <c r="Q486" s="150" t="s">
        <v>1494</v>
      </c>
      <c r="R486" s="150" t="s">
        <v>329</v>
      </c>
      <c r="S486" s="151">
        <v>42338</v>
      </c>
      <c r="T486" s="151">
        <v>43552</v>
      </c>
      <c r="U486" s="152"/>
      <c r="V486" s="150" t="s">
        <v>330</v>
      </c>
      <c r="W486" s="151"/>
      <c r="X486" s="150" t="s">
        <v>331</v>
      </c>
      <c r="Y486" s="150" t="s">
        <v>343</v>
      </c>
      <c r="Z486" s="150" t="s">
        <v>343</v>
      </c>
      <c r="AA486" s="150" t="s">
        <v>334</v>
      </c>
      <c r="AB486" s="153">
        <v>5.0000000000000001E-3</v>
      </c>
      <c r="AC486" s="151"/>
      <c r="AD486" s="150"/>
      <c r="AE486" s="151"/>
      <c r="AF486" s="150" t="s">
        <v>48</v>
      </c>
      <c r="AG486" s="152" t="s">
        <v>344</v>
      </c>
      <c r="AH486" s="150" t="s">
        <v>1495</v>
      </c>
      <c r="AI486" s="138">
        <v>17320035</v>
      </c>
      <c r="AJ486" s="149"/>
      <c r="AK486" s="149">
        <v>9</v>
      </c>
      <c r="AL486" s="149"/>
      <c r="AM486" s="149">
        <v>1</v>
      </c>
      <c r="AN486" s="149">
        <v>0</v>
      </c>
      <c r="AO486" s="149">
        <v>10</v>
      </c>
      <c r="AP486" s="149">
        <v>0</v>
      </c>
      <c r="AQ486" s="149">
        <v>0</v>
      </c>
      <c r="AR486" s="149">
        <v>0</v>
      </c>
      <c r="AS486" s="149">
        <v>0</v>
      </c>
      <c r="AT486" s="149">
        <v>0</v>
      </c>
      <c r="AU486" s="149">
        <v>0</v>
      </c>
      <c r="AV486" s="149">
        <v>10</v>
      </c>
      <c r="AW486" s="149">
        <v>0</v>
      </c>
      <c r="AX486" s="149">
        <v>0</v>
      </c>
      <c r="AY486" s="149">
        <v>0</v>
      </c>
      <c r="AZ486" s="149">
        <v>0</v>
      </c>
      <c r="BA486" s="149">
        <v>0</v>
      </c>
      <c r="BB486" s="149">
        <v>0</v>
      </c>
      <c r="BC486" s="149">
        <v>0</v>
      </c>
      <c r="BD486" s="149">
        <v>0</v>
      </c>
      <c r="BE486" s="149">
        <v>0</v>
      </c>
      <c r="BF486" s="149">
        <v>0</v>
      </c>
      <c r="BG486" s="149">
        <v>0</v>
      </c>
      <c r="BH486" s="149">
        <v>0</v>
      </c>
      <c r="BI486" s="149">
        <v>0</v>
      </c>
      <c r="BJ486" s="149">
        <v>0</v>
      </c>
      <c r="BK486" s="149">
        <v>0</v>
      </c>
      <c r="BL486" s="149">
        <v>0</v>
      </c>
      <c r="BM486" s="149">
        <v>0</v>
      </c>
      <c r="BN486" s="149">
        <v>0</v>
      </c>
      <c r="BO486" s="149">
        <v>0</v>
      </c>
      <c r="BP486" s="152"/>
      <c r="BQ486" s="152" t="s">
        <v>327</v>
      </c>
      <c r="BR486" s="154" t="s">
        <v>149</v>
      </c>
      <c r="BS486" s="136">
        <v>10</v>
      </c>
      <c r="BT486" s="267"/>
      <c r="BU486" s="267"/>
      <c r="BV486" s="267"/>
      <c r="BW486" s="267"/>
      <c r="BX486" s="267">
        <f t="shared" si="35"/>
        <v>3.3333333333333335</v>
      </c>
      <c r="BY486" s="267">
        <f t="shared" si="36"/>
        <v>3.3333333333333335</v>
      </c>
      <c r="BZ486" s="267">
        <f t="shared" si="37"/>
        <v>3.3333333333333335</v>
      </c>
      <c r="CA486" s="267"/>
      <c r="CB486" s="267"/>
      <c r="CC486" s="267"/>
      <c r="CD486" s="267"/>
      <c r="CE486" s="267"/>
      <c r="CF486" s="267"/>
      <c r="CG486" s="267"/>
      <c r="CH486" s="267"/>
      <c r="CI486" s="267"/>
      <c r="CJ486" s="267"/>
      <c r="CK486" s="267"/>
      <c r="CL486" s="267"/>
      <c r="CM486" s="267"/>
      <c r="CN486" s="101">
        <f t="shared" si="30"/>
        <v>6.666666666666667</v>
      </c>
      <c r="CO486" s="101">
        <f t="shared" si="31"/>
        <v>10</v>
      </c>
    </row>
    <row r="487" spans="1:93" ht="13.9" customHeight="1" x14ac:dyDescent="0.2">
      <c r="A487" s="149">
        <v>464</v>
      </c>
      <c r="B487" s="150" t="s">
        <v>1216</v>
      </c>
      <c r="C487" s="150" t="s">
        <v>1492</v>
      </c>
      <c r="D487" s="150" t="s">
        <v>1493</v>
      </c>
      <c r="E487" s="150" t="s">
        <v>1285</v>
      </c>
      <c r="F487" s="149">
        <v>529321</v>
      </c>
      <c r="G487" s="149">
        <v>177258</v>
      </c>
      <c r="H487" s="150" t="s">
        <v>149</v>
      </c>
      <c r="I487" s="151">
        <v>44606</v>
      </c>
      <c r="J487" s="151"/>
      <c r="K487" s="149">
        <v>0</v>
      </c>
      <c r="L487" s="149">
        <v>52</v>
      </c>
      <c r="M487" s="149">
        <v>52</v>
      </c>
      <c r="N487" s="149">
        <v>307</v>
      </c>
      <c r="O487" s="149">
        <v>307</v>
      </c>
      <c r="P487" s="152" t="s">
        <v>327</v>
      </c>
      <c r="Q487" s="150" t="s">
        <v>1494</v>
      </c>
      <c r="R487" s="150" t="s">
        <v>329</v>
      </c>
      <c r="S487" s="151">
        <v>42338</v>
      </c>
      <c r="T487" s="151">
        <v>43552</v>
      </c>
      <c r="U487" s="152"/>
      <c r="V487" s="150" t="s">
        <v>330</v>
      </c>
      <c r="W487" s="151"/>
      <c r="X487" s="150" t="s">
        <v>331</v>
      </c>
      <c r="Y487" s="150" t="s">
        <v>343</v>
      </c>
      <c r="Z487" s="150" t="s">
        <v>343</v>
      </c>
      <c r="AA487" s="150" t="s">
        <v>334</v>
      </c>
      <c r="AB487" s="153">
        <v>4.3999999999999997E-2</v>
      </c>
      <c r="AC487" s="151"/>
      <c r="AD487" s="150"/>
      <c r="AE487" s="151"/>
      <c r="AF487" s="150" t="s">
        <v>70</v>
      </c>
      <c r="AG487" s="152" t="s">
        <v>352</v>
      </c>
      <c r="AH487" s="150" t="s">
        <v>1495</v>
      </c>
      <c r="AI487" s="138">
        <v>17320035</v>
      </c>
      <c r="AJ487" s="149"/>
      <c r="AK487" s="138">
        <v>47</v>
      </c>
      <c r="AL487" s="149"/>
      <c r="AM487" s="138">
        <v>5</v>
      </c>
      <c r="AN487" s="149">
        <v>0</v>
      </c>
      <c r="AO487" s="149">
        <v>9</v>
      </c>
      <c r="AP487" s="149">
        <v>42</v>
      </c>
      <c r="AQ487" s="149">
        <v>1</v>
      </c>
      <c r="AR487" s="149">
        <v>0</v>
      </c>
      <c r="AS487" s="149">
        <v>0</v>
      </c>
      <c r="AT487" s="149">
        <v>0</v>
      </c>
      <c r="AU487" s="149">
        <v>0</v>
      </c>
      <c r="AV487" s="149">
        <v>9</v>
      </c>
      <c r="AW487" s="149">
        <v>42</v>
      </c>
      <c r="AX487" s="149">
        <v>1</v>
      </c>
      <c r="AY487" s="149">
        <v>0</v>
      </c>
      <c r="AZ487" s="149">
        <v>0</v>
      </c>
      <c r="BA487" s="149">
        <v>0</v>
      </c>
      <c r="BB487" s="149">
        <v>0</v>
      </c>
      <c r="BC487" s="149">
        <v>0</v>
      </c>
      <c r="BD487" s="149">
        <v>0</v>
      </c>
      <c r="BE487" s="149">
        <v>0</v>
      </c>
      <c r="BF487" s="149">
        <v>0</v>
      </c>
      <c r="BG487" s="149">
        <v>0</v>
      </c>
      <c r="BH487" s="149">
        <v>0</v>
      </c>
      <c r="BI487" s="149">
        <v>0</v>
      </c>
      <c r="BJ487" s="149">
        <v>0</v>
      </c>
      <c r="BK487" s="149">
        <v>0</v>
      </c>
      <c r="BL487" s="149">
        <v>0</v>
      </c>
      <c r="BM487" s="149">
        <v>0</v>
      </c>
      <c r="BN487" s="149">
        <v>0</v>
      </c>
      <c r="BO487" s="149">
        <v>0</v>
      </c>
      <c r="BP487" s="152"/>
      <c r="BQ487" s="152" t="s">
        <v>327</v>
      </c>
      <c r="BR487" s="154" t="s">
        <v>149</v>
      </c>
      <c r="BS487" s="136">
        <v>10</v>
      </c>
      <c r="BT487" s="267"/>
      <c r="BU487" s="267"/>
      <c r="BV487" s="267"/>
      <c r="BW487" s="267"/>
      <c r="BX487" s="267">
        <f t="shared" si="35"/>
        <v>17.333333333333332</v>
      </c>
      <c r="BY487" s="267">
        <f t="shared" si="36"/>
        <v>17.333333333333332</v>
      </c>
      <c r="BZ487" s="267">
        <f t="shared" si="37"/>
        <v>17.333333333333332</v>
      </c>
      <c r="CA487" s="267"/>
      <c r="CB487" s="267"/>
      <c r="CC487" s="267"/>
      <c r="CD487" s="267"/>
      <c r="CE487" s="267"/>
      <c r="CF487" s="267"/>
      <c r="CG487" s="267"/>
      <c r="CH487" s="267"/>
      <c r="CI487" s="267"/>
      <c r="CJ487" s="267"/>
      <c r="CK487" s="267"/>
      <c r="CL487" s="267"/>
      <c r="CM487" s="267"/>
      <c r="CN487" s="101">
        <f t="shared" si="30"/>
        <v>34.666666666666664</v>
      </c>
      <c r="CO487" s="101">
        <f t="shared" si="31"/>
        <v>52</v>
      </c>
    </row>
    <row r="488" spans="1:93" ht="13.9" customHeight="1" x14ac:dyDescent="0.2">
      <c r="A488" s="149">
        <v>464</v>
      </c>
      <c r="B488" s="150" t="s">
        <v>1216</v>
      </c>
      <c r="C488" s="150" t="s">
        <v>1492</v>
      </c>
      <c r="D488" s="150" t="s">
        <v>1493</v>
      </c>
      <c r="E488" s="150" t="s">
        <v>1306</v>
      </c>
      <c r="F488" s="149">
        <v>529321</v>
      </c>
      <c r="G488" s="149">
        <v>177258</v>
      </c>
      <c r="H488" s="150" t="s">
        <v>149</v>
      </c>
      <c r="I488" s="151">
        <v>44606</v>
      </c>
      <c r="J488" s="151"/>
      <c r="K488" s="149">
        <v>0</v>
      </c>
      <c r="L488" s="149">
        <v>20</v>
      </c>
      <c r="M488" s="149">
        <v>20</v>
      </c>
      <c r="N488" s="149">
        <v>307</v>
      </c>
      <c r="O488" s="149">
        <v>307</v>
      </c>
      <c r="P488" s="152" t="s">
        <v>327</v>
      </c>
      <c r="Q488" s="150" t="s">
        <v>1494</v>
      </c>
      <c r="R488" s="150" t="s">
        <v>329</v>
      </c>
      <c r="S488" s="151">
        <v>42338</v>
      </c>
      <c r="T488" s="151">
        <v>43552</v>
      </c>
      <c r="U488" s="152"/>
      <c r="V488" s="150" t="s">
        <v>330</v>
      </c>
      <c r="W488" s="151"/>
      <c r="X488" s="150" t="s">
        <v>331</v>
      </c>
      <c r="Y488" s="150" t="s">
        <v>343</v>
      </c>
      <c r="Z488" s="150" t="s">
        <v>343</v>
      </c>
      <c r="AA488" s="150" t="s">
        <v>334</v>
      </c>
      <c r="AB488" s="153">
        <v>1.7999999999999999E-2</v>
      </c>
      <c r="AC488" s="151"/>
      <c r="AD488" s="150"/>
      <c r="AE488" s="151"/>
      <c r="AF488" s="150" t="s">
        <v>49</v>
      </c>
      <c r="AG488" s="152" t="s">
        <v>470</v>
      </c>
      <c r="AH488" s="150" t="s">
        <v>1495</v>
      </c>
      <c r="AI488" s="138">
        <v>17320035</v>
      </c>
      <c r="AJ488" s="149"/>
      <c r="AK488" s="138">
        <v>18</v>
      </c>
      <c r="AL488" s="149"/>
      <c r="AM488" s="138">
        <v>2</v>
      </c>
      <c r="AN488" s="149">
        <v>1</v>
      </c>
      <c r="AO488" s="149">
        <v>9</v>
      </c>
      <c r="AP488" s="149">
        <v>6</v>
      </c>
      <c r="AQ488" s="149">
        <v>4</v>
      </c>
      <c r="AR488" s="149">
        <v>0</v>
      </c>
      <c r="AS488" s="149">
        <v>0</v>
      </c>
      <c r="AT488" s="149">
        <v>0</v>
      </c>
      <c r="AU488" s="149">
        <v>1</v>
      </c>
      <c r="AV488" s="149">
        <v>9</v>
      </c>
      <c r="AW488" s="149">
        <v>6</v>
      </c>
      <c r="AX488" s="149">
        <v>4</v>
      </c>
      <c r="AY488" s="149">
        <v>0</v>
      </c>
      <c r="AZ488" s="149">
        <v>0</v>
      </c>
      <c r="BA488" s="149">
        <v>0</v>
      </c>
      <c r="BB488" s="149">
        <v>0</v>
      </c>
      <c r="BC488" s="149">
        <v>0</v>
      </c>
      <c r="BD488" s="149">
        <v>0</v>
      </c>
      <c r="BE488" s="149">
        <v>0</v>
      </c>
      <c r="BF488" s="149">
        <v>0</v>
      </c>
      <c r="BG488" s="149">
        <v>0</v>
      </c>
      <c r="BH488" s="149">
        <v>0</v>
      </c>
      <c r="BI488" s="149">
        <v>0</v>
      </c>
      <c r="BJ488" s="149">
        <v>0</v>
      </c>
      <c r="BK488" s="149">
        <v>0</v>
      </c>
      <c r="BL488" s="149">
        <v>0</v>
      </c>
      <c r="BM488" s="149">
        <v>0</v>
      </c>
      <c r="BN488" s="149">
        <v>0</v>
      </c>
      <c r="BO488" s="149">
        <v>0</v>
      </c>
      <c r="BP488" s="152"/>
      <c r="BQ488" s="152" t="s">
        <v>327</v>
      </c>
      <c r="BR488" s="154" t="s">
        <v>149</v>
      </c>
      <c r="BS488" s="136">
        <v>10</v>
      </c>
      <c r="BT488" s="267"/>
      <c r="BU488" s="267"/>
      <c r="BV488" s="267"/>
      <c r="BW488" s="267"/>
      <c r="BX488" s="267">
        <f t="shared" si="35"/>
        <v>6.666666666666667</v>
      </c>
      <c r="BY488" s="267">
        <f t="shared" si="36"/>
        <v>6.666666666666667</v>
      </c>
      <c r="BZ488" s="267">
        <f t="shared" si="37"/>
        <v>6.666666666666667</v>
      </c>
      <c r="CA488" s="267"/>
      <c r="CB488" s="267"/>
      <c r="CC488" s="267"/>
      <c r="CD488" s="267"/>
      <c r="CE488" s="267"/>
      <c r="CF488" s="267"/>
      <c r="CG488" s="267"/>
      <c r="CH488" s="267"/>
      <c r="CI488" s="267"/>
      <c r="CJ488" s="267"/>
      <c r="CK488" s="267"/>
      <c r="CL488" s="267"/>
      <c r="CM488" s="267"/>
      <c r="CN488" s="101">
        <f t="shared" si="30"/>
        <v>13.333333333333334</v>
      </c>
      <c r="CO488" s="101">
        <f t="shared" si="31"/>
        <v>20</v>
      </c>
    </row>
    <row r="489" spans="1:93" ht="13.9" customHeight="1" x14ac:dyDescent="0.2">
      <c r="A489" s="149">
        <v>464</v>
      </c>
      <c r="B489" s="150" t="s">
        <v>1216</v>
      </c>
      <c r="C489" s="150" t="s">
        <v>1492</v>
      </c>
      <c r="D489" s="150" t="s">
        <v>1493</v>
      </c>
      <c r="E489" s="150" t="s">
        <v>1348</v>
      </c>
      <c r="F489" s="149">
        <v>529321</v>
      </c>
      <c r="G489" s="149">
        <v>177258</v>
      </c>
      <c r="H489" s="150" t="s">
        <v>149</v>
      </c>
      <c r="I489" s="151">
        <v>44606</v>
      </c>
      <c r="J489" s="151"/>
      <c r="K489" s="149">
        <v>0</v>
      </c>
      <c r="L489" s="149">
        <v>25</v>
      </c>
      <c r="M489" s="149">
        <v>25</v>
      </c>
      <c r="N489" s="149">
        <v>307</v>
      </c>
      <c r="O489" s="149">
        <v>307</v>
      </c>
      <c r="P489" s="152" t="s">
        <v>327</v>
      </c>
      <c r="Q489" s="150" t="s">
        <v>1494</v>
      </c>
      <c r="R489" s="150" t="s">
        <v>329</v>
      </c>
      <c r="S489" s="151">
        <v>42338</v>
      </c>
      <c r="T489" s="151">
        <v>43552</v>
      </c>
      <c r="U489" s="152"/>
      <c r="V489" s="150" t="s">
        <v>330</v>
      </c>
      <c r="W489" s="151"/>
      <c r="X489" s="150" t="s">
        <v>331</v>
      </c>
      <c r="Y489" s="150" t="s">
        <v>343</v>
      </c>
      <c r="Z489" s="150" t="s">
        <v>343</v>
      </c>
      <c r="AA489" s="150" t="s">
        <v>334</v>
      </c>
      <c r="AB489" s="153">
        <v>2.1000000000000001E-2</v>
      </c>
      <c r="AC489" s="151"/>
      <c r="AD489" s="150"/>
      <c r="AE489" s="151"/>
      <c r="AF489" s="150" t="s">
        <v>70</v>
      </c>
      <c r="AG489" s="152" t="s">
        <v>352</v>
      </c>
      <c r="AH489" s="150" t="s">
        <v>1495</v>
      </c>
      <c r="AI489" s="138">
        <v>17320035</v>
      </c>
      <c r="AJ489" s="149"/>
      <c r="AK489" s="138">
        <v>22</v>
      </c>
      <c r="AL489" s="149"/>
      <c r="AM489" s="138">
        <v>3</v>
      </c>
      <c r="AN489" s="149">
        <v>0</v>
      </c>
      <c r="AO489" s="149">
        <v>0</v>
      </c>
      <c r="AP489" s="149">
        <v>25</v>
      </c>
      <c r="AQ489" s="149">
        <v>0</v>
      </c>
      <c r="AR489" s="149">
        <v>0</v>
      </c>
      <c r="AS489" s="149">
        <v>0</v>
      </c>
      <c r="AT489" s="149">
        <v>0</v>
      </c>
      <c r="AU489" s="149">
        <v>0</v>
      </c>
      <c r="AV489" s="149">
        <v>0</v>
      </c>
      <c r="AW489" s="149">
        <v>25</v>
      </c>
      <c r="AX489" s="149">
        <v>0</v>
      </c>
      <c r="AY489" s="149">
        <v>0</v>
      </c>
      <c r="AZ489" s="149">
        <v>0</v>
      </c>
      <c r="BA489" s="149">
        <v>0</v>
      </c>
      <c r="BB489" s="149">
        <v>0</v>
      </c>
      <c r="BC489" s="149">
        <v>0</v>
      </c>
      <c r="BD489" s="149">
        <v>0</v>
      </c>
      <c r="BE489" s="149">
        <v>0</v>
      </c>
      <c r="BF489" s="149">
        <v>0</v>
      </c>
      <c r="BG489" s="149">
        <v>0</v>
      </c>
      <c r="BH489" s="149">
        <v>0</v>
      </c>
      <c r="BI489" s="149">
        <v>0</v>
      </c>
      <c r="BJ489" s="149">
        <v>0</v>
      </c>
      <c r="BK489" s="149">
        <v>0</v>
      </c>
      <c r="BL489" s="149">
        <v>0</v>
      </c>
      <c r="BM489" s="149">
        <v>0</v>
      </c>
      <c r="BN489" s="149">
        <v>0</v>
      </c>
      <c r="BO489" s="149">
        <v>0</v>
      </c>
      <c r="BP489" s="152"/>
      <c r="BQ489" s="152" t="s">
        <v>327</v>
      </c>
      <c r="BR489" s="154" t="s">
        <v>149</v>
      </c>
      <c r="BS489" s="136">
        <v>10</v>
      </c>
      <c r="BT489" s="267"/>
      <c r="BU489" s="267"/>
      <c r="BV489" s="267"/>
      <c r="BW489" s="267"/>
      <c r="BX489" s="267">
        <f t="shared" si="35"/>
        <v>8.3333333333333339</v>
      </c>
      <c r="BY489" s="267">
        <f t="shared" si="36"/>
        <v>8.3333333333333339</v>
      </c>
      <c r="BZ489" s="267">
        <f t="shared" si="37"/>
        <v>8.3333333333333339</v>
      </c>
      <c r="CA489" s="267"/>
      <c r="CB489" s="267"/>
      <c r="CC489" s="267"/>
      <c r="CD489" s="267"/>
      <c r="CE489" s="267"/>
      <c r="CF489" s="267"/>
      <c r="CG489" s="267"/>
      <c r="CH489" s="267"/>
      <c r="CI489" s="267"/>
      <c r="CJ489" s="267"/>
      <c r="CK489" s="267"/>
      <c r="CL489" s="267"/>
      <c r="CM489" s="267"/>
      <c r="CN489" s="101">
        <f t="shared" si="30"/>
        <v>16.666666666666668</v>
      </c>
      <c r="CO489" s="101">
        <f t="shared" si="31"/>
        <v>25</v>
      </c>
    </row>
    <row r="490" spans="1:93" ht="13.9" customHeight="1" x14ac:dyDescent="0.2">
      <c r="A490" s="149">
        <v>464</v>
      </c>
      <c r="B490" s="150" t="s">
        <v>1216</v>
      </c>
      <c r="C490" s="150" t="s">
        <v>1492</v>
      </c>
      <c r="D490" s="150" t="s">
        <v>1493</v>
      </c>
      <c r="E490" s="150" t="s">
        <v>1348</v>
      </c>
      <c r="F490" s="149">
        <v>529321</v>
      </c>
      <c r="G490" s="149">
        <v>177258</v>
      </c>
      <c r="H490" s="150" t="s">
        <v>149</v>
      </c>
      <c r="I490" s="151">
        <v>44606</v>
      </c>
      <c r="J490" s="151"/>
      <c r="K490" s="149">
        <v>0</v>
      </c>
      <c r="L490" s="149">
        <v>47</v>
      </c>
      <c r="M490" s="149">
        <v>47</v>
      </c>
      <c r="N490" s="149">
        <v>307</v>
      </c>
      <c r="O490" s="149">
        <v>307</v>
      </c>
      <c r="P490" s="152" t="s">
        <v>327</v>
      </c>
      <c r="Q490" s="150" t="s">
        <v>1494</v>
      </c>
      <c r="R490" s="150" t="s">
        <v>329</v>
      </c>
      <c r="S490" s="151">
        <v>42338</v>
      </c>
      <c r="T490" s="151">
        <v>43552</v>
      </c>
      <c r="U490" s="152"/>
      <c r="V490" s="150" t="s">
        <v>330</v>
      </c>
      <c r="W490" s="151"/>
      <c r="X490" s="150" t="s">
        <v>331</v>
      </c>
      <c r="Y490" s="150" t="s">
        <v>343</v>
      </c>
      <c r="Z490" s="150" t="s">
        <v>343</v>
      </c>
      <c r="AA490" s="150" t="s">
        <v>334</v>
      </c>
      <c r="AB490" s="153">
        <v>3.9E-2</v>
      </c>
      <c r="AC490" s="151"/>
      <c r="AD490" s="150"/>
      <c r="AE490" s="151"/>
      <c r="AF490" s="150" t="s">
        <v>48</v>
      </c>
      <c r="AG490" s="152" t="s">
        <v>344</v>
      </c>
      <c r="AH490" s="150" t="s">
        <v>1495</v>
      </c>
      <c r="AI490" s="138">
        <v>17320035</v>
      </c>
      <c r="AJ490" s="149"/>
      <c r="AK490" s="138">
        <v>42</v>
      </c>
      <c r="AL490" s="149"/>
      <c r="AM490" s="138">
        <v>5</v>
      </c>
      <c r="AN490" s="149">
        <v>0</v>
      </c>
      <c r="AO490" s="149">
        <v>12</v>
      </c>
      <c r="AP490" s="149">
        <v>35</v>
      </c>
      <c r="AQ490" s="149">
        <v>0</v>
      </c>
      <c r="AR490" s="149">
        <v>0</v>
      </c>
      <c r="AS490" s="149">
        <v>0</v>
      </c>
      <c r="AT490" s="149">
        <v>0</v>
      </c>
      <c r="AU490" s="149">
        <v>0</v>
      </c>
      <c r="AV490" s="149">
        <v>12</v>
      </c>
      <c r="AW490" s="149">
        <v>35</v>
      </c>
      <c r="AX490" s="149">
        <v>0</v>
      </c>
      <c r="AY490" s="149">
        <v>0</v>
      </c>
      <c r="AZ490" s="149">
        <v>0</v>
      </c>
      <c r="BA490" s="149">
        <v>0</v>
      </c>
      <c r="BB490" s="149">
        <v>0</v>
      </c>
      <c r="BC490" s="149">
        <v>0</v>
      </c>
      <c r="BD490" s="149">
        <v>0</v>
      </c>
      <c r="BE490" s="149">
        <v>0</v>
      </c>
      <c r="BF490" s="149">
        <v>0</v>
      </c>
      <c r="BG490" s="149">
        <v>0</v>
      </c>
      <c r="BH490" s="149">
        <v>0</v>
      </c>
      <c r="BI490" s="149">
        <v>0</v>
      </c>
      <c r="BJ490" s="149">
        <v>0</v>
      </c>
      <c r="BK490" s="149">
        <v>0</v>
      </c>
      <c r="BL490" s="149">
        <v>0</v>
      </c>
      <c r="BM490" s="149">
        <v>0</v>
      </c>
      <c r="BN490" s="149">
        <v>0</v>
      </c>
      <c r="BO490" s="149">
        <v>0</v>
      </c>
      <c r="BP490" s="152"/>
      <c r="BQ490" s="152" t="s">
        <v>327</v>
      </c>
      <c r="BR490" s="154" t="s">
        <v>149</v>
      </c>
      <c r="BS490" s="136">
        <v>10</v>
      </c>
      <c r="BT490" s="267"/>
      <c r="BU490" s="267"/>
      <c r="BV490" s="267"/>
      <c r="BW490" s="267"/>
      <c r="BX490" s="267">
        <f t="shared" si="35"/>
        <v>15.666666666666666</v>
      </c>
      <c r="BY490" s="267">
        <f t="shared" si="36"/>
        <v>15.666666666666666</v>
      </c>
      <c r="BZ490" s="267">
        <f t="shared" si="37"/>
        <v>15.666666666666666</v>
      </c>
      <c r="CA490" s="267"/>
      <c r="CB490" s="267"/>
      <c r="CC490" s="267"/>
      <c r="CD490" s="267"/>
      <c r="CE490" s="267"/>
      <c r="CF490" s="267"/>
      <c r="CG490" s="267"/>
      <c r="CH490" s="267"/>
      <c r="CI490" s="267"/>
      <c r="CJ490" s="267"/>
      <c r="CK490" s="267"/>
      <c r="CL490" s="267"/>
      <c r="CM490" s="267"/>
      <c r="CN490" s="101">
        <f t="shared" si="30"/>
        <v>31.333333333333332</v>
      </c>
      <c r="CO490" s="101">
        <f t="shared" si="31"/>
        <v>47</v>
      </c>
    </row>
    <row r="491" spans="1:93" ht="13.9" customHeight="1" x14ac:dyDescent="0.2">
      <c r="A491" s="149">
        <v>5966</v>
      </c>
      <c r="B491" s="150" t="s">
        <v>1216</v>
      </c>
      <c r="C491" s="150" t="s">
        <v>1496</v>
      </c>
      <c r="D491" s="150" t="s">
        <v>1497</v>
      </c>
      <c r="E491" s="150" t="s">
        <v>1498</v>
      </c>
      <c r="F491" s="149">
        <v>527304</v>
      </c>
      <c r="G491" s="149">
        <v>177160</v>
      </c>
      <c r="H491" s="150" t="s">
        <v>160</v>
      </c>
      <c r="I491" s="151">
        <v>42825</v>
      </c>
      <c r="J491" s="151"/>
      <c r="K491" s="149">
        <v>0</v>
      </c>
      <c r="L491" s="149">
        <v>1</v>
      </c>
      <c r="M491" s="149">
        <v>1</v>
      </c>
      <c r="N491" s="149">
        <v>2</v>
      </c>
      <c r="O491" s="149">
        <v>2</v>
      </c>
      <c r="P491" s="152"/>
      <c r="Q491" s="150" t="s">
        <v>1499</v>
      </c>
      <c r="R491" s="150" t="s">
        <v>407</v>
      </c>
      <c r="S491" s="151">
        <v>42351</v>
      </c>
      <c r="T491" s="151">
        <v>42443</v>
      </c>
      <c r="U491" s="152"/>
      <c r="V491" s="150" t="s">
        <v>330</v>
      </c>
      <c r="W491" s="151"/>
      <c r="X491" s="150" t="s">
        <v>331</v>
      </c>
      <c r="Y491" s="150" t="s">
        <v>332</v>
      </c>
      <c r="Z491" s="150" t="s">
        <v>334</v>
      </c>
      <c r="AA491" s="150" t="s">
        <v>29</v>
      </c>
      <c r="AB491" s="153">
        <v>2E-3</v>
      </c>
      <c r="AC491" s="151"/>
      <c r="AD491" s="150"/>
      <c r="AE491" s="151"/>
      <c r="AF491" s="150" t="s">
        <v>70</v>
      </c>
      <c r="AG491" s="152" t="s">
        <v>352</v>
      </c>
      <c r="AH491" s="150" t="s">
        <v>326</v>
      </c>
      <c r="AI491" s="99"/>
      <c r="AJ491" s="149"/>
      <c r="AK491" s="99"/>
      <c r="AL491" s="149"/>
      <c r="AM491" s="99"/>
      <c r="AN491" s="149">
        <v>1</v>
      </c>
      <c r="AO491" s="149">
        <v>0</v>
      </c>
      <c r="AP491" s="149">
        <v>0</v>
      </c>
      <c r="AQ491" s="149">
        <v>0</v>
      </c>
      <c r="AR491" s="149">
        <v>0</v>
      </c>
      <c r="AS491" s="149">
        <v>0</v>
      </c>
      <c r="AT491" s="149">
        <v>0</v>
      </c>
      <c r="AU491" s="149">
        <v>1</v>
      </c>
      <c r="AV491" s="149">
        <v>0</v>
      </c>
      <c r="AW491" s="149">
        <v>0</v>
      </c>
      <c r="AX491" s="149">
        <v>0</v>
      </c>
      <c r="AY491" s="149">
        <v>0</v>
      </c>
      <c r="AZ491" s="149">
        <v>0</v>
      </c>
      <c r="BA491" s="149">
        <v>0</v>
      </c>
      <c r="BB491" s="149">
        <v>0</v>
      </c>
      <c r="BC491" s="149">
        <v>0</v>
      </c>
      <c r="BD491" s="149">
        <v>0</v>
      </c>
      <c r="BE491" s="149">
        <v>0</v>
      </c>
      <c r="BF491" s="149">
        <v>0</v>
      </c>
      <c r="BG491" s="149">
        <v>0</v>
      </c>
      <c r="BH491" s="149">
        <v>0</v>
      </c>
      <c r="BI491" s="149">
        <v>0</v>
      </c>
      <c r="BJ491" s="149">
        <v>0</v>
      </c>
      <c r="BK491" s="149">
        <v>0</v>
      </c>
      <c r="BL491" s="149">
        <v>0</v>
      </c>
      <c r="BM491" s="149">
        <v>0</v>
      </c>
      <c r="BN491" s="149">
        <v>0</v>
      </c>
      <c r="BO491" s="149">
        <v>0</v>
      </c>
      <c r="BP491" s="152"/>
      <c r="BQ491" s="152"/>
      <c r="BR491" s="154" t="s">
        <v>408</v>
      </c>
      <c r="BS491" s="136">
        <v>15</v>
      </c>
      <c r="BT491" s="267"/>
      <c r="BU491" s="267">
        <f>M491/4</f>
        <v>0.25</v>
      </c>
      <c r="BV491" s="267">
        <f>M491/4</f>
        <v>0.25</v>
      </c>
      <c r="BW491" s="267">
        <f>M491/4</f>
        <v>0.25</v>
      </c>
      <c r="BX491" s="267">
        <f>M491/4</f>
        <v>0.25</v>
      </c>
      <c r="BY491" s="267"/>
      <c r="BZ491" s="267"/>
      <c r="CA491" s="267"/>
      <c r="CB491" s="267"/>
      <c r="CC491" s="267"/>
      <c r="CD491" s="267"/>
      <c r="CE491" s="267"/>
      <c r="CF491" s="267"/>
      <c r="CG491" s="267"/>
      <c r="CH491" s="267"/>
      <c r="CI491" s="267"/>
      <c r="CJ491" s="267"/>
      <c r="CK491" s="267"/>
      <c r="CL491" s="267"/>
      <c r="CM491" s="267"/>
      <c r="CN491" s="101">
        <f t="shared" si="30"/>
        <v>1</v>
      </c>
      <c r="CO491" s="101">
        <f t="shared" si="31"/>
        <v>1</v>
      </c>
    </row>
    <row r="492" spans="1:93" ht="13.9" customHeight="1" x14ac:dyDescent="0.2">
      <c r="A492" s="149">
        <v>3652</v>
      </c>
      <c r="B492" s="150" t="s">
        <v>1216</v>
      </c>
      <c r="C492" s="150" t="s">
        <v>1500</v>
      </c>
      <c r="D492" s="150" t="s">
        <v>1501</v>
      </c>
      <c r="E492" s="150" t="s">
        <v>326</v>
      </c>
      <c r="F492" s="149">
        <v>527224</v>
      </c>
      <c r="G492" s="149">
        <v>177200</v>
      </c>
      <c r="H492" s="150" t="s">
        <v>160</v>
      </c>
      <c r="I492" s="151">
        <v>43571</v>
      </c>
      <c r="J492" s="151"/>
      <c r="K492" s="149">
        <v>0</v>
      </c>
      <c r="L492" s="149">
        <v>4</v>
      </c>
      <c r="M492" s="149">
        <v>4</v>
      </c>
      <c r="N492" s="149">
        <v>4</v>
      </c>
      <c r="O492" s="149">
        <v>4</v>
      </c>
      <c r="P492" s="152"/>
      <c r="Q492" s="150" t="s">
        <v>1502</v>
      </c>
      <c r="R492" s="150" t="s">
        <v>349</v>
      </c>
      <c r="S492" s="151">
        <v>42412</v>
      </c>
      <c r="T492" s="151">
        <v>42517</v>
      </c>
      <c r="U492" s="152"/>
      <c r="V492" s="150" t="s">
        <v>330</v>
      </c>
      <c r="W492" s="151"/>
      <c r="X492" s="150" t="s">
        <v>331</v>
      </c>
      <c r="Y492" s="150" t="s">
        <v>343</v>
      </c>
      <c r="Z492" s="150" t="s">
        <v>334</v>
      </c>
      <c r="AA492" s="150" t="s">
        <v>363</v>
      </c>
      <c r="AB492" s="153">
        <v>4.2000000000000003E-2</v>
      </c>
      <c r="AC492" s="151"/>
      <c r="AD492" s="150"/>
      <c r="AE492" s="151"/>
      <c r="AF492" s="150" t="s">
        <v>70</v>
      </c>
      <c r="AG492" s="152" t="s">
        <v>352</v>
      </c>
      <c r="AH492" s="150" t="s">
        <v>326</v>
      </c>
      <c r="AI492" s="99"/>
      <c r="AJ492" s="149"/>
      <c r="AK492" s="99"/>
      <c r="AL492" s="149"/>
      <c r="AM492" s="99"/>
      <c r="AN492" s="149">
        <v>0</v>
      </c>
      <c r="AO492" s="149">
        <v>0</v>
      </c>
      <c r="AP492" s="149">
        <v>4</v>
      </c>
      <c r="AQ492" s="149">
        <v>0</v>
      </c>
      <c r="AR492" s="149">
        <v>0</v>
      </c>
      <c r="AS492" s="149">
        <v>0</v>
      </c>
      <c r="AT492" s="149">
        <v>0</v>
      </c>
      <c r="AU492" s="149">
        <v>0</v>
      </c>
      <c r="AV492" s="149">
        <v>0</v>
      </c>
      <c r="AW492" s="149">
        <v>4</v>
      </c>
      <c r="AX492" s="149">
        <v>0</v>
      </c>
      <c r="AY492" s="149">
        <v>0</v>
      </c>
      <c r="AZ492" s="149">
        <v>0</v>
      </c>
      <c r="BA492" s="149">
        <v>0</v>
      </c>
      <c r="BB492" s="149">
        <v>0</v>
      </c>
      <c r="BC492" s="149">
        <v>0</v>
      </c>
      <c r="BD492" s="149">
        <v>0</v>
      </c>
      <c r="BE492" s="149">
        <v>0</v>
      </c>
      <c r="BF492" s="149">
        <v>0</v>
      </c>
      <c r="BG492" s="149">
        <v>0</v>
      </c>
      <c r="BH492" s="149">
        <v>0</v>
      </c>
      <c r="BI492" s="149">
        <v>0</v>
      </c>
      <c r="BJ492" s="149">
        <v>0</v>
      </c>
      <c r="BK492" s="149">
        <v>0</v>
      </c>
      <c r="BL492" s="149">
        <v>0</v>
      </c>
      <c r="BM492" s="149">
        <v>0</v>
      </c>
      <c r="BN492" s="149">
        <v>0</v>
      </c>
      <c r="BO492" s="149">
        <v>0</v>
      </c>
      <c r="BP492" s="152"/>
      <c r="BQ492" s="152"/>
      <c r="BR492" s="154" t="s">
        <v>408</v>
      </c>
      <c r="BS492" s="136">
        <v>7</v>
      </c>
      <c r="BT492" s="267"/>
      <c r="BU492" s="267"/>
      <c r="BV492" s="267">
        <f>M492/4</f>
        <v>1</v>
      </c>
      <c r="BW492" s="267">
        <f>M492/4</f>
        <v>1</v>
      </c>
      <c r="BX492" s="267">
        <f>M492/4</f>
        <v>1</v>
      </c>
      <c r="BY492" s="267">
        <f>M492/4</f>
        <v>1</v>
      </c>
      <c r="BZ492" s="267"/>
      <c r="CA492" s="267"/>
      <c r="CB492" s="267"/>
      <c r="CC492" s="267"/>
      <c r="CD492" s="267"/>
      <c r="CE492" s="267"/>
      <c r="CF492" s="267"/>
      <c r="CG492" s="267"/>
      <c r="CH492" s="267"/>
      <c r="CI492" s="267"/>
      <c r="CJ492" s="267"/>
      <c r="CK492" s="267"/>
      <c r="CL492" s="267"/>
      <c r="CM492" s="267"/>
      <c r="CN492" s="101">
        <f t="shared" si="30"/>
        <v>4</v>
      </c>
      <c r="CO492" s="101">
        <f t="shared" si="31"/>
        <v>4</v>
      </c>
    </row>
    <row r="493" spans="1:93" ht="13.9" customHeight="1" x14ac:dyDescent="0.2">
      <c r="A493" s="149">
        <v>2411</v>
      </c>
      <c r="B493" s="150" t="s">
        <v>1216</v>
      </c>
      <c r="C493" s="150" t="s">
        <v>1503</v>
      </c>
      <c r="D493" s="150" t="s">
        <v>1090</v>
      </c>
      <c r="E493" s="150" t="s">
        <v>1504</v>
      </c>
      <c r="F493" s="149">
        <v>528934</v>
      </c>
      <c r="G493" s="149">
        <v>177496</v>
      </c>
      <c r="H493" s="150" t="s">
        <v>149</v>
      </c>
      <c r="I493" s="151">
        <v>41599</v>
      </c>
      <c r="J493" s="151"/>
      <c r="K493" s="149">
        <v>0</v>
      </c>
      <c r="L493" s="149">
        <v>152</v>
      </c>
      <c r="M493" s="149">
        <v>152</v>
      </c>
      <c r="N493" s="149">
        <v>2735</v>
      </c>
      <c r="O493" s="149">
        <v>2735</v>
      </c>
      <c r="P493" s="152" t="s">
        <v>327</v>
      </c>
      <c r="Q493" s="150" t="s">
        <v>1505</v>
      </c>
      <c r="R493" s="150" t="s">
        <v>381</v>
      </c>
      <c r="S493" s="151">
        <v>42431</v>
      </c>
      <c r="T493" s="151">
        <v>42682</v>
      </c>
      <c r="U493" s="152"/>
      <c r="V493" s="150" t="s">
        <v>330</v>
      </c>
      <c r="W493" s="151"/>
      <c r="X493" s="150" t="s">
        <v>331</v>
      </c>
      <c r="Y493" s="150" t="s">
        <v>343</v>
      </c>
      <c r="Z493" s="150" t="s">
        <v>343</v>
      </c>
      <c r="AA493" s="150" t="s">
        <v>334</v>
      </c>
      <c r="AB493" s="153">
        <v>0.21</v>
      </c>
      <c r="AC493" s="151"/>
      <c r="AD493" s="150"/>
      <c r="AE493" s="151"/>
      <c r="AF493" s="150" t="s">
        <v>70</v>
      </c>
      <c r="AG493" s="152" t="s">
        <v>352</v>
      </c>
      <c r="AH493" s="150" t="s">
        <v>1093</v>
      </c>
      <c r="AI493" s="99"/>
      <c r="AJ493" s="149">
        <v>152</v>
      </c>
      <c r="AK493" s="99"/>
      <c r="AL493" s="149">
        <v>15</v>
      </c>
      <c r="AM493" s="99"/>
      <c r="AN493" s="149">
        <v>26</v>
      </c>
      <c r="AO493" s="149">
        <v>1</v>
      </c>
      <c r="AP493" s="149">
        <v>31</v>
      </c>
      <c r="AQ493" s="149">
        <v>55</v>
      </c>
      <c r="AR493" s="149">
        <v>14</v>
      </c>
      <c r="AS493" s="149">
        <v>25</v>
      </c>
      <c r="AT493" s="149">
        <v>0</v>
      </c>
      <c r="AU493" s="149">
        <v>26</v>
      </c>
      <c r="AV493" s="149">
        <v>1</v>
      </c>
      <c r="AW493" s="149">
        <v>31</v>
      </c>
      <c r="AX493" s="149">
        <v>55</v>
      </c>
      <c r="AY493" s="149">
        <v>14</v>
      </c>
      <c r="AZ493" s="149">
        <v>25</v>
      </c>
      <c r="BA493" s="149">
        <v>0</v>
      </c>
      <c r="BB493" s="149">
        <v>0</v>
      </c>
      <c r="BC493" s="149">
        <v>0</v>
      </c>
      <c r="BD493" s="149">
        <v>0</v>
      </c>
      <c r="BE493" s="149">
        <v>0</v>
      </c>
      <c r="BF493" s="149">
        <v>0</v>
      </c>
      <c r="BG493" s="149">
        <v>0</v>
      </c>
      <c r="BH493" s="149">
        <v>0</v>
      </c>
      <c r="BI493" s="149">
        <v>0</v>
      </c>
      <c r="BJ493" s="149">
        <v>0</v>
      </c>
      <c r="BK493" s="149">
        <v>0</v>
      </c>
      <c r="BL493" s="149">
        <v>0</v>
      </c>
      <c r="BM493" s="149">
        <v>0</v>
      </c>
      <c r="BN493" s="149">
        <v>0</v>
      </c>
      <c r="BO493" s="149">
        <v>0</v>
      </c>
      <c r="BP493" s="152"/>
      <c r="BQ493" s="152" t="s">
        <v>327</v>
      </c>
      <c r="BR493" s="154" t="s">
        <v>149</v>
      </c>
      <c r="BS493" s="136">
        <v>10</v>
      </c>
      <c r="BT493" s="267"/>
      <c r="BU493" s="267"/>
      <c r="BV493" s="267"/>
      <c r="BW493" s="267"/>
      <c r="BX493" s="267">
        <f t="shared" ref="BX493:BX501" si="38">M493/3</f>
        <v>50.666666666666664</v>
      </c>
      <c r="BY493" s="267">
        <f t="shared" ref="BY493:BY501" si="39">M493/3</f>
        <v>50.666666666666664</v>
      </c>
      <c r="BZ493" s="267">
        <f t="shared" ref="BZ493:BZ501" si="40">M493/3</f>
        <v>50.666666666666664</v>
      </c>
      <c r="CA493" s="267"/>
      <c r="CB493" s="267"/>
      <c r="CC493" s="267"/>
      <c r="CD493" s="267"/>
      <c r="CE493" s="267"/>
      <c r="CF493" s="267"/>
      <c r="CG493" s="267"/>
      <c r="CH493" s="267"/>
      <c r="CI493" s="267"/>
      <c r="CJ493" s="267"/>
      <c r="CK493" s="267"/>
      <c r="CL493" s="267"/>
      <c r="CM493" s="267"/>
      <c r="CN493" s="101">
        <f t="shared" si="30"/>
        <v>101.33333333333333</v>
      </c>
      <c r="CO493" s="101">
        <f t="shared" si="31"/>
        <v>152</v>
      </c>
    </row>
    <row r="494" spans="1:93" ht="13.9" customHeight="1" x14ac:dyDescent="0.2">
      <c r="A494" s="149">
        <v>6419</v>
      </c>
      <c r="B494" s="150" t="s">
        <v>1216</v>
      </c>
      <c r="C494" s="150" t="s">
        <v>1506</v>
      </c>
      <c r="D494" s="150" t="s">
        <v>1507</v>
      </c>
      <c r="E494" s="150" t="s">
        <v>326</v>
      </c>
      <c r="F494" s="149">
        <v>527130</v>
      </c>
      <c r="G494" s="149">
        <v>176085</v>
      </c>
      <c r="H494" s="150" t="s">
        <v>162</v>
      </c>
      <c r="I494" s="151">
        <v>43977</v>
      </c>
      <c r="J494" s="151"/>
      <c r="K494" s="149">
        <v>0</v>
      </c>
      <c r="L494" s="149">
        <v>25</v>
      </c>
      <c r="M494" s="149">
        <v>25</v>
      </c>
      <c r="N494" s="149">
        <v>25</v>
      </c>
      <c r="O494" s="149">
        <v>25</v>
      </c>
      <c r="P494" s="152" t="s">
        <v>327</v>
      </c>
      <c r="Q494" s="150" t="s">
        <v>1508</v>
      </c>
      <c r="R494" s="150" t="s">
        <v>329</v>
      </c>
      <c r="S494" s="151">
        <v>42472</v>
      </c>
      <c r="T494" s="151">
        <v>42790</v>
      </c>
      <c r="U494" s="152"/>
      <c r="V494" s="150" t="s">
        <v>330</v>
      </c>
      <c r="W494" s="151"/>
      <c r="X494" s="150" t="s">
        <v>331</v>
      </c>
      <c r="Y494" s="150" t="s">
        <v>343</v>
      </c>
      <c r="Z494" s="150" t="s">
        <v>343</v>
      </c>
      <c r="AA494" s="150" t="s">
        <v>334</v>
      </c>
      <c r="AB494" s="153">
        <v>7.0999999999999994E-2</v>
      </c>
      <c r="AC494" s="151"/>
      <c r="AD494" s="150"/>
      <c r="AE494" s="151"/>
      <c r="AF494" s="150" t="s">
        <v>70</v>
      </c>
      <c r="AG494" s="152" t="s">
        <v>352</v>
      </c>
      <c r="AH494" s="150" t="s">
        <v>326</v>
      </c>
      <c r="AI494" s="99"/>
      <c r="AJ494" s="149">
        <v>3</v>
      </c>
      <c r="AK494" s="102"/>
      <c r="AL494" s="149">
        <v>25</v>
      </c>
      <c r="AM494" s="102"/>
      <c r="AN494" s="149">
        <v>0</v>
      </c>
      <c r="AO494" s="149">
        <v>8</v>
      </c>
      <c r="AP494" s="149">
        <v>13</v>
      </c>
      <c r="AQ494" s="149">
        <v>4</v>
      </c>
      <c r="AR494" s="149">
        <v>0</v>
      </c>
      <c r="AS494" s="149">
        <v>0</v>
      </c>
      <c r="AT494" s="149">
        <v>0</v>
      </c>
      <c r="AU494" s="149">
        <v>0</v>
      </c>
      <c r="AV494" s="149">
        <v>8</v>
      </c>
      <c r="AW494" s="149">
        <v>13</v>
      </c>
      <c r="AX494" s="149">
        <v>4</v>
      </c>
      <c r="AY494" s="149">
        <v>0</v>
      </c>
      <c r="AZ494" s="149">
        <v>0</v>
      </c>
      <c r="BA494" s="149">
        <v>0</v>
      </c>
      <c r="BB494" s="149">
        <v>0</v>
      </c>
      <c r="BC494" s="149">
        <v>0</v>
      </c>
      <c r="BD494" s="149">
        <v>0</v>
      </c>
      <c r="BE494" s="149">
        <v>0</v>
      </c>
      <c r="BF494" s="149">
        <v>0</v>
      </c>
      <c r="BG494" s="149">
        <v>0</v>
      </c>
      <c r="BH494" s="149">
        <v>0</v>
      </c>
      <c r="BI494" s="149">
        <v>0</v>
      </c>
      <c r="BJ494" s="149">
        <v>0</v>
      </c>
      <c r="BK494" s="149">
        <v>0</v>
      </c>
      <c r="BL494" s="149">
        <v>0</v>
      </c>
      <c r="BM494" s="149">
        <v>0</v>
      </c>
      <c r="BN494" s="149">
        <v>0</v>
      </c>
      <c r="BO494" s="149">
        <v>0</v>
      </c>
      <c r="BP494" s="152"/>
      <c r="BQ494" s="152"/>
      <c r="BR494" s="154" t="s">
        <v>359</v>
      </c>
      <c r="BS494" s="136">
        <v>10</v>
      </c>
      <c r="BT494" s="267"/>
      <c r="BU494" s="267"/>
      <c r="BV494" s="267"/>
      <c r="BW494" s="267"/>
      <c r="BX494" s="267">
        <f t="shared" si="38"/>
        <v>8.3333333333333339</v>
      </c>
      <c r="BY494" s="267">
        <f t="shared" si="39"/>
        <v>8.3333333333333339</v>
      </c>
      <c r="BZ494" s="267">
        <f t="shared" si="40"/>
        <v>8.3333333333333339</v>
      </c>
      <c r="CA494" s="267"/>
      <c r="CB494" s="267"/>
      <c r="CC494" s="267"/>
      <c r="CD494" s="267"/>
      <c r="CE494" s="267"/>
      <c r="CF494" s="267"/>
      <c r="CG494" s="267"/>
      <c r="CH494" s="267"/>
      <c r="CI494" s="267"/>
      <c r="CJ494" s="267"/>
      <c r="CK494" s="267"/>
      <c r="CL494" s="267"/>
      <c r="CM494" s="267"/>
      <c r="CN494" s="101">
        <f t="shared" si="30"/>
        <v>16.666666666666668</v>
      </c>
      <c r="CO494" s="101">
        <f t="shared" si="31"/>
        <v>25</v>
      </c>
    </row>
    <row r="495" spans="1:93" ht="13.9" customHeight="1" x14ac:dyDescent="0.2">
      <c r="A495" s="149">
        <v>6149</v>
      </c>
      <c r="B495" s="150" t="s">
        <v>1216</v>
      </c>
      <c r="C495" s="150" t="s">
        <v>1509</v>
      </c>
      <c r="D495" s="150" t="s">
        <v>1510</v>
      </c>
      <c r="E495" s="150" t="s">
        <v>326</v>
      </c>
      <c r="F495" s="149">
        <v>525867</v>
      </c>
      <c r="G495" s="149">
        <v>172948</v>
      </c>
      <c r="H495" s="150" t="s">
        <v>169</v>
      </c>
      <c r="I495" s="151">
        <v>44409</v>
      </c>
      <c r="J495" s="151"/>
      <c r="K495" s="149">
        <v>0</v>
      </c>
      <c r="L495" s="149">
        <v>14</v>
      </c>
      <c r="M495" s="149">
        <v>14</v>
      </c>
      <c r="N495" s="149">
        <v>14</v>
      </c>
      <c r="O495" s="149">
        <v>14</v>
      </c>
      <c r="P495" s="152" t="s">
        <v>327</v>
      </c>
      <c r="Q495" s="150" t="s">
        <v>1511</v>
      </c>
      <c r="R495" s="150" t="s">
        <v>329</v>
      </c>
      <c r="S495" s="151">
        <v>42615</v>
      </c>
      <c r="T495" s="151">
        <v>43770</v>
      </c>
      <c r="U495" s="152"/>
      <c r="V495" s="150" t="s">
        <v>330</v>
      </c>
      <c r="W495" s="151"/>
      <c r="X495" s="150" t="s">
        <v>331</v>
      </c>
      <c r="Y495" s="150" t="s">
        <v>343</v>
      </c>
      <c r="Z495" s="150" t="s">
        <v>343</v>
      </c>
      <c r="AA495" s="150" t="s">
        <v>334</v>
      </c>
      <c r="AB495" s="153">
        <v>6.7000000000000004E-2</v>
      </c>
      <c r="AC495" s="151"/>
      <c r="AD495" s="150"/>
      <c r="AE495" s="151"/>
      <c r="AF495" s="150" t="s">
        <v>70</v>
      </c>
      <c r="AG495" s="152" t="s">
        <v>352</v>
      </c>
      <c r="AH495" s="150" t="s">
        <v>326</v>
      </c>
      <c r="AI495" s="99"/>
      <c r="AJ495" s="149"/>
      <c r="AK495" s="149">
        <v>1</v>
      </c>
      <c r="AL495" s="149">
        <v>2</v>
      </c>
      <c r="AM495" s="138">
        <v>1</v>
      </c>
      <c r="AN495" s="149">
        <v>0</v>
      </c>
      <c r="AO495" s="149">
        <v>3</v>
      </c>
      <c r="AP495" s="149">
        <v>10</v>
      </c>
      <c r="AQ495" s="149">
        <v>1</v>
      </c>
      <c r="AR495" s="149">
        <v>0</v>
      </c>
      <c r="AS495" s="149">
        <v>0</v>
      </c>
      <c r="AT495" s="149">
        <v>0</v>
      </c>
      <c r="AU495" s="149">
        <v>0</v>
      </c>
      <c r="AV495" s="149">
        <v>3</v>
      </c>
      <c r="AW495" s="149">
        <v>10</v>
      </c>
      <c r="AX495" s="149">
        <v>1</v>
      </c>
      <c r="AY495" s="149">
        <v>0</v>
      </c>
      <c r="AZ495" s="149">
        <v>0</v>
      </c>
      <c r="BA495" s="149">
        <v>0</v>
      </c>
      <c r="BB495" s="149">
        <v>0</v>
      </c>
      <c r="BC495" s="149">
        <v>0</v>
      </c>
      <c r="BD495" s="149">
        <v>0</v>
      </c>
      <c r="BE495" s="149">
        <v>0</v>
      </c>
      <c r="BF495" s="149">
        <v>0</v>
      </c>
      <c r="BG495" s="149">
        <v>0</v>
      </c>
      <c r="BH495" s="149">
        <v>0</v>
      </c>
      <c r="BI495" s="149">
        <v>0</v>
      </c>
      <c r="BJ495" s="149">
        <v>0</v>
      </c>
      <c r="BK495" s="149">
        <v>0</v>
      </c>
      <c r="BL495" s="149">
        <v>0</v>
      </c>
      <c r="BM495" s="149">
        <v>0</v>
      </c>
      <c r="BN495" s="149">
        <v>0</v>
      </c>
      <c r="BO495" s="149">
        <v>0</v>
      </c>
      <c r="BP495" s="152"/>
      <c r="BQ495" s="152"/>
      <c r="BR495" s="154" t="s">
        <v>151</v>
      </c>
      <c r="BS495" s="136">
        <v>10</v>
      </c>
      <c r="BT495" s="267"/>
      <c r="BU495" s="267"/>
      <c r="BV495" s="267"/>
      <c r="BW495" s="267"/>
      <c r="BX495" s="267">
        <f t="shared" si="38"/>
        <v>4.666666666666667</v>
      </c>
      <c r="BY495" s="267">
        <f t="shared" si="39"/>
        <v>4.666666666666667</v>
      </c>
      <c r="BZ495" s="267">
        <f t="shared" si="40"/>
        <v>4.666666666666667</v>
      </c>
      <c r="CA495" s="267"/>
      <c r="CB495" s="267"/>
      <c r="CC495" s="267"/>
      <c r="CD495" s="267"/>
      <c r="CE495" s="267"/>
      <c r="CF495" s="267"/>
      <c r="CG495" s="267"/>
      <c r="CH495" s="267"/>
      <c r="CI495" s="267"/>
      <c r="CJ495" s="267"/>
      <c r="CK495" s="267"/>
      <c r="CL495" s="267"/>
      <c r="CM495" s="267"/>
      <c r="CN495" s="101">
        <f t="shared" si="30"/>
        <v>9.3333333333333339</v>
      </c>
      <c r="CO495" s="101">
        <f t="shared" si="31"/>
        <v>14</v>
      </c>
    </row>
    <row r="496" spans="1:93" ht="13.9" customHeight="1" x14ac:dyDescent="0.2">
      <c r="A496" s="149">
        <v>6526</v>
      </c>
      <c r="B496" s="150" t="s">
        <v>1216</v>
      </c>
      <c r="C496" s="150" t="s">
        <v>1512</v>
      </c>
      <c r="D496" s="150" t="s">
        <v>1513</v>
      </c>
      <c r="E496" s="150" t="s">
        <v>48</v>
      </c>
      <c r="F496" s="149">
        <v>525688</v>
      </c>
      <c r="G496" s="149">
        <v>174300</v>
      </c>
      <c r="H496" s="150" t="s">
        <v>177</v>
      </c>
      <c r="I496" s="151"/>
      <c r="J496" s="151"/>
      <c r="K496" s="149">
        <v>0</v>
      </c>
      <c r="L496" s="149">
        <v>10</v>
      </c>
      <c r="M496" s="149">
        <v>10</v>
      </c>
      <c r="N496" s="149">
        <v>27</v>
      </c>
      <c r="O496" s="149">
        <v>27</v>
      </c>
      <c r="P496" s="152" t="s">
        <v>327</v>
      </c>
      <c r="Q496" s="150" t="s">
        <v>1514</v>
      </c>
      <c r="R496" s="150" t="s">
        <v>329</v>
      </c>
      <c r="S496" s="151">
        <v>42809</v>
      </c>
      <c r="T496" s="151">
        <v>44363</v>
      </c>
      <c r="U496" s="152"/>
      <c r="V496" s="150" t="s">
        <v>330</v>
      </c>
      <c r="W496" s="151"/>
      <c r="X496" s="150" t="s">
        <v>331</v>
      </c>
      <c r="Y496" s="150" t="s">
        <v>343</v>
      </c>
      <c r="Z496" s="150" t="s">
        <v>343</v>
      </c>
      <c r="AA496" s="150" t="s">
        <v>334</v>
      </c>
      <c r="AB496" s="153">
        <v>6.7000000000000004E-2</v>
      </c>
      <c r="AC496" s="151"/>
      <c r="AD496" s="150"/>
      <c r="AE496" s="151"/>
      <c r="AF496" s="150" t="s">
        <v>48</v>
      </c>
      <c r="AG496" s="152" t="s">
        <v>1515</v>
      </c>
      <c r="AH496" s="150" t="s">
        <v>326</v>
      </c>
      <c r="AI496" s="99"/>
      <c r="AJ496" s="149">
        <v>10</v>
      </c>
      <c r="AK496" s="99"/>
      <c r="AL496" s="149">
        <v>1</v>
      </c>
      <c r="AM496" s="99"/>
      <c r="AN496" s="149">
        <v>3</v>
      </c>
      <c r="AO496" s="149">
        <v>7</v>
      </c>
      <c r="AP496" s="149">
        <v>0</v>
      </c>
      <c r="AQ496" s="149">
        <v>0</v>
      </c>
      <c r="AR496" s="149">
        <v>0</v>
      </c>
      <c r="AS496" s="149">
        <v>0</v>
      </c>
      <c r="AT496" s="149">
        <v>0</v>
      </c>
      <c r="AU496" s="149">
        <v>3</v>
      </c>
      <c r="AV496" s="149">
        <v>7</v>
      </c>
      <c r="AW496" s="149">
        <v>0</v>
      </c>
      <c r="AX496" s="149">
        <v>0</v>
      </c>
      <c r="AY496" s="149">
        <v>0</v>
      </c>
      <c r="AZ496" s="149">
        <v>0</v>
      </c>
      <c r="BA496" s="149">
        <v>0</v>
      </c>
      <c r="BB496" s="149">
        <v>0</v>
      </c>
      <c r="BC496" s="149">
        <v>0</v>
      </c>
      <c r="BD496" s="149">
        <v>0</v>
      </c>
      <c r="BE496" s="149">
        <v>0</v>
      </c>
      <c r="BF496" s="149">
        <v>0</v>
      </c>
      <c r="BG496" s="149">
        <v>0</v>
      </c>
      <c r="BH496" s="149">
        <v>0</v>
      </c>
      <c r="BI496" s="149">
        <v>0</v>
      </c>
      <c r="BJ496" s="149">
        <v>0</v>
      </c>
      <c r="BK496" s="149">
        <v>0</v>
      </c>
      <c r="BL496" s="149">
        <v>0</v>
      </c>
      <c r="BM496" s="149">
        <v>0</v>
      </c>
      <c r="BN496" s="149">
        <v>0</v>
      </c>
      <c r="BO496" s="149">
        <v>0</v>
      </c>
      <c r="BP496" s="152" t="s">
        <v>143</v>
      </c>
      <c r="BQ496" s="152"/>
      <c r="BR496" s="154" t="s">
        <v>463</v>
      </c>
      <c r="BS496" s="136">
        <v>10</v>
      </c>
      <c r="BT496" s="267"/>
      <c r="BU496" s="267"/>
      <c r="BV496" s="267"/>
      <c r="BW496" s="267"/>
      <c r="BX496" s="267">
        <f t="shared" si="38"/>
        <v>3.3333333333333335</v>
      </c>
      <c r="BY496" s="267">
        <f t="shared" si="39"/>
        <v>3.3333333333333335</v>
      </c>
      <c r="BZ496" s="267">
        <f t="shared" si="40"/>
        <v>3.3333333333333335</v>
      </c>
      <c r="CA496" s="267"/>
      <c r="CB496" s="267"/>
      <c r="CC496" s="267"/>
      <c r="CD496" s="267"/>
      <c r="CE496" s="267"/>
      <c r="CF496" s="267"/>
      <c r="CG496" s="267"/>
      <c r="CH496" s="267"/>
      <c r="CI496" s="267"/>
      <c r="CJ496" s="267"/>
      <c r="CK496" s="267"/>
      <c r="CL496" s="267"/>
      <c r="CM496" s="267"/>
      <c r="CN496" s="101">
        <f t="shared" si="30"/>
        <v>6.666666666666667</v>
      </c>
      <c r="CO496" s="101">
        <f t="shared" si="31"/>
        <v>10</v>
      </c>
    </row>
    <row r="497" spans="1:93" ht="13.9" customHeight="1" x14ac:dyDescent="0.2">
      <c r="A497" s="149">
        <v>6526</v>
      </c>
      <c r="B497" s="150" t="s">
        <v>1216</v>
      </c>
      <c r="C497" s="150" t="s">
        <v>1512</v>
      </c>
      <c r="D497" s="150" t="s">
        <v>1513</v>
      </c>
      <c r="E497" s="150" t="s">
        <v>183</v>
      </c>
      <c r="F497" s="149">
        <v>525688</v>
      </c>
      <c r="G497" s="149">
        <v>174300</v>
      </c>
      <c r="H497" s="150" t="s">
        <v>177</v>
      </c>
      <c r="I497" s="151"/>
      <c r="J497" s="151"/>
      <c r="K497" s="149">
        <v>0</v>
      </c>
      <c r="L497" s="149">
        <v>17</v>
      </c>
      <c r="M497" s="149">
        <v>17</v>
      </c>
      <c r="N497" s="149">
        <v>27</v>
      </c>
      <c r="O497" s="149">
        <v>27</v>
      </c>
      <c r="P497" s="152" t="s">
        <v>327</v>
      </c>
      <c r="Q497" s="150" t="s">
        <v>1514</v>
      </c>
      <c r="R497" s="150" t="s">
        <v>329</v>
      </c>
      <c r="S497" s="151">
        <v>42809</v>
      </c>
      <c r="T497" s="151">
        <v>44363</v>
      </c>
      <c r="U497" s="152"/>
      <c r="V497" s="150" t="s">
        <v>330</v>
      </c>
      <c r="W497" s="151"/>
      <c r="X497" s="150" t="s">
        <v>331</v>
      </c>
      <c r="Y497" s="150" t="s">
        <v>343</v>
      </c>
      <c r="Z497" s="150" t="s">
        <v>343</v>
      </c>
      <c r="AA497" s="150" t="s">
        <v>334</v>
      </c>
      <c r="AB497" s="153">
        <v>0.1139</v>
      </c>
      <c r="AC497" s="151"/>
      <c r="AD497" s="150"/>
      <c r="AE497" s="151"/>
      <c r="AF497" s="150" t="s">
        <v>70</v>
      </c>
      <c r="AG497" s="152" t="s">
        <v>352</v>
      </c>
      <c r="AH497" s="150" t="s">
        <v>326</v>
      </c>
      <c r="AI497" s="99"/>
      <c r="AJ497" s="149">
        <v>15</v>
      </c>
      <c r="AK497" s="99"/>
      <c r="AL497" s="149">
        <v>2</v>
      </c>
      <c r="AM497" s="99"/>
      <c r="AN497" s="149">
        <v>0</v>
      </c>
      <c r="AO497" s="149">
        <v>7</v>
      </c>
      <c r="AP497" s="149">
        <v>6</v>
      </c>
      <c r="AQ497" s="149">
        <v>4</v>
      </c>
      <c r="AR497" s="149">
        <v>0</v>
      </c>
      <c r="AS497" s="149">
        <v>0</v>
      </c>
      <c r="AT497" s="149">
        <v>0</v>
      </c>
      <c r="AU497" s="149">
        <v>0</v>
      </c>
      <c r="AV497" s="149">
        <v>7</v>
      </c>
      <c r="AW497" s="149">
        <v>6</v>
      </c>
      <c r="AX497" s="149">
        <v>4</v>
      </c>
      <c r="AY497" s="149">
        <v>0</v>
      </c>
      <c r="AZ497" s="149">
        <v>0</v>
      </c>
      <c r="BA497" s="149">
        <v>0</v>
      </c>
      <c r="BB497" s="149">
        <v>0</v>
      </c>
      <c r="BC497" s="149">
        <v>0</v>
      </c>
      <c r="BD497" s="149">
        <v>0</v>
      </c>
      <c r="BE497" s="149">
        <v>0</v>
      </c>
      <c r="BF497" s="149">
        <v>0</v>
      </c>
      <c r="BG497" s="149">
        <v>0</v>
      </c>
      <c r="BH497" s="149">
        <v>0</v>
      </c>
      <c r="BI497" s="149">
        <v>0</v>
      </c>
      <c r="BJ497" s="149">
        <v>0</v>
      </c>
      <c r="BK497" s="149">
        <v>0</v>
      </c>
      <c r="BL497" s="149">
        <v>0</v>
      </c>
      <c r="BM497" s="149">
        <v>0</v>
      </c>
      <c r="BN497" s="149">
        <v>0</v>
      </c>
      <c r="BO497" s="149">
        <v>0</v>
      </c>
      <c r="BP497" s="152" t="s">
        <v>143</v>
      </c>
      <c r="BQ497" s="152"/>
      <c r="BR497" s="154" t="s">
        <v>463</v>
      </c>
      <c r="BS497" s="136">
        <v>10</v>
      </c>
      <c r="BT497" s="267"/>
      <c r="BU497" s="267"/>
      <c r="BV497" s="267"/>
      <c r="BW497" s="267"/>
      <c r="BX497" s="267">
        <f t="shared" si="38"/>
        <v>5.666666666666667</v>
      </c>
      <c r="BY497" s="267">
        <f t="shared" si="39"/>
        <v>5.666666666666667</v>
      </c>
      <c r="BZ497" s="267">
        <f t="shared" si="40"/>
        <v>5.666666666666667</v>
      </c>
      <c r="CA497" s="267"/>
      <c r="CB497" s="267"/>
      <c r="CC497" s="267"/>
      <c r="CD497" s="267"/>
      <c r="CE497" s="267"/>
      <c r="CF497" s="267"/>
      <c r="CG497" s="267"/>
      <c r="CH497" s="267"/>
      <c r="CI497" s="267"/>
      <c r="CJ497" s="267"/>
      <c r="CK497" s="267"/>
      <c r="CL497" s="267"/>
      <c r="CM497" s="267"/>
      <c r="CN497" s="101">
        <f t="shared" si="30"/>
        <v>11.333333333333334</v>
      </c>
      <c r="CO497" s="101">
        <f t="shared" si="31"/>
        <v>17</v>
      </c>
    </row>
    <row r="498" spans="1:93" ht="13.9" customHeight="1" x14ac:dyDescent="0.2">
      <c r="A498" s="149">
        <v>2411</v>
      </c>
      <c r="B498" s="150" t="s">
        <v>1216</v>
      </c>
      <c r="C498" s="150" t="s">
        <v>1516</v>
      </c>
      <c r="D498" s="150" t="s">
        <v>1090</v>
      </c>
      <c r="E498" s="150" t="s">
        <v>1517</v>
      </c>
      <c r="F498" s="149">
        <v>528934</v>
      </c>
      <c r="G498" s="149">
        <v>177496</v>
      </c>
      <c r="H498" s="150" t="s">
        <v>149</v>
      </c>
      <c r="I498" s="151">
        <v>42506</v>
      </c>
      <c r="J498" s="151"/>
      <c r="K498" s="149">
        <v>0</v>
      </c>
      <c r="L498" s="149">
        <v>11</v>
      </c>
      <c r="M498" s="149">
        <v>11</v>
      </c>
      <c r="N498" s="149">
        <v>1192</v>
      </c>
      <c r="O498" s="149">
        <v>1192</v>
      </c>
      <c r="P498" s="152" t="s">
        <v>327</v>
      </c>
      <c r="Q498" s="150" t="s">
        <v>1518</v>
      </c>
      <c r="R498" s="150" t="s">
        <v>850</v>
      </c>
      <c r="S498" s="151">
        <v>42809</v>
      </c>
      <c r="T498" s="151">
        <v>43049</v>
      </c>
      <c r="U498" s="152"/>
      <c r="V498" s="150" t="s">
        <v>330</v>
      </c>
      <c r="W498" s="151"/>
      <c r="X498" s="150" t="s">
        <v>331</v>
      </c>
      <c r="Y498" s="150" t="s">
        <v>343</v>
      </c>
      <c r="Z498" s="150" t="s">
        <v>343</v>
      </c>
      <c r="AA498" s="150" t="s">
        <v>334</v>
      </c>
      <c r="AB498" s="153">
        <v>1.4E-2</v>
      </c>
      <c r="AC498" s="151"/>
      <c r="AD498" s="150"/>
      <c r="AE498" s="151"/>
      <c r="AF498" s="150" t="s">
        <v>48</v>
      </c>
      <c r="AG498" s="152" t="s">
        <v>335</v>
      </c>
      <c r="AH498" s="150" t="s">
        <v>1093</v>
      </c>
      <c r="AI498" s="99"/>
      <c r="AJ498" s="149">
        <v>11</v>
      </c>
      <c r="AK498" s="99"/>
      <c r="AL498" s="149">
        <v>1</v>
      </c>
      <c r="AM498" s="99"/>
      <c r="AN498" s="149">
        <v>0</v>
      </c>
      <c r="AO498" s="149">
        <v>11</v>
      </c>
      <c r="AP498" s="149">
        <v>0</v>
      </c>
      <c r="AQ498" s="149">
        <v>0</v>
      </c>
      <c r="AR498" s="149">
        <v>0</v>
      </c>
      <c r="AS498" s="149">
        <v>0</v>
      </c>
      <c r="AT498" s="149">
        <v>0</v>
      </c>
      <c r="AU498" s="149">
        <v>0</v>
      </c>
      <c r="AV498" s="149">
        <v>11</v>
      </c>
      <c r="AW498" s="149">
        <v>0</v>
      </c>
      <c r="AX498" s="149">
        <v>0</v>
      </c>
      <c r="AY498" s="149">
        <v>0</v>
      </c>
      <c r="AZ498" s="149">
        <v>0</v>
      </c>
      <c r="BA498" s="149">
        <v>0</v>
      </c>
      <c r="BB498" s="149">
        <v>0</v>
      </c>
      <c r="BC498" s="149">
        <v>0</v>
      </c>
      <c r="BD498" s="149">
        <v>0</v>
      </c>
      <c r="BE498" s="149">
        <v>0</v>
      </c>
      <c r="BF498" s="149">
        <v>0</v>
      </c>
      <c r="BG498" s="149">
        <v>0</v>
      </c>
      <c r="BH498" s="149">
        <v>0</v>
      </c>
      <c r="BI498" s="149">
        <v>0</v>
      </c>
      <c r="BJ498" s="149">
        <v>0</v>
      </c>
      <c r="BK498" s="149">
        <v>0</v>
      </c>
      <c r="BL498" s="149">
        <v>0</v>
      </c>
      <c r="BM498" s="149">
        <v>0</v>
      </c>
      <c r="BN498" s="149">
        <v>0</v>
      </c>
      <c r="BO498" s="149">
        <v>0</v>
      </c>
      <c r="BP498" s="152"/>
      <c r="BQ498" s="152" t="s">
        <v>327</v>
      </c>
      <c r="BR498" s="154" t="s">
        <v>149</v>
      </c>
      <c r="BS498" s="136">
        <v>10</v>
      </c>
      <c r="BT498" s="267"/>
      <c r="BU498" s="267"/>
      <c r="BV498" s="267"/>
      <c r="BW498" s="267"/>
      <c r="BX498" s="267">
        <f t="shared" si="38"/>
        <v>3.6666666666666665</v>
      </c>
      <c r="BY498" s="267">
        <f t="shared" si="39"/>
        <v>3.6666666666666665</v>
      </c>
      <c r="BZ498" s="267">
        <f t="shared" si="40"/>
        <v>3.6666666666666665</v>
      </c>
      <c r="CA498" s="267"/>
      <c r="CB498" s="267"/>
      <c r="CC498" s="267"/>
      <c r="CD498" s="267"/>
      <c r="CE498" s="267"/>
      <c r="CF498" s="267"/>
      <c r="CG498" s="267"/>
      <c r="CH498" s="267"/>
      <c r="CI498" s="267"/>
      <c r="CJ498" s="267"/>
      <c r="CK498" s="267"/>
      <c r="CL498" s="267"/>
      <c r="CM498" s="267"/>
      <c r="CN498" s="101">
        <f t="shared" si="30"/>
        <v>7.333333333333333</v>
      </c>
      <c r="CO498" s="101">
        <f t="shared" si="31"/>
        <v>11</v>
      </c>
    </row>
    <row r="499" spans="1:93" ht="13.9" customHeight="1" x14ac:dyDescent="0.2">
      <c r="A499" s="149">
        <v>2411</v>
      </c>
      <c r="B499" s="150" t="s">
        <v>1216</v>
      </c>
      <c r="C499" s="150" t="s">
        <v>1516</v>
      </c>
      <c r="D499" s="150" t="s">
        <v>1090</v>
      </c>
      <c r="E499" s="150" t="s">
        <v>1517</v>
      </c>
      <c r="F499" s="149">
        <v>528934</v>
      </c>
      <c r="G499" s="149">
        <v>177496</v>
      </c>
      <c r="H499" s="150" t="s">
        <v>149</v>
      </c>
      <c r="I499" s="151">
        <v>42506</v>
      </c>
      <c r="J499" s="151"/>
      <c r="K499" s="149">
        <v>0</v>
      </c>
      <c r="L499" s="149">
        <v>147</v>
      </c>
      <c r="M499" s="149">
        <v>147</v>
      </c>
      <c r="N499" s="149">
        <v>1192</v>
      </c>
      <c r="O499" s="149">
        <v>1192</v>
      </c>
      <c r="P499" s="152" t="s">
        <v>327</v>
      </c>
      <c r="Q499" s="150" t="s">
        <v>1518</v>
      </c>
      <c r="R499" s="150" t="s">
        <v>850</v>
      </c>
      <c r="S499" s="151">
        <v>42809</v>
      </c>
      <c r="T499" s="151">
        <v>43049</v>
      </c>
      <c r="U499" s="152"/>
      <c r="V499" s="150" t="s">
        <v>330</v>
      </c>
      <c r="W499" s="151"/>
      <c r="X499" s="150" t="s">
        <v>331</v>
      </c>
      <c r="Y499" s="150" t="s">
        <v>343</v>
      </c>
      <c r="Z499" s="150" t="s">
        <v>343</v>
      </c>
      <c r="AA499" s="150" t="s">
        <v>334</v>
      </c>
      <c r="AB499" s="153">
        <v>0.186</v>
      </c>
      <c r="AC499" s="151"/>
      <c r="AD499" s="150"/>
      <c r="AE499" s="151"/>
      <c r="AF499" s="150" t="s">
        <v>48</v>
      </c>
      <c r="AG499" s="152" t="s">
        <v>992</v>
      </c>
      <c r="AH499" s="150" t="s">
        <v>1093</v>
      </c>
      <c r="AI499" s="99"/>
      <c r="AJ499" s="149">
        <v>147</v>
      </c>
      <c r="AK499" s="99"/>
      <c r="AL499" s="149">
        <v>15</v>
      </c>
      <c r="AM499" s="99"/>
      <c r="AN499" s="149">
        <v>0</v>
      </c>
      <c r="AO499" s="149">
        <v>21</v>
      </c>
      <c r="AP499" s="149">
        <v>71</v>
      </c>
      <c r="AQ499" s="149">
        <v>47</v>
      </c>
      <c r="AR499" s="149">
        <v>8</v>
      </c>
      <c r="AS499" s="149">
        <v>0</v>
      </c>
      <c r="AT499" s="149">
        <v>0</v>
      </c>
      <c r="AU499" s="149">
        <v>0</v>
      </c>
      <c r="AV499" s="149">
        <v>21</v>
      </c>
      <c r="AW499" s="149">
        <v>71</v>
      </c>
      <c r="AX499" s="149">
        <v>47</v>
      </c>
      <c r="AY499" s="149">
        <v>8</v>
      </c>
      <c r="AZ499" s="149">
        <v>0</v>
      </c>
      <c r="BA499" s="149">
        <v>0</v>
      </c>
      <c r="BB499" s="149">
        <v>0</v>
      </c>
      <c r="BC499" s="149">
        <v>0</v>
      </c>
      <c r="BD499" s="149">
        <v>0</v>
      </c>
      <c r="BE499" s="149">
        <v>0</v>
      </c>
      <c r="BF499" s="149">
        <v>0</v>
      </c>
      <c r="BG499" s="149">
        <v>0</v>
      </c>
      <c r="BH499" s="149">
        <v>0</v>
      </c>
      <c r="BI499" s="149">
        <v>0</v>
      </c>
      <c r="BJ499" s="149">
        <v>0</v>
      </c>
      <c r="BK499" s="149">
        <v>0</v>
      </c>
      <c r="BL499" s="149">
        <v>0</v>
      </c>
      <c r="BM499" s="149">
        <v>0</v>
      </c>
      <c r="BN499" s="149">
        <v>0</v>
      </c>
      <c r="BO499" s="149">
        <v>0</v>
      </c>
      <c r="BP499" s="152"/>
      <c r="BQ499" s="152" t="s">
        <v>327</v>
      </c>
      <c r="BR499" s="154" t="s">
        <v>149</v>
      </c>
      <c r="BS499" s="136">
        <v>10</v>
      </c>
      <c r="BT499" s="267"/>
      <c r="BU499" s="267"/>
      <c r="BV499" s="267"/>
      <c r="BW499" s="267"/>
      <c r="BX499" s="267">
        <f t="shared" si="38"/>
        <v>49</v>
      </c>
      <c r="BY499" s="267">
        <f t="shared" si="39"/>
        <v>49</v>
      </c>
      <c r="BZ499" s="267">
        <f t="shared" si="40"/>
        <v>49</v>
      </c>
      <c r="CA499" s="267"/>
      <c r="CB499" s="267"/>
      <c r="CC499" s="267"/>
      <c r="CD499" s="267"/>
      <c r="CE499" s="267"/>
      <c r="CF499" s="267"/>
      <c r="CG499" s="267"/>
      <c r="CH499" s="267"/>
      <c r="CI499" s="267"/>
      <c r="CJ499" s="267"/>
      <c r="CK499" s="267"/>
      <c r="CL499" s="267"/>
      <c r="CM499" s="267"/>
      <c r="CN499" s="101">
        <f t="shared" si="30"/>
        <v>98</v>
      </c>
      <c r="CO499" s="101">
        <f t="shared" si="31"/>
        <v>147</v>
      </c>
    </row>
    <row r="500" spans="1:93" ht="13.9" customHeight="1" x14ac:dyDescent="0.2">
      <c r="A500" s="149">
        <v>2411</v>
      </c>
      <c r="B500" s="150" t="s">
        <v>1216</v>
      </c>
      <c r="C500" s="150" t="s">
        <v>1516</v>
      </c>
      <c r="D500" s="150" t="s">
        <v>1090</v>
      </c>
      <c r="E500" s="150" t="s">
        <v>1519</v>
      </c>
      <c r="F500" s="149">
        <v>528934</v>
      </c>
      <c r="G500" s="149">
        <v>177496</v>
      </c>
      <c r="H500" s="150" t="s">
        <v>149</v>
      </c>
      <c r="I500" s="151">
        <v>42506</v>
      </c>
      <c r="J500" s="151"/>
      <c r="K500" s="149">
        <v>0</v>
      </c>
      <c r="L500" s="149">
        <v>92</v>
      </c>
      <c r="M500" s="149">
        <v>92</v>
      </c>
      <c r="N500" s="149">
        <v>1192</v>
      </c>
      <c r="O500" s="149">
        <v>1192</v>
      </c>
      <c r="P500" s="152" t="s">
        <v>327</v>
      </c>
      <c r="Q500" s="150" t="s">
        <v>1518</v>
      </c>
      <c r="R500" s="150" t="s">
        <v>850</v>
      </c>
      <c r="S500" s="151">
        <v>42809</v>
      </c>
      <c r="T500" s="151">
        <v>43049</v>
      </c>
      <c r="U500" s="152"/>
      <c r="V500" s="150" t="s">
        <v>330</v>
      </c>
      <c r="W500" s="151"/>
      <c r="X500" s="150" t="s">
        <v>331</v>
      </c>
      <c r="Y500" s="150" t="s">
        <v>343</v>
      </c>
      <c r="Z500" s="150" t="s">
        <v>343</v>
      </c>
      <c r="AA500" s="150" t="s">
        <v>334</v>
      </c>
      <c r="AB500" s="153">
        <v>0.11600000000000001</v>
      </c>
      <c r="AC500" s="151"/>
      <c r="AD500" s="150"/>
      <c r="AE500" s="151"/>
      <c r="AF500" s="150" t="s">
        <v>48</v>
      </c>
      <c r="AG500" s="152" t="s">
        <v>335</v>
      </c>
      <c r="AH500" s="150" t="s">
        <v>1093</v>
      </c>
      <c r="AI500" s="99"/>
      <c r="AJ500" s="149">
        <v>92</v>
      </c>
      <c r="AK500" s="102"/>
      <c r="AL500" s="149">
        <v>9</v>
      </c>
      <c r="AM500" s="99"/>
      <c r="AN500" s="149">
        <v>0</v>
      </c>
      <c r="AO500" s="149">
        <v>41</v>
      </c>
      <c r="AP500" s="149">
        <v>48</v>
      </c>
      <c r="AQ500" s="149">
        <v>3</v>
      </c>
      <c r="AR500" s="149">
        <v>0</v>
      </c>
      <c r="AS500" s="149">
        <v>0</v>
      </c>
      <c r="AT500" s="149">
        <v>0</v>
      </c>
      <c r="AU500" s="149">
        <v>0</v>
      </c>
      <c r="AV500" s="149">
        <v>41</v>
      </c>
      <c r="AW500" s="149">
        <v>48</v>
      </c>
      <c r="AX500" s="149">
        <v>3</v>
      </c>
      <c r="AY500" s="149">
        <v>0</v>
      </c>
      <c r="AZ500" s="149">
        <v>0</v>
      </c>
      <c r="BA500" s="149">
        <v>0</v>
      </c>
      <c r="BB500" s="149">
        <v>0</v>
      </c>
      <c r="BC500" s="149">
        <v>0</v>
      </c>
      <c r="BD500" s="149">
        <v>0</v>
      </c>
      <c r="BE500" s="149">
        <v>0</v>
      </c>
      <c r="BF500" s="149">
        <v>0</v>
      </c>
      <c r="BG500" s="149">
        <v>0</v>
      </c>
      <c r="BH500" s="149">
        <v>0</v>
      </c>
      <c r="BI500" s="149">
        <v>0</v>
      </c>
      <c r="BJ500" s="149">
        <v>0</v>
      </c>
      <c r="BK500" s="149">
        <v>0</v>
      </c>
      <c r="BL500" s="149">
        <v>0</v>
      </c>
      <c r="BM500" s="149">
        <v>0</v>
      </c>
      <c r="BN500" s="149">
        <v>0</v>
      </c>
      <c r="BO500" s="149">
        <v>0</v>
      </c>
      <c r="BP500" s="152"/>
      <c r="BQ500" s="152" t="s">
        <v>327</v>
      </c>
      <c r="BR500" s="154" t="s">
        <v>149</v>
      </c>
      <c r="BS500" s="136">
        <v>10</v>
      </c>
      <c r="BT500" s="267"/>
      <c r="BU500" s="267"/>
      <c r="BV500" s="267"/>
      <c r="BW500" s="267"/>
      <c r="BX500" s="267">
        <f t="shared" si="38"/>
        <v>30.666666666666668</v>
      </c>
      <c r="BY500" s="267">
        <f t="shared" si="39"/>
        <v>30.666666666666668</v>
      </c>
      <c r="BZ500" s="267">
        <f t="shared" si="40"/>
        <v>30.666666666666668</v>
      </c>
      <c r="CA500" s="267"/>
      <c r="CB500" s="267"/>
      <c r="CC500" s="267"/>
      <c r="CD500" s="267"/>
      <c r="CE500" s="267"/>
      <c r="CF500" s="267"/>
      <c r="CG500" s="267"/>
      <c r="CH500" s="267"/>
      <c r="CI500" s="267"/>
      <c r="CJ500" s="267"/>
      <c r="CK500" s="267"/>
      <c r="CL500" s="267"/>
      <c r="CM500" s="267"/>
      <c r="CN500" s="101">
        <f t="shared" si="30"/>
        <v>61.333333333333336</v>
      </c>
      <c r="CO500" s="101">
        <f t="shared" si="31"/>
        <v>92</v>
      </c>
    </row>
    <row r="501" spans="1:93" ht="13.9" customHeight="1" x14ac:dyDescent="0.2">
      <c r="A501" s="149">
        <v>2411</v>
      </c>
      <c r="B501" s="150" t="s">
        <v>1216</v>
      </c>
      <c r="C501" s="150" t="s">
        <v>1516</v>
      </c>
      <c r="D501" s="150" t="s">
        <v>1090</v>
      </c>
      <c r="E501" s="150" t="s">
        <v>1519</v>
      </c>
      <c r="F501" s="149">
        <v>528934</v>
      </c>
      <c r="G501" s="149">
        <v>177496</v>
      </c>
      <c r="H501" s="150" t="s">
        <v>149</v>
      </c>
      <c r="I501" s="151">
        <v>42506</v>
      </c>
      <c r="J501" s="151"/>
      <c r="K501" s="149">
        <v>0</v>
      </c>
      <c r="L501" s="149">
        <v>306</v>
      </c>
      <c r="M501" s="149">
        <v>306</v>
      </c>
      <c r="N501" s="149">
        <v>1192</v>
      </c>
      <c r="O501" s="149">
        <v>1192</v>
      </c>
      <c r="P501" s="152" t="s">
        <v>327</v>
      </c>
      <c r="Q501" s="150" t="s">
        <v>1518</v>
      </c>
      <c r="R501" s="150" t="s">
        <v>850</v>
      </c>
      <c r="S501" s="151">
        <v>42809</v>
      </c>
      <c r="T501" s="151">
        <v>43049</v>
      </c>
      <c r="U501" s="152"/>
      <c r="V501" s="150" t="s">
        <v>330</v>
      </c>
      <c r="W501" s="151"/>
      <c r="X501" s="150" t="s">
        <v>331</v>
      </c>
      <c r="Y501" s="150" t="s">
        <v>343</v>
      </c>
      <c r="Z501" s="150" t="s">
        <v>343</v>
      </c>
      <c r="AA501" s="150" t="s">
        <v>334</v>
      </c>
      <c r="AB501" s="153">
        <v>0.38600000000000001</v>
      </c>
      <c r="AC501" s="151"/>
      <c r="AD501" s="150"/>
      <c r="AE501" s="151"/>
      <c r="AF501" s="150" t="s">
        <v>70</v>
      </c>
      <c r="AG501" s="152" t="s">
        <v>352</v>
      </c>
      <c r="AH501" s="150" t="s">
        <v>1093</v>
      </c>
      <c r="AI501" s="99"/>
      <c r="AJ501" s="149">
        <v>306</v>
      </c>
      <c r="AK501" s="99"/>
      <c r="AL501" s="149">
        <v>31</v>
      </c>
      <c r="AM501" s="99"/>
      <c r="AN501" s="149">
        <v>29</v>
      </c>
      <c r="AO501" s="149">
        <v>0</v>
      </c>
      <c r="AP501" s="149">
        <v>36</v>
      </c>
      <c r="AQ501" s="149">
        <v>140</v>
      </c>
      <c r="AR501" s="149">
        <v>35</v>
      </c>
      <c r="AS501" s="149">
        <v>66</v>
      </c>
      <c r="AT501" s="149">
        <v>0</v>
      </c>
      <c r="AU501" s="149">
        <v>29</v>
      </c>
      <c r="AV501" s="149">
        <v>0</v>
      </c>
      <c r="AW501" s="149">
        <v>36</v>
      </c>
      <c r="AX501" s="149">
        <v>140</v>
      </c>
      <c r="AY501" s="149">
        <v>35</v>
      </c>
      <c r="AZ501" s="149">
        <v>66</v>
      </c>
      <c r="BA501" s="149">
        <v>0</v>
      </c>
      <c r="BB501" s="149">
        <v>0</v>
      </c>
      <c r="BC501" s="149">
        <v>0</v>
      </c>
      <c r="BD501" s="149">
        <v>0</v>
      </c>
      <c r="BE501" s="149">
        <v>0</v>
      </c>
      <c r="BF501" s="149">
        <v>0</v>
      </c>
      <c r="BG501" s="149">
        <v>0</v>
      </c>
      <c r="BH501" s="149">
        <v>0</v>
      </c>
      <c r="BI501" s="149">
        <v>0</v>
      </c>
      <c r="BJ501" s="149">
        <v>0</v>
      </c>
      <c r="BK501" s="149">
        <v>0</v>
      </c>
      <c r="BL501" s="149">
        <v>0</v>
      </c>
      <c r="BM501" s="149">
        <v>0</v>
      </c>
      <c r="BN501" s="149">
        <v>0</v>
      </c>
      <c r="BO501" s="149">
        <v>0</v>
      </c>
      <c r="BP501" s="152"/>
      <c r="BQ501" s="152" t="s">
        <v>327</v>
      </c>
      <c r="BR501" s="154" t="s">
        <v>149</v>
      </c>
      <c r="BS501" s="136">
        <v>10</v>
      </c>
      <c r="BT501" s="267"/>
      <c r="BU501" s="267"/>
      <c r="BV501" s="267"/>
      <c r="BW501" s="267"/>
      <c r="BX501" s="267">
        <f t="shared" si="38"/>
        <v>102</v>
      </c>
      <c r="BY501" s="267">
        <f t="shared" si="39"/>
        <v>102</v>
      </c>
      <c r="BZ501" s="267">
        <f t="shared" si="40"/>
        <v>102</v>
      </c>
      <c r="CA501" s="267"/>
      <c r="CB501" s="267"/>
      <c r="CC501" s="267"/>
      <c r="CD501" s="267"/>
      <c r="CE501" s="267"/>
      <c r="CF501" s="267"/>
      <c r="CG501" s="267"/>
      <c r="CH501" s="267"/>
      <c r="CI501" s="267"/>
      <c r="CJ501" s="267"/>
      <c r="CK501" s="267"/>
      <c r="CL501" s="267"/>
      <c r="CM501" s="267"/>
      <c r="CN501" s="101">
        <f t="shared" si="30"/>
        <v>204</v>
      </c>
      <c r="CO501" s="101">
        <f t="shared" si="31"/>
        <v>306</v>
      </c>
    </row>
    <row r="502" spans="1:93" ht="13.9" customHeight="1" x14ac:dyDescent="0.2">
      <c r="A502" s="149">
        <v>6839</v>
      </c>
      <c r="B502" s="150" t="s">
        <v>1216</v>
      </c>
      <c r="C502" s="150" t="s">
        <v>1520</v>
      </c>
      <c r="D502" s="150" t="s">
        <v>1521</v>
      </c>
      <c r="E502" s="150" t="s">
        <v>326</v>
      </c>
      <c r="F502" s="149">
        <v>525097</v>
      </c>
      <c r="G502" s="149">
        <v>175034</v>
      </c>
      <c r="H502" s="150" t="s">
        <v>171</v>
      </c>
      <c r="I502" s="151">
        <v>44294</v>
      </c>
      <c r="J502" s="151"/>
      <c r="K502" s="149">
        <v>0</v>
      </c>
      <c r="L502" s="149">
        <v>5</v>
      </c>
      <c r="M502" s="149">
        <v>5</v>
      </c>
      <c r="N502" s="149">
        <v>5</v>
      </c>
      <c r="O502" s="149">
        <v>5</v>
      </c>
      <c r="P502" s="152"/>
      <c r="Q502" s="150" t="s">
        <v>1522</v>
      </c>
      <c r="R502" s="150" t="s">
        <v>349</v>
      </c>
      <c r="S502" s="151">
        <v>43168</v>
      </c>
      <c r="T502" s="151">
        <v>43245</v>
      </c>
      <c r="U502" s="152"/>
      <c r="V502" s="150" t="s">
        <v>330</v>
      </c>
      <c r="W502" s="151"/>
      <c r="X502" s="150" t="s">
        <v>331</v>
      </c>
      <c r="Y502" s="150" t="s">
        <v>343</v>
      </c>
      <c r="Z502" s="150" t="s">
        <v>334</v>
      </c>
      <c r="AA502" s="150" t="s">
        <v>363</v>
      </c>
      <c r="AB502" s="153">
        <v>7.0000000000000001E-3</v>
      </c>
      <c r="AC502" s="151"/>
      <c r="AD502" s="150"/>
      <c r="AE502" s="151"/>
      <c r="AF502" s="150" t="s">
        <v>70</v>
      </c>
      <c r="AG502" s="152" t="s">
        <v>352</v>
      </c>
      <c r="AH502" s="150" t="s">
        <v>326</v>
      </c>
      <c r="AI502" s="99"/>
      <c r="AJ502" s="149"/>
      <c r="AK502" s="138">
        <v>5</v>
      </c>
      <c r="AL502" s="149"/>
      <c r="AM502" s="99"/>
      <c r="AN502" s="149">
        <v>5</v>
      </c>
      <c r="AO502" s="149">
        <v>0</v>
      </c>
      <c r="AP502" s="149">
        <v>0</v>
      </c>
      <c r="AQ502" s="149">
        <v>0</v>
      </c>
      <c r="AR502" s="149">
        <v>0</v>
      </c>
      <c r="AS502" s="149">
        <v>0</v>
      </c>
      <c r="AT502" s="149">
        <v>0</v>
      </c>
      <c r="AU502" s="149">
        <v>5</v>
      </c>
      <c r="AV502" s="149">
        <v>0</v>
      </c>
      <c r="AW502" s="149">
        <v>0</v>
      </c>
      <c r="AX502" s="149">
        <v>0</v>
      </c>
      <c r="AY502" s="149">
        <v>0</v>
      </c>
      <c r="AZ502" s="149">
        <v>0</v>
      </c>
      <c r="BA502" s="149">
        <v>0</v>
      </c>
      <c r="BB502" s="149">
        <v>0</v>
      </c>
      <c r="BC502" s="149">
        <v>0</v>
      </c>
      <c r="BD502" s="149">
        <v>0</v>
      </c>
      <c r="BE502" s="149">
        <v>0</v>
      </c>
      <c r="BF502" s="149">
        <v>0</v>
      </c>
      <c r="BG502" s="149">
        <v>0</v>
      </c>
      <c r="BH502" s="149">
        <v>0</v>
      </c>
      <c r="BI502" s="149">
        <v>0</v>
      </c>
      <c r="BJ502" s="149">
        <v>0</v>
      </c>
      <c r="BK502" s="149">
        <v>0</v>
      </c>
      <c r="BL502" s="149">
        <v>0</v>
      </c>
      <c r="BM502" s="149">
        <v>0</v>
      </c>
      <c r="BN502" s="149">
        <v>0</v>
      </c>
      <c r="BO502" s="149">
        <v>0</v>
      </c>
      <c r="BP502" s="152"/>
      <c r="BQ502" s="152"/>
      <c r="BR502" s="154" t="s">
        <v>463</v>
      </c>
      <c r="BS502" s="136">
        <v>7</v>
      </c>
      <c r="BT502" s="267"/>
      <c r="BU502" s="267"/>
      <c r="BV502" s="267">
        <f>M502/4</f>
        <v>1.25</v>
      </c>
      <c r="BW502" s="267">
        <f>M502/4</f>
        <v>1.25</v>
      </c>
      <c r="BX502" s="267">
        <f>M502/4</f>
        <v>1.25</v>
      </c>
      <c r="BY502" s="267">
        <f>M502/4</f>
        <v>1.25</v>
      </c>
      <c r="BZ502" s="267"/>
      <c r="CA502" s="267"/>
      <c r="CB502" s="267"/>
      <c r="CC502" s="267"/>
      <c r="CD502" s="267"/>
      <c r="CE502" s="267"/>
      <c r="CF502" s="267"/>
      <c r="CG502" s="267"/>
      <c r="CH502" s="267"/>
      <c r="CI502" s="267"/>
      <c r="CJ502" s="267"/>
      <c r="CK502" s="267"/>
      <c r="CL502" s="267"/>
      <c r="CM502" s="267"/>
      <c r="CN502" s="101">
        <f t="shared" si="30"/>
        <v>5</v>
      </c>
      <c r="CO502" s="101">
        <f t="shared" si="31"/>
        <v>5</v>
      </c>
    </row>
    <row r="503" spans="1:93" ht="13.9" customHeight="1" x14ac:dyDescent="0.2">
      <c r="A503" s="149">
        <v>179</v>
      </c>
      <c r="B503" s="150" t="s">
        <v>1216</v>
      </c>
      <c r="C503" s="150" t="s">
        <v>1523</v>
      </c>
      <c r="D503" s="150" t="s">
        <v>1524</v>
      </c>
      <c r="E503" s="150" t="s">
        <v>1525</v>
      </c>
      <c r="F503" s="149">
        <v>524331</v>
      </c>
      <c r="G503" s="149">
        <v>175422</v>
      </c>
      <c r="H503" s="150" t="s">
        <v>171</v>
      </c>
      <c r="I503" s="151"/>
      <c r="J503" s="151"/>
      <c r="K503" s="149">
        <v>0</v>
      </c>
      <c r="L503" s="149">
        <v>4</v>
      </c>
      <c r="M503" s="149">
        <v>4</v>
      </c>
      <c r="N503" s="149">
        <v>7</v>
      </c>
      <c r="O503" s="149">
        <v>7</v>
      </c>
      <c r="P503" s="152"/>
      <c r="Q503" s="150" t="s">
        <v>1526</v>
      </c>
      <c r="R503" s="150" t="s">
        <v>329</v>
      </c>
      <c r="S503" s="151">
        <v>43243</v>
      </c>
      <c r="T503" s="151">
        <v>43756</v>
      </c>
      <c r="U503" s="152"/>
      <c r="V503" s="150" t="s">
        <v>330</v>
      </c>
      <c r="W503" s="151"/>
      <c r="X503" s="150" t="s">
        <v>331</v>
      </c>
      <c r="Y503" s="150" t="s">
        <v>398</v>
      </c>
      <c r="Z503" s="150" t="s">
        <v>334</v>
      </c>
      <c r="AA503" s="150" t="s">
        <v>32</v>
      </c>
      <c r="AB503" s="153">
        <v>3.9E-2</v>
      </c>
      <c r="AC503" s="151"/>
      <c r="AD503" s="150"/>
      <c r="AE503" s="151"/>
      <c r="AF503" s="150" t="s">
        <v>70</v>
      </c>
      <c r="AG503" s="152" t="s">
        <v>352</v>
      </c>
      <c r="AH503" s="150" t="s">
        <v>326</v>
      </c>
      <c r="AI503" s="99"/>
      <c r="AJ503" s="149"/>
      <c r="AK503" s="99"/>
      <c r="AL503" s="149"/>
      <c r="AM503" s="99"/>
      <c r="AN503" s="149">
        <v>0</v>
      </c>
      <c r="AO503" s="149">
        <v>1</v>
      </c>
      <c r="AP503" s="149">
        <v>2</v>
      </c>
      <c r="AQ503" s="149">
        <v>1</v>
      </c>
      <c r="AR503" s="149">
        <v>0</v>
      </c>
      <c r="AS503" s="149">
        <v>0</v>
      </c>
      <c r="AT503" s="149">
        <v>0</v>
      </c>
      <c r="AU503" s="149">
        <v>0</v>
      </c>
      <c r="AV503" s="149">
        <v>1</v>
      </c>
      <c r="AW503" s="149">
        <v>2</v>
      </c>
      <c r="AX503" s="149">
        <v>1</v>
      </c>
      <c r="AY503" s="149">
        <v>0</v>
      </c>
      <c r="AZ503" s="149">
        <v>0</v>
      </c>
      <c r="BA503" s="149">
        <v>0</v>
      </c>
      <c r="BB503" s="149">
        <v>0</v>
      </c>
      <c r="BC503" s="149">
        <v>0</v>
      </c>
      <c r="BD503" s="149">
        <v>0</v>
      </c>
      <c r="BE503" s="149">
        <v>0</v>
      </c>
      <c r="BF503" s="149">
        <v>0</v>
      </c>
      <c r="BG503" s="149">
        <v>0</v>
      </c>
      <c r="BH503" s="149">
        <v>0</v>
      </c>
      <c r="BI503" s="149">
        <v>0</v>
      </c>
      <c r="BJ503" s="149">
        <v>0</v>
      </c>
      <c r="BK503" s="149">
        <v>0</v>
      </c>
      <c r="BL503" s="149">
        <v>0</v>
      </c>
      <c r="BM503" s="149">
        <v>0</v>
      </c>
      <c r="BN503" s="149">
        <v>0</v>
      </c>
      <c r="BO503" s="149">
        <v>0</v>
      </c>
      <c r="BP503" s="152"/>
      <c r="BQ503" s="152"/>
      <c r="BR503" s="154" t="s">
        <v>359</v>
      </c>
      <c r="BS503" s="136">
        <v>18</v>
      </c>
      <c r="BT503" s="267"/>
      <c r="BU503" s="267">
        <f>M503/4</f>
        <v>1</v>
      </c>
      <c r="BV503" s="267">
        <f>M503/4</f>
        <v>1</v>
      </c>
      <c r="BW503" s="267">
        <f>M503/4</f>
        <v>1</v>
      </c>
      <c r="BX503" s="267">
        <f>M503/4</f>
        <v>1</v>
      </c>
      <c r="BY503" s="267"/>
      <c r="BZ503" s="267"/>
      <c r="CA503" s="267"/>
      <c r="CB503" s="267"/>
      <c r="CC503" s="267"/>
      <c r="CD503" s="267"/>
      <c r="CE503" s="267"/>
      <c r="CF503" s="267"/>
      <c r="CG503" s="267"/>
      <c r="CH503" s="267"/>
      <c r="CI503" s="267"/>
      <c r="CJ503" s="267"/>
      <c r="CK503" s="267"/>
      <c r="CL503" s="267"/>
      <c r="CM503" s="267"/>
      <c r="CN503" s="101">
        <f t="shared" ref="CN503:CN566" si="41">SUM(BU503:BY503)</f>
        <v>4</v>
      </c>
      <c r="CO503" s="101">
        <f t="shared" ref="CO503:CO566" si="42">SUM(BU503:CD503)</f>
        <v>4</v>
      </c>
    </row>
    <row r="504" spans="1:93" ht="13.9" customHeight="1" x14ac:dyDescent="0.2">
      <c r="A504" s="149">
        <v>179</v>
      </c>
      <c r="B504" s="150" t="s">
        <v>1216</v>
      </c>
      <c r="C504" s="150" t="s">
        <v>1523</v>
      </c>
      <c r="D504" s="150" t="s">
        <v>1524</v>
      </c>
      <c r="E504" s="150" t="s">
        <v>1527</v>
      </c>
      <c r="F504" s="149">
        <v>524331</v>
      </c>
      <c r="G504" s="149">
        <v>175422</v>
      </c>
      <c r="H504" s="150" t="s">
        <v>171</v>
      </c>
      <c r="I504" s="151"/>
      <c r="J504" s="151"/>
      <c r="K504" s="149">
        <v>0</v>
      </c>
      <c r="L504" s="149">
        <v>3</v>
      </c>
      <c r="M504" s="149">
        <v>3</v>
      </c>
      <c r="N504" s="149">
        <v>7</v>
      </c>
      <c r="O504" s="149">
        <v>7</v>
      </c>
      <c r="P504" s="152"/>
      <c r="Q504" s="150" t="s">
        <v>1526</v>
      </c>
      <c r="R504" s="150" t="s">
        <v>329</v>
      </c>
      <c r="S504" s="151">
        <v>43243</v>
      </c>
      <c r="T504" s="151">
        <v>43756</v>
      </c>
      <c r="U504" s="152"/>
      <c r="V504" s="150" t="s">
        <v>330</v>
      </c>
      <c r="W504" s="151"/>
      <c r="X504" s="150" t="s">
        <v>331</v>
      </c>
      <c r="Y504" s="150" t="s">
        <v>398</v>
      </c>
      <c r="Z504" s="150" t="s">
        <v>334</v>
      </c>
      <c r="AA504" s="150" t="s">
        <v>363</v>
      </c>
      <c r="AB504" s="153">
        <v>0.04</v>
      </c>
      <c r="AC504" s="151"/>
      <c r="AD504" s="150"/>
      <c r="AE504" s="151"/>
      <c r="AF504" s="150" t="s">
        <v>70</v>
      </c>
      <c r="AG504" s="152" t="s">
        <v>352</v>
      </c>
      <c r="AH504" s="150" t="s">
        <v>326</v>
      </c>
      <c r="AI504" s="99"/>
      <c r="AJ504" s="149"/>
      <c r="AK504" s="102"/>
      <c r="AL504" s="149"/>
      <c r="AM504" s="102"/>
      <c r="AN504" s="149">
        <v>0</v>
      </c>
      <c r="AO504" s="149">
        <v>0</v>
      </c>
      <c r="AP504" s="149">
        <v>2</v>
      </c>
      <c r="AQ504" s="149">
        <v>1</v>
      </c>
      <c r="AR504" s="149">
        <v>0</v>
      </c>
      <c r="AS504" s="149">
        <v>0</v>
      </c>
      <c r="AT504" s="149">
        <v>0</v>
      </c>
      <c r="AU504" s="149">
        <v>0</v>
      </c>
      <c r="AV504" s="149">
        <v>0</v>
      </c>
      <c r="AW504" s="149">
        <v>0</v>
      </c>
      <c r="AX504" s="149">
        <v>0</v>
      </c>
      <c r="AY504" s="149">
        <v>0</v>
      </c>
      <c r="AZ504" s="149">
        <v>0</v>
      </c>
      <c r="BA504" s="149">
        <v>0</v>
      </c>
      <c r="BB504" s="149">
        <v>0</v>
      </c>
      <c r="BC504" s="149">
        <v>0</v>
      </c>
      <c r="BD504" s="149">
        <v>2</v>
      </c>
      <c r="BE504" s="149">
        <v>1</v>
      </c>
      <c r="BF504" s="149">
        <v>0</v>
      </c>
      <c r="BG504" s="149">
        <v>0</v>
      </c>
      <c r="BH504" s="149">
        <v>0</v>
      </c>
      <c r="BI504" s="149">
        <v>0</v>
      </c>
      <c r="BJ504" s="149">
        <v>0</v>
      </c>
      <c r="BK504" s="149">
        <v>0</v>
      </c>
      <c r="BL504" s="149">
        <v>0</v>
      </c>
      <c r="BM504" s="149">
        <v>0</v>
      </c>
      <c r="BN504" s="149">
        <v>0</v>
      </c>
      <c r="BO504" s="149">
        <v>0</v>
      </c>
      <c r="BP504" s="152"/>
      <c r="BQ504" s="152"/>
      <c r="BR504" s="154" t="s">
        <v>359</v>
      </c>
      <c r="BS504" s="136">
        <v>18</v>
      </c>
      <c r="BT504" s="267"/>
      <c r="BU504" s="267">
        <f>M504/4</f>
        <v>0.75</v>
      </c>
      <c r="BV504" s="267">
        <f>M504/4</f>
        <v>0.75</v>
      </c>
      <c r="BW504" s="267">
        <f>M504/4</f>
        <v>0.75</v>
      </c>
      <c r="BX504" s="267">
        <f>M504/4</f>
        <v>0.75</v>
      </c>
      <c r="BY504" s="267"/>
      <c r="BZ504" s="267"/>
      <c r="CA504" s="267"/>
      <c r="CB504" s="267"/>
      <c r="CC504" s="267"/>
      <c r="CD504" s="267"/>
      <c r="CE504" s="267"/>
      <c r="CF504" s="267"/>
      <c r="CG504" s="267"/>
      <c r="CH504" s="267"/>
      <c r="CI504" s="267"/>
      <c r="CJ504" s="267"/>
      <c r="CK504" s="267"/>
      <c r="CL504" s="267"/>
      <c r="CM504" s="267"/>
      <c r="CN504" s="101">
        <f t="shared" si="41"/>
        <v>3</v>
      </c>
      <c r="CO504" s="101">
        <f t="shared" si="42"/>
        <v>3</v>
      </c>
    </row>
    <row r="505" spans="1:93" ht="13.9" customHeight="1" x14ac:dyDescent="0.2">
      <c r="A505" s="149">
        <v>4157</v>
      </c>
      <c r="B505" s="150" t="s">
        <v>1216</v>
      </c>
      <c r="C505" s="150" t="s">
        <v>1528</v>
      </c>
      <c r="D505" s="150" t="s">
        <v>1529</v>
      </c>
      <c r="E505" s="150" t="s">
        <v>326</v>
      </c>
      <c r="F505" s="149">
        <v>527404</v>
      </c>
      <c r="G505" s="149">
        <v>175316</v>
      </c>
      <c r="H505" s="150" t="s">
        <v>164</v>
      </c>
      <c r="I505" s="151"/>
      <c r="J505" s="151"/>
      <c r="K505" s="149">
        <v>0</v>
      </c>
      <c r="L505" s="149">
        <v>6</v>
      </c>
      <c r="M505" s="149">
        <v>6</v>
      </c>
      <c r="N505" s="149">
        <v>6</v>
      </c>
      <c r="O505" s="149">
        <v>6</v>
      </c>
      <c r="P505" s="152"/>
      <c r="Q505" s="150" t="s">
        <v>1530</v>
      </c>
      <c r="R505" s="150" t="s">
        <v>349</v>
      </c>
      <c r="S505" s="151">
        <v>43311</v>
      </c>
      <c r="T505" s="151">
        <v>43864</v>
      </c>
      <c r="U505" s="152"/>
      <c r="V505" s="150" t="s">
        <v>330</v>
      </c>
      <c r="W505" s="151"/>
      <c r="X505" s="150" t="s">
        <v>331</v>
      </c>
      <c r="Y505" s="150" t="s">
        <v>343</v>
      </c>
      <c r="Z505" s="150" t="s">
        <v>334</v>
      </c>
      <c r="AA505" s="150" t="s">
        <v>363</v>
      </c>
      <c r="AB505" s="153">
        <v>1.2999999999999999E-2</v>
      </c>
      <c r="AC505" s="151"/>
      <c r="AD505" s="150"/>
      <c r="AE505" s="151"/>
      <c r="AF505" s="150" t="s">
        <v>70</v>
      </c>
      <c r="AG505" s="152" t="s">
        <v>352</v>
      </c>
      <c r="AH505" s="150" t="s">
        <v>326</v>
      </c>
      <c r="AI505" s="99"/>
      <c r="AJ505" s="149"/>
      <c r="AK505" s="99"/>
      <c r="AL505" s="149"/>
      <c r="AM505" s="102"/>
      <c r="AN505" s="149">
        <v>0</v>
      </c>
      <c r="AO505" s="149">
        <v>1</v>
      </c>
      <c r="AP505" s="149">
        <v>3</v>
      </c>
      <c r="AQ505" s="149">
        <v>2</v>
      </c>
      <c r="AR505" s="149">
        <v>0</v>
      </c>
      <c r="AS505" s="149">
        <v>0</v>
      </c>
      <c r="AT505" s="149">
        <v>0</v>
      </c>
      <c r="AU505" s="149">
        <v>0</v>
      </c>
      <c r="AV505" s="149">
        <v>1</v>
      </c>
      <c r="AW505" s="149">
        <v>3</v>
      </c>
      <c r="AX505" s="149">
        <v>2</v>
      </c>
      <c r="AY505" s="149">
        <v>0</v>
      </c>
      <c r="AZ505" s="149">
        <v>0</v>
      </c>
      <c r="BA505" s="149">
        <v>0</v>
      </c>
      <c r="BB505" s="149">
        <v>0</v>
      </c>
      <c r="BC505" s="149">
        <v>0</v>
      </c>
      <c r="BD505" s="149">
        <v>0</v>
      </c>
      <c r="BE505" s="149">
        <v>0</v>
      </c>
      <c r="BF505" s="149">
        <v>0</v>
      </c>
      <c r="BG505" s="149">
        <v>0</v>
      </c>
      <c r="BH505" s="149">
        <v>0</v>
      </c>
      <c r="BI505" s="149">
        <v>0</v>
      </c>
      <c r="BJ505" s="149">
        <v>0</v>
      </c>
      <c r="BK505" s="149">
        <v>0</v>
      </c>
      <c r="BL505" s="149">
        <v>0</v>
      </c>
      <c r="BM505" s="149">
        <v>0</v>
      </c>
      <c r="BN505" s="149">
        <v>0</v>
      </c>
      <c r="BO505" s="149">
        <v>0</v>
      </c>
      <c r="BP505" s="152" t="s">
        <v>140</v>
      </c>
      <c r="BQ505" s="152"/>
      <c r="BR505" s="154" t="s">
        <v>148</v>
      </c>
      <c r="BS505" s="136">
        <v>10</v>
      </c>
      <c r="BT505" s="267"/>
      <c r="BU505" s="267"/>
      <c r="BV505" s="267"/>
      <c r="BW505" s="267"/>
      <c r="BX505" s="267">
        <f>M505/3</f>
        <v>2</v>
      </c>
      <c r="BY505" s="267">
        <f>M505/3</f>
        <v>2</v>
      </c>
      <c r="BZ505" s="267">
        <f>M505/3</f>
        <v>2</v>
      </c>
      <c r="CA505" s="267"/>
      <c r="CB505" s="267"/>
      <c r="CC505" s="267"/>
      <c r="CD505" s="267"/>
      <c r="CE505" s="267"/>
      <c r="CF505" s="267"/>
      <c r="CG505" s="267"/>
      <c r="CH505" s="267"/>
      <c r="CI505" s="267"/>
      <c r="CJ505" s="267"/>
      <c r="CK505" s="267"/>
      <c r="CL505" s="267"/>
      <c r="CM505" s="267"/>
      <c r="CN505" s="101">
        <f t="shared" si="41"/>
        <v>4</v>
      </c>
      <c r="CO505" s="101">
        <f t="shared" si="42"/>
        <v>6</v>
      </c>
    </row>
    <row r="506" spans="1:93" ht="13.9" customHeight="1" x14ac:dyDescent="0.2">
      <c r="A506" s="149">
        <v>6618</v>
      </c>
      <c r="B506" s="150" t="s">
        <v>1216</v>
      </c>
      <c r="C506" s="150" t="s">
        <v>1531</v>
      </c>
      <c r="D506" s="150" t="s">
        <v>1532</v>
      </c>
      <c r="E506" s="150" t="s">
        <v>326</v>
      </c>
      <c r="F506" s="149">
        <v>529335</v>
      </c>
      <c r="G506" s="149">
        <v>171178</v>
      </c>
      <c r="H506" s="150" t="s">
        <v>163</v>
      </c>
      <c r="I506" s="151"/>
      <c r="J506" s="151"/>
      <c r="K506" s="149">
        <v>2</v>
      </c>
      <c r="L506" s="149">
        <v>8</v>
      </c>
      <c r="M506" s="149">
        <v>6</v>
      </c>
      <c r="N506" s="149">
        <v>8</v>
      </c>
      <c r="O506" s="149">
        <v>6</v>
      </c>
      <c r="P506" s="152"/>
      <c r="Q506" s="150" t="s">
        <v>1533</v>
      </c>
      <c r="R506" s="150" t="s">
        <v>435</v>
      </c>
      <c r="S506" s="151">
        <v>43381</v>
      </c>
      <c r="T506" s="151">
        <v>43546</v>
      </c>
      <c r="U506" s="152"/>
      <c r="V506" s="150" t="s">
        <v>436</v>
      </c>
      <c r="W506" s="151">
        <v>43796</v>
      </c>
      <c r="X506" s="150" t="s">
        <v>331</v>
      </c>
      <c r="Y506" s="150" t="s">
        <v>343</v>
      </c>
      <c r="Z506" s="150" t="s">
        <v>334</v>
      </c>
      <c r="AA506" s="150" t="s">
        <v>363</v>
      </c>
      <c r="AB506" s="153">
        <v>2.5999999999999999E-2</v>
      </c>
      <c r="AC506" s="151"/>
      <c r="AD506" s="150"/>
      <c r="AE506" s="151"/>
      <c r="AF506" s="150" t="s">
        <v>70</v>
      </c>
      <c r="AG506" s="152" t="s">
        <v>352</v>
      </c>
      <c r="AH506" s="150" t="s">
        <v>326</v>
      </c>
      <c r="AI506" s="99"/>
      <c r="AJ506" s="149"/>
      <c r="AK506" s="99"/>
      <c r="AL506" s="149"/>
      <c r="AM506" s="102"/>
      <c r="AN506" s="149">
        <v>0</v>
      </c>
      <c r="AO506" s="149">
        <v>2</v>
      </c>
      <c r="AP506" s="149">
        <v>6</v>
      </c>
      <c r="AQ506" s="149">
        <v>0</v>
      </c>
      <c r="AR506" s="149">
        <v>0</v>
      </c>
      <c r="AS506" s="149">
        <v>0</v>
      </c>
      <c r="AT506" s="149">
        <v>-2</v>
      </c>
      <c r="AU506" s="149">
        <v>0</v>
      </c>
      <c r="AV506" s="149">
        <v>2</v>
      </c>
      <c r="AW506" s="149">
        <v>6</v>
      </c>
      <c r="AX506" s="149">
        <v>0</v>
      </c>
      <c r="AY506" s="149">
        <v>0</v>
      </c>
      <c r="AZ506" s="149">
        <v>0</v>
      </c>
      <c r="BA506" s="149">
        <v>0</v>
      </c>
      <c r="BB506" s="149">
        <v>0</v>
      </c>
      <c r="BC506" s="149">
        <v>0</v>
      </c>
      <c r="BD506" s="149">
        <v>0</v>
      </c>
      <c r="BE506" s="149">
        <v>0</v>
      </c>
      <c r="BF506" s="149">
        <v>0</v>
      </c>
      <c r="BG506" s="149">
        <v>0</v>
      </c>
      <c r="BH506" s="149">
        <v>-2</v>
      </c>
      <c r="BI506" s="149">
        <v>0</v>
      </c>
      <c r="BJ506" s="149">
        <v>0</v>
      </c>
      <c r="BK506" s="149">
        <v>0</v>
      </c>
      <c r="BL506" s="149">
        <v>0</v>
      </c>
      <c r="BM506" s="149">
        <v>0</v>
      </c>
      <c r="BN506" s="149">
        <v>0</v>
      </c>
      <c r="BO506" s="149">
        <v>0</v>
      </c>
      <c r="BP506" s="152"/>
      <c r="BQ506" s="152"/>
      <c r="BR506" s="154" t="s">
        <v>359</v>
      </c>
      <c r="BS506" s="136">
        <v>10</v>
      </c>
      <c r="BT506" s="267"/>
      <c r="BU506" s="267"/>
      <c r="BV506" s="267"/>
      <c r="BW506" s="267"/>
      <c r="BX506" s="267">
        <f>M506/3</f>
        <v>2</v>
      </c>
      <c r="BY506" s="267">
        <f>M506/3</f>
        <v>2</v>
      </c>
      <c r="BZ506" s="267">
        <f>M506/3</f>
        <v>2</v>
      </c>
      <c r="CA506" s="267"/>
      <c r="CB506" s="267"/>
      <c r="CC506" s="267"/>
      <c r="CD506" s="267"/>
      <c r="CE506" s="267"/>
      <c r="CF506" s="267"/>
      <c r="CG506" s="267"/>
      <c r="CH506" s="267"/>
      <c r="CI506" s="267"/>
      <c r="CJ506" s="267"/>
      <c r="CK506" s="267"/>
      <c r="CL506" s="267"/>
      <c r="CM506" s="267"/>
      <c r="CN506" s="101">
        <f t="shared" si="41"/>
        <v>4</v>
      </c>
      <c r="CO506" s="101">
        <f t="shared" si="42"/>
        <v>6</v>
      </c>
    </row>
    <row r="507" spans="1:93" ht="13.9" customHeight="1" x14ac:dyDescent="0.2">
      <c r="A507" s="149">
        <v>7057</v>
      </c>
      <c r="B507" s="150" t="s">
        <v>1216</v>
      </c>
      <c r="C507" s="150" t="s">
        <v>1534</v>
      </c>
      <c r="D507" s="150" t="s">
        <v>1535</v>
      </c>
      <c r="E507" s="150" t="s">
        <v>326</v>
      </c>
      <c r="F507" s="149">
        <v>521700</v>
      </c>
      <c r="G507" s="149">
        <v>172445</v>
      </c>
      <c r="H507" s="150" t="s">
        <v>166</v>
      </c>
      <c r="I507" s="151"/>
      <c r="J507" s="151"/>
      <c r="K507" s="149">
        <v>1</v>
      </c>
      <c r="L507" s="149">
        <v>3</v>
      </c>
      <c r="M507" s="149">
        <v>2</v>
      </c>
      <c r="N507" s="149">
        <v>3</v>
      </c>
      <c r="O507" s="149">
        <v>2</v>
      </c>
      <c r="P507" s="152"/>
      <c r="Q507" s="150" t="s">
        <v>1536</v>
      </c>
      <c r="R507" s="150" t="s">
        <v>349</v>
      </c>
      <c r="S507" s="151">
        <v>43517</v>
      </c>
      <c r="T507" s="151">
        <v>43584</v>
      </c>
      <c r="U507" s="152"/>
      <c r="V507" s="150" t="s">
        <v>330</v>
      </c>
      <c r="W507" s="151"/>
      <c r="X507" s="150" t="s">
        <v>331</v>
      </c>
      <c r="Y507" s="150" t="s">
        <v>398</v>
      </c>
      <c r="Z507" s="150" t="s">
        <v>334</v>
      </c>
      <c r="AA507" s="150" t="s">
        <v>16</v>
      </c>
      <c r="AB507" s="153">
        <v>5.5E-2</v>
      </c>
      <c r="AC507" s="151"/>
      <c r="AD507" s="150"/>
      <c r="AE507" s="151"/>
      <c r="AF507" s="150" t="s">
        <v>70</v>
      </c>
      <c r="AG507" s="152" t="s">
        <v>352</v>
      </c>
      <c r="AH507" s="150" t="s">
        <v>326</v>
      </c>
      <c r="AI507" s="99"/>
      <c r="AJ507" s="149"/>
      <c r="AK507" s="99"/>
      <c r="AL507" s="149"/>
      <c r="AM507" s="99"/>
      <c r="AN507" s="149">
        <v>0</v>
      </c>
      <c r="AO507" s="149">
        <v>1</v>
      </c>
      <c r="AP507" s="149">
        <v>0</v>
      </c>
      <c r="AQ507" s="149">
        <v>2</v>
      </c>
      <c r="AR507" s="149">
        <v>-1</v>
      </c>
      <c r="AS507" s="149">
        <v>0</v>
      </c>
      <c r="AT507" s="149">
        <v>0</v>
      </c>
      <c r="AU507" s="149">
        <v>0</v>
      </c>
      <c r="AV507" s="149">
        <v>1</v>
      </c>
      <c r="AW507" s="149">
        <v>0</v>
      </c>
      <c r="AX507" s="149">
        <v>2</v>
      </c>
      <c r="AY507" s="149">
        <v>0</v>
      </c>
      <c r="AZ507" s="149">
        <v>0</v>
      </c>
      <c r="BA507" s="149">
        <v>0</v>
      </c>
      <c r="BB507" s="149">
        <v>0</v>
      </c>
      <c r="BC507" s="149">
        <v>0</v>
      </c>
      <c r="BD507" s="149">
        <v>0</v>
      </c>
      <c r="BE507" s="149">
        <v>0</v>
      </c>
      <c r="BF507" s="149">
        <v>-1</v>
      </c>
      <c r="BG507" s="149">
        <v>0</v>
      </c>
      <c r="BH507" s="149">
        <v>0</v>
      </c>
      <c r="BI507" s="149">
        <v>0</v>
      </c>
      <c r="BJ507" s="149">
        <v>0</v>
      </c>
      <c r="BK507" s="149">
        <v>0</v>
      </c>
      <c r="BL507" s="149">
        <v>0</v>
      </c>
      <c r="BM507" s="149">
        <v>0</v>
      </c>
      <c r="BN507" s="149">
        <v>0</v>
      </c>
      <c r="BO507" s="149">
        <v>0</v>
      </c>
      <c r="BP507" s="152"/>
      <c r="BQ507" s="152"/>
      <c r="BR507" s="154" t="s">
        <v>359</v>
      </c>
      <c r="BS507" s="136">
        <v>15</v>
      </c>
      <c r="BT507" s="267"/>
      <c r="BU507" s="267">
        <f>M507/4</f>
        <v>0.5</v>
      </c>
      <c r="BV507" s="267">
        <f>M507/4</f>
        <v>0.5</v>
      </c>
      <c r="BW507" s="267">
        <f>M507/4</f>
        <v>0.5</v>
      </c>
      <c r="BX507" s="267">
        <f>M507/4</f>
        <v>0.5</v>
      </c>
      <c r="BY507" s="267"/>
      <c r="BZ507" s="267"/>
      <c r="CA507" s="267"/>
      <c r="CB507" s="267"/>
      <c r="CC507" s="267"/>
      <c r="CD507" s="267"/>
      <c r="CE507" s="267"/>
      <c r="CF507" s="267"/>
      <c r="CG507" s="267"/>
      <c r="CH507" s="267"/>
      <c r="CI507" s="267"/>
      <c r="CJ507" s="267"/>
      <c r="CK507" s="267"/>
      <c r="CL507" s="267"/>
      <c r="CM507" s="267"/>
      <c r="CN507" s="101">
        <f t="shared" si="41"/>
        <v>2</v>
      </c>
      <c r="CO507" s="101">
        <f t="shared" si="42"/>
        <v>2</v>
      </c>
    </row>
    <row r="508" spans="1:93" ht="13.9" customHeight="1" x14ac:dyDescent="0.2">
      <c r="A508" s="149">
        <v>6744</v>
      </c>
      <c r="B508" s="150" t="s">
        <v>1216</v>
      </c>
      <c r="C508" s="150" t="s">
        <v>1537</v>
      </c>
      <c r="D508" s="150" t="s">
        <v>1538</v>
      </c>
      <c r="E508" s="150" t="s">
        <v>326</v>
      </c>
      <c r="F508" s="149">
        <v>528468</v>
      </c>
      <c r="G508" s="149">
        <v>171491</v>
      </c>
      <c r="H508" s="150" t="s">
        <v>172</v>
      </c>
      <c r="I508" s="151"/>
      <c r="J508" s="151"/>
      <c r="K508" s="149">
        <v>0</v>
      </c>
      <c r="L508" s="149">
        <v>1</v>
      </c>
      <c r="M508" s="149">
        <v>1</v>
      </c>
      <c r="N508" s="149">
        <v>1</v>
      </c>
      <c r="O508" s="149">
        <v>1</v>
      </c>
      <c r="P508" s="152"/>
      <c r="Q508" s="150" t="s">
        <v>1539</v>
      </c>
      <c r="R508" s="150" t="s">
        <v>329</v>
      </c>
      <c r="S508" s="151">
        <v>43446</v>
      </c>
      <c r="T508" s="151">
        <v>44046</v>
      </c>
      <c r="U508" s="152"/>
      <c r="V508" s="150" t="s">
        <v>330</v>
      </c>
      <c r="W508" s="151"/>
      <c r="X508" s="150" t="s">
        <v>331</v>
      </c>
      <c r="Y508" s="150" t="s">
        <v>343</v>
      </c>
      <c r="Z508" s="150" t="s">
        <v>334</v>
      </c>
      <c r="AA508" s="150" t="s">
        <v>363</v>
      </c>
      <c r="AB508" s="153">
        <v>6.0000000000000001E-3</v>
      </c>
      <c r="AC508" s="151"/>
      <c r="AD508" s="150"/>
      <c r="AE508" s="151"/>
      <c r="AF508" s="150" t="s">
        <v>70</v>
      </c>
      <c r="AG508" s="152" t="s">
        <v>352</v>
      </c>
      <c r="AH508" s="150" t="s">
        <v>326</v>
      </c>
      <c r="AI508" s="99"/>
      <c r="AJ508" s="149"/>
      <c r="AK508" s="99"/>
      <c r="AL508" s="149"/>
      <c r="AM508" s="99"/>
      <c r="AN508" s="149">
        <v>0</v>
      </c>
      <c r="AO508" s="149">
        <v>1</v>
      </c>
      <c r="AP508" s="149">
        <v>0</v>
      </c>
      <c r="AQ508" s="149">
        <v>0</v>
      </c>
      <c r="AR508" s="149">
        <v>0</v>
      </c>
      <c r="AS508" s="149">
        <v>0</v>
      </c>
      <c r="AT508" s="149">
        <v>0</v>
      </c>
      <c r="AU508" s="149">
        <v>0</v>
      </c>
      <c r="AV508" s="149">
        <v>0</v>
      </c>
      <c r="AW508" s="149">
        <v>0</v>
      </c>
      <c r="AX508" s="149">
        <v>0</v>
      </c>
      <c r="AY508" s="149">
        <v>0</v>
      </c>
      <c r="AZ508" s="149">
        <v>0</v>
      </c>
      <c r="BA508" s="149">
        <v>0</v>
      </c>
      <c r="BB508" s="149">
        <v>0</v>
      </c>
      <c r="BC508" s="149">
        <v>1</v>
      </c>
      <c r="BD508" s="149">
        <v>0</v>
      </c>
      <c r="BE508" s="149">
        <v>0</v>
      </c>
      <c r="BF508" s="149">
        <v>0</v>
      </c>
      <c r="BG508" s="149">
        <v>0</v>
      </c>
      <c r="BH508" s="149">
        <v>0</v>
      </c>
      <c r="BI508" s="149">
        <v>0</v>
      </c>
      <c r="BJ508" s="149">
        <v>0</v>
      </c>
      <c r="BK508" s="149">
        <v>0</v>
      </c>
      <c r="BL508" s="149">
        <v>0</v>
      </c>
      <c r="BM508" s="149">
        <v>0</v>
      </c>
      <c r="BN508" s="149">
        <v>0</v>
      </c>
      <c r="BO508" s="149">
        <v>0</v>
      </c>
      <c r="BP508" s="152"/>
      <c r="BQ508" s="152"/>
      <c r="BR508" s="154" t="s">
        <v>359</v>
      </c>
      <c r="BS508" s="136">
        <v>7</v>
      </c>
      <c r="BT508" s="267"/>
      <c r="BU508" s="267"/>
      <c r="BV508" s="267">
        <f>M508/4</f>
        <v>0.25</v>
      </c>
      <c r="BW508" s="267">
        <f>M508/4</f>
        <v>0.25</v>
      </c>
      <c r="BX508" s="267">
        <f>M508/4</f>
        <v>0.25</v>
      </c>
      <c r="BY508" s="267">
        <f>M508/4</f>
        <v>0.25</v>
      </c>
      <c r="BZ508" s="267"/>
      <c r="CA508" s="267"/>
      <c r="CB508" s="267"/>
      <c r="CC508" s="267"/>
      <c r="CD508" s="267"/>
      <c r="CE508" s="267"/>
      <c r="CF508" s="267"/>
      <c r="CG508" s="267"/>
      <c r="CH508" s="267"/>
      <c r="CI508" s="267"/>
      <c r="CJ508" s="267"/>
      <c r="CK508" s="267"/>
      <c r="CL508" s="267"/>
      <c r="CM508" s="267"/>
      <c r="CN508" s="101">
        <f t="shared" si="41"/>
        <v>1</v>
      </c>
      <c r="CO508" s="101">
        <f t="shared" si="42"/>
        <v>1</v>
      </c>
    </row>
    <row r="509" spans="1:93" ht="13.9" customHeight="1" x14ac:dyDescent="0.2">
      <c r="A509" s="149">
        <v>3511</v>
      </c>
      <c r="B509" s="150" t="s">
        <v>1216</v>
      </c>
      <c r="C509" s="150" t="s">
        <v>1540</v>
      </c>
      <c r="D509" s="150" t="s">
        <v>598</v>
      </c>
      <c r="E509" s="150" t="s">
        <v>1541</v>
      </c>
      <c r="F509" s="149">
        <v>529369</v>
      </c>
      <c r="G509" s="149">
        <v>177317</v>
      </c>
      <c r="H509" s="150" t="s">
        <v>149</v>
      </c>
      <c r="I509" s="151"/>
      <c r="J509" s="151"/>
      <c r="K509" s="149">
        <v>0</v>
      </c>
      <c r="L509" s="149">
        <v>201</v>
      </c>
      <c r="M509" s="149">
        <v>201</v>
      </c>
      <c r="N509" s="149">
        <v>201</v>
      </c>
      <c r="O509" s="149">
        <v>201</v>
      </c>
      <c r="P509" s="152" t="s">
        <v>327</v>
      </c>
      <c r="Q509" s="150" t="s">
        <v>1542</v>
      </c>
      <c r="R509" s="150" t="s">
        <v>349</v>
      </c>
      <c r="S509" s="151">
        <v>44943</v>
      </c>
      <c r="T509" s="151">
        <v>44963</v>
      </c>
      <c r="U509" s="152"/>
      <c r="V509" s="150" t="s">
        <v>330</v>
      </c>
      <c r="W509" s="151"/>
      <c r="X509" s="150" t="s">
        <v>331</v>
      </c>
      <c r="Y509" s="150" t="s">
        <v>343</v>
      </c>
      <c r="Z509" s="150" t="s">
        <v>343</v>
      </c>
      <c r="AA509" s="150" t="s">
        <v>334</v>
      </c>
      <c r="AB509" s="153">
        <v>6.5383999999999998E-2</v>
      </c>
      <c r="AC509" s="151"/>
      <c r="AD509" s="150"/>
      <c r="AE509" s="151"/>
      <c r="AF509" s="150" t="s">
        <v>70</v>
      </c>
      <c r="AG509" s="152" t="s">
        <v>352</v>
      </c>
      <c r="AH509" s="150" t="s">
        <v>601</v>
      </c>
      <c r="AI509" s="99"/>
      <c r="AJ509" s="149"/>
      <c r="AK509" s="138">
        <v>181</v>
      </c>
      <c r="AL509" s="149"/>
      <c r="AM509" s="138">
        <v>20</v>
      </c>
      <c r="AN509" s="149">
        <v>34</v>
      </c>
      <c r="AO509" s="149">
        <v>70</v>
      </c>
      <c r="AP509" s="149">
        <v>87</v>
      </c>
      <c r="AQ509" s="149">
        <v>10</v>
      </c>
      <c r="AR509" s="149">
        <v>0</v>
      </c>
      <c r="AS509" s="149">
        <v>0</v>
      </c>
      <c r="AT509" s="149">
        <v>0</v>
      </c>
      <c r="AU509" s="149">
        <v>34</v>
      </c>
      <c r="AV509" s="149">
        <v>70</v>
      </c>
      <c r="AW509" s="149">
        <v>87</v>
      </c>
      <c r="AX509" s="149">
        <v>10</v>
      </c>
      <c r="AY509" s="149">
        <v>0</v>
      </c>
      <c r="AZ509" s="149">
        <v>0</v>
      </c>
      <c r="BA509" s="149">
        <v>0</v>
      </c>
      <c r="BB509" s="149">
        <v>0</v>
      </c>
      <c r="BC509" s="149">
        <v>0</v>
      </c>
      <c r="BD509" s="149">
        <v>0</v>
      </c>
      <c r="BE509" s="149">
        <v>0</v>
      </c>
      <c r="BF509" s="149">
        <v>0</v>
      </c>
      <c r="BG509" s="149">
        <v>0</v>
      </c>
      <c r="BH509" s="149">
        <v>0</v>
      </c>
      <c r="BI509" s="149">
        <v>0</v>
      </c>
      <c r="BJ509" s="149">
        <v>0</v>
      </c>
      <c r="BK509" s="149">
        <v>0</v>
      </c>
      <c r="BL509" s="149">
        <v>0</v>
      </c>
      <c r="BM509" s="149">
        <v>0</v>
      </c>
      <c r="BN509" s="149">
        <v>0</v>
      </c>
      <c r="BO509" s="149">
        <v>0</v>
      </c>
      <c r="BP509" s="152"/>
      <c r="BQ509" s="152" t="s">
        <v>327</v>
      </c>
      <c r="BR509" s="154" t="s">
        <v>149</v>
      </c>
      <c r="BS509" s="136">
        <v>8</v>
      </c>
      <c r="BT509" s="267"/>
      <c r="BU509" s="267"/>
      <c r="BV509" s="267"/>
      <c r="BW509" s="267">
        <f>M509</f>
        <v>201</v>
      </c>
      <c r="BX509" s="267"/>
      <c r="BY509" s="267"/>
      <c r="BZ509" s="267"/>
      <c r="CA509" s="267"/>
      <c r="CB509" s="267"/>
      <c r="CC509" s="267"/>
      <c r="CD509" s="267"/>
      <c r="CE509" s="267"/>
      <c r="CF509" s="267"/>
      <c r="CG509" s="267"/>
      <c r="CH509" s="267"/>
      <c r="CI509" s="267"/>
      <c r="CJ509" s="267"/>
      <c r="CK509" s="267"/>
      <c r="CL509" s="267"/>
      <c r="CM509" s="267"/>
      <c r="CN509" s="101">
        <f t="shared" si="41"/>
        <v>201</v>
      </c>
      <c r="CO509" s="101">
        <f t="shared" si="42"/>
        <v>201</v>
      </c>
    </row>
    <row r="510" spans="1:93" ht="13.9" customHeight="1" x14ac:dyDescent="0.2">
      <c r="A510" s="149">
        <v>3518</v>
      </c>
      <c r="B510" s="150" t="s">
        <v>1216</v>
      </c>
      <c r="C510" s="150" t="s">
        <v>1543</v>
      </c>
      <c r="D510" s="150" t="s">
        <v>1544</v>
      </c>
      <c r="E510" s="150" t="s">
        <v>1545</v>
      </c>
      <c r="F510" s="149">
        <v>525666</v>
      </c>
      <c r="G510" s="149">
        <v>174804</v>
      </c>
      <c r="H510" s="150" t="s">
        <v>177</v>
      </c>
      <c r="I510" s="151">
        <v>42095</v>
      </c>
      <c r="J510" s="151"/>
      <c r="K510" s="149">
        <v>0</v>
      </c>
      <c r="L510" s="149">
        <v>30</v>
      </c>
      <c r="M510" s="149">
        <v>30</v>
      </c>
      <c r="N510" s="149">
        <v>663</v>
      </c>
      <c r="O510" s="149">
        <v>662</v>
      </c>
      <c r="P510" s="152" t="s">
        <v>327</v>
      </c>
      <c r="Q510" s="150" t="s">
        <v>1546</v>
      </c>
      <c r="R510" s="150" t="s">
        <v>1467</v>
      </c>
      <c r="S510" s="151">
        <v>41234</v>
      </c>
      <c r="T510" s="151">
        <v>41614</v>
      </c>
      <c r="U510" s="152"/>
      <c r="V510" s="150" t="s">
        <v>330</v>
      </c>
      <c r="W510" s="151"/>
      <c r="X510" s="150" t="s">
        <v>331</v>
      </c>
      <c r="Y510" s="150" t="s">
        <v>343</v>
      </c>
      <c r="Z510" s="150" t="s">
        <v>343</v>
      </c>
      <c r="AA510" s="150" t="s">
        <v>334</v>
      </c>
      <c r="AB510" s="153">
        <v>4.7699999999999999E-2</v>
      </c>
      <c r="AC510" s="151"/>
      <c r="AD510" s="150"/>
      <c r="AE510" s="151"/>
      <c r="AF510" s="150" t="s">
        <v>70</v>
      </c>
      <c r="AG510" s="152" t="s">
        <v>352</v>
      </c>
      <c r="AH510" s="150" t="s">
        <v>1547</v>
      </c>
      <c r="AI510" s="99"/>
      <c r="AJ510" s="149"/>
      <c r="AK510" s="102"/>
      <c r="AL510" s="149">
        <v>5</v>
      </c>
      <c r="AM510" s="102"/>
      <c r="AN510" s="149">
        <v>0</v>
      </c>
      <c r="AO510" s="149">
        <v>15</v>
      </c>
      <c r="AP510" s="149">
        <v>5</v>
      </c>
      <c r="AQ510" s="149">
        <v>10</v>
      </c>
      <c r="AR510" s="149">
        <v>0</v>
      </c>
      <c r="AS510" s="149">
        <v>0</v>
      </c>
      <c r="AT510" s="149">
        <v>0</v>
      </c>
      <c r="AU510" s="149">
        <v>0</v>
      </c>
      <c r="AV510" s="149">
        <v>15</v>
      </c>
      <c r="AW510" s="149">
        <v>5</v>
      </c>
      <c r="AX510" s="149">
        <v>10</v>
      </c>
      <c r="AY510" s="149">
        <v>0</v>
      </c>
      <c r="AZ510" s="149">
        <v>0</v>
      </c>
      <c r="BA510" s="149">
        <v>0</v>
      </c>
      <c r="BB510" s="149">
        <v>0</v>
      </c>
      <c r="BC510" s="149">
        <v>0</v>
      </c>
      <c r="BD510" s="149">
        <v>0</v>
      </c>
      <c r="BE510" s="149">
        <v>0</v>
      </c>
      <c r="BF510" s="149">
        <v>0</v>
      </c>
      <c r="BG510" s="149">
        <v>0</v>
      </c>
      <c r="BH510" s="149">
        <v>0</v>
      </c>
      <c r="BI510" s="149">
        <v>0</v>
      </c>
      <c r="BJ510" s="149">
        <v>0</v>
      </c>
      <c r="BK510" s="149">
        <v>0</v>
      </c>
      <c r="BL510" s="149">
        <v>0</v>
      </c>
      <c r="BM510" s="149">
        <v>0</v>
      </c>
      <c r="BN510" s="149">
        <v>0</v>
      </c>
      <c r="BO510" s="149">
        <v>0</v>
      </c>
      <c r="BP510" s="152" t="s">
        <v>143</v>
      </c>
      <c r="BQ510" s="152"/>
      <c r="BR510" s="154" t="s">
        <v>463</v>
      </c>
      <c r="BS510" s="136">
        <v>8</v>
      </c>
      <c r="BT510" s="267"/>
      <c r="BU510" s="267"/>
      <c r="BV510" s="267"/>
      <c r="BW510" s="267"/>
      <c r="BX510" s="267"/>
      <c r="BY510" s="267">
        <f>M510</f>
        <v>30</v>
      </c>
      <c r="BZ510" s="267"/>
      <c r="CA510" s="267"/>
      <c r="CB510" s="267"/>
      <c r="CC510" s="267"/>
      <c r="CD510" s="267"/>
      <c r="CE510" s="267"/>
      <c r="CF510" s="267"/>
      <c r="CG510" s="267"/>
      <c r="CH510" s="267"/>
      <c r="CI510" s="267"/>
      <c r="CJ510" s="267"/>
      <c r="CK510" s="267"/>
      <c r="CL510" s="267"/>
      <c r="CM510" s="267"/>
      <c r="CN510" s="101">
        <f t="shared" si="41"/>
        <v>30</v>
      </c>
      <c r="CO510" s="101">
        <f t="shared" si="42"/>
        <v>30</v>
      </c>
    </row>
    <row r="511" spans="1:93" ht="13.9" customHeight="1" x14ac:dyDescent="0.2">
      <c r="A511" s="149">
        <v>3518</v>
      </c>
      <c r="B511" s="150" t="s">
        <v>1216</v>
      </c>
      <c r="C511" s="150" t="s">
        <v>1543</v>
      </c>
      <c r="D511" s="150" t="s">
        <v>1544</v>
      </c>
      <c r="E511" s="150" t="s">
        <v>1548</v>
      </c>
      <c r="F511" s="149">
        <v>525666</v>
      </c>
      <c r="G511" s="149">
        <v>174804</v>
      </c>
      <c r="H511" s="150" t="s">
        <v>177</v>
      </c>
      <c r="I511" s="151">
        <v>42095</v>
      </c>
      <c r="J511" s="151"/>
      <c r="K511" s="149">
        <v>0</v>
      </c>
      <c r="L511" s="149">
        <v>24</v>
      </c>
      <c r="M511" s="149">
        <v>24</v>
      </c>
      <c r="N511" s="149">
        <v>663</v>
      </c>
      <c r="O511" s="149">
        <v>662</v>
      </c>
      <c r="P511" s="152" t="s">
        <v>327</v>
      </c>
      <c r="Q511" s="150" t="s">
        <v>1546</v>
      </c>
      <c r="R511" s="150" t="s">
        <v>1467</v>
      </c>
      <c r="S511" s="151">
        <v>41234</v>
      </c>
      <c r="T511" s="151">
        <v>41614</v>
      </c>
      <c r="U511" s="152"/>
      <c r="V511" s="150" t="s">
        <v>330</v>
      </c>
      <c r="W511" s="151"/>
      <c r="X511" s="150" t="s">
        <v>331</v>
      </c>
      <c r="Y511" s="150" t="s">
        <v>343</v>
      </c>
      <c r="Z511" s="150" t="s">
        <v>343</v>
      </c>
      <c r="AA511" s="150" t="s">
        <v>334</v>
      </c>
      <c r="AB511" s="153">
        <v>4.0300000000000002E-2</v>
      </c>
      <c r="AC511" s="151"/>
      <c r="AD511" s="150"/>
      <c r="AE511" s="151"/>
      <c r="AF511" s="150" t="s">
        <v>70</v>
      </c>
      <c r="AG511" s="152" t="s">
        <v>352</v>
      </c>
      <c r="AH511" s="150" t="s">
        <v>1547</v>
      </c>
      <c r="AI511" s="99"/>
      <c r="AJ511" s="149"/>
      <c r="AK511" s="102"/>
      <c r="AL511" s="149">
        <v>5</v>
      </c>
      <c r="AM511" s="102"/>
      <c r="AN511" s="149">
        <v>0</v>
      </c>
      <c r="AO511" s="149">
        <v>1</v>
      </c>
      <c r="AP511" s="149">
        <v>19</v>
      </c>
      <c r="AQ511" s="149">
        <v>4</v>
      </c>
      <c r="AR511" s="149">
        <v>0</v>
      </c>
      <c r="AS511" s="149">
        <v>0</v>
      </c>
      <c r="AT511" s="149">
        <v>0</v>
      </c>
      <c r="AU511" s="149">
        <v>0</v>
      </c>
      <c r="AV511" s="149">
        <v>1</v>
      </c>
      <c r="AW511" s="149">
        <v>19</v>
      </c>
      <c r="AX511" s="149">
        <v>4</v>
      </c>
      <c r="AY511" s="149">
        <v>0</v>
      </c>
      <c r="AZ511" s="149">
        <v>0</v>
      </c>
      <c r="BA511" s="149">
        <v>0</v>
      </c>
      <c r="BB511" s="149">
        <v>0</v>
      </c>
      <c r="BC511" s="149">
        <v>0</v>
      </c>
      <c r="BD511" s="149">
        <v>0</v>
      </c>
      <c r="BE511" s="149">
        <v>0</v>
      </c>
      <c r="BF511" s="149">
        <v>0</v>
      </c>
      <c r="BG511" s="149">
        <v>0</v>
      </c>
      <c r="BH511" s="149">
        <v>0</v>
      </c>
      <c r="BI511" s="149">
        <v>0</v>
      </c>
      <c r="BJ511" s="149">
        <v>0</v>
      </c>
      <c r="BK511" s="149">
        <v>0</v>
      </c>
      <c r="BL511" s="149">
        <v>0</v>
      </c>
      <c r="BM511" s="149">
        <v>0</v>
      </c>
      <c r="BN511" s="149">
        <v>0</v>
      </c>
      <c r="BO511" s="149">
        <v>0</v>
      </c>
      <c r="BP511" s="152" t="s">
        <v>143</v>
      </c>
      <c r="BQ511" s="152"/>
      <c r="BR511" s="154" t="s">
        <v>463</v>
      </c>
      <c r="BS511" s="136">
        <v>8</v>
      </c>
      <c r="BT511" s="267"/>
      <c r="BU511" s="267"/>
      <c r="BV511" s="267"/>
      <c r="BW511" s="267"/>
      <c r="BX511" s="267"/>
      <c r="BY511" s="267">
        <f>M511</f>
        <v>24</v>
      </c>
      <c r="BZ511" s="267"/>
      <c r="CA511" s="267"/>
      <c r="CB511" s="267"/>
      <c r="CC511" s="267"/>
      <c r="CD511" s="267"/>
      <c r="CE511" s="267"/>
      <c r="CF511" s="267"/>
      <c r="CG511" s="267"/>
      <c r="CH511" s="267"/>
      <c r="CI511" s="267"/>
      <c r="CJ511" s="267"/>
      <c r="CK511" s="267"/>
      <c r="CL511" s="267"/>
      <c r="CM511" s="267"/>
      <c r="CN511" s="101">
        <f t="shared" si="41"/>
        <v>24</v>
      </c>
      <c r="CO511" s="101">
        <f t="shared" si="42"/>
        <v>24</v>
      </c>
    </row>
    <row r="512" spans="1:93" ht="13.9" customHeight="1" x14ac:dyDescent="0.2">
      <c r="A512" s="149">
        <v>3518</v>
      </c>
      <c r="B512" s="150" t="s">
        <v>1216</v>
      </c>
      <c r="C512" s="150" t="s">
        <v>1543</v>
      </c>
      <c r="D512" s="150" t="s">
        <v>1544</v>
      </c>
      <c r="E512" s="150" t="s">
        <v>1549</v>
      </c>
      <c r="F512" s="149">
        <v>525666</v>
      </c>
      <c r="G512" s="149">
        <v>174804</v>
      </c>
      <c r="H512" s="150" t="s">
        <v>177</v>
      </c>
      <c r="I512" s="151">
        <v>42095</v>
      </c>
      <c r="J512" s="151"/>
      <c r="K512" s="149">
        <v>0</v>
      </c>
      <c r="L512" s="149">
        <v>23</v>
      </c>
      <c r="M512" s="149">
        <v>23</v>
      </c>
      <c r="N512" s="149">
        <v>663</v>
      </c>
      <c r="O512" s="149">
        <v>662</v>
      </c>
      <c r="P512" s="152" t="s">
        <v>327</v>
      </c>
      <c r="Q512" s="150" t="s">
        <v>1546</v>
      </c>
      <c r="R512" s="150" t="s">
        <v>1467</v>
      </c>
      <c r="S512" s="151">
        <v>41234</v>
      </c>
      <c r="T512" s="151">
        <v>41614</v>
      </c>
      <c r="U512" s="152"/>
      <c r="V512" s="150" t="s">
        <v>330</v>
      </c>
      <c r="W512" s="151"/>
      <c r="X512" s="150" t="s">
        <v>331</v>
      </c>
      <c r="Y512" s="150" t="s">
        <v>343</v>
      </c>
      <c r="Z512" s="150" t="s">
        <v>343</v>
      </c>
      <c r="AA512" s="150" t="s">
        <v>334</v>
      </c>
      <c r="AB512" s="153">
        <v>3.0200000000000001E-2</v>
      </c>
      <c r="AC512" s="151"/>
      <c r="AD512" s="150"/>
      <c r="AE512" s="151"/>
      <c r="AF512" s="150" t="s">
        <v>70</v>
      </c>
      <c r="AG512" s="152" t="s">
        <v>352</v>
      </c>
      <c r="AH512" s="150" t="s">
        <v>1547</v>
      </c>
      <c r="AI512" s="99"/>
      <c r="AJ512" s="149"/>
      <c r="AK512" s="102"/>
      <c r="AL512" s="149">
        <v>1</v>
      </c>
      <c r="AM512" s="102"/>
      <c r="AN512" s="149">
        <v>0</v>
      </c>
      <c r="AO512" s="149">
        <v>10</v>
      </c>
      <c r="AP512" s="149">
        <v>7</v>
      </c>
      <c r="AQ512" s="149">
        <v>4</v>
      </c>
      <c r="AR512" s="149">
        <v>2</v>
      </c>
      <c r="AS512" s="149">
        <v>0</v>
      </c>
      <c r="AT512" s="149">
        <v>0</v>
      </c>
      <c r="AU512" s="149">
        <v>0</v>
      </c>
      <c r="AV512" s="149">
        <v>10</v>
      </c>
      <c r="AW512" s="149">
        <v>7</v>
      </c>
      <c r="AX512" s="149">
        <v>4</v>
      </c>
      <c r="AY512" s="149">
        <v>2</v>
      </c>
      <c r="AZ512" s="149">
        <v>0</v>
      </c>
      <c r="BA512" s="149">
        <v>0</v>
      </c>
      <c r="BB512" s="149">
        <v>0</v>
      </c>
      <c r="BC512" s="149">
        <v>0</v>
      </c>
      <c r="BD512" s="149">
        <v>0</v>
      </c>
      <c r="BE512" s="149">
        <v>0</v>
      </c>
      <c r="BF512" s="149">
        <v>0</v>
      </c>
      <c r="BG512" s="149">
        <v>0</v>
      </c>
      <c r="BH512" s="149">
        <v>0</v>
      </c>
      <c r="BI512" s="149">
        <v>0</v>
      </c>
      <c r="BJ512" s="149">
        <v>0</v>
      </c>
      <c r="BK512" s="149">
        <v>0</v>
      </c>
      <c r="BL512" s="149">
        <v>0</v>
      </c>
      <c r="BM512" s="149">
        <v>0</v>
      </c>
      <c r="BN512" s="149">
        <v>0</v>
      </c>
      <c r="BO512" s="149">
        <v>0</v>
      </c>
      <c r="BP512" s="152" t="s">
        <v>143</v>
      </c>
      <c r="BQ512" s="152"/>
      <c r="BR512" s="154" t="s">
        <v>463</v>
      </c>
      <c r="BS512" s="136">
        <v>8</v>
      </c>
      <c r="BT512" s="267"/>
      <c r="BU512" s="267"/>
      <c r="BV512" s="267"/>
      <c r="BW512" s="267"/>
      <c r="BX512" s="267"/>
      <c r="BY512" s="267">
        <f>M512</f>
        <v>23</v>
      </c>
      <c r="BZ512" s="267"/>
      <c r="CA512" s="267"/>
      <c r="CB512" s="267"/>
      <c r="CC512" s="267"/>
      <c r="CD512" s="267"/>
      <c r="CE512" s="267"/>
      <c r="CF512" s="267"/>
      <c r="CG512" s="267"/>
      <c r="CH512" s="267"/>
      <c r="CI512" s="267"/>
      <c r="CJ512" s="267"/>
      <c r="CK512" s="267"/>
      <c r="CL512" s="267"/>
      <c r="CM512" s="267"/>
      <c r="CN512" s="101">
        <f t="shared" si="41"/>
        <v>23</v>
      </c>
      <c r="CO512" s="101">
        <f t="shared" si="42"/>
        <v>23</v>
      </c>
    </row>
    <row r="513" spans="1:93" ht="13.9" customHeight="1" x14ac:dyDescent="0.2">
      <c r="A513" s="149">
        <v>3518</v>
      </c>
      <c r="B513" s="150" t="s">
        <v>1216</v>
      </c>
      <c r="C513" s="150" t="s">
        <v>1543</v>
      </c>
      <c r="D513" s="150" t="s">
        <v>1544</v>
      </c>
      <c r="E513" s="150" t="s">
        <v>1550</v>
      </c>
      <c r="F513" s="149">
        <v>525666</v>
      </c>
      <c r="G513" s="149">
        <v>174804</v>
      </c>
      <c r="H513" s="150" t="s">
        <v>177</v>
      </c>
      <c r="I513" s="151">
        <v>42095</v>
      </c>
      <c r="J513" s="151"/>
      <c r="K513" s="149">
        <v>0</v>
      </c>
      <c r="L513" s="149">
        <v>16</v>
      </c>
      <c r="M513" s="149">
        <v>16</v>
      </c>
      <c r="N513" s="149">
        <v>663</v>
      </c>
      <c r="O513" s="149">
        <v>662</v>
      </c>
      <c r="P513" s="152" t="s">
        <v>327</v>
      </c>
      <c r="Q513" s="150" t="s">
        <v>1546</v>
      </c>
      <c r="R513" s="150" t="s">
        <v>1467</v>
      </c>
      <c r="S513" s="151">
        <v>41234</v>
      </c>
      <c r="T513" s="151">
        <v>41614</v>
      </c>
      <c r="U513" s="152"/>
      <c r="V513" s="150" t="s">
        <v>330</v>
      </c>
      <c r="W513" s="151"/>
      <c r="X513" s="150" t="s">
        <v>331</v>
      </c>
      <c r="Y513" s="150" t="s">
        <v>343</v>
      </c>
      <c r="Z513" s="150" t="s">
        <v>343</v>
      </c>
      <c r="AA513" s="150" t="s">
        <v>334</v>
      </c>
      <c r="AB513" s="153">
        <v>2.5899999999999999E-2</v>
      </c>
      <c r="AC513" s="151"/>
      <c r="AD513" s="150"/>
      <c r="AE513" s="151"/>
      <c r="AF513" s="150" t="s">
        <v>70</v>
      </c>
      <c r="AG513" s="152" t="s">
        <v>352</v>
      </c>
      <c r="AH513" s="150" t="s">
        <v>1547</v>
      </c>
      <c r="AI513" s="99"/>
      <c r="AJ513" s="149"/>
      <c r="AK513" s="99"/>
      <c r="AL513" s="149"/>
      <c r="AM513" s="99"/>
      <c r="AN513" s="149">
        <v>0</v>
      </c>
      <c r="AO513" s="149">
        <v>10</v>
      </c>
      <c r="AP513" s="149">
        <v>6</v>
      </c>
      <c r="AQ513" s="149">
        <v>0</v>
      </c>
      <c r="AR513" s="149">
        <v>0</v>
      </c>
      <c r="AS513" s="149">
        <v>0</v>
      </c>
      <c r="AT513" s="149">
        <v>0</v>
      </c>
      <c r="AU513" s="149">
        <v>0</v>
      </c>
      <c r="AV513" s="149">
        <v>10</v>
      </c>
      <c r="AW513" s="149">
        <v>6</v>
      </c>
      <c r="AX513" s="149">
        <v>0</v>
      </c>
      <c r="AY513" s="149">
        <v>0</v>
      </c>
      <c r="AZ513" s="149">
        <v>0</v>
      </c>
      <c r="BA513" s="149">
        <v>0</v>
      </c>
      <c r="BB513" s="149">
        <v>0</v>
      </c>
      <c r="BC513" s="149">
        <v>0</v>
      </c>
      <c r="BD513" s="149">
        <v>0</v>
      </c>
      <c r="BE513" s="149">
        <v>0</v>
      </c>
      <c r="BF513" s="149">
        <v>0</v>
      </c>
      <c r="BG513" s="149">
        <v>0</v>
      </c>
      <c r="BH513" s="149">
        <v>0</v>
      </c>
      <c r="BI513" s="149">
        <v>0</v>
      </c>
      <c r="BJ513" s="149">
        <v>0</v>
      </c>
      <c r="BK513" s="149">
        <v>0</v>
      </c>
      <c r="BL513" s="149">
        <v>0</v>
      </c>
      <c r="BM513" s="149">
        <v>0</v>
      </c>
      <c r="BN513" s="149">
        <v>0</v>
      </c>
      <c r="BO513" s="149">
        <v>0</v>
      </c>
      <c r="BP513" s="152" t="s">
        <v>143</v>
      </c>
      <c r="BQ513" s="152"/>
      <c r="BR513" s="154" t="s">
        <v>463</v>
      </c>
      <c r="BS513" s="136">
        <v>8</v>
      </c>
      <c r="BT513" s="267"/>
      <c r="BU513" s="267"/>
      <c r="BV513" s="267"/>
      <c r="BW513" s="267"/>
      <c r="BX513" s="267"/>
      <c r="BY513" s="267">
        <f>M513</f>
        <v>16</v>
      </c>
      <c r="BZ513" s="267"/>
      <c r="CA513" s="267"/>
      <c r="CB513" s="267"/>
      <c r="CC513" s="267"/>
      <c r="CD513" s="267"/>
      <c r="CE513" s="267"/>
      <c r="CF513" s="267"/>
      <c r="CG513" s="267"/>
      <c r="CH513" s="267"/>
      <c r="CI513" s="267"/>
      <c r="CJ513" s="267"/>
      <c r="CK513" s="267"/>
      <c r="CL513" s="267"/>
      <c r="CM513" s="267"/>
      <c r="CN513" s="101">
        <f t="shared" si="41"/>
        <v>16</v>
      </c>
      <c r="CO513" s="101">
        <f t="shared" si="42"/>
        <v>16</v>
      </c>
    </row>
    <row r="514" spans="1:93" ht="13.9" customHeight="1" x14ac:dyDescent="0.2">
      <c r="A514" s="149">
        <v>7101</v>
      </c>
      <c r="B514" s="150" t="s">
        <v>1216</v>
      </c>
      <c r="C514" s="150" t="s">
        <v>1551</v>
      </c>
      <c r="D514" s="150" t="s">
        <v>1383</v>
      </c>
      <c r="E514" s="150" t="s">
        <v>1552</v>
      </c>
      <c r="F514" s="149">
        <v>526922</v>
      </c>
      <c r="G514" s="149">
        <v>175807</v>
      </c>
      <c r="H514" s="150" t="s">
        <v>162</v>
      </c>
      <c r="I514" s="151">
        <v>44609</v>
      </c>
      <c r="J514" s="151"/>
      <c r="K514" s="149">
        <v>0</v>
      </c>
      <c r="L514" s="149">
        <v>150</v>
      </c>
      <c r="M514" s="149">
        <v>150</v>
      </c>
      <c r="N514" s="149">
        <v>2550</v>
      </c>
      <c r="O514" s="149">
        <v>1791</v>
      </c>
      <c r="P514" s="152" t="s">
        <v>327</v>
      </c>
      <c r="Q514" s="150" t="s">
        <v>1553</v>
      </c>
      <c r="R514" s="150" t="s">
        <v>329</v>
      </c>
      <c r="S514" s="151">
        <v>43483</v>
      </c>
      <c r="T514" s="151">
        <v>44225</v>
      </c>
      <c r="U514" s="152"/>
      <c r="V514" s="150" t="s">
        <v>330</v>
      </c>
      <c r="W514" s="151"/>
      <c r="X514" s="150" t="s">
        <v>331</v>
      </c>
      <c r="Y514" s="150" t="s">
        <v>343</v>
      </c>
      <c r="Z514" s="150" t="s">
        <v>343</v>
      </c>
      <c r="AA514" s="150" t="s">
        <v>334</v>
      </c>
      <c r="AB514" s="153">
        <v>0.23</v>
      </c>
      <c r="AC514" s="151"/>
      <c r="AD514" s="150"/>
      <c r="AE514" s="151"/>
      <c r="AF514" s="150" t="s">
        <v>70</v>
      </c>
      <c r="AG514" s="152" t="s">
        <v>352</v>
      </c>
      <c r="AH514" s="150" t="s">
        <v>326</v>
      </c>
      <c r="AI514" s="99"/>
      <c r="AJ514" s="149"/>
      <c r="AK514" s="149">
        <v>135</v>
      </c>
      <c r="AL514" s="149"/>
      <c r="AM514" s="149">
        <v>15</v>
      </c>
      <c r="AN514" s="149">
        <v>0</v>
      </c>
      <c r="AO514" s="149">
        <v>60</v>
      </c>
      <c r="AP514" s="149">
        <v>61</v>
      </c>
      <c r="AQ514" s="149">
        <v>29</v>
      </c>
      <c r="AR514" s="149">
        <v>0</v>
      </c>
      <c r="AS514" s="149">
        <v>0</v>
      </c>
      <c r="AT514" s="149">
        <v>0</v>
      </c>
      <c r="AU514" s="149">
        <v>0</v>
      </c>
      <c r="AV514" s="149">
        <v>60</v>
      </c>
      <c r="AW514" s="149">
        <v>61</v>
      </c>
      <c r="AX514" s="149">
        <v>29</v>
      </c>
      <c r="AY514" s="149">
        <v>0</v>
      </c>
      <c r="AZ514" s="149">
        <v>0</v>
      </c>
      <c r="BA514" s="149">
        <v>0</v>
      </c>
      <c r="BB514" s="149">
        <v>0</v>
      </c>
      <c r="BC514" s="149">
        <v>0</v>
      </c>
      <c r="BD514" s="149">
        <v>0</v>
      </c>
      <c r="BE514" s="149">
        <v>0</v>
      </c>
      <c r="BF514" s="149">
        <v>0</v>
      </c>
      <c r="BG514" s="149">
        <v>0</v>
      </c>
      <c r="BH514" s="149">
        <v>0</v>
      </c>
      <c r="BI514" s="149">
        <v>0</v>
      </c>
      <c r="BJ514" s="149">
        <v>0</v>
      </c>
      <c r="BK514" s="149">
        <v>0</v>
      </c>
      <c r="BL514" s="149">
        <v>0</v>
      </c>
      <c r="BM514" s="149">
        <v>0</v>
      </c>
      <c r="BN514" s="149">
        <v>0</v>
      </c>
      <c r="BO514" s="149">
        <v>0</v>
      </c>
      <c r="BP514" s="152"/>
      <c r="BQ514" s="152"/>
      <c r="BR514" s="154" t="s">
        <v>148</v>
      </c>
      <c r="BS514" s="136">
        <v>10</v>
      </c>
      <c r="BT514" s="267"/>
      <c r="BU514" s="267"/>
      <c r="BV514" s="267"/>
      <c r="BW514" s="267"/>
      <c r="BX514" s="267">
        <f t="shared" ref="BX514:BX525" si="43">M514/3</f>
        <v>50</v>
      </c>
      <c r="BY514" s="267">
        <f t="shared" ref="BY514:BY525" si="44">M514/3</f>
        <v>50</v>
      </c>
      <c r="BZ514" s="267">
        <f t="shared" ref="BZ514:BZ525" si="45">M514/3</f>
        <v>50</v>
      </c>
      <c r="CA514" s="267"/>
      <c r="CB514" s="267"/>
      <c r="CC514" s="267"/>
      <c r="CD514" s="267"/>
      <c r="CE514" s="267"/>
      <c r="CF514" s="267"/>
      <c r="CG514" s="267"/>
      <c r="CH514" s="267"/>
      <c r="CI514" s="267"/>
      <c r="CJ514" s="267"/>
      <c r="CK514" s="267"/>
      <c r="CL514" s="267"/>
      <c r="CM514" s="267"/>
      <c r="CN514" s="101">
        <f t="shared" si="41"/>
        <v>100</v>
      </c>
      <c r="CO514" s="101">
        <f t="shared" si="42"/>
        <v>150</v>
      </c>
    </row>
    <row r="515" spans="1:93" ht="13.9" customHeight="1" x14ac:dyDescent="0.2">
      <c r="A515" s="149">
        <v>7101</v>
      </c>
      <c r="B515" s="150" t="s">
        <v>1216</v>
      </c>
      <c r="C515" s="150" t="s">
        <v>1551</v>
      </c>
      <c r="D515" s="150" t="s">
        <v>1383</v>
      </c>
      <c r="E515" s="150" t="s">
        <v>1554</v>
      </c>
      <c r="F515" s="149">
        <v>526922</v>
      </c>
      <c r="G515" s="149">
        <v>175807</v>
      </c>
      <c r="H515" s="150" t="s">
        <v>162</v>
      </c>
      <c r="I515" s="151">
        <v>44609</v>
      </c>
      <c r="J515" s="151"/>
      <c r="K515" s="149">
        <v>0</v>
      </c>
      <c r="L515" s="149">
        <v>89</v>
      </c>
      <c r="M515" s="149">
        <v>89</v>
      </c>
      <c r="N515" s="149">
        <v>2550</v>
      </c>
      <c r="O515" s="149">
        <v>1791</v>
      </c>
      <c r="P515" s="152" t="s">
        <v>327</v>
      </c>
      <c r="Q515" s="150" t="s">
        <v>1553</v>
      </c>
      <c r="R515" s="150" t="s">
        <v>329</v>
      </c>
      <c r="S515" s="151">
        <v>43483</v>
      </c>
      <c r="T515" s="151">
        <v>44225</v>
      </c>
      <c r="U515" s="152"/>
      <c r="V515" s="150" t="s">
        <v>330</v>
      </c>
      <c r="W515" s="151"/>
      <c r="X515" s="150" t="s">
        <v>331</v>
      </c>
      <c r="Y515" s="150" t="s">
        <v>343</v>
      </c>
      <c r="Z515" s="150" t="s">
        <v>343</v>
      </c>
      <c r="AA515" s="150" t="s">
        <v>334</v>
      </c>
      <c r="AB515" s="153">
        <v>0.13700000000000001</v>
      </c>
      <c r="AC515" s="151"/>
      <c r="AD515" s="150"/>
      <c r="AE515" s="151"/>
      <c r="AF515" s="150" t="s">
        <v>70</v>
      </c>
      <c r="AG515" s="152" t="s">
        <v>352</v>
      </c>
      <c r="AH515" s="150" t="s">
        <v>326</v>
      </c>
      <c r="AI515" s="99"/>
      <c r="AJ515" s="149"/>
      <c r="AK515" s="149">
        <v>80</v>
      </c>
      <c r="AL515" s="149"/>
      <c r="AM515" s="149">
        <v>9</v>
      </c>
      <c r="AN515" s="149">
        <v>7</v>
      </c>
      <c r="AO515" s="149">
        <v>30</v>
      </c>
      <c r="AP515" s="149">
        <v>34</v>
      </c>
      <c r="AQ515" s="149">
        <v>18</v>
      </c>
      <c r="AR515" s="149">
        <v>0</v>
      </c>
      <c r="AS515" s="149">
        <v>0</v>
      </c>
      <c r="AT515" s="149">
        <v>0</v>
      </c>
      <c r="AU515" s="149">
        <v>7</v>
      </c>
      <c r="AV515" s="149">
        <v>30</v>
      </c>
      <c r="AW515" s="149">
        <v>34</v>
      </c>
      <c r="AX515" s="149">
        <v>18</v>
      </c>
      <c r="AY515" s="149">
        <v>0</v>
      </c>
      <c r="AZ515" s="149">
        <v>0</v>
      </c>
      <c r="BA515" s="149">
        <v>0</v>
      </c>
      <c r="BB515" s="149">
        <v>0</v>
      </c>
      <c r="BC515" s="149">
        <v>0</v>
      </c>
      <c r="BD515" s="149">
        <v>0</v>
      </c>
      <c r="BE515" s="149">
        <v>0</v>
      </c>
      <c r="BF515" s="149">
        <v>0</v>
      </c>
      <c r="BG515" s="149">
        <v>0</v>
      </c>
      <c r="BH515" s="149">
        <v>0</v>
      </c>
      <c r="BI515" s="149">
        <v>0</v>
      </c>
      <c r="BJ515" s="149">
        <v>0</v>
      </c>
      <c r="BK515" s="149">
        <v>0</v>
      </c>
      <c r="BL515" s="149">
        <v>0</v>
      </c>
      <c r="BM515" s="149">
        <v>0</v>
      </c>
      <c r="BN515" s="149">
        <v>0</v>
      </c>
      <c r="BO515" s="149">
        <v>0</v>
      </c>
      <c r="BP515" s="152"/>
      <c r="BQ515" s="152"/>
      <c r="BR515" s="154" t="s">
        <v>148</v>
      </c>
      <c r="BS515" s="136">
        <v>10</v>
      </c>
      <c r="BT515" s="267"/>
      <c r="BU515" s="267"/>
      <c r="BV515" s="267"/>
      <c r="BW515" s="267"/>
      <c r="BX515" s="267">
        <f t="shared" si="43"/>
        <v>29.666666666666668</v>
      </c>
      <c r="BY515" s="267">
        <f t="shared" si="44"/>
        <v>29.666666666666668</v>
      </c>
      <c r="BZ515" s="267">
        <f t="shared" si="45"/>
        <v>29.666666666666668</v>
      </c>
      <c r="CA515" s="267"/>
      <c r="CB515" s="267"/>
      <c r="CC515" s="267"/>
      <c r="CD515" s="267"/>
      <c r="CE515" s="267"/>
      <c r="CF515" s="267"/>
      <c r="CG515" s="267"/>
      <c r="CH515" s="267"/>
      <c r="CI515" s="267"/>
      <c r="CJ515" s="267"/>
      <c r="CK515" s="267"/>
      <c r="CL515" s="267"/>
      <c r="CM515" s="267"/>
      <c r="CN515" s="101">
        <f t="shared" si="41"/>
        <v>59.333333333333336</v>
      </c>
      <c r="CO515" s="101">
        <f t="shared" si="42"/>
        <v>89</v>
      </c>
    </row>
    <row r="516" spans="1:93" ht="13.9" customHeight="1" x14ac:dyDescent="0.2">
      <c r="A516" s="149">
        <v>7101</v>
      </c>
      <c r="B516" s="150" t="s">
        <v>1216</v>
      </c>
      <c r="C516" s="150" t="s">
        <v>1551</v>
      </c>
      <c r="D516" s="150" t="s">
        <v>1383</v>
      </c>
      <c r="E516" s="150" t="s">
        <v>1555</v>
      </c>
      <c r="F516" s="149">
        <v>526922</v>
      </c>
      <c r="G516" s="149">
        <v>175807</v>
      </c>
      <c r="H516" s="150" t="s">
        <v>162</v>
      </c>
      <c r="I516" s="151">
        <v>44609</v>
      </c>
      <c r="J516" s="151"/>
      <c r="K516" s="149">
        <v>0</v>
      </c>
      <c r="L516" s="149">
        <v>64</v>
      </c>
      <c r="M516" s="149">
        <v>64</v>
      </c>
      <c r="N516" s="149">
        <v>2550</v>
      </c>
      <c r="O516" s="149">
        <v>1791</v>
      </c>
      <c r="P516" s="152" t="s">
        <v>327</v>
      </c>
      <c r="Q516" s="150" t="s">
        <v>1553</v>
      </c>
      <c r="R516" s="150" t="s">
        <v>329</v>
      </c>
      <c r="S516" s="151">
        <v>43483</v>
      </c>
      <c r="T516" s="151">
        <v>44225</v>
      </c>
      <c r="U516" s="152"/>
      <c r="V516" s="150" t="s">
        <v>330</v>
      </c>
      <c r="W516" s="151"/>
      <c r="X516" s="150" t="s">
        <v>331</v>
      </c>
      <c r="Y516" s="150" t="s">
        <v>343</v>
      </c>
      <c r="Z516" s="150" t="s">
        <v>343</v>
      </c>
      <c r="AA516" s="150" t="s">
        <v>334</v>
      </c>
      <c r="AB516" s="153">
        <v>9.8000000000000004E-2</v>
      </c>
      <c r="AC516" s="151"/>
      <c r="AD516" s="150"/>
      <c r="AE516" s="151"/>
      <c r="AF516" s="150" t="s">
        <v>70</v>
      </c>
      <c r="AG516" s="152" t="s">
        <v>352</v>
      </c>
      <c r="AH516" s="150" t="s">
        <v>326</v>
      </c>
      <c r="AI516" s="99"/>
      <c r="AJ516" s="149"/>
      <c r="AK516" s="149">
        <v>58</v>
      </c>
      <c r="AL516" s="149"/>
      <c r="AM516" s="149">
        <v>6</v>
      </c>
      <c r="AN516" s="149">
        <v>0</v>
      </c>
      <c r="AO516" s="149">
        <v>18</v>
      </c>
      <c r="AP516" s="149">
        <v>24</v>
      </c>
      <c r="AQ516" s="149">
        <v>22</v>
      </c>
      <c r="AR516" s="149">
        <v>0</v>
      </c>
      <c r="AS516" s="149">
        <v>0</v>
      </c>
      <c r="AT516" s="149">
        <v>0</v>
      </c>
      <c r="AU516" s="149">
        <v>0</v>
      </c>
      <c r="AV516" s="149">
        <v>18</v>
      </c>
      <c r="AW516" s="149">
        <v>24</v>
      </c>
      <c r="AX516" s="149">
        <v>22</v>
      </c>
      <c r="AY516" s="149">
        <v>0</v>
      </c>
      <c r="AZ516" s="149">
        <v>0</v>
      </c>
      <c r="BA516" s="149">
        <v>0</v>
      </c>
      <c r="BB516" s="149">
        <v>0</v>
      </c>
      <c r="BC516" s="149">
        <v>0</v>
      </c>
      <c r="BD516" s="149">
        <v>0</v>
      </c>
      <c r="BE516" s="149">
        <v>0</v>
      </c>
      <c r="BF516" s="149">
        <v>0</v>
      </c>
      <c r="BG516" s="149">
        <v>0</v>
      </c>
      <c r="BH516" s="149">
        <v>0</v>
      </c>
      <c r="BI516" s="149">
        <v>0</v>
      </c>
      <c r="BJ516" s="149">
        <v>0</v>
      </c>
      <c r="BK516" s="149">
        <v>0</v>
      </c>
      <c r="BL516" s="149">
        <v>0</v>
      </c>
      <c r="BM516" s="149">
        <v>0</v>
      </c>
      <c r="BN516" s="149">
        <v>0</v>
      </c>
      <c r="BO516" s="149">
        <v>0</v>
      </c>
      <c r="BP516" s="152"/>
      <c r="BQ516" s="152"/>
      <c r="BR516" s="154" t="s">
        <v>148</v>
      </c>
      <c r="BS516" s="136">
        <v>10</v>
      </c>
      <c r="BT516" s="267"/>
      <c r="BU516" s="267"/>
      <c r="BV516" s="267"/>
      <c r="BW516" s="267"/>
      <c r="BX516" s="267">
        <f t="shared" si="43"/>
        <v>21.333333333333332</v>
      </c>
      <c r="BY516" s="267">
        <f t="shared" si="44"/>
        <v>21.333333333333332</v>
      </c>
      <c r="BZ516" s="267">
        <f t="shared" si="45"/>
        <v>21.333333333333332</v>
      </c>
      <c r="CA516" s="267"/>
      <c r="CB516" s="267"/>
      <c r="CC516" s="267"/>
      <c r="CD516" s="267"/>
      <c r="CE516" s="267"/>
      <c r="CF516" s="267"/>
      <c r="CG516" s="267"/>
      <c r="CH516" s="267"/>
      <c r="CI516" s="267"/>
      <c r="CJ516" s="267"/>
      <c r="CK516" s="267"/>
      <c r="CL516" s="267"/>
      <c r="CM516" s="267"/>
      <c r="CN516" s="101">
        <f t="shared" si="41"/>
        <v>42.666666666666664</v>
      </c>
      <c r="CO516" s="101">
        <f t="shared" si="42"/>
        <v>64</v>
      </c>
    </row>
    <row r="517" spans="1:93" ht="13.9" customHeight="1" x14ac:dyDescent="0.2">
      <c r="A517" s="149">
        <v>7101</v>
      </c>
      <c r="B517" s="150" t="s">
        <v>1216</v>
      </c>
      <c r="C517" s="150" t="s">
        <v>1551</v>
      </c>
      <c r="D517" s="150" t="s">
        <v>1383</v>
      </c>
      <c r="E517" s="150" t="s">
        <v>1555</v>
      </c>
      <c r="F517" s="149">
        <v>526922</v>
      </c>
      <c r="G517" s="149">
        <v>175807</v>
      </c>
      <c r="H517" s="150" t="s">
        <v>162</v>
      </c>
      <c r="I517" s="151">
        <v>44609</v>
      </c>
      <c r="J517" s="151"/>
      <c r="K517" s="149">
        <v>0</v>
      </c>
      <c r="L517" s="149">
        <v>54</v>
      </c>
      <c r="M517" s="149">
        <v>54</v>
      </c>
      <c r="N517" s="149">
        <v>2550</v>
      </c>
      <c r="O517" s="149">
        <v>1791</v>
      </c>
      <c r="P517" s="152" t="s">
        <v>327</v>
      </c>
      <c r="Q517" s="150" t="s">
        <v>1553</v>
      </c>
      <c r="R517" s="150" t="s">
        <v>329</v>
      </c>
      <c r="S517" s="151">
        <v>43483</v>
      </c>
      <c r="T517" s="151">
        <v>44225</v>
      </c>
      <c r="U517" s="152"/>
      <c r="V517" s="150" t="s">
        <v>330</v>
      </c>
      <c r="W517" s="151"/>
      <c r="X517" s="150" t="s">
        <v>331</v>
      </c>
      <c r="Y517" s="150" t="s">
        <v>343</v>
      </c>
      <c r="Z517" s="150" t="s">
        <v>343</v>
      </c>
      <c r="AA517" s="150" t="s">
        <v>334</v>
      </c>
      <c r="AB517" s="153">
        <v>8.3000000000000004E-2</v>
      </c>
      <c r="AC517" s="151"/>
      <c r="AD517" s="150"/>
      <c r="AE517" s="151"/>
      <c r="AF517" s="150" t="s">
        <v>49</v>
      </c>
      <c r="AG517" s="152" t="s">
        <v>383</v>
      </c>
      <c r="AH517" s="150" t="s">
        <v>326</v>
      </c>
      <c r="AI517" s="99"/>
      <c r="AJ517" s="149"/>
      <c r="AK517" s="149">
        <v>48</v>
      </c>
      <c r="AL517" s="149"/>
      <c r="AM517" s="149">
        <v>6</v>
      </c>
      <c r="AN517" s="149">
        <v>0</v>
      </c>
      <c r="AO517" s="149">
        <v>19</v>
      </c>
      <c r="AP517" s="149">
        <v>15</v>
      </c>
      <c r="AQ517" s="149">
        <v>17</v>
      </c>
      <c r="AR517" s="149">
        <v>3</v>
      </c>
      <c r="AS517" s="149">
        <v>0</v>
      </c>
      <c r="AT517" s="149">
        <v>0</v>
      </c>
      <c r="AU517" s="149">
        <v>0</v>
      </c>
      <c r="AV517" s="149">
        <v>19</v>
      </c>
      <c r="AW517" s="149">
        <v>15</v>
      </c>
      <c r="AX517" s="149">
        <v>17</v>
      </c>
      <c r="AY517" s="149">
        <v>3</v>
      </c>
      <c r="AZ517" s="149">
        <v>0</v>
      </c>
      <c r="BA517" s="149">
        <v>0</v>
      </c>
      <c r="BB517" s="149">
        <v>0</v>
      </c>
      <c r="BC517" s="149">
        <v>0</v>
      </c>
      <c r="BD517" s="149">
        <v>0</v>
      </c>
      <c r="BE517" s="149">
        <v>0</v>
      </c>
      <c r="BF517" s="149">
        <v>0</v>
      </c>
      <c r="BG517" s="149">
        <v>0</v>
      </c>
      <c r="BH517" s="149">
        <v>0</v>
      </c>
      <c r="BI517" s="149">
        <v>0</v>
      </c>
      <c r="BJ517" s="149">
        <v>0</v>
      </c>
      <c r="BK517" s="149">
        <v>0</v>
      </c>
      <c r="BL517" s="149">
        <v>0</v>
      </c>
      <c r="BM517" s="149">
        <v>0</v>
      </c>
      <c r="BN517" s="149">
        <v>0</v>
      </c>
      <c r="BO517" s="149">
        <v>0</v>
      </c>
      <c r="BP517" s="152"/>
      <c r="BQ517" s="152"/>
      <c r="BR517" s="154" t="s">
        <v>148</v>
      </c>
      <c r="BS517" s="136">
        <v>10</v>
      </c>
      <c r="BT517" s="267"/>
      <c r="BU517" s="267"/>
      <c r="BV517" s="267"/>
      <c r="BW517" s="267"/>
      <c r="BX517" s="267">
        <f t="shared" si="43"/>
        <v>18</v>
      </c>
      <c r="BY517" s="267">
        <f t="shared" si="44"/>
        <v>18</v>
      </c>
      <c r="BZ517" s="267">
        <f t="shared" si="45"/>
        <v>18</v>
      </c>
      <c r="CA517" s="267"/>
      <c r="CB517" s="267"/>
      <c r="CC517" s="267"/>
      <c r="CD517" s="267"/>
      <c r="CE517" s="267"/>
      <c r="CF517" s="267"/>
      <c r="CG517" s="267"/>
      <c r="CH517" s="267"/>
      <c r="CI517" s="267"/>
      <c r="CJ517" s="267"/>
      <c r="CK517" s="267"/>
      <c r="CL517" s="267"/>
      <c r="CM517" s="267"/>
      <c r="CN517" s="101">
        <f t="shared" si="41"/>
        <v>36</v>
      </c>
      <c r="CO517" s="101">
        <f t="shared" si="42"/>
        <v>54</v>
      </c>
    </row>
    <row r="518" spans="1:93" ht="13.9" customHeight="1" x14ac:dyDescent="0.2">
      <c r="A518" s="149">
        <v>7101</v>
      </c>
      <c r="B518" s="150" t="s">
        <v>1216</v>
      </c>
      <c r="C518" s="150" t="s">
        <v>1551</v>
      </c>
      <c r="D518" s="150" t="s">
        <v>1383</v>
      </c>
      <c r="E518" s="150" t="s">
        <v>1555</v>
      </c>
      <c r="F518" s="149">
        <v>526922</v>
      </c>
      <c r="G518" s="149">
        <v>175807</v>
      </c>
      <c r="H518" s="150" t="s">
        <v>162</v>
      </c>
      <c r="I518" s="151">
        <v>44609</v>
      </c>
      <c r="J518" s="151"/>
      <c r="K518" s="149">
        <v>0</v>
      </c>
      <c r="L518" s="149">
        <v>9</v>
      </c>
      <c r="M518" s="149">
        <v>9</v>
      </c>
      <c r="N518" s="149">
        <v>2550</v>
      </c>
      <c r="O518" s="149">
        <v>1791</v>
      </c>
      <c r="P518" s="152" t="s">
        <v>327</v>
      </c>
      <c r="Q518" s="150" t="s">
        <v>1553</v>
      </c>
      <c r="R518" s="150" t="s">
        <v>329</v>
      </c>
      <c r="S518" s="151">
        <v>43483</v>
      </c>
      <c r="T518" s="151">
        <v>44225</v>
      </c>
      <c r="U518" s="152"/>
      <c r="V518" s="150" t="s">
        <v>330</v>
      </c>
      <c r="W518" s="151"/>
      <c r="X518" s="150" t="s">
        <v>331</v>
      </c>
      <c r="Y518" s="150" t="s">
        <v>343</v>
      </c>
      <c r="Z518" s="150" t="s">
        <v>343</v>
      </c>
      <c r="AA518" s="150" t="s">
        <v>334</v>
      </c>
      <c r="AB518" s="153">
        <v>1.4E-2</v>
      </c>
      <c r="AC518" s="151"/>
      <c r="AD518" s="150"/>
      <c r="AE518" s="151"/>
      <c r="AF518" s="150" t="s">
        <v>48</v>
      </c>
      <c r="AG518" s="152" t="s">
        <v>785</v>
      </c>
      <c r="AH518" s="150" t="s">
        <v>326</v>
      </c>
      <c r="AI518" s="99"/>
      <c r="AJ518" s="149"/>
      <c r="AK518" s="149">
        <v>8</v>
      </c>
      <c r="AL518" s="149"/>
      <c r="AM518" s="149">
        <v>1</v>
      </c>
      <c r="AN518" s="149">
        <v>0</v>
      </c>
      <c r="AO518" s="149">
        <v>2</v>
      </c>
      <c r="AP518" s="149">
        <v>3</v>
      </c>
      <c r="AQ518" s="149">
        <v>3</v>
      </c>
      <c r="AR518" s="149">
        <v>1</v>
      </c>
      <c r="AS518" s="149">
        <v>0</v>
      </c>
      <c r="AT518" s="149">
        <v>0</v>
      </c>
      <c r="AU518" s="149">
        <v>0</v>
      </c>
      <c r="AV518" s="149">
        <v>2</v>
      </c>
      <c r="AW518" s="149">
        <v>3</v>
      </c>
      <c r="AX518" s="149">
        <v>3</v>
      </c>
      <c r="AY518" s="149">
        <v>1</v>
      </c>
      <c r="AZ518" s="149">
        <v>0</v>
      </c>
      <c r="BA518" s="149">
        <v>0</v>
      </c>
      <c r="BB518" s="149">
        <v>0</v>
      </c>
      <c r="BC518" s="149">
        <v>0</v>
      </c>
      <c r="BD518" s="149">
        <v>0</v>
      </c>
      <c r="BE518" s="149">
        <v>0</v>
      </c>
      <c r="BF518" s="149">
        <v>0</v>
      </c>
      <c r="BG518" s="149">
        <v>0</v>
      </c>
      <c r="BH518" s="149">
        <v>0</v>
      </c>
      <c r="BI518" s="149">
        <v>0</v>
      </c>
      <c r="BJ518" s="149">
        <v>0</v>
      </c>
      <c r="BK518" s="149">
        <v>0</v>
      </c>
      <c r="BL518" s="149">
        <v>0</v>
      </c>
      <c r="BM518" s="149">
        <v>0</v>
      </c>
      <c r="BN518" s="149">
        <v>0</v>
      </c>
      <c r="BO518" s="149">
        <v>0</v>
      </c>
      <c r="BP518" s="152"/>
      <c r="BQ518" s="152"/>
      <c r="BR518" s="154" t="s">
        <v>148</v>
      </c>
      <c r="BS518" s="136">
        <v>10</v>
      </c>
      <c r="BT518" s="267"/>
      <c r="BU518" s="267"/>
      <c r="BV518" s="267"/>
      <c r="BW518" s="267"/>
      <c r="BX518" s="267">
        <f t="shared" si="43"/>
        <v>3</v>
      </c>
      <c r="BY518" s="267">
        <f t="shared" si="44"/>
        <v>3</v>
      </c>
      <c r="BZ518" s="267">
        <f t="shared" si="45"/>
        <v>3</v>
      </c>
      <c r="CA518" s="267"/>
      <c r="CB518" s="267"/>
      <c r="CC518" s="267"/>
      <c r="CD518" s="267"/>
      <c r="CE518" s="267"/>
      <c r="CF518" s="267"/>
      <c r="CG518" s="267"/>
      <c r="CH518" s="267"/>
      <c r="CI518" s="267"/>
      <c r="CJ518" s="267"/>
      <c r="CK518" s="267"/>
      <c r="CL518" s="267"/>
      <c r="CM518" s="267"/>
      <c r="CN518" s="101">
        <f t="shared" si="41"/>
        <v>6</v>
      </c>
      <c r="CO518" s="101">
        <f t="shared" si="42"/>
        <v>9</v>
      </c>
    </row>
    <row r="519" spans="1:93" ht="13.9" customHeight="1" x14ac:dyDescent="0.2">
      <c r="A519" s="149">
        <v>7101</v>
      </c>
      <c r="B519" s="150" t="s">
        <v>1216</v>
      </c>
      <c r="C519" s="150" t="s">
        <v>1551</v>
      </c>
      <c r="D519" s="150" t="s">
        <v>1383</v>
      </c>
      <c r="E519" s="150" t="s">
        <v>1556</v>
      </c>
      <c r="F519" s="149">
        <v>526922</v>
      </c>
      <c r="G519" s="149">
        <v>175807</v>
      </c>
      <c r="H519" s="150" t="s">
        <v>162</v>
      </c>
      <c r="I519" s="151">
        <v>44609</v>
      </c>
      <c r="J519" s="151"/>
      <c r="K519" s="149">
        <v>0</v>
      </c>
      <c r="L519" s="149">
        <v>379</v>
      </c>
      <c r="M519" s="149">
        <v>379</v>
      </c>
      <c r="N519" s="149">
        <v>2550</v>
      </c>
      <c r="O519" s="149">
        <v>1791</v>
      </c>
      <c r="P519" s="152" t="s">
        <v>327</v>
      </c>
      <c r="Q519" s="150" t="s">
        <v>1553</v>
      </c>
      <c r="R519" s="150" t="s">
        <v>329</v>
      </c>
      <c r="S519" s="151">
        <v>43483</v>
      </c>
      <c r="T519" s="151">
        <v>44225</v>
      </c>
      <c r="U519" s="152"/>
      <c r="V519" s="150" t="s">
        <v>330</v>
      </c>
      <c r="W519" s="151"/>
      <c r="X519" s="150" t="s">
        <v>331</v>
      </c>
      <c r="Y519" s="150" t="s">
        <v>343</v>
      </c>
      <c r="Z519" s="150" t="s">
        <v>343</v>
      </c>
      <c r="AA519" s="150" t="s">
        <v>334</v>
      </c>
      <c r="AB519" s="153">
        <v>0.58199999999999996</v>
      </c>
      <c r="AC519" s="151"/>
      <c r="AD519" s="150"/>
      <c r="AE519" s="151"/>
      <c r="AF519" s="150" t="s">
        <v>49</v>
      </c>
      <c r="AG519" s="152" t="s">
        <v>394</v>
      </c>
      <c r="AH519" s="150" t="s">
        <v>326</v>
      </c>
      <c r="AI519" s="99"/>
      <c r="AJ519" s="149"/>
      <c r="AK519" s="149">
        <v>341</v>
      </c>
      <c r="AL519" s="149"/>
      <c r="AM519" s="149">
        <v>38</v>
      </c>
      <c r="AN519" s="149">
        <v>0</v>
      </c>
      <c r="AO519" s="149">
        <v>0</v>
      </c>
      <c r="AP519" s="149">
        <v>0</v>
      </c>
      <c r="AQ519" s="149">
        <v>0</v>
      </c>
      <c r="AR519" s="149">
        <v>0</v>
      </c>
      <c r="AS519" s="149">
        <v>0</v>
      </c>
      <c r="AT519" s="149">
        <v>379</v>
      </c>
      <c r="AU519" s="149">
        <v>0</v>
      </c>
      <c r="AV519" s="149">
        <v>0</v>
      </c>
      <c r="AW519" s="149">
        <v>0</v>
      </c>
      <c r="AX519" s="149">
        <v>0</v>
      </c>
      <c r="AY519" s="149">
        <v>0</v>
      </c>
      <c r="AZ519" s="149">
        <v>0</v>
      </c>
      <c r="BA519" s="149">
        <v>379</v>
      </c>
      <c r="BB519" s="149">
        <v>0</v>
      </c>
      <c r="BC519" s="149">
        <v>0</v>
      </c>
      <c r="BD519" s="149">
        <v>0</v>
      </c>
      <c r="BE519" s="149">
        <v>0</v>
      </c>
      <c r="BF519" s="149">
        <v>0</v>
      </c>
      <c r="BG519" s="149">
        <v>0</v>
      </c>
      <c r="BH519" s="149">
        <v>0</v>
      </c>
      <c r="BI519" s="149">
        <v>0</v>
      </c>
      <c r="BJ519" s="149">
        <v>0</v>
      </c>
      <c r="BK519" s="149">
        <v>0</v>
      </c>
      <c r="BL519" s="149">
        <v>0</v>
      </c>
      <c r="BM519" s="149">
        <v>0</v>
      </c>
      <c r="BN519" s="149">
        <v>0</v>
      </c>
      <c r="BO519" s="149">
        <v>0</v>
      </c>
      <c r="BP519" s="152"/>
      <c r="BQ519" s="152"/>
      <c r="BR519" s="154" t="s">
        <v>148</v>
      </c>
      <c r="BS519" s="136">
        <v>10</v>
      </c>
      <c r="BT519" s="267"/>
      <c r="BU519" s="267"/>
      <c r="BV519" s="267"/>
      <c r="BW519" s="267"/>
      <c r="BX519" s="267">
        <f t="shared" si="43"/>
        <v>126.33333333333333</v>
      </c>
      <c r="BY519" s="267">
        <f t="shared" si="44"/>
        <v>126.33333333333333</v>
      </c>
      <c r="BZ519" s="267">
        <f t="shared" si="45"/>
        <v>126.33333333333333</v>
      </c>
      <c r="CA519" s="267"/>
      <c r="CB519" s="267"/>
      <c r="CC519" s="267"/>
      <c r="CD519" s="267"/>
      <c r="CE519" s="267"/>
      <c r="CF519" s="267"/>
      <c r="CG519" s="267"/>
      <c r="CH519" s="267"/>
      <c r="CI519" s="267"/>
      <c r="CJ519" s="267"/>
      <c r="CK519" s="267"/>
      <c r="CL519" s="267"/>
      <c r="CM519" s="267"/>
      <c r="CN519" s="101">
        <f t="shared" si="41"/>
        <v>252.66666666666666</v>
      </c>
      <c r="CO519" s="101">
        <f t="shared" si="42"/>
        <v>379</v>
      </c>
    </row>
    <row r="520" spans="1:93" ht="13.9" customHeight="1" x14ac:dyDescent="0.2">
      <c r="A520" s="149">
        <v>7101</v>
      </c>
      <c r="B520" s="150" t="s">
        <v>1216</v>
      </c>
      <c r="C520" s="150" t="s">
        <v>1551</v>
      </c>
      <c r="D520" s="150" t="s">
        <v>1383</v>
      </c>
      <c r="E520" s="150" t="s">
        <v>1556</v>
      </c>
      <c r="F520" s="149">
        <v>526922</v>
      </c>
      <c r="G520" s="149">
        <v>175807</v>
      </c>
      <c r="H520" s="150" t="s">
        <v>162</v>
      </c>
      <c r="I520" s="151">
        <v>44609</v>
      </c>
      <c r="J520" s="151"/>
      <c r="K520" s="149">
        <v>0</v>
      </c>
      <c r="L520" s="149">
        <v>1355</v>
      </c>
      <c r="M520" s="149">
        <v>1355</v>
      </c>
      <c r="N520" s="149">
        <v>2550</v>
      </c>
      <c r="O520" s="149">
        <v>1791</v>
      </c>
      <c r="P520" s="152" t="s">
        <v>327</v>
      </c>
      <c r="Q520" s="150" t="s">
        <v>1553</v>
      </c>
      <c r="R520" s="150" t="s">
        <v>329</v>
      </c>
      <c r="S520" s="151">
        <v>43483</v>
      </c>
      <c r="T520" s="151">
        <v>44225</v>
      </c>
      <c r="U520" s="152"/>
      <c r="V520" s="150" t="s">
        <v>330</v>
      </c>
      <c r="W520" s="151"/>
      <c r="X520" s="150" t="s">
        <v>331</v>
      </c>
      <c r="Y520" s="150" t="s">
        <v>343</v>
      </c>
      <c r="Z520" s="150" t="s">
        <v>343</v>
      </c>
      <c r="AA520" s="150" t="s">
        <v>334</v>
      </c>
      <c r="AB520" s="153">
        <v>2.0819999999999999</v>
      </c>
      <c r="AC520" s="151"/>
      <c r="AD520" s="150"/>
      <c r="AE520" s="151"/>
      <c r="AF520" s="150" t="s">
        <v>70</v>
      </c>
      <c r="AG520" s="152" t="s">
        <v>352</v>
      </c>
      <c r="AH520" s="150" t="s">
        <v>326</v>
      </c>
      <c r="AI520" s="99"/>
      <c r="AJ520" s="149"/>
      <c r="AK520" s="149">
        <v>1219</v>
      </c>
      <c r="AL520" s="149"/>
      <c r="AM520" s="149">
        <v>136</v>
      </c>
      <c r="AN520" s="149">
        <v>0</v>
      </c>
      <c r="AO520" s="149">
        <v>0</v>
      </c>
      <c r="AP520" s="149">
        <v>0</v>
      </c>
      <c r="AQ520" s="149">
        <v>0</v>
      </c>
      <c r="AR520" s="149">
        <v>0</v>
      </c>
      <c r="AS520" s="149">
        <v>0</v>
      </c>
      <c r="AT520" s="149">
        <v>1355</v>
      </c>
      <c r="AU520" s="149">
        <v>0</v>
      </c>
      <c r="AV520" s="149">
        <v>0</v>
      </c>
      <c r="AW520" s="149">
        <v>0</v>
      </c>
      <c r="AX520" s="149">
        <v>0</v>
      </c>
      <c r="AY520" s="149">
        <v>0</v>
      </c>
      <c r="AZ520" s="149">
        <v>0</v>
      </c>
      <c r="BA520" s="149">
        <v>1355</v>
      </c>
      <c r="BB520" s="149">
        <v>0</v>
      </c>
      <c r="BC520" s="149">
        <v>0</v>
      </c>
      <c r="BD520" s="149">
        <v>0</v>
      </c>
      <c r="BE520" s="149">
        <v>0</v>
      </c>
      <c r="BF520" s="149">
        <v>0</v>
      </c>
      <c r="BG520" s="149">
        <v>0</v>
      </c>
      <c r="BH520" s="149">
        <v>0</v>
      </c>
      <c r="BI520" s="149">
        <v>0</v>
      </c>
      <c r="BJ520" s="149">
        <v>0</v>
      </c>
      <c r="BK520" s="149">
        <v>0</v>
      </c>
      <c r="BL520" s="149">
        <v>0</v>
      </c>
      <c r="BM520" s="149">
        <v>0</v>
      </c>
      <c r="BN520" s="149">
        <v>0</v>
      </c>
      <c r="BO520" s="149">
        <v>0</v>
      </c>
      <c r="BP520" s="152"/>
      <c r="BQ520" s="152"/>
      <c r="BR520" s="154" t="s">
        <v>148</v>
      </c>
      <c r="BS520" s="136">
        <v>10</v>
      </c>
      <c r="BT520" s="267"/>
      <c r="BU520" s="267"/>
      <c r="BV520" s="267"/>
      <c r="BW520" s="267"/>
      <c r="BX520" s="267">
        <f t="shared" si="43"/>
        <v>451.66666666666669</v>
      </c>
      <c r="BY520" s="267">
        <f t="shared" si="44"/>
        <v>451.66666666666669</v>
      </c>
      <c r="BZ520" s="267">
        <f t="shared" si="45"/>
        <v>451.66666666666669</v>
      </c>
      <c r="CA520" s="267"/>
      <c r="CB520" s="267"/>
      <c r="CC520" s="267"/>
      <c r="CD520" s="267"/>
      <c r="CE520" s="267"/>
      <c r="CF520" s="267"/>
      <c r="CG520" s="267"/>
      <c r="CH520" s="267"/>
      <c r="CI520" s="267"/>
      <c r="CJ520" s="267"/>
      <c r="CK520" s="267"/>
      <c r="CL520" s="267"/>
      <c r="CM520" s="267"/>
      <c r="CN520" s="101">
        <f t="shared" si="41"/>
        <v>903.33333333333337</v>
      </c>
      <c r="CO520" s="101">
        <f t="shared" si="42"/>
        <v>1355</v>
      </c>
    </row>
    <row r="521" spans="1:93" ht="13.9" customHeight="1" x14ac:dyDescent="0.2">
      <c r="A521" s="149">
        <v>7101</v>
      </c>
      <c r="B521" s="150" t="s">
        <v>1216</v>
      </c>
      <c r="C521" s="150" t="s">
        <v>1551</v>
      </c>
      <c r="D521" s="150" t="s">
        <v>1383</v>
      </c>
      <c r="E521" s="150" t="s">
        <v>1556</v>
      </c>
      <c r="F521" s="149">
        <v>526922</v>
      </c>
      <c r="G521" s="149">
        <v>175807</v>
      </c>
      <c r="H521" s="150" t="s">
        <v>162</v>
      </c>
      <c r="I521" s="151">
        <v>44609</v>
      </c>
      <c r="J521" s="151"/>
      <c r="K521" s="149">
        <v>0</v>
      </c>
      <c r="L521" s="149">
        <v>214</v>
      </c>
      <c r="M521" s="149">
        <v>214</v>
      </c>
      <c r="N521" s="149">
        <v>2550</v>
      </c>
      <c r="O521" s="149">
        <v>1791</v>
      </c>
      <c r="P521" s="152" t="s">
        <v>327</v>
      </c>
      <c r="Q521" s="150" t="s">
        <v>1553</v>
      </c>
      <c r="R521" s="150" t="s">
        <v>329</v>
      </c>
      <c r="S521" s="151">
        <v>43483</v>
      </c>
      <c r="T521" s="151">
        <v>44225</v>
      </c>
      <c r="U521" s="152"/>
      <c r="V521" s="150" t="s">
        <v>330</v>
      </c>
      <c r="W521" s="151"/>
      <c r="X521" s="150" t="s">
        <v>331</v>
      </c>
      <c r="Y521" s="150" t="s">
        <v>343</v>
      </c>
      <c r="Z521" s="150" t="s">
        <v>343</v>
      </c>
      <c r="AA521" s="150" t="s">
        <v>334</v>
      </c>
      <c r="AB521" s="153">
        <v>0.32900000000000001</v>
      </c>
      <c r="AC521" s="151"/>
      <c r="AD521" s="150"/>
      <c r="AE521" s="151"/>
      <c r="AF521" s="150" t="s">
        <v>48</v>
      </c>
      <c r="AG521" s="152" t="s">
        <v>785</v>
      </c>
      <c r="AH521" s="150" t="s">
        <v>326</v>
      </c>
      <c r="AI521" s="99"/>
      <c r="AJ521" s="149"/>
      <c r="AK521" s="149">
        <v>193</v>
      </c>
      <c r="AL521" s="149"/>
      <c r="AM521" s="149">
        <v>21</v>
      </c>
      <c r="AN521" s="149">
        <v>0</v>
      </c>
      <c r="AO521" s="149">
        <v>0</v>
      </c>
      <c r="AP521" s="149">
        <v>0</v>
      </c>
      <c r="AQ521" s="149">
        <v>0</v>
      </c>
      <c r="AR521" s="149">
        <v>0</v>
      </c>
      <c r="AS521" s="149">
        <v>0</v>
      </c>
      <c r="AT521" s="149">
        <v>214</v>
      </c>
      <c r="AU521" s="149">
        <v>0</v>
      </c>
      <c r="AV521" s="149">
        <v>0</v>
      </c>
      <c r="AW521" s="149">
        <v>0</v>
      </c>
      <c r="AX521" s="149">
        <v>0</v>
      </c>
      <c r="AY521" s="149">
        <v>0</v>
      </c>
      <c r="AZ521" s="149">
        <v>0</v>
      </c>
      <c r="BA521" s="149">
        <v>214</v>
      </c>
      <c r="BB521" s="149">
        <v>0</v>
      </c>
      <c r="BC521" s="149">
        <v>0</v>
      </c>
      <c r="BD521" s="149">
        <v>0</v>
      </c>
      <c r="BE521" s="149">
        <v>0</v>
      </c>
      <c r="BF521" s="149">
        <v>0</v>
      </c>
      <c r="BG521" s="149">
        <v>0</v>
      </c>
      <c r="BH521" s="149">
        <v>0</v>
      </c>
      <c r="BI521" s="149">
        <v>0</v>
      </c>
      <c r="BJ521" s="149">
        <v>0</v>
      </c>
      <c r="BK521" s="149">
        <v>0</v>
      </c>
      <c r="BL521" s="149">
        <v>0</v>
      </c>
      <c r="BM521" s="149">
        <v>0</v>
      </c>
      <c r="BN521" s="149">
        <v>0</v>
      </c>
      <c r="BO521" s="149">
        <v>0</v>
      </c>
      <c r="BP521" s="152"/>
      <c r="BQ521" s="152"/>
      <c r="BR521" s="154" t="s">
        <v>148</v>
      </c>
      <c r="BS521" s="136">
        <v>10</v>
      </c>
      <c r="BT521" s="267"/>
      <c r="BU521" s="267"/>
      <c r="BV521" s="267"/>
      <c r="BW521" s="267"/>
      <c r="BX521" s="267">
        <f t="shared" si="43"/>
        <v>71.333333333333329</v>
      </c>
      <c r="BY521" s="267">
        <f t="shared" si="44"/>
        <v>71.333333333333329</v>
      </c>
      <c r="BZ521" s="267">
        <f t="shared" si="45"/>
        <v>71.333333333333329</v>
      </c>
      <c r="CA521" s="267"/>
      <c r="CB521" s="267"/>
      <c r="CC521" s="267"/>
      <c r="CD521" s="267"/>
      <c r="CE521" s="267"/>
      <c r="CF521" s="267"/>
      <c r="CG521" s="267"/>
      <c r="CH521" s="267"/>
      <c r="CI521" s="267"/>
      <c r="CJ521" s="267"/>
      <c r="CK521" s="267"/>
      <c r="CL521" s="267"/>
      <c r="CM521" s="267"/>
      <c r="CN521" s="101">
        <f t="shared" si="41"/>
        <v>142.66666666666666</v>
      </c>
      <c r="CO521" s="101">
        <f t="shared" si="42"/>
        <v>214</v>
      </c>
    </row>
    <row r="522" spans="1:93" ht="13.9" customHeight="1" x14ac:dyDescent="0.2">
      <c r="A522" s="149">
        <v>7101</v>
      </c>
      <c r="B522" s="150" t="s">
        <v>1216</v>
      </c>
      <c r="C522" s="150" t="s">
        <v>1551</v>
      </c>
      <c r="D522" s="150" t="s">
        <v>1383</v>
      </c>
      <c r="E522" s="150" t="s">
        <v>1556</v>
      </c>
      <c r="F522" s="149">
        <v>526922</v>
      </c>
      <c r="G522" s="149">
        <v>175807</v>
      </c>
      <c r="H522" s="150" t="s">
        <v>162</v>
      </c>
      <c r="I522" s="151">
        <v>44609</v>
      </c>
      <c r="J522" s="151"/>
      <c r="K522" s="149">
        <v>0</v>
      </c>
      <c r="L522" s="149">
        <v>100</v>
      </c>
      <c r="M522" s="149">
        <v>100</v>
      </c>
      <c r="N522" s="149">
        <v>2550</v>
      </c>
      <c r="O522" s="149">
        <v>1791</v>
      </c>
      <c r="P522" s="152" t="s">
        <v>327</v>
      </c>
      <c r="Q522" s="150" t="s">
        <v>1553</v>
      </c>
      <c r="R522" s="150" t="s">
        <v>329</v>
      </c>
      <c r="S522" s="151">
        <v>43483</v>
      </c>
      <c r="T522" s="151">
        <v>44225</v>
      </c>
      <c r="U522" s="152"/>
      <c r="V522" s="150" t="s">
        <v>330</v>
      </c>
      <c r="W522" s="151"/>
      <c r="X522" s="150" t="s">
        <v>331</v>
      </c>
      <c r="Y522" s="150" t="s">
        <v>343</v>
      </c>
      <c r="Z522" s="150" t="s">
        <v>343</v>
      </c>
      <c r="AA522" s="150" t="s">
        <v>334</v>
      </c>
      <c r="AB522" s="153">
        <v>0.154</v>
      </c>
      <c r="AC522" s="151"/>
      <c r="AD522" s="150"/>
      <c r="AE522" s="151"/>
      <c r="AF522" s="150" t="s">
        <v>49</v>
      </c>
      <c r="AG522" s="152" t="s">
        <v>470</v>
      </c>
      <c r="AH522" s="150" t="s">
        <v>326</v>
      </c>
      <c r="AI522" s="99"/>
      <c r="AJ522" s="149"/>
      <c r="AK522" s="149">
        <v>90</v>
      </c>
      <c r="AL522" s="149"/>
      <c r="AM522" s="149">
        <v>10</v>
      </c>
      <c r="AN522" s="149">
        <v>0</v>
      </c>
      <c r="AO522" s="149">
        <v>0</v>
      </c>
      <c r="AP522" s="149">
        <v>0</v>
      </c>
      <c r="AQ522" s="149">
        <v>0</v>
      </c>
      <c r="AR522" s="149">
        <v>0</v>
      </c>
      <c r="AS522" s="149">
        <v>0</v>
      </c>
      <c r="AT522" s="149">
        <v>100</v>
      </c>
      <c r="AU522" s="149">
        <v>0</v>
      </c>
      <c r="AV522" s="149">
        <v>0</v>
      </c>
      <c r="AW522" s="149">
        <v>0</v>
      </c>
      <c r="AX522" s="149">
        <v>0</v>
      </c>
      <c r="AY522" s="149">
        <v>0</v>
      </c>
      <c r="AZ522" s="149">
        <v>0</v>
      </c>
      <c r="BA522" s="149">
        <v>100</v>
      </c>
      <c r="BB522" s="149">
        <v>0</v>
      </c>
      <c r="BC522" s="149">
        <v>0</v>
      </c>
      <c r="BD522" s="149">
        <v>0</v>
      </c>
      <c r="BE522" s="149">
        <v>0</v>
      </c>
      <c r="BF522" s="149">
        <v>0</v>
      </c>
      <c r="BG522" s="149">
        <v>0</v>
      </c>
      <c r="BH522" s="149">
        <v>0</v>
      </c>
      <c r="BI522" s="149">
        <v>0</v>
      </c>
      <c r="BJ522" s="149">
        <v>0</v>
      </c>
      <c r="BK522" s="149">
        <v>0</v>
      </c>
      <c r="BL522" s="149">
        <v>0</v>
      </c>
      <c r="BM522" s="149">
        <v>0</v>
      </c>
      <c r="BN522" s="149">
        <v>0</v>
      </c>
      <c r="BO522" s="149">
        <v>0</v>
      </c>
      <c r="BP522" s="152"/>
      <c r="BQ522" s="152"/>
      <c r="BR522" s="154" t="s">
        <v>148</v>
      </c>
      <c r="BS522" s="136">
        <v>10</v>
      </c>
      <c r="BT522" s="267"/>
      <c r="BU522" s="267"/>
      <c r="BV522" s="267"/>
      <c r="BW522" s="267"/>
      <c r="BX522" s="267">
        <f t="shared" si="43"/>
        <v>33.333333333333336</v>
      </c>
      <c r="BY522" s="267">
        <f t="shared" si="44"/>
        <v>33.333333333333336</v>
      </c>
      <c r="BZ522" s="267">
        <f t="shared" si="45"/>
        <v>33.333333333333336</v>
      </c>
      <c r="CA522" s="267"/>
      <c r="CB522" s="267"/>
      <c r="CC522" s="267"/>
      <c r="CD522" s="267"/>
      <c r="CE522" s="267"/>
      <c r="CF522" s="267"/>
      <c r="CG522" s="267"/>
      <c r="CH522" s="267"/>
      <c r="CI522" s="267"/>
      <c r="CJ522" s="267"/>
      <c r="CK522" s="267"/>
      <c r="CL522" s="267"/>
      <c r="CM522" s="267"/>
      <c r="CN522" s="101">
        <f t="shared" si="41"/>
        <v>66.666666666666671</v>
      </c>
      <c r="CO522" s="101">
        <f t="shared" si="42"/>
        <v>100</v>
      </c>
    </row>
    <row r="523" spans="1:93" ht="13.9" customHeight="1" x14ac:dyDescent="0.2">
      <c r="A523" s="149">
        <v>7101</v>
      </c>
      <c r="B523" s="150" t="s">
        <v>1216</v>
      </c>
      <c r="C523" s="150" t="s">
        <v>1551</v>
      </c>
      <c r="D523" s="150" t="s">
        <v>1383</v>
      </c>
      <c r="E523" s="150" t="s">
        <v>1557</v>
      </c>
      <c r="F523" s="149">
        <v>526922</v>
      </c>
      <c r="G523" s="149">
        <v>175807</v>
      </c>
      <c r="H523" s="150" t="s">
        <v>162</v>
      </c>
      <c r="I523" s="151">
        <v>44609</v>
      </c>
      <c r="J523" s="151"/>
      <c r="K523" s="149">
        <v>218</v>
      </c>
      <c r="L523" s="149">
        <v>0</v>
      </c>
      <c r="M523" s="149">
        <v>-218</v>
      </c>
      <c r="N523" s="149">
        <v>2550</v>
      </c>
      <c r="O523" s="149">
        <v>1791</v>
      </c>
      <c r="P523" s="152" t="s">
        <v>327</v>
      </c>
      <c r="Q523" s="150" t="s">
        <v>1553</v>
      </c>
      <c r="R523" s="150" t="s">
        <v>329</v>
      </c>
      <c r="S523" s="151">
        <v>43483</v>
      </c>
      <c r="T523" s="151">
        <v>44225</v>
      </c>
      <c r="U523" s="152"/>
      <c r="V523" s="150" t="s">
        <v>330</v>
      </c>
      <c r="W523" s="151"/>
      <c r="X523" s="150" t="s">
        <v>331</v>
      </c>
      <c r="Y523" s="150" t="s">
        <v>343</v>
      </c>
      <c r="Z523" s="150" t="s">
        <v>343</v>
      </c>
      <c r="AA523" s="150" t="s">
        <v>334</v>
      </c>
      <c r="AB523" s="153">
        <v>0</v>
      </c>
      <c r="AC523" s="151"/>
      <c r="AD523" s="150"/>
      <c r="AE523" s="151"/>
      <c r="AF523" s="150" t="s">
        <v>70</v>
      </c>
      <c r="AG523" s="152" t="s">
        <v>352</v>
      </c>
      <c r="AH523" s="150" t="s">
        <v>326</v>
      </c>
      <c r="AI523" s="99"/>
      <c r="AJ523" s="149"/>
      <c r="AK523" s="99"/>
      <c r="AL523" s="149"/>
      <c r="AM523" s="99"/>
      <c r="AN523" s="149">
        <v>-12</v>
      </c>
      <c r="AO523" s="149">
        <v>-54</v>
      </c>
      <c r="AP523" s="149">
        <v>-89</v>
      </c>
      <c r="AQ523" s="149">
        <v>-33</v>
      </c>
      <c r="AR523" s="149">
        <v>-30</v>
      </c>
      <c r="AS523" s="149">
        <v>0</v>
      </c>
      <c r="AT523" s="149">
        <v>0</v>
      </c>
      <c r="AU523" s="149">
        <v>-12</v>
      </c>
      <c r="AV523" s="149">
        <v>-54</v>
      </c>
      <c r="AW523" s="149">
        <v>-89</v>
      </c>
      <c r="AX523" s="149">
        <v>-33</v>
      </c>
      <c r="AY523" s="149">
        <v>-30</v>
      </c>
      <c r="AZ523" s="149">
        <v>0</v>
      </c>
      <c r="BA523" s="149">
        <v>0</v>
      </c>
      <c r="BB523" s="149">
        <v>0</v>
      </c>
      <c r="BC523" s="149">
        <v>0</v>
      </c>
      <c r="BD523" s="149">
        <v>0</v>
      </c>
      <c r="BE523" s="149">
        <v>0</v>
      </c>
      <c r="BF523" s="149">
        <v>0</v>
      </c>
      <c r="BG523" s="149">
        <v>0</v>
      </c>
      <c r="BH523" s="149">
        <v>0</v>
      </c>
      <c r="BI523" s="149">
        <v>0</v>
      </c>
      <c r="BJ523" s="149">
        <v>0</v>
      </c>
      <c r="BK523" s="149">
        <v>0</v>
      </c>
      <c r="BL523" s="149">
        <v>0</v>
      </c>
      <c r="BM523" s="149">
        <v>0</v>
      </c>
      <c r="BN523" s="149">
        <v>0</v>
      </c>
      <c r="BO523" s="149">
        <v>0</v>
      </c>
      <c r="BP523" s="152"/>
      <c r="BQ523" s="152"/>
      <c r="BR523" s="154" t="s">
        <v>148</v>
      </c>
      <c r="BS523" s="136">
        <v>10</v>
      </c>
      <c r="BT523" s="267"/>
      <c r="BU523" s="267"/>
      <c r="BV523" s="267"/>
      <c r="BW523" s="267"/>
      <c r="BX523" s="267">
        <f t="shared" si="43"/>
        <v>-72.666666666666671</v>
      </c>
      <c r="BY523" s="267">
        <f t="shared" si="44"/>
        <v>-72.666666666666671</v>
      </c>
      <c r="BZ523" s="267">
        <f t="shared" si="45"/>
        <v>-72.666666666666671</v>
      </c>
      <c r="CA523" s="267"/>
      <c r="CB523" s="267"/>
      <c r="CC523" s="267"/>
      <c r="CD523" s="267"/>
      <c r="CE523" s="267"/>
      <c r="CF523" s="267"/>
      <c r="CG523" s="267"/>
      <c r="CH523" s="267"/>
      <c r="CI523" s="267"/>
      <c r="CJ523" s="267"/>
      <c r="CK523" s="267"/>
      <c r="CL523" s="267"/>
      <c r="CM523" s="267"/>
      <c r="CN523" s="101">
        <f t="shared" si="41"/>
        <v>-145.33333333333334</v>
      </c>
      <c r="CO523" s="101">
        <f t="shared" si="42"/>
        <v>-218</v>
      </c>
    </row>
    <row r="524" spans="1:93" ht="13.9" customHeight="1" x14ac:dyDescent="0.2">
      <c r="A524" s="149">
        <v>7101</v>
      </c>
      <c r="B524" s="150" t="s">
        <v>1216</v>
      </c>
      <c r="C524" s="150" t="s">
        <v>1551</v>
      </c>
      <c r="D524" s="150" t="s">
        <v>1383</v>
      </c>
      <c r="E524" s="150" t="s">
        <v>1557</v>
      </c>
      <c r="F524" s="149">
        <v>526922</v>
      </c>
      <c r="G524" s="149">
        <v>175807</v>
      </c>
      <c r="H524" s="150" t="s">
        <v>162</v>
      </c>
      <c r="I524" s="151">
        <v>44609</v>
      </c>
      <c r="J524" s="151"/>
      <c r="K524" s="149">
        <v>527</v>
      </c>
      <c r="L524" s="149">
        <v>0</v>
      </c>
      <c r="M524" s="149">
        <v>-527</v>
      </c>
      <c r="N524" s="149">
        <v>2550</v>
      </c>
      <c r="O524" s="149">
        <v>1791</v>
      </c>
      <c r="P524" s="152" t="s">
        <v>327</v>
      </c>
      <c r="Q524" s="150" t="s">
        <v>1553</v>
      </c>
      <c r="R524" s="150" t="s">
        <v>329</v>
      </c>
      <c r="S524" s="151">
        <v>43483</v>
      </c>
      <c r="T524" s="151">
        <v>44225</v>
      </c>
      <c r="U524" s="152"/>
      <c r="V524" s="150" t="s">
        <v>330</v>
      </c>
      <c r="W524" s="151"/>
      <c r="X524" s="150" t="s">
        <v>331</v>
      </c>
      <c r="Y524" s="150" t="s">
        <v>343</v>
      </c>
      <c r="Z524" s="150" t="s">
        <v>343</v>
      </c>
      <c r="AA524" s="150" t="s">
        <v>334</v>
      </c>
      <c r="AB524" s="153">
        <v>0</v>
      </c>
      <c r="AC524" s="151"/>
      <c r="AD524" s="150"/>
      <c r="AE524" s="151"/>
      <c r="AF524" s="150" t="s">
        <v>49</v>
      </c>
      <c r="AG524" s="152" t="s">
        <v>394</v>
      </c>
      <c r="AH524" s="150" t="s">
        <v>326</v>
      </c>
      <c r="AI524" s="99"/>
      <c r="AJ524" s="149"/>
      <c r="AK524" s="99"/>
      <c r="AL524" s="149"/>
      <c r="AM524" s="99"/>
      <c r="AN524" s="149">
        <v>-79</v>
      </c>
      <c r="AO524" s="149">
        <v>-120</v>
      </c>
      <c r="AP524" s="149">
        <v>-256</v>
      </c>
      <c r="AQ524" s="149">
        <v>-47</v>
      </c>
      <c r="AR524" s="149">
        <v>-25</v>
      </c>
      <c r="AS524" s="149">
        <v>0</v>
      </c>
      <c r="AT524" s="149">
        <v>0</v>
      </c>
      <c r="AU524" s="149">
        <v>-79</v>
      </c>
      <c r="AV524" s="149">
        <v>-120</v>
      </c>
      <c r="AW524" s="149">
        <v>-256</v>
      </c>
      <c r="AX524" s="149">
        <v>-47</v>
      </c>
      <c r="AY524" s="149">
        <v>-25</v>
      </c>
      <c r="AZ524" s="149">
        <v>0</v>
      </c>
      <c r="BA524" s="149">
        <v>0</v>
      </c>
      <c r="BB524" s="149">
        <v>0</v>
      </c>
      <c r="BC524" s="149">
        <v>0</v>
      </c>
      <c r="BD524" s="149">
        <v>0</v>
      </c>
      <c r="BE524" s="149">
        <v>0</v>
      </c>
      <c r="BF524" s="149">
        <v>0</v>
      </c>
      <c r="BG524" s="149">
        <v>0</v>
      </c>
      <c r="BH524" s="149">
        <v>0</v>
      </c>
      <c r="BI524" s="149">
        <v>0</v>
      </c>
      <c r="BJ524" s="149">
        <v>0</v>
      </c>
      <c r="BK524" s="149">
        <v>0</v>
      </c>
      <c r="BL524" s="149">
        <v>0</v>
      </c>
      <c r="BM524" s="149">
        <v>0</v>
      </c>
      <c r="BN524" s="149">
        <v>0</v>
      </c>
      <c r="BO524" s="149">
        <v>0</v>
      </c>
      <c r="BP524" s="152"/>
      <c r="BQ524" s="152"/>
      <c r="BR524" s="154" t="s">
        <v>148</v>
      </c>
      <c r="BS524" s="136">
        <v>10</v>
      </c>
      <c r="BT524" s="267"/>
      <c r="BU524" s="267"/>
      <c r="BV524" s="267"/>
      <c r="BW524" s="267"/>
      <c r="BX524" s="267">
        <f t="shared" si="43"/>
        <v>-175.66666666666666</v>
      </c>
      <c r="BY524" s="267">
        <f t="shared" si="44"/>
        <v>-175.66666666666666</v>
      </c>
      <c r="BZ524" s="267">
        <f t="shared" si="45"/>
        <v>-175.66666666666666</v>
      </c>
      <c r="CA524" s="267"/>
      <c r="CB524" s="267"/>
      <c r="CC524" s="267"/>
      <c r="CD524" s="267"/>
      <c r="CE524" s="267"/>
      <c r="CF524" s="267"/>
      <c r="CG524" s="267"/>
      <c r="CH524" s="267"/>
      <c r="CI524" s="267"/>
      <c r="CJ524" s="267"/>
      <c r="CK524" s="267"/>
      <c r="CL524" s="267"/>
      <c r="CM524" s="267"/>
      <c r="CN524" s="101">
        <f t="shared" si="41"/>
        <v>-351.33333333333331</v>
      </c>
      <c r="CO524" s="101">
        <f t="shared" si="42"/>
        <v>-527</v>
      </c>
    </row>
    <row r="525" spans="1:93" ht="13.9" customHeight="1" x14ac:dyDescent="0.2">
      <c r="A525" s="149">
        <v>7101</v>
      </c>
      <c r="B525" s="150" t="s">
        <v>1216</v>
      </c>
      <c r="C525" s="150" t="s">
        <v>1551</v>
      </c>
      <c r="D525" s="150" t="s">
        <v>1383</v>
      </c>
      <c r="E525" s="150" t="s">
        <v>1557</v>
      </c>
      <c r="F525" s="149">
        <v>526922</v>
      </c>
      <c r="G525" s="149">
        <v>175807</v>
      </c>
      <c r="H525" s="150" t="s">
        <v>162</v>
      </c>
      <c r="I525" s="151">
        <v>44609</v>
      </c>
      <c r="J525" s="151"/>
      <c r="K525" s="149">
        <v>14</v>
      </c>
      <c r="L525" s="149">
        <v>0</v>
      </c>
      <c r="M525" s="149">
        <v>-14</v>
      </c>
      <c r="N525" s="149">
        <v>2550</v>
      </c>
      <c r="O525" s="149">
        <v>1791</v>
      </c>
      <c r="P525" s="152" t="s">
        <v>327</v>
      </c>
      <c r="Q525" s="150" t="s">
        <v>1553</v>
      </c>
      <c r="R525" s="150" t="s">
        <v>329</v>
      </c>
      <c r="S525" s="151">
        <v>43483</v>
      </c>
      <c r="T525" s="151">
        <v>44225</v>
      </c>
      <c r="U525" s="152"/>
      <c r="V525" s="150" t="s">
        <v>330</v>
      </c>
      <c r="W525" s="151"/>
      <c r="X525" s="150" t="s">
        <v>331</v>
      </c>
      <c r="Y525" s="150" t="s">
        <v>343</v>
      </c>
      <c r="Z525" s="150" t="s">
        <v>343</v>
      </c>
      <c r="AA525" s="150" t="s">
        <v>334</v>
      </c>
      <c r="AB525" s="153">
        <v>0</v>
      </c>
      <c r="AC525" s="151"/>
      <c r="AD525" s="150"/>
      <c r="AE525" s="151"/>
      <c r="AF525" s="150" t="s">
        <v>48</v>
      </c>
      <c r="AG525" s="152" t="s">
        <v>992</v>
      </c>
      <c r="AH525" s="150" t="s">
        <v>326</v>
      </c>
      <c r="AI525" s="99"/>
      <c r="AJ525" s="149"/>
      <c r="AK525" s="99"/>
      <c r="AL525" s="149"/>
      <c r="AM525" s="99"/>
      <c r="AN525" s="149">
        <v>0</v>
      </c>
      <c r="AO525" s="149">
        <v>-2</v>
      </c>
      <c r="AP525" s="149">
        <v>-11</v>
      </c>
      <c r="AQ525" s="149">
        <v>-1</v>
      </c>
      <c r="AR525" s="149">
        <v>0</v>
      </c>
      <c r="AS525" s="149">
        <v>0</v>
      </c>
      <c r="AT525" s="149">
        <v>0</v>
      </c>
      <c r="AU525" s="149">
        <v>0</v>
      </c>
      <c r="AV525" s="149">
        <v>-2</v>
      </c>
      <c r="AW525" s="149">
        <v>-11</v>
      </c>
      <c r="AX525" s="149">
        <v>-1</v>
      </c>
      <c r="AY525" s="149">
        <v>0</v>
      </c>
      <c r="AZ525" s="149">
        <v>0</v>
      </c>
      <c r="BA525" s="149">
        <v>0</v>
      </c>
      <c r="BB525" s="149">
        <v>0</v>
      </c>
      <c r="BC525" s="149">
        <v>0</v>
      </c>
      <c r="BD525" s="149">
        <v>0</v>
      </c>
      <c r="BE525" s="149">
        <v>0</v>
      </c>
      <c r="BF525" s="149">
        <v>0</v>
      </c>
      <c r="BG525" s="149">
        <v>0</v>
      </c>
      <c r="BH525" s="149">
        <v>0</v>
      </c>
      <c r="BI525" s="149">
        <v>0</v>
      </c>
      <c r="BJ525" s="149">
        <v>0</v>
      </c>
      <c r="BK525" s="149">
        <v>0</v>
      </c>
      <c r="BL525" s="149">
        <v>0</v>
      </c>
      <c r="BM525" s="149">
        <v>0</v>
      </c>
      <c r="BN525" s="149">
        <v>0</v>
      </c>
      <c r="BO525" s="149">
        <v>0</v>
      </c>
      <c r="BP525" s="152"/>
      <c r="BQ525" s="152"/>
      <c r="BR525" s="154" t="s">
        <v>148</v>
      </c>
      <c r="BS525" s="136">
        <v>10</v>
      </c>
      <c r="BT525" s="267"/>
      <c r="BU525" s="267"/>
      <c r="BV525" s="267"/>
      <c r="BW525" s="267"/>
      <c r="BX525" s="267">
        <f t="shared" si="43"/>
        <v>-4.666666666666667</v>
      </c>
      <c r="BY525" s="267">
        <f t="shared" si="44"/>
        <v>-4.666666666666667</v>
      </c>
      <c r="BZ525" s="267">
        <f t="shared" si="45"/>
        <v>-4.666666666666667</v>
      </c>
      <c r="CA525" s="267"/>
      <c r="CB525" s="267"/>
      <c r="CC525" s="267"/>
      <c r="CD525" s="267"/>
      <c r="CE525" s="267"/>
      <c r="CF525" s="267"/>
      <c r="CG525" s="267"/>
      <c r="CH525" s="267"/>
      <c r="CI525" s="267"/>
      <c r="CJ525" s="267"/>
      <c r="CK525" s="267"/>
      <c r="CL525" s="267"/>
      <c r="CM525" s="267"/>
      <c r="CN525" s="101">
        <f t="shared" si="41"/>
        <v>-9.3333333333333339</v>
      </c>
      <c r="CO525" s="101">
        <f t="shared" si="42"/>
        <v>-14</v>
      </c>
    </row>
    <row r="526" spans="1:93" ht="13.9" customHeight="1" x14ac:dyDescent="0.2">
      <c r="A526" s="149">
        <v>1627</v>
      </c>
      <c r="B526" s="150" t="s">
        <v>1216</v>
      </c>
      <c r="C526" s="150" t="s">
        <v>1558</v>
      </c>
      <c r="D526" s="150" t="s">
        <v>1559</v>
      </c>
      <c r="E526" s="150" t="s">
        <v>326</v>
      </c>
      <c r="F526" s="149">
        <v>527243</v>
      </c>
      <c r="G526" s="149">
        <v>171511</v>
      </c>
      <c r="H526" s="150" t="s">
        <v>173</v>
      </c>
      <c r="I526" s="151"/>
      <c r="J526" s="151"/>
      <c r="K526" s="149">
        <v>2</v>
      </c>
      <c r="L526" s="149">
        <v>1</v>
      </c>
      <c r="M526" s="149">
        <v>-1</v>
      </c>
      <c r="N526" s="149">
        <v>1</v>
      </c>
      <c r="O526" s="149">
        <v>-1</v>
      </c>
      <c r="P526" s="152"/>
      <c r="Q526" s="150" t="s">
        <v>1560</v>
      </c>
      <c r="R526" s="150" t="s">
        <v>349</v>
      </c>
      <c r="S526" s="151">
        <v>43501</v>
      </c>
      <c r="T526" s="151">
        <v>43557</v>
      </c>
      <c r="U526" s="152"/>
      <c r="V526" s="150" t="s">
        <v>330</v>
      </c>
      <c r="W526" s="151"/>
      <c r="X526" s="150" t="s">
        <v>331</v>
      </c>
      <c r="Y526" s="150" t="s">
        <v>350</v>
      </c>
      <c r="Z526" s="150" t="s">
        <v>334</v>
      </c>
      <c r="AA526" s="150" t="s">
        <v>18</v>
      </c>
      <c r="AB526" s="153">
        <v>1.0999999999999999E-2</v>
      </c>
      <c r="AC526" s="151"/>
      <c r="AD526" s="150"/>
      <c r="AE526" s="151"/>
      <c r="AF526" s="150" t="s">
        <v>70</v>
      </c>
      <c r="AG526" s="152" t="s">
        <v>352</v>
      </c>
      <c r="AH526" s="150" t="s">
        <v>326</v>
      </c>
      <c r="AI526" s="99"/>
      <c r="AJ526" s="149"/>
      <c r="AK526" s="99"/>
      <c r="AL526" s="149"/>
      <c r="AM526" s="99"/>
      <c r="AN526" s="149">
        <v>0</v>
      </c>
      <c r="AO526" s="149">
        <v>0</v>
      </c>
      <c r="AP526" s="149">
        <v>-1</v>
      </c>
      <c r="AQ526" s="149">
        <v>-1</v>
      </c>
      <c r="AR526" s="149">
        <v>0</v>
      </c>
      <c r="AS526" s="149">
        <v>1</v>
      </c>
      <c r="AT526" s="149">
        <v>0</v>
      </c>
      <c r="AU526" s="149">
        <v>0</v>
      </c>
      <c r="AV526" s="149">
        <v>0</v>
      </c>
      <c r="AW526" s="149">
        <v>-1</v>
      </c>
      <c r="AX526" s="149">
        <v>-1</v>
      </c>
      <c r="AY526" s="149">
        <v>0</v>
      </c>
      <c r="AZ526" s="149">
        <v>0</v>
      </c>
      <c r="BA526" s="149">
        <v>0</v>
      </c>
      <c r="BB526" s="149">
        <v>0</v>
      </c>
      <c r="BC526" s="149">
        <v>0</v>
      </c>
      <c r="BD526" s="149">
        <v>0</v>
      </c>
      <c r="BE526" s="149">
        <v>0</v>
      </c>
      <c r="BF526" s="149">
        <v>0</v>
      </c>
      <c r="BG526" s="149">
        <v>1</v>
      </c>
      <c r="BH526" s="149">
        <v>0</v>
      </c>
      <c r="BI526" s="149">
        <v>0</v>
      </c>
      <c r="BJ526" s="149">
        <v>0</v>
      </c>
      <c r="BK526" s="149">
        <v>0</v>
      </c>
      <c r="BL526" s="149">
        <v>0</v>
      </c>
      <c r="BM526" s="149">
        <v>0</v>
      </c>
      <c r="BN526" s="149">
        <v>0</v>
      </c>
      <c r="BO526" s="149">
        <v>0</v>
      </c>
      <c r="BP526" s="152"/>
      <c r="BQ526" s="152"/>
      <c r="BR526" s="154" t="s">
        <v>142</v>
      </c>
      <c r="BS526" s="136">
        <v>15</v>
      </c>
      <c r="BT526" s="267"/>
      <c r="BU526" s="267">
        <f t="shared" ref="BU526:BU538" si="46">M526/4</f>
        <v>-0.25</v>
      </c>
      <c r="BV526" s="267">
        <f t="shared" ref="BV526:BV538" si="47">M526/4</f>
        <v>-0.25</v>
      </c>
      <c r="BW526" s="267">
        <f t="shared" ref="BW526:BW538" si="48">M526/4</f>
        <v>-0.25</v>
      </c>
      <c r="BX526" s="267">
        <f t="shared" ref="BX526:BX538" si="49">M526/4</f>
        <v>-0.25</v>
      </c>
      <c r="BY526" s="267"/>
      <c r="BZ526" s="267"/>
      <c r="CA526" s="267"/>
      <c r="CB526" s="267"/>
      <c r="CC526" s="267"/>
      <c r="CD526" s="267"/>
      <c r="CE526" s="267"/>
      <c r="CF526" s="267"/>
      <c r="CG526" s="267"/>
      <c r="CH526" s="267"/>
      <c r="CI526" s="267"/>
      <c r="CJ526" s="267"/>
      <c r="CK526" s="267"/>
      <c r="CL526" s="267"/>
      <c r="CM526" s="267"/>
      <c r="CN526" s="101">
        <f t="shared" si="41"/>
        <v>-1</v>
      </c>
      <c r="CO526" s="101">
        <f t="shared" si="42"/>
        <v>-1</v>
      </c>
    </row>
    <row r="527" spans="1:93" ht="13.9" customHeight="1" x14ac:dyDescent="0.2">
      <c r="A527" s="149">
        <v>7130</v>
      </c>
      <c r="B527" s="150" t="s">
        <v>1216</v>
      </c>
      <c r="C527" s="150" t="s">
        <v>1561</v>
      </c>
      <c r="D527" s="150" t="s">
        <v>1562</v>
      </c>
      <c r="E527" s="150" t="s">
        <v>326</v>
      </c>
      <c r="F527" s="149">
        <v>527830</v>
      </c>
      <c r="G527" s="149">
        <v>174273</v>
      </c>
      <c r="H527" s="150" t="s">
        <v>165</v>
      </c>
      <c r="I527" s="151"/>
      <c r="J527" s="151"/>
      <c r="K527" s="149">
        <v>0</v>
      </c>
      <c r="L527" s="149">
        <v>1</v>
      </c>
      <c r="M527" s="149">
        <v>1</v>
      </c>
      <c r="N527" s="149">
        <v>2</v>
      </c>
      <c r="O527" s="149">
        <v>1</v>
      </c>
      <c r="P527" s="152"/>
      <c r="Q527" s="150" t="s">
        <v>1563</v>
      </c>
      <c r="R527" s="150" t="s">
        <v>349</v>
      </c>
      <c r="S527" s="151">
        <v>43676</v>
      </c>
      <c r="T527" s="151">
        <v>43725</v>
      </c>
      <c r="U527" s="152"/>
      <c r="V527" s="150" t="s">
        <v>330</v>
      </c>
      <c r="W527" s="151"/>
      <c r="X527" s="150" t="s">
        <v>331</v>
      </c>
      <c r="Y527" s="150" t="s">
        <v>398</v>
      </c>
      <c r="Z527" s="150" t="s">
        <v>334</v>
      </c>
      <c r="AA527" s="150" t="s">
        <v>413</v>
      </c>
      <c r="AB527" s="153">
        <v>7.0000000000000001E-3</v>
      </c>
      <c r="AC527" s="151"/>
      <c r="AD527" s="150"/>
      <c r="AE527" s="151"/>
      <c r="AF527" s="150" t="s">
        <v>70</v>
      </c>
      <c r="AG527" s="152" t="s">
        <v>352</v>
      </c>
      <c r="AH527" s="150" t="s">
        <v>326</v>
      </c>
      <c r="AI527" s="99"/>
      <c r="AJ527" s="149"/>
      <c r="AK527" s="99"/>
      <c r="AL527" s="149"/>
      <c r="AM527" s="99"/>
      <c r="AN527" s="149">
        <v>0</v>
      </c>
      <c r="AO527" s="149">
        <v>0</v>
      </c>
      <c r="AP527" s="149">
        <v>1</v>
      </c>
      <c r="AQ527" s="149">
        <v>0</v>
      </c>
      <c r="AR527" s="149">
        <v>0</v>
      </c>
      <c r="AS527" s="149">
        <v>0</v>
      </c>
      <c r="AT527" s="149">
        <v>0</v>
      </c>
      <c r="AU527" s="149">
        <v>0</v>
      </c>
      <c r="AV527" s="149">
        <v>0</v>
      </c>
      <c r="AW527" s="149">
        <v>1</v>
      </c>
      <c r="AX527" s="149">
        <v>0</v>
      </c>
      <c r="AY527" s="149">
        <v>0</v>
      </c>
      <c r="AZ527" s="149">
        <v>0</v>
      </c>
      <c r="BA527" s="149">
        <v>0</v>
      </c>
      <c r="BB527" s="149">
        <v>0</v>
      </c>
      <c r="BC527" s="149">
        <v>0</v>
      </c>
      <c r="BD527" s="149">
        <v>0</v>
      </c>
      <c r="BE527" s="149">
        <v>0</v>
      </c>
      <c r="BF527" s="149">
        <v>0</v>
      </c>
      <c r="BG527" s="149">
        <v>0</v>
      </c>
      <c r="BH527" s="149">
        <v>0</v>
      </c>
      <c r="BI527" s="149">
        <v>0</v>
      </c>
      <c r="BJ527" s="149">
        <v>0</v>
      </c>
      <c r="BK527" s="149">
        <v>0</v>
      </c>
      <c r="BL527" s="149">
        <v>0</v>
      </c>
      <c r="BM527" s="149">
        <v>0</v>
      </c>
      <c r="BN527" s="149">
        <v>0</v>
      </c>
      <c r="BO527" s="149">
        <v>0</v>
      </c>
      <c r="BP527" s="152"/>
      <c r="BQ527" s="152"/>
      <c r="BR527" s="154" t="s">
        <v>359</v>
      </c>
      <c r="BS527" s="136">
        <v>15</v>
      </c>
      <c r="BT527" s="267"/>
      <c r="BU527" s="267">
        <f t="shared" si="46"/>
        <v>0.25</v>
      </c>
      <c r="BV527" s="267">
        <f t="shared" si="47"/>
        <v>0.25</v>
      </c>
      <c r="BW527" s="267">
        <f t="shared" si="48"/>
        <v>0.25</v>
      </c>
      <c r="BX527" s="267">
        <f t="shared" si="49"/>
        <v>0.25</v>
      </c>
      <c r="BY527" s="267"/>
      <c r="BZ527" s="267"/>
      <c r="CA527" s="267"/>
      <c r="CB527" s="267"/>
      <c r="CC527" s="267"/>
      <c r="CD527" s="267"/>
      <c r="CE527" s="267"/>
      <c r="CF527" s="267"/>
      <c r="CG527" s="267"/>
      <c r="CH527" s="267"/>
      <c r="CI527" s="267"/>
      <c r="CJ527" s="267"/>
      <c r="CK527" s="267"/>
      <c r="CL527" s="267"/>
      <c r="CM527" s="267"/>
      <c r="CN527" s="101">
        <f t="shared" si="41"/>
        <v>1</v>
      </c>
      <c r="CO527" s="101">
        <f t="shared" si="42"/>
        <v>1</v>
      </c>
    </row>
    <row r="528" spans="1:93" ht="13.9" customHeight="1" x14ac:dyDescent="0.2">
      <c r="A528" s="149">
        <v>7130</v>
      </c>
      <c r="B528" s="150" t="s">
        <v>1216</v>
      </c>
      <c r="C528" s="150" t="s">
        <v>1561</v>
      </c>
      <c r="D528" s="150" t="s">
        <v>1562</v>
      </c>
      <c r="E528" s="150" t="s">
        <v>326</v>
      </c>
      <c r="F528" s="149">
        <v>527830</v>
      </c>
      <c r="G528" s="149">
        <v>174273</v>
      </c>
      <c r="H528" s="150" t="s">
        <v>165</v>
      </c>
      <c r="I528" s="151"/>
      <c r="J528" s="151"/>
      <c r="K528" s="149">
        <v>1</v>
      </c>
      <c r="L528" s="149">
        <v>1</v>
      </c>
      <c r="M528" s="149">
        <v>0</v>
      </c>
      <c r="N528" s="149">
        <v>2</v>
      </c>
      <c r="O528" s="149">
        <v>1</v>
      </c>
      <c r="P528" s="152"/>
      <c r="Q528" s="150" t="s">
        <v>1563</v>
      </c>
      <c r="R528" s="150" t="s">
        <v>349</v>
      </c>
      <c r="S528" s="151">
        <v>43676</v>
      </c>
      <c r="T528" s="151">
        <v>43725</v>
      </c>
      <c r="U528" s="152"/>
      <c r="V528" s="150" t="s">
        <v>330</v>
      </c>
      <c r="W528" s="151"/>
      <c r="X528" s="150" t="s">
        <v>331</v>
      </c>
      <c r="Y528" s="150" t="s">
        <v>398</v>
      </c>
      <c r="Z528" s="150" t="s">
        <v>334</v>
      </c>
      <c r="AA528" s="150" t="s">
        <v>16</v>
      </c>
      <c r="AB528" s="153">
        <v>7.0000000000000001E-3</v>
      </c>
      <c r="AC528" s="151"/>
      <c r="AD528" s="150"/>
      <c r="AE528" s="151"/>
      <c r="AF528" s="150" t="s">
        <v>70</v>
      </c>
      <c r="AG528" s="152" t="s">
        <v>352</v>
      </c>
      <c r="AH528" s="150" t="s">
        <v>326</v>
      </c>
      <c r="AI528" s="99"/>
      <c r="AJ528" s="149"/>
      <c r="AK528" s="99"/>
      <c r="AL528" s="149"/>
      <c r="AM528" s="99"/>
      <c r="AN528" s="149">
        <v>0</v>
      </c>
      <c r="AO528" s="149">
        <v>0</v>
      </c>
      <c r="AP528" s="149">
        <v>0</v>
      </c>
      <c r="AQ528" s="149">
        <v>1</v>
      </c>
      <c r="AR528" s="149">
        <v>-1</v>
      </c>
      <c r="AS528" s="149">
        <v>0</v>
      </c>
      <c r="AT528" s="149">
        <v>0</v>
      </c>
      <c r="AU528" s="149">
        <v>0</v>
      </c>
      <c r="AV528" s="149">
        <v>0</v>
      </c>
      <c r="AW528" s="149">
        <v>0</v>
      </c>
      <c r="AX528" s="149">
        <v>1</v>
      </c>
      <c r="AY528" s="149">
        <v>0</v>
      </c>
      <c r="AZ528" s="149">
        <v>0</v>
      </c>
      <c r="BA528" s="149">
        <v>0</v>
      </c>
      <c r="BB528" s="149">
        <v>0</v>
      </c>
      <c r="BC528" s="149">
        <v>0</v>
      </c>
      <c r="BD528" s="149">
        <v>0</v>
      </c>
      <c r="BE528" s="149">
        <v>0</v>
      </c>
      <c r="BF528" s="149">
        <v>-1</v>
      </c>
      <c r="BG528" s="149">
        <v>0</v>
      </c>
      <c r="BH528" s="149">
        <v>0</v>
      </c>
      <c r="BI528" s="149">
        <v>0</v>
      </c>
      <c r="BJ528" s="149">
        <v>0</v>
      </c>
      <c r="BK528" s="149">
        <v>0</v>
      </c>
      <c r="BL528" s="149">
        <v>0</v>
      </c>
      <c r="BM528" s="149">
        <v>0</v>
      </c>
      <c r="BN528" s="149">
        <v>0</v>
      </c>
      <c r="BO528" s="149">
        <v>0</v>
      </c>
      <c r="BP528" s="152"/>
      <c r="BQ528" s="152"/>
      <c r="BR528" s="154" t="s">
        <v>359</v>
      </c>
      <c r="BS528" s="136">
        <v>15</v>
      </c>
      <c r="BT528" s="267"/>
      <c r="BU528" s="267">
        <f t="shared" si="46"/>
        <v>0</v>
      </c>
      <c r="BV528" s="267">
        <f t="shared" si="47"/>
        <v>0</v>
      </c>
      <c r="BW528" s="267">
        <f t="shared" si="48"/>
        <v>0</v>
      </c>
      <c r="BX528" s="267">
        <f t="shared" si="49"/>
        <v>0</v>
      </c>
      <c r="BY528" s="267"/>
      <c r="BZ528" s="267"/>
      <c r="CA528" s="267"/>
      <c r="CB528" s="267"/>
      <c r="CC528" s="267"/>
      <c r="CD528" s="267"/>
      <c r="CE528" s="267"/>
      <c r="CF528" s="267"/>
      <c r="CG528" s="267"/>
      <c r="CH528" s="267"/>
      <c r="CI528" s="267"/>
      <c r="CJ528" s="267"/>
      <c r="CK528" s="267"/>
      <c r="CL528" s="267"/>
      <c r="CM528" s="267"/>
      <c r="CN528" s="101">
        <f t="shared" si="41"/>
        <v>0</v>
      </c>
      <c r="CO528" s="101">
        <f t="shared" si="42"/>
        <v>0</v>
      </c>
    </row>
    <row r="529" spans="1:93" ht="13.9" customHeight="1" x14ac:dyDescent="0.2">
      <c r="A529" s="149">
        <v>5147</v>
      </c>
      <c r="B529" s="150" t="s">
        <v>1216</v>
      </c>
      <c r="C529" s="150" t="s">
        <v>1564</v>
      </c>
      <c r="D529" s="150" t="s">
        <v>1565</v>
      </c>
      <c r="E529" s="150" t="s">
        <v>326</v>
      </c>
      <c r="F529" s="149">
        <v>525825</v>
      </c>
      <c r="G529" s="149">
        <v>174893</v>
      </c>
      <c r="H529" s="150" t="s">
        <v>177</v>
      </c>
      <c r="I529" s="151"/>
      <c r="J529" s="151"/>
      <c r="K529" s="149">
        <v>0</v>
      </c>
      <c r="L529" s="149">
        <v>1</v>
      </c>
      <c r="M529" s="149">
        <v>1</v>
      </c>
      <c r="N529" s="149">
        <v>1</v>
      </c>
      <c r="O529" s="149">
        <v>1</v>
      </c>
      <c r="P529" s="152"/>
      <c r="Q529" s="150" t="s">
        <v>1566</v>
      </c>
      <c r="R529" s="150" t="s">
        <v>349</v>
      </c>
      <c r="S529" s="151">
        <v>43539</v>
      </c>
      <c r="T529" s="151">
        <v>43662</v>
      </c>
      <c r="U529" s="152"/>
      <c r="V529" s="150" t="s">
        <v>330</v>
      </c>
      <c r="W529" s="151"/>
      <c r="X529" s="150" t="s">
        <v>331</v>
      </c>
      <c r="Y529" s="150" t="s">
        <v>332</v>
      </c>
      <c r="Z529" s="150" t="s">
        <v>334</v>
      </c>
      <c r="AA529" s="150" t="s">
        <v>32</v>
      </c>
      <c r="AB529" s="153">
        <v>6.0000000000000001E-3</v>
      </c>
      <c r="AC529" s="151"/>
      <c r="AD529" s="150"/>
      <c r="AE529" s="151"/>
      <c r="AF529" s="150" t="s">
        <v>70</v>
      </c>
      <c r="AG529" s="152" t="s">
        <v>352</v>
      </c>
      <c r="AH529" s="150" t="s">
        <v>326</v>
      </c>
      <c r="AI529" s="99"/>
      <c r="AJ529" s="149"/>
      <c r="AK529" s="99"/>
      <c r="AL529" s="149"/>
      <c r="AM529" s="99"/>
      <c r="AN529" s="149">
        <v>0</v>
      </c>
      <c r="AO529" s="149">
        <v>1</v>
      </c>
      <c r="AP529" s="149">
        <v>0</v>
      </c>
      <c r="AQ529" s="149">
        <v>0</v>
      </c>
      <c r="AR529" s="149">
        <v>0</v>
      </c>
      <c r="AS529" s="149">
        <v>0</v>
      </c>
      <c r="AT529" s="149">
        <v>0</v>
      </c>
      <c r="AU529" s="149">
        <v>0</v>
      </c>
      <c r="AV529" s="149">
        <v>1</v>
      </c>
      <c r="AW529" s="149">
        <v>0</v>
      </c>
      <c r="AX529" s="149">
        <v>0</v>
      </c>
      <c r="AY529" s="149">
        <v>0</v>
      </c>
      <c r="AZ529" s="149">
        <v>0</v>
      </c>
      <c r="BA529" s="149">
        <v>0</v>
      </c>
      <c r="BB529" s="149">
        <v>0</v>
      </c>
      <c r="BC529" s="149">
        <v>0</v>
      </c>
      <c r="BD529" s="149">
        <v>0</v>
      </c>
      <c r="BE529" s="149">
        <v>0</v>
      </c>
      <c r="BF529" s="149">
        <v>0</v>
      </c>
      <c r="BG529" s="149">
        <v>0</v>
      </c>
      <c r="BH529" s="149">
        <v>0</v>
      </c>
      <c r="BI529" s="149">
        <v>0</v>
      </c>
      <c r="BJ529" s="149">
        <v>0</v>
      </c>
      <c r="BK529" s="149">
        <v>0</v>
      </c>
      <c r="BL529" s="149">
        <v>0</v>
      </c>
      <c r="BM529" s="149">
        <v>0</v>
      </c>
      <c r="BN529" s="149">
        <v>0</v>
      </c>
      <c r="BO529" s="149">
        <v>0</v>
      </c>
      <c r="BP529" s="152"/>
      <c r="BQ529" s="152"/>
      <c r="BR529" s="154" t="s">
        <v>463</v>
      </c>
      <c r="BS529" s="136">
        <v>15</v>
      </c>
      <c r="BT529" s="267"/>
      <c r="BU529" s="267">
        <f t="shared" si="46"/>
        <v>0.25</v>
      </c>
      <c r="BV529" s="267">
        <f t="shared" si="47"/>
        <v>0.25</v>
      </c>
      <c r="BW529" s="267">
        <f t="shared" si="48"/>
        <v>0.25</v>
      </c>
      <c r="BX529" s="267">
        <f t="shared" si="49"/>
        <v>0.25</v>
      </c>
      <c r="BY529" s="267"/>
      <c r="BZ529" s="267"/>
      <c r="CA529" s="267"/>
      <c r="CB529" s="267"/>
      <c r="CC529" s="267"/>
      <c r="CD529" s="267"/>
      <c r="CE529" s="267"/>
      <c r="CF529" s="267"/>
      <c r="CG529" s="267"/>
      <c r="CH529" s="267"/>
      <c r="CI529" s="267"/>
      <c r="CJ529" s="267"/>
      <c r="CK529" s="267"/>
      <c r="CL529" s="267"/>
      <c r="CM529" s="267"/>
      <c r="CN529" s="101">
        <f t="shared" si="41"/>
        <v>1</v>
      </c>
      <c r="CO529" s="101">
        <f t="shared" si="42"/>
        <v>1</v>
      </c>
    </row>
    <row r="530" spans="1:93" ht="13.9" customHeight="1" x14ac:dyDescent="0.2">
      <c r="A530" s="149">
        <v>7076</v>
      </c>
      <c r="B530" s="150" t="s">
        <v>1216</v>
      </c>
      <c r="C530" s="150" t="s">
        <v>1567</v>
      </c>
      <c r="D530" s="150" t="s">
        <v>1568</v>
      </c>
      <c r="E530" s="150" t="s">
        <v>958</v>
      </c>
      <c r="F530" s="149">
        <v>527497</v>
      </c>
      <c r="G530" s="149">
        <v>171501</v>
      </c>
      <c r="H530" s="150" t="s">
        <v>173</v>
      </c>
      <c r="I530" s="151"/>
      <c r="J530" s="151"/>
      <c r="K530" s="149">
        <v>7</v>
      </c>
      <c r="L530" s="149">
        <v>7</v>
      </c>
      <c r="M530" s="149">
        <v>0</v>
      </c>
      <c r="N530" s="149">
        <v>11</v>
      </c>
      <c r="O530" s="149">
        <v>4</v>
      </c>
      <c r="P530" s="152" t="s">
        <v>327</v>
      </c>
      <c r="Q530" s="150" t="s">
        <v>1569</v>
      </c>
      <c r="R530" s="150" t="s">
        <v>349</v>
      </c>
      <c r="S530" s="151">
        <v>43570</v>
      </c>
      <c r="T530" s="151">
        <v>43626</v>
      </c>
      <c r="U530" s="152"/>
      <c r="V530" s="150" t="s">
        <v>330</v>
      </c>
      <c r="W530" s="151"/>
      <c r="X530" s="150" t="s">
        <v>331</v>
      </c>
      <c r="Y530" s="150" t="s">
        <v>398</v>
      </c>
      <c r="Z530" s="150" t="s">
        <v>1307</v>
      </c>
      <c r="AA530" s="150" t="s">
        <v>334</v>
      </c>
      <c r="AB530" s="153">
        <v>2.3E-2</v>
      </c>
      <c r="AC530" s="151"/>
      <c r="AD530" s="150"/>
      <c r="AE530" s="151"/>
      <c r="AF530" s="150" t="s">
        <v>70</v>
      </c>
      <c r="AG530" s="152" t="s">
        <v>352</v>
      </c>
      <c r="AH530" s="150" t="s">
        <v>336</v>
      </c>
      <c r="AI530" s="99"/>
      <c r="AJ530" s="149"/>
      <c r="AK530" s="99"/>
      <c r="AL530" s="149"/>
      <c r="AM530" s="99"/>
      <c r="AN530" s="149">
        <v>2</v>
      </c>
      <c r="AO530" s="149">
        <v>0</v>
      </c>
      <c r="AP530" s="149">
        <v>3</v>
      </c>
      <c r="AQ530" s="149">
        <v>-4</v>
      </c>
      <c r="AR530" s="149">
        <v>-1</v>
      </c>
      <c r="AS530" s="149">
        <v>0</v>
      </c>
      <c r="AT530" s="149">
        <v>0</v>
      </c>
      <c r="AU530" s="149">
        <v>2</v>
      </c>
      <c r="AV530" s="149">
        <v>0</v>
      </c>
      <c r="AW530" s="149">
        <v>3</v>
      </c>
      <c r="AX530" s="149">
        <v>-4</v>
      </c>
      <c r="AY530" s="149">
        <v>-1</v>
      </c>
      <c r="AZ530" s="149">
        <v>0</v>
      </c>
      <c r="BA530" s="149">
        <v>0</v>
      </c>
      <c r="BB530" s="149">
        <v>0</v>
      </c>
      <c r="BC530" s="149">
        <v>0</v>
      </c>
      <c r="BD530" s="149">
        <v>0</v>
      </c>
      <c r="BE530" s="149">
        <v>0</v>
      </c>
      <c r="BF530" s="149">
        <v>0</v>
      </c>
      <c r="BG530" s="149">
        <v>0</v>
      </c>
      <c r="BH530" s="149">
        <v>0</v>
      </c>
      <c r="BI530" s="149">
        <v>0</v>
      </c>
      <c r="BJ530" s="149">
        <v>0</v>
      </c>
      <c r="BK530" s="149">
        <v>0</v>
      </c>
      <c r="BL530" s="149">
        <v>0</v>
      </c>
      <c r="BM530" s="149">
        <v>0</v>
      </c>
      <c r="BN530" s="149">
        <v>0</v>
      </c>
      <c r="BO530" s="149">
        <v>0</v>
      </c>
      <c r="BP530" s="152" t="s">
        <v>142</v>
      </c>
      <c r="BQ530" s="152"/>
      <c r="BR530" s="154" t="s">
        <v>142</v>
      </c>
      <c r="BS530" s="136">
        <v>18</v>
      </c>
      <c r="BT530" s="267"/>
      <c r="BU530" s="267">
        <f t="shared" si="46"/>
        <v>0</v>
      </c>
      <c r="BV530" s="267">
        <f t="shared" si="47"/>
        <v>0</v>
      </c>
      <c r="BW530" s="267">
        <f t="shared" si="48"/>
        <v>0</v>
      </c>
      <c r="BX530" s="267">
        <f t="shared" si="49"/>
        <v>0</v>
      </c>
      <c r="BY530" s="267"/>
      <c r="BZ530" s="267"/>
      <c r="CA530" s="267"/>
      <c r="CB530" s="267"/>
      <c r="CC530" s="267"/>
      <c r="CD530" s="267"/>
      <c r="CE530" s="267"/>
      <c r="CF530" s="267"/>
      <c r="CG530" s="267"/>
      <c r="CH530" s="267"/>
      <c r="CI530" s="267"/>
      <c r="CJ530" s="267"/>
      <c r="CK530" s="267"/>
      <c r="CL530" s="267"/>
      <c r="CM530" s="267"/>
      <c r="CN530" s="101">
        <f t="shared" si="41"/>
        <v>0</v>
      </c>
      <c r="CO530" s="101">
        <f t="shared" si="42"/>
        <v>0</v>
      </c>
    </row>
    <row r="531" spans="1:93" ht="13.9" customHeight="1" x14ac:dyDescent="0.2">
      <c r="A531" s="149">
        <v>7076</v>
      </c>
      <c r="B531" s="150" t="s">
        <v>1216</v>
      </c>
      <c r="C531" s="150" t="s">
        <v>1567</v>
      </c>
      <c r="D531" s="150" t="s">
        <v>1568</v>
      </c>
      <c r="E531" s="150" t="s">
        <v>1570</v>
      </c>
      <c r="F531" s="149">
        <v>527497</v>
      </c>
      <c r="G531" s="149">
        <v>171501</v>
      </c>
      <c r="H531" s="150" t="s">
        <v>173</v>
      </c>
      <c r="I531" s="151"/>
      <c r="J531" s="151"/>
      <c r="K531" s="149">
        <v>0</v>
      </c>
      <c r="L531" s="149">
        <v>4</v>
      </c>
      <c r="M531" s="149">
        <v>4</v>
      </c>
      <c r="N531" s="149">
        <v>11</v>
      </c>
      <c r="O531" s="149">
        <v>4</v>
      </c>
      <c r="P531" s="152" t="s">
        <v>327</v>
      </c>
      <c r="Q531" s="150" t="s">
        <v>1569</v>
      </c>
      <c r="R531" s="150" t="s">
        <v>349</v>
      </c>
      <c r="S531" s="151">
        <v>43570</v>
      </c>
      <c r="T531" s="151">
        <v>43626</v>
      </c>
      <c r="U531" s="152"/>
      <c r="V531" s="150" t="s">
        <v>330</v>
      </c>
      <c r="W531" s="151"/>
      <c r="X531" s="150" t="s">
        <v>331</v>
      </c>
      <c r="Y531" s="150" t="s">
        <v>398</v>
      </c>
      <c r="Z531" s="150" t="s">
        <v>491</v>
      </c>
      <c r="AA531" s="150" t="s">
        <v>334</v>
      </c>
      <c r="AB531" s="153">
        <v>8.9999999999999993E-3</v>
      </c>
      <c r="AC531" s="151"/>
      <c r="AD531" s="150"/>
      <c r="AE531" s="151"/>
      <c r="AF531" s="150" t="s">
        <v>70</v>
      </c>
      <c r="AG531" s="152" t="s">
        <v>352</v>
      </c>
      <c r="AH531" s="150" t="s">
        <v>336</v>
      </c>
      <c r="AI531" s="99"/>
      <c r="AJ531" s="149"/>
      <c r="AK531" s="99"/>
      <c r="AL531" s="149"/>
      <c r="AM531" s="99"/>
      <c r="AN531" s="149">
        <v>0</v>
      </c>
      <c r="AO531" s="149">
        <v>0</v>
      </c>
      <c r="AP531" s="149">
        <v>4</v>
      </c>
      <c r="AQ531" s="149">
        <v>0</v>
      </c>
      <c r="AR531" s="149">
        <v>0</v>
      </c>
      <c r="AS531" s="149">
        <v>0</v>
      </c>
      <c r="AT531" s="149">
        <v>0</v>
      </c>
      <c r="AU531" s="149">
        <v>0</v>
      </c>
      <c r="AV531" s="149">
        <v>0</v>
      </c>
      <c r="AW531" s="149">
        <v>4</v>
      </c>
      <c r="AX531" s="149">
        <v>0</v>
      </c>
      <c r="AY531" s="149">
        <v>0</v>
      </c>
      <c r="AZ531" s="149">
        <v>0</v>
      </c>
      <c r="BA531" s="149">
        <v>0</v>
      </c>
      <c r="BB531" s="149">
        <v>0</v>
      </c>
      <c r="BC531" s="149">
        <v>0</v>
      </c>
      <c r="BD531" s="149">
        <v>0</v>
      </c>
      <c r="BE531" s="149">
        <v>0</v>
      </c>
      <c r="BF531" s="149">
        <v>0</v>
      </c>
      <c r="BG531" s="149">
        <v>0</v>
      </c>
      <c r="BH531" s="149">
        <v>0</v>
      </c>
      <c r="BI531" s="149">
        <v>0</v>
      </c>
      <c r="BJ531" s="149">
        <v>0</v>
      </c>
      <c r="BK531" s="149">
        <v>0</v>
      </c>
      <c r="BL531" s="149">
        <v>0</v>
      </c>
      <c r="BM531" s="149">
        <v>0</v>
      </c>
      <c r="BN531" s="149">
        <v>0</v>
      </c>
      <c r="BO531" s="149">
        <v>0</v>
      </c>
      <c r="BP531" s="152" t="s">
        <v>142</v>
      </c>
      <c r="BQ531" s="152"/>
      <c r="BR531" s="154" t="s">
        <v>142</v>
      </c>
      <c r="BS531" s="136">
        <v>18</v>
      </c>
      <c r="BT531" s="267"/>
      <c r="BU531" s="267">
        <f t="shared" si="46"/>
        <v>1</v>
      </c>
      <c r="BV531" s="267">
        <f t="shared" si="47"/>
        <v>1</v>
      </c>
      <c r="BW531" s="267">
        <f t="shared" si="48"/>
        <v>1</v>
      </c>
      <c r="BX531" s="267">
        <f t="shared" si="49"/>
        <v>1</v>
      </c>
      <c r="BY531" s="267"/>
      <c r="BZ531" s="267"/>
      <c r="CA531" s="267"/>
      <c r="CB531" s="267"/>
      <c r="CC531" s="267"/>
      <c r="CD531" s="267"/>
      <c r="CE531" s="267"/>
      <c r="CF531" s="267"/>
      <c r="CG531" s="267"/>
      <c r="CH531" s="267"/>
      <c r="CI531" s="267"/>
      <c r="CJ531" s="267"/>
      <c r="CK531" s="267"/>
      <c r="CL531" s="267"/>
      <c r="CM531" s="267"/>
      <c r="CN531" s="101">
        <f t="shared" si="41"/>
        <v>4</v>
      </c>
      <c r="CO531" s="101">
        <f t="shared" si="42"/>
        <v>4</v>
      </c>
    </row>
    <row r="532" spans="1:93" ht="13.9" customHeight="1" x14ac:dyDescent="0.2">
      <c r="A532" s="149">
        <v>7163</v>
      </c>
      <c r="B532" s="150" t="s">
        <v>1216</v>
      </c>
      <c r="C532" s="150" t="s">
        <v>1571</v>
      </c>
      <c r="D532" s="150" t="s">
        <v>1572</v>
      </c>
      <c r="E532" s="150" t="s">
        <v>326</v>
      </c>
      <c r="F532" s="149">
        <v>526291</v>
      </c>
      <c r="G532" s="149">
        <v>173671</v>
      </c>
      <c r="H532" s="150" t="s">
        <v>175</v>
      </c>
      <c r="I532" s="151"/>
      <c r="J532" s="151"/>
      <c r="K532" s="149">
        <v>0</v>
      </c>
      <c r="L532" s="149">
        <v>1</v>
      </c>
      <c r="M532" s="149">
        <v>1</v>
      </c>
      <c r="N532" s="149">
        <v>1</v>
      </c>
      <c r="O532" s="149">
        <v>1</v>
      </c>
      <c r="P532" s="152"/>
      <c r="Q532" s="150" t="s">
        <v>1573</v>
      </c>
      <c r="R532" s="150" t="s">
        <v>349</v>
      </c>
      <c r="S532" s="151">
        <v>43571</v>
      </c>
      <c r="T532" s="151">
        <v>43662</v>
      </c>
      <c r="U532" s="152"/>
      <c r="V532" s="150" t="s">
        <v>330</v>
      </c>
      <c r="W532" s="151"/>
      <c r="X532" s="150" t="s">
        <v>331</v>
      </c>
      <c r="Y532" s="150" t="s">
        <v>491</v>
      </c>
      <c r="Z532" s="150" t="s">
        <v>334</v>
      </c>
      <c r="AA532" s="150" t="s">
        <v>413</v>
      </c>
      <c r="AB532" s="153">
        <v>5.0000000000000001E-3</v>
      </c>
      <c r="AC532" s="151"/>
      <c r="AD532" s="150"/>
      <c r="AE532" s="151"/>
      <c r="AF532" s="150" t="s">
        <v>70</v>
      </c>
      <c r="AG532" s="152" t="s">
        <v>352</v>
      </c>
      <c r="AH532" s="150" t="s">
        <v>326</v>
      </c>
      <c r="AI532" s="99"/>
      <c r="AJ532" s="149"/>
      <c r="AK532" s="99"/>
      <c r="AL532" s="149"/>
      <c r="AM532" s="99"/>
      <c r="AN532" s="149">
        <v>0</v>
      </c>
      <c r="AO532" s="149">
        <v>1</v>
      </c>
      <c r="AP532" s="149">
        <v>0</v>
      </c>
      <c r="AQ532" s="149">
        <v>0</v>
      </c>
      <c r="AR532" s="149">
        <v>0</v>
      </c>
      <c r="AS532" s="149">
        <v>0</v>
      </c>
      <c r="AT532" s="149">
        <v>0</v>
      </c>
      <c r="AU532" s="149">
        <v>0</v>
      </c>
      <c r="AV532" s="149">
        <v>1</v>
      </c>
      <c r="AW532" s="149">
        <v>0</v>
      </c>
      <c r="AX532" s="149">
        <v>0</v>
      </c>
      <c r="AY532" s="149">
        <v>0</v>
      </c>
      <c r="AZ532" s="149">
        <v>0</v>
      </c>
      <c r="BA532" s="149">
        <v>0</v>
      </c>
      <c r="BB532" s="149">
        <v>0</v>
      </c>
      <c r="BC532" s="149">
        <v>0</v>
      </c>
      <c r="BD532" s="149">
        <v>0</v>
      </c>
      <c r="BE532" s="149">
        <v>0</v>
      </c>
      <c r="BF532" s="149">
        <v>0</v>
      </c>
      <c r="BG532" s="149">
        <v>0</v>
      </c>
      <c r="BH532" s="149">
        <v>0</v>
      </c>
      <c r="BI532" s="149">
        <v>0</v>
      </c>
      <c r="BJ532" s="149">
        <v>0</v>
      </c>
      <c r="BK532" s="149">
        <v>0</v>
      </c>
      <c r="BL532" s="149">
        <v>0</v>
      </c>
      <c r="BM532" s="149">
        <v>0</v>
      </c>
      <c r="BN532" s="149">
        <v>0</v>
      </c>
      <c r="BO532" s="149">
        <v>0</v>
      </c>
      <c r="BP532" s="152"/>
      <c r="BQ532" s="152"/>
      <c r="BR532" s="154" t="s">
        <v>359</v>
      </c>
      <c r="BS532" s="136">
        <v>15</v>
      </c>
      <c r="BT532" s="267"/>
      <c r="BU532" s="267">
        <f t="shared" si="46"/>
        <v>0.25</v>
      </c>
      <c r="BV532" s="267">
        <f t="shared" si="47"/>
        <v>0.25</v>
      </c>
      <c r="BW532" s="267">
        <f t="shared" si="48"/>
        <v>0.25</v>
      </c>
      <c r="BX532" s="267">
        <f t="shared" si="49"/>
        <v>0.25</v>
      </c>
      <c r="BY532" s="267"/>
      <c r="BZ532" s="267"/>
      <c r="CA532" s="267"/>
      <c r="CB532" s="267"/>
      <c r="CC532" s="267"/>
      <c r="CD532" s="267"/>
      <c r="CE532" s="267"/>
      <c r="CF532" s="267"/>
      <c r="CG532" s="267"/>
      <c r="CH532" s="267"/>
      <c r="CI532" s="267"/>
      <c r="CJ532" s="267"/>
      <c r="CK532" s="267"/>
      <c r="CL532" s="267"/>
      <c r="CM532" s="267"/>
      <c r="CN532" s="101">
        <f t="shared" si="41"/>
        <v>1</v>
      </c>
      <c r="CO532" s="101">
        <f t="shared" si="42"/>
        <v>1</v>
      </c>
    </row>
    <row r="533" spans="1:93" ht="13.9" customHeight="1" x14ac:dyDescent="0.2">
      <c r="A533" s="149">
        <v>7188</v>
      </c>
      <c r="B533" s="150" t="s">
        <v>1216</v>
      </c>
      <c r="C533" s="150" t="s">
        <v>1574</v>
      </c>
      <c r="D533" s="150" t="s">
        <v>1575</v>
      </c>
      <c r="E533" s="150" t="s">
        <v>326</v>
      </c>
      <c r="F533" s="149">
        <v>528902</v>
      </c>
      <c r="G533" s="149">
        <v>172500</v>
      </c>
      <c r="H533" s="150" t="s">
        <v>168</v>
      </c>
      <c r="I533" s="151"/>
      <c r="J533" s="151"/>
      <c r="K533" s="149">
        <v>0</v>
      </c>
      <c r="L533" s="149">
        <v>2</v>
      </c>
      <c r="M533" s="149">
        <v>2</v>
      </c>
      <c r="N533" s="149">
        <v>2</v>
      </c>
      <c r="O533" s="149">
        <v>2</v>
      </c>
      <c r="P533" s="152"/>
      <c r="Q533" s="150" t="s">
        <v>1576</v>
      </c>
      <c r="R533" s="150" t="s">
        <v>349</v>
      </c>
      <c r="S533" s="151">
        <v>43633</v>
      </c>
      <c r="T533" s="151">
        <v>43707</v>
      </c>
      <c r="U533" s="152"/>
      <c r="V533" s="150" t="s">
        <v>330</v>
      </c>
      <c r="W533" s="151"/>
      <c r="X533" s="150" t="s">
        <v>331</v>
      </c>
      <c r="Y533" s="150" t="s">
        <v>491</v>
      </c>
      <c r="Z533" s="150" t="s">
        <v>334</v>
      </c>
      <c r="AA533" s="150" t="s">
        <v>413</v>
      </c>
      <c r="AB533" s="153">
        <v>1.2999999999999999E-2</v>
      </c>
      <c r="AC533" s="151"/>
      <c r="AD533" s="150"/>
      <c r="AE533" s="151"/>
      <c r="AF533" s="150" t="s">
        <v>70</v>
      </c>
      <c r="AG533" s="152" t="s">
        <v>352</v>
      </c>
      <c r="AH533" s="150" t="s">
        <v>326</v>
      </c>
      <c r="AI533" s="99"/>
      <c r="AJ533" s="149"/>
      <c r="AK533" s="99"/>
      <c r="AL533" s="149"/>
      <c r="AM533" s="99"/>
      <c r="AN533" s="149">
        <v>0</v>
      </c>
      <c r="AO533" s="149">
        <v>0</v>
      </c>
      <c r="AP533" s="149">
        <v>2</v>
      </c>
      <c r="AQ533" s="149">
        <v>0</v>
      </c>
      <c r="AR533" s="149">
        <v>0</v>
      </c>
      <c r="AS533" s="149">
        <v>0</v>
      </c>
      <c r="AT533" s="149">
        <v>0</v>
      </c>
      <c r="AU533" s="149">
        <v>0</v>
      </c>
      <c r="AV533" s="149">
        <v>0</v>
      </c>
      <c r="AW533" s="149">
        <v>2</v>
      </c>
      <c r="AX533" s="149">
        <v>0</v>
      </c>
      <c r="AY533" s="149">
        <v>0</v>
      </c>
      <c r="AZ533" s="149">
        <v>0</v>
      </c>
      <c r="BA533" s="149">
        <v>0</v>
      </c>
      <c r="BB533" s="149">
        <v>0</v>
      </c>
      <c r="BC533" s="149">
        <v>0</v>
      </c>
      <c r="BD533" s="149">
        <v>0</v>
      </c>
      <c r="BE533" s="149">
        <v>0</v>
      </c>
      <c r="BF533" s="149">
        <v>0</v>
      </c>
      <c r="BG533" s="149">
        <v>0</v>
      </c>
      <c r="BH533" s="149">
        <v>0</v>
      </c>
      <c r="BI533" s="149">
        <v>0</v>
      </c>
      <c r="BJ533" s="149">
        <v>0</v>
      </c>
      <c r="BK533" s="149">
        <v>0</v>
      </c>
      <c r="BL533" s="149">
        <v>0</v>
      </c>
      <c r="BM533" s="149">
        <v>0</v>
      </c>
      <c r="BN533" s="149">
        <v>0</v>
      </c>
      <c r="BO533" s="149">
        <v>0</v>
      </c>
      <c r="BP533" s="152"/>
      <c r="BQ533" s="152"/>
      <c r="BR533" s="154" t="s">
        <v>359</v>
      </c>
      <c r="BS533" s="136">
        <v>15</v>
      </c>
      <c r="BT533" s="267"/>
      <c r="BU533" s="267">
        <f t="shared" si="46"/>
        <v>0.5</v>
      </c>
      <c r="BV533" s="267">
        <f t="shared" si="47"/>
        <v>0.5</v>
      </c>
      <c r="BW533" s="267">
        <f t="shared" si="48"/>
        <v>0.5</v>
      </c>
      <c r="BX533" s="267">
        <f t="shared" si="49"/>
        <v>0.5</v>
      </c>
      <c r="BY533" s="267"/>
      <c r="BZ533" s="267"/>
      <c r="CA533" s="267"/>
      <c r="CB533" s="267"/>
      <c r="CC533" s="267"/>
      <c r="CD533" s="267"/>
      <c r="CE533" s="267"/>
      <c r="CF533" s="267"/>
      <c r="CG533" s="267"/>
      <c r="CH533" s="267"/>
      <c r="CI533" s="267"/>
      <c r="CJ533" s="267"/>
      <c r="CK533" s="267"/>
      <c r="CL533" s="267"/>
      <c r="CM533" s="267"/>
      <c r="CN533" s="101">
        <f t="shared" si="41"/>
        <v>2</v>
      </c>
      <c r="CO533" s="101">
        <f t="shared" si="42"/>
        <v>2</v>
      </c>
    </row>
    <row r="534" spans="1:93" ht="13.9" customHeight="1" x14ac:dyDescent="0.2">
      <c r="A534" s="149">
        <v>5607</v>
      </c>
      <c r="B534" s="150" t="s">
        <v>1216</v>
      </c>
      <c r="C534" s="150" t="s">
        <v>1577</v>
      </c>
      <c r="D534" s="150" t="s">
        <v>1578</v>
      </c>
      <c r="E534" s="150" t="s">
        <v>326</v>
      </c>
      <c r="F534" s="149">
        <v>528038</v>
      </c>
      <c r="G534" s="149">
        <v>174028</v>
      </c>
      <c r="H534" s="150" t="s">
        <v>139</v>
      </c>
      <c r="I534" s="151"/>
      <c r="J534" s="151"/>
      <c r="K534" s="149">
        <v>1</v>
      </c>
      <c r="L534" s="149">
        <v>2</v>
      </c>
      <c r="M534" s="149">
        <v>1</v>
      </c>
      <c r="N534" s="149">
        <v>2</v>
      </c>
      <c r="O534" s="149">
        <v>-1</v>
      </c>
      <c r="P534" s="152"/>
      <c r="Q534" s="150" t="s">
        <v>1579</v>
      </c>
      <c r="R534" s="150" t="s">
        <v>349</v>
      </c>
      <c r="S534" s="151">
        <v>43580</v>
      </c>
      <c r="T534" s="151">
        <v>43767</v>
      </c>
      <c r="U534" s="152"/>
      <c r="V534" s="150" t="s">
        <v>330</v>
      </c>
      <c r="W534" s="151"/>
      <c r="X534" s="150" t="s">
        <v>331</v>
      </c>
      <c r="Y534" s="150" t="s">
        <v>398</v>
      </c>
      <c r="Z534" s="150" t="s">
        <v>334</v>
      </c>
      <c r="AA534" s="150" t="s">
        <v>413</v>
      </c>
      <c r="AB534" s="153">
        <v>1.03E-2</v>
      </c>
      <c r="AC534" s="151"/>
      <c r="AD534" s="150"/>
      <c r="AE534" s="151"/>
      <c r="AF534" s="150" t="s">
        <v>70</v>
      </c>
      <c r="AG534" s="152" t="s">
        <v>352</v>
      </c>
      <c r="AH534" s="150" t="s">
        <v>326</v>
      </c>
      <c r="AI534" s="99"/>
      <c r="AJ534" s="149"/>
      <c r="AK534" s="99"/>
      <c r="AL534" s="149"/>
      <c r="AM534" s="99"/>
      <c r="AN534" s="149">
        <v>0</v>
      </c>
      <c r="AO534" s="149">
        <v>0</v>
      </c>
      <c r="AP534" s="149">
        <v>1</v>
      </c>
      <c r="AQ534" s="149">
        <v>0</v>
      </c>
      <c r="AR534" s="149">
        <v>0</v>
      </c>
      <c r="AS534" s="149">
        <v>0</v>
      </c>
      <c r="AT534" s="149">
        <v>0</v>
      </c>
      <c r="AU534" s="149">
        <v>0</v>
      </c>
      <c r="AV534" s="149">
        <v>0</v>
      </c>
      <c r="AW534" s="149">
        <v>1</v>
      </c>
      <c r="AX534" s="149">
        <v>0</v>
      </c>
      <c r="AY534" s="149">
        <v>0</v>
      </c>
      <c r="AZ534" s="149">
        <v>0</v>
      </c>
      <c r="BA534" s="149">
        <v>0</v>
      </c>
      <c r="BB534" s="149">
        <v>0</v>
      </c>
      <c r="BC534" s="149">
        <v>0</v>
      </c>
      <c r="BD534" s="149">
        <v>0</v>
      </c>
      <c r="BE534" s="149">
        <v>0</v>
      </c>
      <c r="BF534" s="149">
        <v>0</v>
      </c>
      <c r="BG534" s="149">
        <v>0</v>
      </c>
      <c r="BH534" s="149">
        <v>0</v>
      </c>
      <c r="BI534" s="149">
        <v>0</v>
      </c>
      <c r="BJ534" s="149">
        <v>0</v>
      </c>
      <c r="BK534" s="149">
        <v>0</v>
      </c>
      <c r="BL534" s="149">
        <v>0</v>
      </c>
      <c r="BM534" s="149">
        <v>0</v>
      </c>
      <c r="BN534" s="149">
        <v>0</v>
      </c>
      <c r="BO534" s="149">
        <v>0</v>
      </c>
      <c r="BP534" s="152"/>
      <c r="BQ534" s="152"/>
      <c r="BR534" s="154" t="s">
        <v>359</v>
      </c>
      <c r="BS534" s="136">
        <v>15</v>
      </c>
      <c r="BT534" s="267"/>
      <c r="BU534" s="267">
        <f t="shared" si="46"/>
        <v>0.25</v>
      </c>
      <c r="BV534" s="267">
        <f t="shared" si="47"/>
        <v>0.25</v>
      </c>
      <c r="BW534" s="267">
        <f t="shared" si="48"/>
        <v>0.25</v>
      </c>
      <c r="BX534" s="267">
        <f t="shared" si="49"/>
        <v>0.25</v>
      </c>
      <c r="BY534" s="267"/>
      <c r="BZ534" s="267"/>
      <c r="CA534" s="267"/>
      <c r="CB534" s="267"/>
      <c r="CC534" s="267"/>
      <c r="CD534" s="267"/>
      <c r="CE534" s="267"/>
      <c r="CF534" s="267"/>
      <c r="CG534" s="267"/>
      <c r="CH534" s="267"/>
      <c r="CI534" s="267"/>
      <c r="CJ534" s="267"/>
      <c r="CK534" s="267"/>
      <c r="CL534" s="267"/>
      <c r="CM534" s="267"/>
      <c r="CN534" s="101">
        <f t="shared" si="41"/>
        <v>1</v>
      </c>
      <c r="CO534" s="101">
        <f t="shared" si="42"/>
        <v>1</v>
      </c>
    </row>
    <row r="535" spans="1:93" ht="13.9" customHeight="1" x14ac:dyDescent="0.2">
      <c r="A535" s="149">
        <v>5607</v>
      </c>
      <c r="B535" s="150" t="s">
        <v>1216</v>
      </c>
      <c r="C535" s="150" t="s">
        <v>1577</v>
      </c>
      <c r="D535" s="150" t="s">
        <v>1578</v>
      </c>
      <c r="E535" s="150" t="s">
        <v>326</v>
      </c>
      <c r="F535" s="149">
        <v>528038</v>
      </c>
      <c r="G535" s="149">
        <v>174028</v>
      </c>
      <c r="H535" s="150" t="s">
        <v>139</v>
      </c>
      <c r="I535" s="151"/>
      <c r="J535" s="151"/>
      <c r="K535" s="149">
        <v>2</v>
      </c>
      <c r="L535" s="149">
        <v>0</v>
      </c>
      <c r="M535" s="149">
        <v>-2</v>
      </c>
      <c r="N535" s="149">
        <v>2</v>
      </c>
      <c r="O535" s="149">
        <v>-1</v>
      </c>
      <c r="P535" s="152"/>
      <c r="Q535" s="150" t="s">
        <v>1579</v>
      </c>
      <c r="R535" s="150" t="s">
        <v>349</v>
      </c>
      <c r="S535" s="151">
        <v>43580</v>
      </c>
      <c r="T535" s="151">
        <v>43767</v>
      </c>
      <c r="U535" s="152"/>
      <c r="V535" s="150" t="s">
        <v>330</v>
      </c>
      <c r="W535" s="151"/>
      <c r="X535" s="150" t="s">
        <v>331</v>
      </c>
      <c r="Y535" s="150" t="s">
        <v>398</v>
      </c>
      <c r="Z535" s="150" t="s">
        <v>334</v>
      </c>
      <c r="AA535" s="150" t="s">
        <v>35</v>
      </c>
      <c r="AB535" s="153">
        <v>0</v>
      </c>
      <c r="AC535" s="151"/>
      <c r="AD535" s="150"/>
      <c r="AE535" s="151"/>
      <c r="AF535" s="150" t="s">
        <v>70</v>
      </c>
      <c r="AG535" s="152" t="s">
        <v>352</v>
      </c>
      <c r="AH535" s="150" t="s">
        <v>326</v>
      </c>
      <c r="AI535" s="99"/>
      <c r="AJ535" s="149"/>
      <c r="AK535" s="99"/>
      <c r="AL535" s="149"/>
      <c r="AM535" s="99"/>
      <c r="AN535" s="149">
        <v>0</v>
      </c>
      <c r="AO535" s="149">
        <v>-1</v>
      </c>
      <c r="AP535" s="149">
        <v>0</v>
      </c>
      <c r="AQ535" s="149">
        <v>-1</v>
      </c>
      <c r="AR535" s="149">
        <v>0</v>
      </c>
      <c r="AS535" s="149">
        <v>0</v>
      </c>
      <c r="AT535" s="149">
        <v>0</v>
      </c>
      <c r="AU535" s="149">
        <v>0</v>
      </c>
      <c r="AV535" s="149">
        <v>-1</v>
      </c>
      <c r="AW535" s="149">
        <v>0</v>
      </c>
      <c r="AX535" s="149">
        <v>-1</v>
      </c>
      <c r="AY535" s="149">
        <v>0</v>
      </c>
      <c r="AZ535" s="149">
        <v>0</v>
      </c>
      <c r="BA535" s="149">
        <v>0</v>
      </c>
      <c r="BB535" s="149">
        <v>0</v>
      </c>
      <c r="BC535" s="149">
        <v>0</v>
      </c>
      <c r="BD535" s="149">
        <v>0</v>
      </c>
      <c r="BE535" s="149">
        <v>0</v>
      </c>
      <c r="BF535" s="149">
        <v>0</v>
      </c>
      <c r="BG535" s="149">
        <v>0</v>
      </c>
      <c r="BH535" s="149">
        <v>0</v>
      </c>
      <c r="BI535" s="149">
        <v>0</v>
      </c>
      <c r="BJ535" s="149">
        <v>0</v>
      </c>
      <c r="BK535" s="149">
        <v>0</v>
      </c>
      <c r="BL535" s="149">
        <v>0</v>
      </c>
      <c r="BM535" s="149">
        <v>0</v>
      </c>
      <c r="BN535" s="149">
        <v>0</v>
      </c>
      <c r="BO535" s="149">
        <v>0</v>
      </c>
      <c r="BP535" s="152"/>
      <c r="BQ535" s="152"/>
      <c r="BR535" s="154" t="s">
        <v>359</v>
      </c>
      <c r="BS535" s="136">
        <v>15</v>
      </c>
      <c r="BT535" s="267"/>
      <c r="BU535" s="267">
        <f t="shared" si="46"/>
        <v>-0.5</v>
      </c>
      <c r="BV535" s="267">
        <f t="shared" si="47"/>
        <v>-0.5</v>
      </c>
      <c r="BW535" s="267">
        <f t="shared" si="48"/>
        <v>-0.5</v>
      </c>
      <c r="BX535" s="267">
        <f t="shared" si="49"/>
        <v>-0.5</v>
      </c>
      <c r="BY535" s="267"/>
      <c r="BZ535" s="267"/>
      <c r="CA535" s="267"/>
      <c r="CB535" s="267"/>
      <c r="CC535" s="267"/>
      <c r="CD535" s="267"/>
      <c r="CE535" s="267"/>
      <c r="CF535" s="267"/>
      <c r="CG535" s="267"/>
      <c r="CH535" s="267"/>
      <c r="CI535" s="267"/>
      <c r="CJ535" s="267"/>
      <c r="CK535" s="267"/>
      <c r="CL535" s="267"/>
      <c r="CM535" s="267"/>
      <c r="CN535" s="101">
        <f t="shared" si="41"/>
        <v>-2</v>
      </c>
      <c r="CO535" s="101">
        <f t="shared" si="42"/>
        <v>-2</v>
      </c>
    </row>
    <row r="536" spans="1:93" ht="13.9" customHeight="1" x14ac:dyDescent="0.2">
      <c r="A536" s="149">
        <v>7182</v>
      </c>
      <c r="B536" s="150" t="s">
        <v>1216</v>
      </c>
      <c r="C536" s="150" t="s">
        <v>1580</v>
      </c>
      <c r="D536" s="150" t="s">
        <v>1581</v>
      </c>
      <c r="E536" s="150" t="s">
        <v>326</v>
      </c>
      <c r="F536" s="149">
        <v>523838</v>
      </c>
      <c r="G536" s="149">
        <v>174742</v>
      </c>
      <c r="H536" s="150" t="s">
        <v>179</v>
      </c>
      <c r="I536" s="151"/>
      <c r="J536" s="151"/>
      <c r="K536" s="149">
        <v>0</v>
      </c>
      <c r="L536" s="149">
        <v>4</v>
      </c>
      <c r="M536" s="149">
        <v>4</v>
      </c>
      <c r="N536" s="149">
        <v>4</v>
      </c>
      <c r="O536" s="149">
        <v>4</v>
      </c>
      <c r="P536" s="152"/>
      <c r="Q536" s="150" t="s">
        <v>1582</v>
      </c>
      <c r="R536" s="150" t="s">
        <v>349</v>
      </c>
      <c r="S536" s="151">
        <v>43588</v>
      </c>
      <c r="T536" s="151">
        <v>43797</v>
      </c>
      <c r="U536" s="152"/>
      <c r="V536" s="150" t="s">
        <v>330</v>
      </c>
      <c r="W536" s="151"/>
      <c r="X536" s="150" t="s">
        <v>331</v>
      </c>
      <c r="Y536" s="150" t="s">
        <v>398</v>
      </c>
      <c r="Z536" s="150" t="s">
        <v>334</v>
      </c>
      <c r="AA536" s="150" t="s">
        <v>32</v>
      </c>
      <c r="AB536" s="153">
        <v>1.7999999999999999E-2</v>
      </c>
      <c r="AC536" s="151"/>
      <c r="AD536" s="150"/>
      <c r="AE536" s="151"/>
      <c r="AF536" s="150" t="s">
        <v>70</v>
      </c>
      <c r="AG536" s="152" t="s">
        <v>352</v>
      </c>
      <c r="AH536" s="150" t="s">
        <v>326</v>
      </c>
      <c r="AI536" s="99"/>
      <c r="AJ536" s="149"/>
      <c r="AK536" s="99"/>
      <c r="AL536" s="149"/>
      <c r="AM536" s="99"/>
      <c r="AN536" s="149">
        <v>0</v>
      </c>
      <c r="AO536" s="149">
        <v>4</v>
      </c>
      <c r="AP536" s="149">
        <v>0</v>
      </c>
      <c r="AQ536" s="149">
        <v>0</v>
      </c>
      <c r="AR536" s="149">
        <v>0</v>
      </c>
      <c r="AS536" s="149">
        <v>0</v>
      </c>
      <c r="AT536" s="149">
        <v>0</v>
      </c>
      <c r="AU536" s="149">
        <v>0</v>
      </c>
      <c r="AV536" s="149">
        <v>4</v>
      </c>
      <c r="AW536" s="149">
        <v>0</v>
      </c>
      <c r="AX536" s="149">
        <v>0</v>
      </c>
      <c r="AY536" s="149">
        <v>0</v>
      </c>
      <c r="AZ536" s="149">
        <v>0</v>
      </c>
      <c r="BA536" s="149">
        <v>0</v>
      </c>
      <c r="BB536" s="149">
        <v>0</v>
      </c>
      <c r="BC536" s="149">
        <v>0</v>
      </c>
      <c r="BD536" s="149">
        <v>0</v>
      </c>
      <c r="BE536" s="149">
        <v>0</v>
      </c>
      <c r="BF536" s="149">
        <v>0</v>
      </c>
      <c r="BG536" s="149">
        <v>0</v>
      </c>
      <c r="BH536" s="149">
        <v>0</v>
      </c>
      <c r="BI536" s="149">
        <v>0</v>
      </c>
      <c r="BJ536" s="149">
        <v>0</v>
      </c>
      <c r="BK536" s="149">
        <v>0</v>
      </c>
      <c r="BL536" s="149">
        <v>0</v>
      </c>
      <c r="BM536" s="149">
        <v>0</v>
      </c>
      <c r="BN536" s="149">
        <v>0</v>
      </c>
      <c r="BO536" s="149">
        <v>0</v>
      </c>
      <c r="BP536" s="152"/>
      <c r="BQ536" s="152"/>
      <c r="BR536" s="154" t="s">
        <v>359</v>
      </c>
      <c r="BS536" s="136">
        <v>15</v>
      </c>
      <c r="BT536" s="267"/>
      <c r="BU536" s="267">
        <f t="shared" si="46"/>
        <v>1</v>
      </c>
      <c r="BV536" s="267">
        <f t="shared" si="47"/>
        <v>1</v>
      </c>
      <c r="BW536" s="267">
        <f t="shared" si="48"/>
        <v>1</v>
      </c>
      <c r="BX536" s="267">
        <f t="shared" si="49"/>
        <v>1</v>
      </c>
      <c r="BY536" s="267"/>
      <c r="BZ536" s="267"/>
      <c r="CA536" s="267"/>
      <c r="CB536" s="267"/>
      <c r="CC536" s="267"/>
      <c r="CD536" s="267"/>
      <c r="CE536" s="267"/>
      <c r="CF536" s="267"/>
      <c r="CG536" s="267"/>
      <c r="CH536" s="267"/>
      <c r="CI536" s="267"/>
      <c r="CJ536" s="267"/>
      <c r="CK536" s="267"/>
      <c r="CL536" s="267"/>
      <c r="CM536" s="267"/>
      <c r="CN536" s="101">
        <f t="shared" si="41"/>
        <v>4</v>
      </c>
      <c r="CO536" s="101">
        <f t="shared" si="42"/>
        <v>4</v>
      </c>
    </row>
    <row r="537" spans="1:93" ht="13.9" customHeight="1" x14ac:dyDescent="0.2">
      <c r="A537" s="149">
        <v>7167</v>
      </c>
      <c r="B537" s="150" t="s">
        <v>1216</v>
      </c>
      <c r="C537" s="150" t="s">
        <v>1583</v>
      </c>
      <c r="D537" s="150" t="s">
        <v>1584</v>
      </c>
      <c r="E537" s="150" t="s">
        <v>326</v>
      </c>
      <c r="F537" s="149">
        <v>526267</v>
      </c>
      <c r="G537" s="149">
        <v>174208</v>
      </c>
      <c r="H537" s="150" t="s">
        <v>175</v>
      </c>
      <c r="I537" s="151"/>
      <c r="J537" s="151"/>
      <c r="K537" s="149">
        <v>0</v>
      </c>
      <c r="L537" s="149">
        <v>1</v>
      </c>
      <c r="M537" s="149">
        <v>1</v>
      </c>
      <c r="N537" s="149">
        <v>1</v>
      </c>
      <c r="O537" s="149">
        <v>1</v>
      </c>
      <c r="P537" s="152"/>
      <c r="Q537" s="150" t="s">
        <v>1585</v>
      </c>
      <c r="R537" s="150" t="s">
        <v>349</v>
      </c>
      <c r="S537" s="151">
        <v>43595</v>
      </c>
      <c r="T537" s="151">
        <v>43741</v>
      </c>
      <c r="U537" s="152"/>
      <c r="V537" s="150" t="s">
        <v>330</v>
      </c>
      <c r="W537" s="151"/>
      <c r="X537" s="150" t="s">
        <v>331</v>
      </c>
      <c r="Y537" s="150" t="s">
        <v>398</v>
      </c>
      <c r="Z537" s="150" t="s">
        <v>334</v>
      </c>
      <c r="AA537" s="150" t="s">
        <v>29</v>
      </c>
      <c r="AB537" s="153">
        <v>5.0000000000000001E-3</v>
      </c>
      <c r="AC537" s="151"/>
      <c r="AD537" s="150"/>
      <c r="AE537" s="151"/>
      <c r="AF537" s="150" t="s">
        <v>70</v>
      </c>
      <c r="AG537" s="152" t="s">
        <v>352</v>
      </c>
      <c r="AH537" s="150" t="s">
        <v>326</v>
      </c>
      <c r="AI537" s="99"/>
      <c r="AJ537" s="149"/>
      <c r="AK537" s="99"/>
      <c r="AL537" s="149"/>
      <c r="AM537" s="99"/>
      <c r="AN537" s="149">
        <v>0</v>
      </c>
      <c r="AO537" s="149">
        <v>0</v>
      </c>
      <c r="AP537" s="149">
        <v>1</v>
      </c>
      <c r="AQ537" s="149">
        <v>0</v>
      </c>
      <c r="AR537" s="149">
        <v>0</v>
      </c>
      <c r="AS537" s="149">
        <v>0</v>
      </c>
      <c r="AT537" s="149">
        <v>0</v>
      </c>
      <c r="AU537" s="149">
        <v>0</v>
      </c>
      <c r="AV537" s="149">
        <v>0</v>
      </c>
      <c r="AW537" s="149">
        <v>1</v>
      </c>
      <c r="AX537" s="149">
        <v>0</v>
      </c>
      <c r="AY537" s="149">
        <v>0</v>
      </c>
      <c r="AZ537" s="149">
        <v>0</v>
      </c>
      <c r="BA537" s="149">
        <v>0</v>
      </c>
      <c r="BB537" s="149">
        <v>0</v>
      </c>
      <c r="BC537" s="149">
        <v>0</v>
      </c>
      <c r="BD537" s="149">
        <v>0</v>
      </c>
      <c r="BE537" s="149">
        <v>0</v>
      </c>
      <c r="BF537" s="149">
        <v>0</v>
      </c>
      <c r="BG537" s="149">
        <v>0</v>
      </c>
      <c r="BH537" s="149">
        <v>0</v>
      </c>
      <c r="BI537" s="149">
        <v>0</v>
      </c>
      <c r="BJ537" s="149">
        <v>0</v>
      </c>
      <c r="BK537" s="149">
        <v>0</v>
      </c>
      <c r="BL537" s="149">
        <v>0</v>
      </c>
      <c r="BM537" s="149">
        <v>0</v>
      </c>
      <c r="BN537" s="149">
        <v>0</v>
      </c>
      <c r="BO537" s="149">
        <v>0</v>
      </c>
      <c r="BP537" s="152"/>
      <c r="BQ537" s="152"/>
      <c r="BR537" s="154" t="s">
        <v>359</v>
      </c>
      <c r="BS537" s="136">
        <v>15</v>
      </c>
      <c r="BT537" s="267"/>
      <c r="BU537" s="267">
        <f t="shared" si="46"/>
        <v>0.25</v>
      </c>
      <c r="BV537" s="267">
        <f t="shared" si="47"/>
        <v>0.25</v>
      </c>
      <c r="BW537" s="267">
        <f t="shared" si="48"/>
        <v>0.25</v>
      </c>
      <c r="BX537" s="267">
        <f t="shared" si="49"/>
        <v>0.25</v>
      </c>
      <c r="BY537" s="267"/>
      <c r="BZ537" s="267"/>
      <c r="CA537" s="267"/>
      <c r="CB537" s="267"/>
      <c r="CC537" s="267"/>
      <c r="CD537" s="267"/>
      <c r="CE537" s="267"/>
      <c r="CF537" s="267"/>
      <c r="CG537" s="267"/>
      <c r="CH537" s="267"/>
      <c r="CI537" s="267"/>
      <c r="CJ537" s="267"/>
      <c r="CK537" s="267"/>
      <c r="CL537" s="267"/>
      <c r="CM537" s="267"/>
      <c r="CN537" s="101">
        <f t="shared" si="41"/>
        <v>1</v>
      </c>
      <c r="CO537" s="101">
        <f t="shared" si="42"/>
        <v>1</v>
      </c>
    </row>
    <row r="538" spans="1:93" ht="13.9" customHeight="1" x14ac:dyDescent="0.2">
      <c r="A538" s="149">
        <v>6088</v>
      </c>
      <c r="B538" s="150" t="s">
        <v>1216</v>
      </c>
      <c r="C538" s="150" t="s">
        <v>1586</v>
      </c>
      <c r="D538" s="150" t="s">
        <v>1587</v>
      </c>
      <c r="E538" s="150" t="s">
        <v>326</v>
      </c>
      <c r="F538" s="149">
        <v>527736</v>
      </c>
      <c r="G538" s="149">
        <v>172067</v>
      </c>
      <c r="H538" s="150" t="s">
        <v>172</v>
      </c>
      <c r="I538" s="151"/>
      <c r="J538" s="151"/>
      <c r="K538" s="149">
        <v>0</v>
      </c>
      <c r="L538" s="149">
        <v>1</v>
      </c>
      <c r="M538" s="149">
        <v>1</v>
      </c>
      <c r="N538" s="149">
        <v>1</v>
      </c>
      <c r="O538" s="149">
        <v>1</v>
      </c>
      <c r="P538" s="152"/>
      <c r="Q538" s="150" t="s">
        <v>1588</v>
      </c>
      <c r="R538" s="150" t="s">
        <v>349</v>
      </c>
      <c r="S538" s="151">
        <v>43600</v>
      </c>
      <c r="T538" s="151">
        <v>43788</v>
      </c>
      <c r="U538" s="152"/>
      <c r="V538" s="150" t="s">
        <v>330</v>
      </c>
      <c r="W538" s="151"/>
      <c r="X538" s="150" t="s">
        <v>331</v>
      </c>
      <c r="Y538" s="150" t="s">
        <v>332</v>
      </c>
      <c r="Z538" s="150" t="s">
        <v>334</v>
      </c>
      <c r="AA538" s="150" t="s">
        <v>26</v>
      </c>
      <c r="AB538" s="153">
        <v>3.0000000000000001E-3</v>
      </c>
      <c r="AC538" s="151"/>
      <c r="AD538" s="150"/>
      <c r="AE538" s="151"/>
      <c r="AF538" s="150" t="s">
        <v>70</v>
      </c>
      <c r="AG538" s="152" t="s">
        <v>352</v>
      </c>
      <c r="AH538" s="150" t="s">
        <v>326</v>
      </c>
      <c r="AI538" s="99"/>
      <c r="AJ538" s="149"/>
      <c r="AK538" s="99"/>
      <c r="AL538" s="149"/>
      <c r="AM538" s="99"/>
      <c r="AN538" s="149">
        <v>1</v>
      </c>
      <c r="AO538" s="149">
        <v>0</v>
      </c>
      <c r="AP538" s="149">
        <v>0</v>
      </c>
      <c r="AQ538" s="149">
        <v>0</v>
      </c>
      <c r="AR538" s="149">
        <v>0</v>
      </c>
      <c r="AS538" s="149">
        <v>0</v>
      </c>
      <c r="AT538" s="149">
        <v>0</v>
      </c>
      <c r="AU538" s="149">
        <v>1</v>
      </c>
      <c r="AV538" s="149">
        <v>0</v>
      </c>
      <c r="AW538" s="149">
        <v>0</v>
      </c>
      <c r="AX538" s="149">
        <v>0</v>
      </c>
      <c r="AY538" s="149">
        <v>0</v>
      </c>
      <c r="AZ538" s="149">
        <v>0</v>
      </c>
      <c r="BA538" s="149">
        <v>0</v>
      </c>
      <c r="BB538" s="149">
        <v>0</v>
      </c>
      <c r="BC538" s="149">
        <v>0</v>
      </c>
      <c r="BD538" s="149">
        <v>0</v>
      </c>
      <c r="BE538" s="149">
        <v>0</v>
      </c>
      <c r="BF538" s="149">
        <v>0</v>
      </c>
      <c r="BG538" s="149">
        <v>0</v>
      </c>
      <c r="BH538" s="149">
        <v>0</v>
      </c>
      <c r="BI538" s="149">
        <v>0</v>
      </c>
      <c r="BJ538" s="149">
        <v>0</v>
      </c>
      <c r="BK538" s="149">
        <v>0</v>
      </c>
      <c r="BL538" s="149">
        <v>0</v>
      </c>
      <c r="BM538" s="149">
        <v>0</v>
      </c>
      <c r="BN538" s="149">
        <v>0</v>
      </c>
      <c r="BO538" s="149">
        <v>0</v>
      </c>
      <c r="BP538" s="152"/>
      <c r="BQ538" s="152"/>
      <c r="BR538" s="154" t="s">
        <v>359</v>
      </c>
      <c r="BS538" s="136">
        <v>15</v>
      </c>
      <c r="BT538" s="267"/>
      <c r="BU538" s="267">
        <f t="shared" si="46"/>
        <v>0.25</v>
      </c>
      <c r="BV538" s="267">
        <f t="shared" si="47"/>
        <v>0.25</v>
      </c>
      <c r="BW538" s="267">
        <f t="shared" si="48"/>
        <v>0.25</v>
      </c>
      <c r="BX538" s="267">
        <f t="shared" si="49"/>
        <v>0.25</v>
      </c>
      <c r="BY538" s="267"/>
      <c r="BZ538" s="267"/>
      <c r="CA538" s="267"/>
      <c r="CB538" s="267"/>
      <c r="CC538" s="267"/>
      <c r="CD538" s="267"/>
      <c r="CE538" s="267"/>
      <c r="CF538" s="267"/>
      <c r="CG538" s="267"/>
      <c r="CH538" s="267"/>
      <c r="CI538" s="267"/>
      <c r="CJ538" s="267"/>
      <c r="CK538" s="267"/>
      <c r="CL538" s="267"/>
      <c r="CM538" s="267"/>
      <c r="CN538" s="101">
        <f t="shared" si="41"/>
        <v>1</v>
      </c>
      <c r="CO538" s="101">
        <f t="shared" si="42"/>
        <v>1</v>
      </c>
    </row>
    <row r="539" spans="1:93" ht="13.9" customHeight="1" x14ac:dyDescent="0.2">
      <c r="A539" s="149">
        <v>3518</v>
      </c>
      <c r="B539" s="150" t="s">
        <v>1216</v>
      </c>
      <c r="C539" s="150" t="s">
        <v>1543</v>
      </c>
      <c r="D539" s="150" t="s">
        <v>1544</v>
      </c>
      <c r="E539" s="150" t="s">
        <v>1589</v>
      </c>
      <c r="F539" s="149">
        <v>525666</v>
      </c>
      <c r="G539" s="149">
        <v>174804</v>
      </c>
      <c r="H539" s="150" t="s">
        <v>177</v>
      </c>
      <c r="I539" s="151">
        <v>42095</v>
      </c>
      <c r="J539" s="151"/>
      <c r="K539" s="149">
        <v>0</v>
      </c>
      <c r="L539" s="149">
        <v>166</v>
      </c>
      <c r="M539" s="149">
        <v>166</v>
      </c>
      <c r="N539" s="149">
        <v>663</v>
      </c>
      <c r="O539" s="149">
        <v>662</v>
      </c>
      <c r="P539" s="152" t="s">
        <v>327</v>
      </c>
      <c r="Q539" s="150" t="s">
        <v>1546</v>
      </c>
      <c r="R539" s="150" t="s">
        <v>1467</v>
      </c>
      <c r="S539" s="151">
        <v>41234</v>
      </c>
      <c r="T539" s="151">
        <v>41614</v>
      </c>
      <c r="U539" s="152"/>
      <c r="V539" s="150" t="s">
        <v>330</v>
      </c>
      <c r="W539" s="151"/>
      <c r="X539" s="150" t="s">
        <v>331</v>
      </c>
      <c r="Y539" s="150" t="s">
        <v>343</v>
      </c>
      <c r="Z539" s="150" t="s">
        <v>343</v>
      </c>
      <c r="AA539" s="150" t="s">
        <v>334</v>
      </c>
      <c r="AB539" s="153">
        <v>4.4396999999999999E-2</v>
      </c>
      <c r="AC539" s="151"/>
      <c r="AD539" s="150"/>
      <c r="AE539" s="151"/>
      <c r="AF539" s="150" t="s">
        <v>70</v>
      </c>
      <c r="AG539" s="152" t="s">
        <v>352</v>
      </c>
      <c r="AH539" s="150" t="s">
        <v>1547</v>
      </c>
      <c r="AI539" s="99"/>
      <c r="AJ539" s="149"/>
      <c r="AK539" s="99"/>
      <c r="AL539" s="149">
        <v>10</v>
      </c>
      <c r="AM539" s="99"/>
      <c r="AN539" s="149">
        <v>23</v>
      </c>
      <c r="AO539" s="149">
        <v>23</v>
      </c>
      <c r="AP539" s="149">
        <v>70</v>
      </c>
      <c r="AQ539" s="149">
        <v>44</v>
      </c>
      <c r="AR539" s="149">
        <v>6</v>
      </c>
      <c r="AS539" s="149">
        <v>0</v>
      </c>
      <c r="AT539" s="149">
        <v>0</v>
      </c>
      <c r="AU539" s="149">
        <v>23</v>
      </c>
      <c r="AV539" s="149">
        <v>23</v>
      </c>
      <c r="AW539" s="149">
        <v>70</v>
      </c>
      <c r="AX539" s="149">
        <v>44</v>
      </c>
      <c r="AY539" s="149">
        <v>6</v>
      </c>
      <c r="AZ539" s="149">
        <v>0</v>
      </c>
      <c r="BA539" s="149">
        <v>0</v>
      </c>
      <c r="BB539" s="149">
        <v>0</v>
      </c>
      <c r="BC539" s="149">
        <v>0</v>
      </c>
      <c r="BD539" s="149">
        <v>0</v>
      </c>
      <c r="BE539" s="149">
        <v>0</v>
      </c>
      <c r="BF539" s="149">
        <v>0</v>
      </c>
      <c r="BG539" s="149">
        <v>0</v>
      </c>
      <c r="BH539" s="149">
        <v>0</v>
      </c>
      <c r="BI539" s="149">
        <v>0</v>
      </c>
      <c r="BJ539" s="149">
        <v>0</v>
      </c>
      <c r="BK539" s="149">
        <v>0</v>
      </c>
      <c r="BL539" s="149">
        <v>0</v>
      </c>
      <c r="BM539" s="149">
        <v>0</v>
      </c>
      <c r="BN539" s="149">
        <v>0</v>
      </c>
      <c r="BO539" s="149">
        <v>0</v>
      </c>
      <c r="BP539" s="152" t="s">
        <v>143</v>
      </c>
      <c r="BQ539" s="152"/>
      <c r="BR539" s="154" t="s">
        <v>463</v>
      </c>
      <c r="BS539" s="136">
        <v>8</v>
      </c>
      <c r="BT539" s="267"/>
      <c r="BU539" s="267"/>
      <c r="BV539" s="267"/>
      <c r="BW539" s="267"/>
      <c r="BX539" s="267">
        <f>M539</f>
        <v>166</v>
      </c>
      <c r="BY539" s="267"/>
      <c r="BZ539" s="267"/>
      <c r="CA539" s="267"/>
      <c r="CB539" s="267"/>
      <c r="CC539" s="267"/>
      <c r="CD539" s="267"/>
      <c r="CE539" s="267"/>
      <c r="CF539" s="267"/>
      <c r="CG539" s="267"/>
      <c r="CH539" s="267"/>
      <c r="CI539" s="267"/>
      <c r="CJ539" s="267"/>
      <c r="CK539" s="267"/>
      <c r="CL539" s="267"/>
      <c r="CM539" s="267"/>
      <c r="CN539" s="101">
        <f t="shared" si="41"/>
        <v>166</v>
      </c>
      <c r="CO539" s="101">
        <f t="shared" si="42"/>
        <v>166</v>
      </c>
    </row>
    <row r="540" spans="1:93" ht="13.9" customHeight="1" x14ac:dyDescent="0.2">
      <c r="A540" s="149">
        <v>2274</v>
      </c>
      <c r="B540" s="150" t="s">
        <v>1216</v>
      </c>
      <c r="C540" s="150" t="s">
        <v>1590</v>
      </c>
      <c r="D540" s="150" t="s">
        <v>1591</v>
      </c>
      <c r="E540" s="150" t="s">
        <v>326</v>
      </c>
      <c r="F540" s="149">
        <v>527891</v>
      </c>
      <c r="G540" s="149">
        <v>171427</v>
      </c>
      <c r="H540" s="150" t="s">
        <v>172</v>
      </c>
      <c r="I540" s="151"/>
      <c r="J540" s="151"/>
      <c r="K540" s="149">
        <v>0</v>
      </c>
      <c r="L540" s="149">
        <v>1</v>
      </c>
      <c r="M540" s="149">
        <v>1</v>
      </c>
      <c r="N540" s="149">
        <v>1</v>
      </c>
      <c r="O540" s="149">
        <v>1</v>
      </c>
      <c r="P540" s="152"/>
      <c r="Q540" s="150" t="s">
        <v>1592</v>
      </c>
      <c r="R540" s="150" t="s">
        <v>349</v>
      </c>
      <c r="S540" s="151">
        <v>43606</v>
      </c>
      <c r="T540" s="151">
        <v>43662</v>
      </c>
      <c r="U540" s="152"/>
      <c r="V540" s="150" t="s">
        <v>330</v>
      </c>
      <c r="W540" s="151"/>
      <c r="X540" s="150" t="s">
        <v>331</v>
      </c>
      <c r="Y540" s="150" t="s">
        <v>343</v>
      </c>
      <c r="Z540" s="150" t="s">
        <v>334</v>
      </c>
      <c r="AA540" s="150" t="s">
        <v>363</v>
      </c>
      <c r="AB540" s="153">
        <v>1.7999999999999999E-2</v>
      </c>
      <c r="AC540" s="151"/>
      <c r="AD540" s="150"/>
      <c r="AE540" s="151"/>
      <c r="AF540" s="150" t="s">
        <v>70</v>
      </c>
      <c r="AG540" s="152" t="s">
        <v>352</v>
      </c>
      <c r="AH540" s="150" t="s">
        <v>326</v>
      </c>
      <c r="AI540" s="99"/>
      <c r="AJ540" s="149"/>
      <c r="AK540" s="99"/>
      <c r="AL540" s="149"/>
      <c r="AM540" s="99"/>
      <c r="AN540" s="149">
        <v>0</v>
      </c>
      <c r="AO540" s="149">
        <v>0</v>
      </c>
      <c r="AP540" s="149">
        <v>0</v>
      </c>
      <c r="AQ540" s="149">
        <v>1</v>
      </c>
      <c r="AR540" s="149">
        <v>0</v>
      </c>
      <c r="AS540" s="149">
        <v>0</v>
      </c>
      <c r="AT540" s="149">
        <v>0</v>
      </c>
      <c r="AU540" s="149">
        <v>0</v>
      </c>
      <c r="AV540" s="149">
        <v>0</v>
      </c>
      <c r="AW540" s="149">
        <v>0</v>
      </c>
      <c r="AX540" s="149">
        <v>0</v>
      </c>
      <c r="AY540" s="149">
        <v>0</v>
      </c>
      <c r="AZ540" s="149">
        <v>0</v>
      </c>
      <c r="BA540" s="149">
        <v>0</v>
      </c>
      <c r="BB540" s="149">
        <v>0</v>
      </c>
      <c r="BC540" s="149">
        <v>0</v>
      </c>
      <c r="BD540" s="149">
        <v>0</v>
      </c>
      <c r="BE540" s="149">
        <v>1</v>
      </c>
      <c r="BF540" s="149">
        <v>0</v>
      </c>
      <c r="BG540" s="149">
        <v>0</v>
      </c>
      <c r="BH540" s="149">
        <v>0</v>
      </c>
      <c r="BI540" s="149">
        <v>0</v>
      </c>
      <c r="BJ540" s="149">
        <v>0</v>
      </c>
      <c r="BK540" s="149">
        <v>0</v>
      </c>
      <c r="BL540" s="149">
        <v>0</v>
      </c>
      <c r="BM540" s="149">
        <v>0</v>
      </c>
      <c r="BN540" s="149">
        <v>0</v>
      </c>
      <c r="BO540" s="149">
        <v>0</v>
      </c>
      <c r="BP540" s="152"/>
      <c r="BQ540" s="152"/>
      <c r="BR540" s="154" t="s">
        <v>359</v>
      </c>
      <c r="BS540" s="136">
        <v>7</v>
      </c>
      <c r="BT540" s="267"/>
      <c r="BU540" s="267"/>
      <c r="BV540" s="267">
        <f>M540/4</f>
        <v>0.25</v>
      </c>
      <c r="BW540" s="267">
        <f>M540/4</f>
        <v>0.25</v>
      </c>
      <c r="BX540" s="267">
        <f>M540/4</f>
        <v>0.25</v>
      </c>
      <c r="BY540" s="267">
        <f>M540/4</f>
        <v>0.25</v>
      </c>
      <c r="BZ540" s="267"/>
      <c r="CA540" s="267"/>
      <c r="CB540" s="267"/>
      <c r="CC540" s="267"/>
      <c r="CD540" s="267"/>
      <c r="CE540" s="267"/>
      <c r="CF540" s="267"/>
      <c r="CG540" s="267"/>
      <c r="CH540" s="267"/>
      <c r="CI540" s="267"/>
      <c r="CJ540" s="267"/>
      <c r="CK540" s="267"/>
      <c r="CL540" s="267"/>
      <c r="CM540" s="267"/>
      <c r="CN540" s="101">
        <f t="shared" si="41"/>
        <v>1</v>
      </c>
      <c r="CO540" s="101">
        <f t="shared" si="42"/>
        <v>1</v>
      </c>
    </row>
    <row r="541" spans="1:93" ht="13.9" customHeight="1" x14ac:dyDescent="0.2">
      <c r="A541" s="149">
        <v>7161</v>
      </c>
      <c r="B541" s="150" t="s">
        <v>1216</v>
      </c>
      <c r="C541" s="150" t="s">
        <v>1593</v>
      </c>
      <c r="D541" s="150" t="s">
        <v>1594</v>
      </c>
      <c r="E541" s="150" t="s">
        <v>326</v>
      </c>
      <c r="F541" s="149">
        <v>528016</v>
      </c>
      <c r="G541" s="149">
        <v>175405</v>
      </c>
      <c r="H541" s="150" t="s">
        <v>164</v>
      </c>
      <c r="I541" s="151"/>
      <c r="J541" s="151"/>
      <c r="K541" s="149">
        <v>1</v>
      </c>
      <c r="L541" s="149">
        <v>4</v>
      </c>
      <c r="M541" s="149">
        <v>3</v>
      </c>
      <c r="N541" s="149">
        <v>4</v>
      </c>
      <c r="O541" s="149">
        <v>3</v>
      </c>
      <c r="P541" s="152"/>
      <c r="Q541" s="150" t="s">
        <v>1595</v>
      </c>
      <c r="R541" s="150" t="s">
        <v>349</v>
      </c>
      <c r="S541" s="151">
        <v>43607</v>
      </c>
      <c r="T541" s="151">
        <v>43663</v>
      </c>
      <c r="U541" s="152"/>
      <c r="V541" s="150" t="s">
        <v>330</v>
      </c>
      <c r="W541" s="151"/>
      <c r="X541" s="150" t="s">
        <v>331</v>
      </c>
      <c r="Y541" s="150" t="s">
        <v>350</v>
      </c>
      <c r="Z541" s="150" t="s">
        <v>334</v>
      </c>
      <c r="AA541" s="150" t="s">
        <v>16</v>
      </c>
      <c r="AB541" s="153">
        <v>2.5000000000000001E-2</v>
      </c>
      <c r="AC541" s="151"/>
      <c r="AD541" s="150"/>
      <c r="AE541" s="151"/>
      <c r="AF541" s="150" t="s">
        <v>70</v>
      </c>
      <c r="AG541" s="152" t="s">
        <v>352</v>
      </c>
      <c r="AH541" s="150" t="s">
        <v>326</v>
      </c>
      <c r="AI541" s="99"/>
      <c r="AJ541" s="149"/>
      <c r="AK541" s="99"/>
      <c r="AL541" s="149"/>
      <c r="AM541" s="99"/>
      <c r="AN541" s="149">
        <v>0</v>
      </c>
      <c r="AO541" s="149">
        <v>1</v>
      </c>
      <c r="AP541" s="149">
        <v>0</v>
      </c>
      <c r="AQ541" s="149">
        <v>3</v>
      </c>
      <c r="AR541" s="149">
        <v>-1</v>
      </c>
      <c r="AS541" s="149">
        <v>0</v>
      </c>
      <c r="AT541" s="149">
        <v>0</v>
      </c>
      <c r="AU541" s="149">
        <v>0</v>
      </c>
      <c r="AV541" s="149">
        <v>1</v>
      </c>
      <c r="AW541" s="149">
        <v>0</v>
      </c>
      <c r="AX541" s="149">
        <v>3</v>
      </c>
      <c r="AY541" s="149">
        <v>0</v>
      </c>
      <c r="AZ541" s="149">
        <v>0</v>
      </c>
      <c r="BA541" s="149">
        <v>0</v>
      </c>
      <c r="BB541" s="149">
        <v>0</v>
      </c>
      <c r="BC541" s="149">
        <v>0</v>
      </c>
      <c r="BD541" s="149">
        <v>0</v>
      </c>
      <c r="BE541" s="149">
        <v>0</v>
      </c>
      <c r="BF541" s="149">
        <v>-1</v>
      </c>
      <c r="BG541" s="149">
        <v>0</v>
      </c>
      <c r="BH541" s="149">
        <v>0</v>
      </c>
      <c r="BI541" s="149">
        <v>0</v>
      </c>
      <c r="BJ541" s="149">
        <v>0</v>
      </c>
      <c r="BK541" s="149">
        <v>0</v>
      </c>
      <c r="BL541" s="149">
        <v>0</v>
      </c>
      <c r="BM541" s="149">
        <v>0</v>
      </c>
      <c r="BN541" s="149">
        <v>0</v>
      </c>
      <c r="BO541" s="149">
        <v>0</v>
      </c>
      <c r="BP541" s="152"/>
      <c r="BQ541" s="152"/>
      <c r="BR541" s="154" t="s">
        <v>359</v>
      </c>
      <c r="BS541" s="136">
        <v>15</v>
      </c>
      <c r="BT541" s="267"/>
      <c r="BU541" s="267">
        <f>M541/4</f>
        <v>0.75</v>
      </c>
      <c r="BV541" s="267">
        <f>M541/4</f>
        <v>0.75</v>
      </c>
      <c r="BW541" s="267">
        <f>M541/4</f>
        <v>0.75</v>
      </c>
      <c r="BX541" s="267">
        <f>M541/4</f>
        <v>0.75</v>
      </c>
      <c r="BY541" s="267"/>
      <c r="BZ541" s="267"/>
      <c r="CA541" s="267"/>
      <c r="CB541" s="267"/>
      <c r="CC541" s="267"/>
      <c r="CD541" s="267"/>
      <c r="CE541" s="267"/>
      <c r="CF541" s="267"/>
      <c r="CG541" s="267"/>
      <c r="CH541" s="267"/>
      <c r="CI541" s="267"/>
      <c r="CJ541" s="267"/>
      <c r="CK541" s="267"/>
      <c r="CL541" s="267"/>
      <c r="CM541" s="267"/>
      <c r="CN541" s="101">
        <f t="shared" si="41"/>
        <v>3</v>
      </c>
      <c r="CO541" s="101">
        <f t="shared" si="42"/>
        <v>3</v>
      </c>
    </row>
    <row r="542" spans="1:93" ht="13.9" customHeight="1" x14ac:dyDescent="0.2">
      <c r="A542" s="149">
        <v>7213</v>
      </c>
      <c r="B542" s="150" t="s">
        <v>1216</v>
      </c>
      <c r="C542" s="150" t="s">
        <v>1596</v>
      </c>
      <c r="D542" s="150" t="s">
        <v>1597</v>
      </c>
      <c r="E542" s="150" t="s">
        <v>326</v>
      </c>
      <c r="F542" s="149">
        <v>528646</v>
      </c>
      <c r="G542" s="149">
        <v>173527</v>
      </c>
      <c r="H542" s="150" t="s">
        <v>139</v>
      </c>
      <c r="I542" s="151"/>
      <c r="J542" s="151"/>
      <c r="K542" s="149">
        <v>0</v>
      </c>
      <c r="L542" s="149">
        <v>1</v>
      </c>
      <c r="M542" s="149">
        <v>1</v>
      </c>
      <c r="N542" s="149">
        <v>2</v>
      </c>
      <c r="O542" s="149">
        <v>2</v>
      </c>
      <c r="P542" s="152"/>
      <c r="Q542" s="150" t="s">
        <v>1598</v>
      </c>
      <c r="R542" s="150" t="s">
        <v>349</v>
      </c>
      <c r="S542" s="151">
        <v>43679</v>
      </c>
      <c r="T542" s="151">
        <v>43756</v>
      </c>
      <c r="U542" s="152"/>
      <c r="V542" s="150" t="s">
        <v>330</v>
      </c>
      <c r="W542" s="151"/>
      <c r="X542" s="150" t="s">
        <v>331</v>
      </c>
      <c r="Y542" s="150" t="s">
        <v>398</v>
      </c>
      <c r="Z542" s="150" t="s">
        <v>334</v>
      </c>
      <c r="AA542" s="150" t="s">
        <v>32</v>
      </c>
      <c r="AB542" s="153">
        <v>2E-3</v>
      </c>
      <c r="AC542" s="151"/>
      <c r="AD542" s="150"/>
      <c r="AE542" s="151"/>
      <c r="AF542" s="150" t="s">
        <v>70</v>
      </c>
      <c r="AG542" s="152" t="s">
        <v>352</v>
      </c>
      <c r="AH542" s="150" t="s">
        <v>326</v>
      </c>
      <c r="AI542" s="99"/>
      <c r="AJ542" s="149"/>
      <c r="AK542" s="99"/>
      <c r="AL542" s="149"/>
      <c r="AM542" s="99"/>
      <c r="AN542" s="149">
        <v>0</v>
      </c>
      <c r="AO542" s="149">
        <v>1</v>
      </c>
      <c r="AP542" s="149">
        <v>0</v>
      </c>
      <c r="AQ542" s="149">
        <v>0</v>
      </c>
      <c r="AR542" s="149">
        <v>0</v>
      </c>
      <c r="AS542" s="149">
        <v>0</v>
      </c>
      <c r="AT542" s="149">
        <v>0</v>
      </c>
      <c r="AU542" s="149">
        <v>0</v>
      </c>
      <c r="AV542" s="149">
        <v>1</v>
      </c>
      <c r="AW542" s="149">
        <v>0</v>
      </c>
      <c r="AX542" s="149">
        <v>0</v>
      </c>
      <c r="AY542" s="149">
        <v>0</v>
      </c>
      <c r="AZ542" s="149">
        <v>0</v>
      </c>
      <c r="BA542" s="149">
        <v>0</v>
      </c>
      <c r="BB542" s="149">
        <v>0</v>
      </c>
      <c r="BC542" s="149">
        <v>0</v>
      </c>
      <c r="BD542" s="149">
        <v>0</v>
      </c>
      <c r="BE542" s="149">
        <v>0</v>
      </c>
      <c r="BF542" s="149">
        <v>0</v>
      </c>
      <c r="BG542" s="149">
        <v>0</v>
      </c>
      <c r="BH542" s="149">
        <v>0</v>
      </c>
      <c r="BI542" s="149">
        <v>0</v>
      </c>
      <c r="BJ542" s="149">
        <v>0</v>
      </c>
      <c r="BK542" s="149">
        <v>0</v>
      </c>
      <c r="BL542" s="149">
        <v>0</v>
      </c>
      <c r="BM542" s="149">
        <v>0</v>
      </c>
      <c r="BN542" s="149">
        <v>0</v>
      </c>
      <c r="BO542" s="149">
        <v>0</v>
      </c>
      <c r="BP542" s="152" t="s">
        <v>139</v>
      </c>
      <c r="BQ542" s="152"/>
      <c r="BR542" s="154" t="s">
        <v>139</v>
      </c>
      <c r="BS542" s="136">
        <v>15</v>
      </c>
      <c r="BT542" s="267"/>
      <c r="BU542" s="267">
        <f>M542/4</f>
        <v>0.25</v>
      </c>
      <c r="BV542" s="267">
        <f>M542/4</f>
        <v>0.25</v>
      </c>
      <c r="BW542" s="267">
        <f>M542/4</f>
        <v>0.25</v>
      </c>
      <c r="BX542" s="267">
        <f>M542/4</f>
        <v>0.25</v>
      </c>
      <c r="BY542" s="267"/>
      <c r="BZ542" s="267"/>
      <c r="CA542" s="267"/>
      <c r="CB542" s="267"/>
      <c r="CC542" s="267"/>
      <c r="CD542" s="267"/>
      <c r="CE542" s="267"/>
      <c r="CF542" s="267"/>
      <c r="CG542" s="267"/>
      <c r="CH542" s="267"/>
      <c r="CI542" s="267"/>
      <c r="CJ542" s="267"/>
      <c r="CK542" s="267"/>
      <c r="CL542" s="267"/>
      <c r="CM542" s="267"/>
      <c r="CN542" s="101">
        <f t="shared" si="41"/>
        <v>1</v>
      </c>
      <c r="CO542" s="101">
        <f t="shared" si="42"/>
        <v>1</v>
      </c>
    </row>
    <row r="543" spans="1:93" ht="13.9" customHeight="1" x14ac:dyDescent="0.2">
      <c r="A543" s="149">
        <v>7213</v>
      </c>
      <c r="B543" s="150" t="s">
        <v>1216</v>
      </c>
      <c r="C543" s="150" t="s">
        <v>1596</v>
      </c>
      <c r="D543" s="150" t="s">
        <v>1597</v>
      </c>
      <c r="E543" s="150" t="s">
        <v>326</v>
      </c>
      <c r="F543" s="149">
        <v>528646</v>
      </c>
      <c r="G543" s="149">
        <v>173527</v>
      </c>
      <c r="H543" s="150" t="s">
        <v>139</v>
      </c>
      <c r="I543" s="151"/>
      <c r="J543" s="151"/>
      <c r="K543" s="149">
        <v>0</v>
      </c>
      <c r="L543" s="149">
        <v>1</v>
      </c>
      <c r="M543" s="149">
        <v>1</v>
      </c>
      <c r="N543" s="149">
        <v>2</v>
      </c>
      <c r="O543" s="149">
        <v>2</v>
      </c>
      <c r="P543" s="152"/>
      <c r="Q543" s="150" t="s">
        <v>1598</v>
      </c>
      <c r="R543" s="150" t="s">
        <v>349</v>
      </c>
      <c r="S543" s="151">
        <v>43679</v>
      </c>
      <c r="T543" s="151">
        <v>43756</v>
      </c>
      <c r="U543" s="152"/>
      <c r="V543" s="150" t="s">
        <v>330</v>
      </c>
      <c r="W543" s="151"/>
      <c r="X543" s="150" t="s">
        <v>331</v>
      </c>
      <c r="Y543" s="150" t="s">
        <v>398</v>
      </c>
      <c r="Z543" s="150" t="s">
        <v>334</v>
      </c>
      <c r="AA543" s="150" t="s">
        <v>413</v>
      </c>
      <c r="AB543" s="153">
        <v>1E-3</v>
      </c>
      <c r="AC543" s="151"/>
      <c r="AD543" s="150"/>
      <c r="AE543" s="151"/>
      <c r="AF543" s="150" t="s">
        <v>70</v>
      </c>
      <c r="AG543" s="152" t="s">
        <v>352</v>
      </c>
      <c r="AH543" s="150" t="s">
        <v>326</v>
      </c>
      <c r="AI543" s="99"/>
      <c r="AJ543" s="149"/>
      <c r="AK543" s="99"/>
      <c r="AL543" s="149"/>
      <c r="AM543" s="99"/>
      <c r="AN543" s="149">
        <v>1</v>
      </c>
      <c r="AO543" s="149">
        <v>0</v>
      </c>
      <c r="AP543" s="149">
        <v>0</v>
      </c>
      <c r="AQ543" s="149">
        <v>0</v>
      </c>
      <c r="AR543" s="149">
        <v>0</v>
      </c>
      <c r="AS543" s="149">
        <v>0</v>
      </c>
      <c r="AT543" s="149">
        <v>0</v>
      </c>
      <c r="AU543" s="149">
        <v>1</v>
      </c>
      <c r="AV543" s="149">
        <v>0</v>
      </c>
      <c r="AW543" s="149">
        <v>0</v>
      </c>
      <c r="AX543" s="149">
        <v>0</v>
      </c>
      <c r="AY543" s="149">
        <v>0</v>
      </c>
      <c r="AZ543" s="149">
        <v>0</v>
      </c>
      <c r="BA543" s="149">
        <v>0</v>
      </c>
      <c r="BB543" s="149">
        <v>0</v>
      </c>
      <c r="BC543" s="149">
        <v>0</v>
      </c>
      <c r="BD543" s="149">
        <v>0</v>
      </c>
      <c r="BE543" s="149">
        <v>0</v>
      </c>
      <c r="BF543" s="149">
        <v>0</v>
      </c>
      <c r="BG543" s="149">
        <v>0</v>
      </c>
      <c r="BH543" s="149">
        <v>0</v>
      </c>
      <c r="BI543" s="149">
        <v>0</v>
      </c>
      <c r="BJ543" s="149">
        <v>0</v>
      </c>
      <c r="BK543" s="149">
        <v>0</v>
      </c>
      <c r="BL543" s="149">
        <v>0</v>
      </c>
      <c r="BM543" s="149">
        <v>0</v>
      </c>
      <c r="BN543" s="149">
        <v>0</v>
      </c>
      <c r="BO543" s="149">
        <v>0</v>
      </c>
      <c r="BP543" s="152" t="s">
        <v>139</v>
      </c>
      <c r="BQ543" s="152"/>
      <c r="BR543" s="154" t="s">
        <v>139</v>
      </c>
      <c r="BS543" s="136">
        <v>15</v>
      </c>
      <c r="BT543" s="267"/>
      <c r="BU543" s="267">
        <f>M543/4</f>
        <v>0.25</v>
      </c>
      <c r="BV543" s="267">
        <f>M543/4</f>
        <v>0.25</v>
      </c>
      <c r="BW543" s="267">
        <f>M543/4</f>
        <v>0.25</v>
      </c>
      <c r="BX543" s="267">
        <f>M543/4</f>
        <v>0.25</v>
      </c>
      <c r="BY543" s="267"/>
      <c r="BZ543" s="267"/>
      <c r="CA543" s="267"/>
      <c r="CB543" s="267"/>
      <c r="CC543" s="267"/>
      <c r="CD543" s="267"/>
      <c r="CE543" s="267"/>
      <c r="CF543" s="267"/>
      <c r="CG543" s="267"/>
      <c r="CH543" s="267"/>
      <c r="CI543" s="267"/>
      <c r="CJ543" s="267"/>
      <c r="CK543" s="267"/>
      <c r="CL543" s="267"/>
      <c r="CM543" s="267"/>
      <c r="CN543" s="101">
        <f t="shared" si="41"/>
        <v>1</v>
      </c>
      <c r="CO543" s="101">
        <f t="shared" si="42"/>
        <v>1</v>
      </c>
    </row>
    <row r="544" spans="1:93" ht="13.9" customHeight="1" x14ac:dyDescent="0.2">
      <c r="A544" s="149">
        <v>3518</v>
      </c>
      <c r="B544" s="150" t="s">
        <v>1216</v>
      </c>
      <c r="C544" s="150" t="s">
        <v>1599</v>
      </c>
      <c r="D544" s="150" t="s">
        <v>1544</v>
      </c>
      <c r="E544" s="150" t="s">
        <v>1600</v>
      </c>
      <c r="F544" s="149">
        <v>525666</v>
      </c>
      <c r="G544" s="149">
        <v>174804</v>
      </c>
      <c r="H544" s="150" t="s">
        <v>177</v>
      </c>
      <c r="I544" s="151">
        <v>42095</v>
      </c>
      <c r="J544" s="151"/>
      <c r="K544" s="149">
        <v>0</v>
      </c>
      <c r="L544" s="149">
        <v>66</v>
      </c>
      <c r="M544" s="149">
        <v>66</v>
      </c>
      <c r="N544" s="149">
        <v>66</v>
      </c>
      <c r="O544" s="149">
        <v>66</v>
      </c>
      <c r="P544" s="152" t="s">
        <v>327</v>
      </c>
      <c r="Q544" s="150" t="s">
        <v>1601</v>
      </c>
      <c r="R544" s="150" t="s">
        <v>381</v>
      </c>
      <c r="S544" s="151">
        <v>42671</v>
      </c>
      <c r="T544" s="151">
        <v>42706</v>
      </c>
      <c r="U544" s="152"/>
      <c r="V544" s="150" t="s">
        <v>330</v>
      </c>
      <c r="W544" s="151"/>
      <c r="X544" s="150" t="s">
        <v>331</v>
      </c>
      <c r="Y544" s="150" t="s">
        <v>343</v>
      </c>
      <c r="Z544" s="150" t="s">
        <v>343</v>
      </c>
      <c r="AA544" s="150" t="s">
        <v>334</v>
      </c>
      <c r="AB544" s="153">
        <v>4.5183300000000003E-2</v>
      </c>
      <c r="AC544" s="151"/>
      <c r="AD544" s="150"/>
      <c r="AE544" s="151"/>
      <c r="AF544" s="150" t="s">
        <v>48</v>
      </c>
      <c r="AG544" s="152" t="s">
        <v>344</v>
      </c>
      <c r="AH544" s="150" t="s">
        <v>1547</v>
      </c>
      <c r="AI544" s="99"/>
      <c r="AJ544" s="149">
        <v>10</v>
      </c>
      <c r="AK544" s="99"/>
      <c r="AL544" s="149">
        <v>10</v>
      </c>
      <c r="AM544" s="99"/>
      <c r="AN544" s="149">
        <v>0</v>
      </c>
      <c r="AO544" s="149">
        <v>36</v>
      </c>
      <c r="AP544" s="149">
        <v>24</v>
      </c>
      <c r="AQ544" s="149">
        <v>6</v>
      </c>
      <c r="AR544" s="149">
        <v>0</v>
      </c>
      <c r="AS544" s="149">
        <v>0</v>
      </c>
      <c r="AT544" s="149">
        <v>0</v>
      </c>
      <c r="AU544" s="149">
        <v>0</v>
      </c>
      <c r="AV544" s="149">
        <v>36</v>
      </c>
      <c r="AW544" s="149">
        <v>24</v>
      </c>
      <c r="AX544" s="149">
        <v>6</v>
      </c>
      <c r="AY544" s="149">
        <v>0</v>
      </c>
      <c r="AZ544" s="149">
        <v>0</v>
      </c>
      <c r="BA544" s="149">
        <v>0</v>
      </c>
      <c r="BB544" s="149">
        <v>0</v>
      </c>
      <c r="BC544" s="149">
        <v>0</v>
      </c>
      <c r="BD544" s="149">
        <v>0</v>
      </c>
      <c r="BE544" s="149">
        <v>0</v>
      </c>
      <c r="BF544" s="149">
        <v>0</v>
      </c>
      <c r="BG544" s="149">
        <v>0</v>
      </c>
      <c r="BH544" s="149">
        <v>0</v>
      </c>
      <c r="BI544" s="149">
        <v>0</v>
      </c>
      <c r="BJ544" s="149">
        <v>0</v>
      </c>
      <c r="BK544" s="149">
        <v>0</v>
      </c>
      <c r="BL544" s="149">
        <v>0</v>
      </c>
      <c r="BM544" s="149">
        <v>0</v>
      </c>
      <c r="BN544" s="149">
        <v>0</v>
      </c>
      <c r="BO544" s="149">
        <v>0</v>
      </c>
      <c r="BP544" s="152" t="s">
        <v>143</v>
      </c>
      <c r="BQ544" s="152"/>
      <c r="BR544" s="154" t="s">
        <v>463</v>
      </c>
      <c r="BS544" s="136">
        <v>8</v>
      </c>
      <c r="BT544" s="267"/>
      <c r="BU544" s="267"/>
      <c r="BV544" s="267"/>
      <c r="BW544" s="267"/>
      <c r="BX544" s="267">
        <f>M544</f>
        <v>66</v>
      </c>
      <c r="BY544" s="267"/>
      <c r="BZ544" s="267"/>
      <c r="CA544" s="267"/>
      <c r="CB544" s="267"/>
      <c r="CC544" s="267"/>
      <c r="CD544" s="267"/>
      <c r="CE544" s="267"/>
      <c r="CF544" s="267"/>
      <c r="CG544" s="267"/>
      <c r="CH544" s="267"/>
      <c r="CI544" s="267"/>
      <c r="CJ544" s="267"/>
      <c r="CK544" s="267"/>
      <c r="CL544" s="267"/>
      <c r="CM544" s="267"/>
      <c r="CN544" s="101">
        <f t="shared" si="41"/>
        <v>66</v>
      </c>
      <c r="CO544" s="101">
        <f t="shared" si="42"/>
        <v>66</v>
      </c>
    </row>
    <row r="545" spans="1:93" ht="13.9" customHeight="1" x14ac:dyDescent="0.2">
      <c r="A545" s="149">
        <v>4775</v>
      </c>
      <c r="B545" s="150" t="s">
        <v>1216</v>
      </c>
      <c r="C545" s="150" t="s">
        <v>1602</v>
      </c>
      <c r="D545" s="150" t="s">
        <v>1603</v>
      </c>
      <c r="E545" s="150" t="s">
        <v>326</v>
      </c>
      <c r="F545" s="149">
        <v>521333</v>
      </c>
      <c r="G545" s="149">
        <v>174425</v>
      </c>
      <c r="H545" s="150" t="s">
        <v>166</v>
      </c>
      <c r="I545" s="151"/>
      <c r="J545" s="151"/>
      <c r="K545" s="149">
        <v>0</v>
      </c>
      <c r="L545" s="149">
        <v>3</v>
      </c>
      <c r="M545" s="149">
        <v>3</v>
      </c>
      <c r="N545" s="149">
        <v>3</v>
      </c>
      <c r="O545" s="149">
        <v>3</v>
      </c>
      <c r="P545" s="152"/>
      <c r="Q545" s="150" t="s">
        <v>1604</v>
      </c>
      <c r="R545" s="150" t="s">
        <v>349</v>
      </c>
      <c r="S545" s="151">
        <v>43643</v>
      </c>
      <c r="T545" s="151">
        <v>43677</v>
      </c>
      <c r="U545" s="152"/>
      <c r="V545" s="150" t="s">
        <v>330</v>
      </c>
      <c r="W545" s="151"/>
      <c r="X545" s="150" t="s">
        <v>331</v>
      </c>
      <c r="Y545" s="150" t="s">
        <v>332</v>
      </c>
      <c r="Z545" s="150" t="s">
        <v>334</v>
      </c>
      <c r="AA545" s="150" t="s">
        <v>32</v>
      </c>
      <c r="AB545" s="153">
        <v>1.4999999999999999E-2</v>
      </c>
      <c r="AC545" s="151"/>
      <c r="AD545" s="150"/>
      <c r="AE545" s="151"/>
      <c r="AF545" s="150" t="s">
        <v>70</v>
      </c>
      <c r="AG545" s="152" t="s">
        <v>352</v>
      </c>
      <c r="AH545" s="150" t="s">
        <v>326</v>
      </c>
      <c r="AI545" s="99"/>
      <c r="AJ545" s="149"/>
      <c r="AK545" s="102"/>
      <c r="AL545" s="149"/>
      <c r="AM545" s="102"/>
      <c r="AN545" s="149">
        <v>0</v>
      </c>
      <c r="AO545" s="149">
        <v>3</v>
      </c>
      <c r="AP545" s="149">
        <v>0</v>
      </c>
      <c r="AQ545" s="149">
        <v>0</v>
      </c>
      <c r="AR545" s="149">
        <v>0</v>
      </c>
      <c r="AS545" s="149">
        <v>0</v>
      </c>
      <c r="AT545" s="149">
        <v>0</v>
      </c>
      <c r="AU545" s="149">
        <v>0</v>
      </c>
      <c r="AV545" s="149">
        <v>3</v>
      </c>
      <c r="AW545" s="149">
        <v>0</v>
      </c>
      <c r="AX545" s="149">
        <v>0</v>
      </c>
      <c r="AY545" s="149">
        <v>0</v>
      </c>
      <c r="AZ545" s="149">
        <v>0</v>
      </c>
      <c r="BA545" s="149">
        <v>0</v>
      </c>
      <c r="BB545" s="149">
        <v>0</v>
      </c>
      <c r="BC545" s="149">
        <v>0</v>
      </c>
      <c r="BD545" s="149">
        <v>0</v>
      </c>
      <c r="BE545" s="149">
        <v>0</v>
      </c>
      <c r="BF545" s="149">
        <v>0</v>
      </c>
      <c r="BG545" s="149">
        <v>0</v>
      </c>
      <c r="BH545" s="149">
        <v>0</v>
      </c>
      <c r="BI545" s="149">
        <v>0</v>
      </c>
      <c r="BJ545" s="149">
        <v>0</v>
      </c>
      <c r="BK545" s="149">
        <v>0</v>
      </c>
      <c r="BL545" s="149">
        <v>0</v>
      </c>
      <c r="BM545" s="149">
        <v>0</v>
      </c>
      <c r="BN545" s="149">
        <v>0</v>
      </c>
      <c r="BO545" s="149">
        <v>0</v>
      </c>
      <c r="BP545" s="152"/>
      <c r="BQ545" s="152"/>
      <c r="BR545" s="154" t="s">
        <v>359</v>
      </c>
      <c r="BS545" s="136">
        <v>15</v>
      </c>
      <c r="BT545" s="267"/>
      <c r="BU545" s="267">
        <f>M545/4</f>
        <v>0.75</v>
      </c>
      <c r="BV545" s="267">
        <f>M545/4</f>
        <v>0.75</v>
      </c>
      <c r="BW545" s="267">
        <f>M545/4</f>
        <v>0.75</v>
      </c>
      <c r="BX545" s="267">
        <f>M545/4</f>
        <v>0.75</v>
      </c>
      <c r="BY545" s="267"/>
      <c r="BZ545" s="267"/>
      <c r="CA545" s="267"/>
      <c r="CB545" s="267"/>
      <c r="CC545" s="267"/>
      <c r="CD545" s="267"/>
      <c r="CE545" s="267"/>
      <c r="CF545" s="267"/>
      <c r="CG545" s="267"/>
      <c r="CH545" s="267"/>
      <c r="CI545" s="267"/>
      <c r="CJ545" s="267"/>
      <c r="CK545" s="267"/>
      <c r="CL545" s="267"/>
      <c r="CM545" s="267"/>
      <c r="CN545" s="101">
        <f t="shared" si="41"/>
        <v>3</v>
      </c>
      <c r="CO545" s="101">
        <f t="shared" si="42"/>
        <v>3</v>
      </c>
    </row>
    <row r="546" spans="1:93" ht="13.9" customHeight="1" x14ac:dyDescent="0.2">
      <c r="A546" s="149">
        <v>7148</v>
      </c>
      <c r="B546" s="150" t="s">
        <v>1216</v>
      </c>
      <c r="C546" s="150" t="s">
        <v>1605</v>
      </c>
      <c r="D546" s="150" t="s">
        <v>1606</v>
      </c>
      <c r="E546" s="150" t="s">
        <v>326</v>
      </c>
      <c r="F546" s="149">
        <v>527437</v>
      </c>
      <c r="G546" s="149">
        <v>175150</v>
      </c>
      <c r="H546" s="150" t="s">
        <v>164</v>
      </c>
      <c r="I546" s="151"/>
      <c r="J546" s="151"/>
      <c r="K546" s="149">
        <v>0</v>
      </c>
      <c r="L546" s="149">
        <v>1</v>
      </c>
      <c r="M546" s="149">
        <v>1</v>
      </c>
      <c r="N546" s="149">
        <v>1</v>
      </c>
      <c r="O546" s="149">
        <v>1</v>
      </c>
      <c r="P546" s="152"/>
      <c r="Q546" s="150" t="s">
        <v>1607</v>
      </c>
      <c r="R546" s="150" t="s">
        <v>349</v>
      </c>
      <c r="S546" s="151">
        <v>43648</v>
      </c>
      <c r="T546" s="151">
        <v>43679</v>
      </c>
      <c r="U546" s="152"/>
      <c r="V546" s="150" t="s">
        <v>330</v>
      </c>
      <c r="W546" s="151"/>
      <c r="X546" s="150" t="s">
        <v>331</v>
      </c>
      <c r="Y546" s="150" t="s">
        <v>398</v>
      </c>
      <c r="Z546" s="150" t="s">
        <v>334</v>
      </c>
      <c r="AA546" s="150" t="s">
        <v>413</v>
      </c>
      <c r="AB546" s="153">
        <v>1E-3</v>
      </c>
      <c r="AC546" s="151"/>
      <c r="AD546" s="150"/>
      <c r="AE546" s="151"/>
      <c r="AF546" s="150" t="s">
        <v>70</v>
      </c>
      <c r="AG546" s="152" t="s">
        <v>352</v>
      </c>
      <c r="AH546" s="150" t="s">
        <v>326</v>
      </c>
      <c r="AI546" s="99"/>
      <c r="AJ546" s="149"/>
      <c r="AK546" s="102"/>
      <c r="AL546" s="149"/>
      <c r="AM546" s="102"/>
      <c r="AN546" s="149">
        <v>0</v>
      </c>
      <c r="AO546" s="149">
        <v>1</v>
      </c>
      <c r="AP546" s="149">
        <v>0</v>
      </c>
      <c r="AQ546" s="149">
        <v>0</v>
      </c>
      <c r="AR546" s="149">
        <v>0</v>
      </c>
      <c r="AS546" s="149">
        <v>0</v>
      </c>
      <c r="AT546" s="149">
        <v>0</v>
      </c>
      <c r="AU546" s="149">
        <v>0</v>
      </c>
      <c r="AV546" s="149">
        <v>1</v>
      </c>
      <c r="AW546" s="149">
        <v>0</v>
      </c>
      <c r="AX546" s="149">
        <v>0</v>
      </c>
      <c r="AY546" s="149">
        <v>0</v>
      </c>
      <c r="AZ546" s="149">
        <v>0</v>
      </c>
      <c r="BA546" s="149">
        <v>0</v>
      </c>
      <c r="BB546" s="149">
        <v>0</v>
      </c>
      <c r="BC546" s="149">
        <v>0</v>
      </c>
      <c r="BD546" s="149">
        <v>0</v>
      </c>
      <c r="BE546" s="149">
        <v>0</v>
      </c>
      <c r="BF546" s="149">
        <v>0</v>
      </c>
      <c r="BG546" s="149">
        <v>0</v>
      </c>
      <c r="BH546" s="149">
        <v>0</v>
      </c>
      <c r="BI546" s="149">
        <v>0</v>
      </c>
      <c r="BJ546" s="149">
        <v>0</v>
      </c>
      <c r="BK546" s="149">
        <v>0</v>
      </c>
      <c r="BL546" s="149">
        <v>0</v>
      </c>
      <c r="BM546" s="149">
        <v>0</v>
      </c>
      <c r="BN546" s="149">
        <v>0</v>
      </c>
      <c r="BO546" s="149">
        <v>0</v>
      </c>
      <c r="BP546" s="152" t="s">
        <v>140</v>
      </c>
      <c r="BQ546" s="152"/>
      <c r="BR546" s="154" t="s">
        <v>148</v>
      </c>
      <c r="BS546" s="136">
        <v>15</v>
      </c>
      <c r="BT546" s="267"/>
      <c r="BU546" s="267">
        <f>M546/4</f>
        <v>0.25</v>
      </c>
      <c r="BV546" s="267">
        <f>M546/4</f>
        <v>0.25</v>
      </c>
      <c r="BW546" s="267">
        <f>M546/4</f>
        <v>0.25</v>
      </c>
      <c r="BX546" s="267">
        <f>M546/4</f>
        <v>0.25</v>
      </c>
      <c r="BY546" s="267"/>
      <c r="BZ546" s="267"/>
      <c r="CA546" s="267"/>
      <c r="CB546" s="267"/>
      <c r="CC546" s="267"/>
      <c r="CD546" s="267"/>
      <c r="CE546" s="267"/>
      <c r="CF546" s="267"/>
      <c r="CG546" s="267"/>
      <c r="CH546" s="267"/>
      <c r="CI546" s="267"/>
      <c r="CJ546" s="267"/>
      <c r="CK546" s="267"/>
      <c r="CL546" s="267"/>
      <c r="CM546" s="267"/>
      <c r="CN546" s="101">
        <f t="shared" si="41"/>
        <v>1</v>
      </c>
      <c r="CO546" s="101">
        <f t="shared" si="42"/>
        <v>1</v>
      </c>
    </row>
    <row r="547" spans="1:93" ht="13.9" customHeight="1" x14ac:dyDescent="0.2">
      <c r="A547" s="149">
        <v>7304</v>
      </c>
      <c r="B547" s="150" t="s">
        <v>1216</v>
      </c>
      <c r="C547" s="150" t="s">
        <v>1608</v>
      </c>
      <c r="D547" s="150" t="s">
        <v>1609</v>
      </c>
      <c r="E547" s="150" t="s">
        <v>1610</v>
      </c>
      <c r="F547" s="149">
        <v>522152</v>
      </c>
      <c r="G547" s="149">
        <v>173834</v>
      </c>
      <c r="H547" s="150" t="s">
        <v>166</v>
      </c>
      <c r="I547" s="151"/>
      <c r="J547" s="151"/>
      <c r="K547" s="149">
        <v>0</v>
      </c>
      <c r="L547" s="149">
        <v>230</v>
      </c>
      <c r="M547" s="149">
        <v>230</v>
      </c>
      <c r="N547" s="149">
        <v>1068</v>
      </c>
      <c r="O547" s="149">
        <v>780</v>
      </c>
      <c r="P547" s="152" t="s">
        <v>327</v>
      </c>
      <c r="Q547" s="150" t="s">
        <v>1611</v>
      </c>
      <c r="R547" s="150" t="s">
        <v>329</v>
      </c>
      <c r="S547" s="151">
        <v>43623</v>
      </c>
      <c r="T547" s="151">
        <v>44643</v>
      </c>
      <c r="U547" s="152"/>
      <c r="V547" s="150" t="s">
        <v>330</v>
      </c>
      <c r="W547" s="151"/>
      <c r="X547" s="150" t="s">
        <v>331</v>
      </c>
      <c r="Y547" s="150" t="s">
        <v>343</v>
      </c>
      <c r="Z547" s="150" t="s">
        <v>343</v>
      </c>
      <c r="AA547" s="150" t="s">
        <v>334</v>
      </c>
      <c r="AB547" s="153">
        <v>0.83599999999999997</v>
      </c>
      <c r="AC547" s="151"/>
      <c r="AD547" s="150"/>
      <c r="AE547" s="151"/>
      <c r="AF547" s="150" t="s">
        <v>70</v>
      </c>
      <c r="AG547" s="152" t="s">
        <v>352</v>
      </c>
      <c r="AH547" s="150" t="s">
        <v>1612</v>
      </c>
      <c r="AI547" s="99"/>
      <c r="AJ547" s="149"/>
      <c r="AK547" s="149">
        <v>207</v>
      </c>
      <c r="AL547" s="149"/>
      <c r="AM547" s="149">
        <v>23</v>
      </c>
      <c r="AN547" s="149">
        <v>0</v>
      </c>
      <c r="AO547" s="149">
        <v>57</v>
      </c>
      <c r="AP547" s="149">
        <v>159</v>
      </c>
      <c r="AQ547" s="149">
        <v>14</v>
      </c>
      <c r="AR547" s="149">
        <v>0</v>
      </c>
      <c r="AS547" s="149">
        <v>0</v>
      </c>
      <c r="AT547" s="149">
        <v>0</v>
      </c>
      <c r="AU547" s="149">
        <v>0</v>
      </c>
      <c r="AV547" s="149">
        <v>57</v>
      </c>
      <c r="AW547" s="149">
        <v>159</v>
      </c>
      <c r="AX547" s="149">
        <v>14</v>
      </c>
      <c r="AY547" s="149">
        <v>0</v>
      </c>
      <c r="AZ547" s="149">
        <v>0</v>
      </c>
      <c r="BA547" s="149">
        <v>0</v>
      </c>
      <c r="BB547" s="149">
        <v>0</v>
      </c>
      <c r="BC547" s="149">
        <v>0</v>
      </c>
      <c r="BD547" s="149">
        <v>0</v>
      </c>
      <c r="BE547" s="149">
        <v>0</v>
      </c>
      <c r="BF547" s="149">
        <v>0</v>
      </c>
      <c r="BG547" s="149">
        <v>0</v>
      </c>
      <c r="BH547" s="149">
        <v>0</v>
      </c>
      <c r="BI547" s="149">
        <v>0</v>
      </c>
      <c r="BJ547" s="149">
        <v>0</v>
      </c>
      <c r="BK547" s="149">
        <v>0</v>
      </c>
      <c r="BL547" s="149">
        <v>0</v>
      </c>
      <c r="BM547" s="149">
        <v>0</v>
      </c>
      <c r="BN547" s="149">
        <v>0</v>
      </c>
      <c r="BO547" s="149">
        <v>0</v>
      </c>
      <c r="BP547" s="152"/>
      <c r="BQ547" s="152"/>
      <c r="BR547" s="154" t="s">
        <v>150</v>
      </c>
      <c r="BS547" s="136">
        <v>10</v>
      </c>
      <c r="BT547" s="267"/>
      <c r="BU547" s="267"/>
      <c r="BV547" s="267"/>
      <c r="BW547" s="267"/>
      <c r="BX547" s="267">
        <f t="shared" ref="BX547:BX558" si="50">M547/3</f>
        <v>76.666666666666671</v>
      </c>
      <c r="BY547" s="267">
        <f t="shared" ref="BY547:BY558" si="51">M547/3</f>
        <v>76.666666666666671</v>
      </c>
      <c r="BZ547" s="267">
        <f t="shared" ref="BZ547:BZ558" si="52">M547/3</f>
        <v>76.666666666666671</v>
      </c>
      <c r="CA547" s="267"/>
      <c r="CB547" s="267"/>
      <c r="CC547" s="267"/>
      <c r="CD547" s="267"/>
      <c r="CE547" s="267"/>
      <c r="CF547" s="267"/>
      <c r="CG547" s="267"/>
      <c r="CH547" s="267"/>
      <c r="CI547" s="267"/>
      <c r="CJ547" s="267"/>
      <c r="CK547" s="267"/>
      <c r="CL547" s="267"/>
      <c r="CM547" s="267"/>
      <c r="CN547" s="101">
        <f t="shared" si="41"/>
        <v>153.33333333333334</v>
      </c>
      <c r="CO547" s="101">
        <f t="shared" si="42"/>
        <v>230</v>
      </c>
    </row>
    <row r="548" spans="1:93" ht="13.9" customHeight="1" x14ac:dyDescent="0.2">
      <c r="A548" s="149">
        <v>7304</v>
      </c>
      <c r="B548" s="150" t="s">
        <v>1216</v>
      </c>
      <c r="C548" s="150" t="s">
        <v>1608</v>
      </c>
      <c r="D548" s="150" t="s">
        <v>1609</v>
      </c>
      <c r="E548" s="150" t="s">
        <v>1613</v>
      </c>
      <c r="F548" s="149">
        <v>522152</v>
      </c>
      <c r="G548" s="149">
        <v>173834</v>
      </c>
      <c r="H548" s="150" t="s">
        <v>166</v>
      </c>
      <c r="I548" s="151"/>
      <c r="J548" s="151"/>
      <c r="K548" s="149">
        <v>0</v>
      </c>
      <c r="L548" s="149">
        <v>107</v>
      </c>
      <c r="M548" s="149">
        <v>107</v>
      </c>
      <c r="N548" s="149">
        <v>1068</v>
      </c>
      <c r="O548" s="149">
        <v>780</v>
      </c>
      <c r="P548" s="152" t="s">
        <v>327</v>
      </c>
      <c r="Q548" s="150" t="s">
        <v>1611</v>
      </c>
      <c r="R548" s="150" t="s">
        <v>329</v>
      </c>
      <c r="S548" s="151">
        <v>43623</v>
      </c>
      <c r="T548" s="151">
        <v>44643</v>
      </c>
      <c r="U548" s="152"/>
      <c r="V548" s="150" t="s">
        <v>330</v>
      </c>
      <c r="W548" s="151"/>
      <c r="X548" s="150" t="s">
        <v>331</v>
      </c>
      <c r="Y548" s="150" t="s">
        <v>343</v>
      </c>
      <c r="Z548" s="150" t="s">
        <v>343</v>
      </c>
      <c r="AA548" s="150" t="s">
        <v>334</v>
      </c>
      <c r="AB548" s="153">
        <v>0.38900000000000001</v>
      </c>
      <c r="AC548" s="151"/>
      <c r="AD548" s="150"/>
      <c r="AE548" s="151"/>
      <c r="AF548" s="150" t="s">
        <v>70</v>
      </c>
      <c r="AG548" s="152" t="s">
        <v>352</v>
      </c>
      <c r="AH548" s="150" t="s">
        <v>1612</v>
      </c>
      <c r="AI548" s="99"/>
      <c r="AJ548" s="149"/>
      <c r="AK548" s="149">
        <v>96</v>
      </c>
      <c r="AL548" s="149"/>
      <c r="AM548" s="149">
        <v>11</v>
      </c>
      <c r="AN548" s="149">
        <v>0</v>
      </c>
      <c r="AO548" s="149">
        <v>33</v>
      </c>
      <c r="AP548" s="149">
        <v>74</v>
      </c>
      <c r="AQ548" s="149">
        <v>0</v>
      </c>
      <c r="AR548" s="149">
        <v>0</v>
      </c>
      <c r="AS548" s="149">
        <v>0</v>
      </c>
      <c r="AT548" s="149">
        <v>0</v>
      </c>
      <c r="AU548" s="149">
        <v>0</v>
      </c>
      <c r="AV548" s="149">
        <v>33</v>
      </c>
      <c r="AW548" s="149">
        <v>74</v>
      </c>
      <c r="AX548" s="149">
        <v>0</v>
      </c>
      <c r="AY548" s="149">
        <v>0</v>
      </c>
      <c r="AZ548" s="149">
        <v>0</v>
      </c>
      <c r="BA548" s="149">
        <v>0</v>
      </c>
      <c r="BB548" s="149">
        <v>0</v>
      </c>
      <c r="BC548" s="149">
        <v>0</v>
      </c>
      <c r="BD548" s="149">
        <v>0</v>
      </c>
      <c r="BE548" s="149">
        <v>0</v>
      </c>
      <c r="BF548" s="149">
        <v>0</v>
      </c>
      <c r="BG548" s="149">
        <v>0</v>
      </c>
      <c r="BH548" s="149">
        <v>0</v>
      </c>
      <c r="BI548" s="149">
        <v>0</v>
      </c>
      <c r="BJ548" s="149">
        <v>0</v>
      </c>
      <c r="BK548" s="149">
        <v>0</v>
      </c>
      <c r="BL548" s="149">
        <v>0</v>
      </c>
      <c r="BM548" s="149">
        <v>0</v>
      </c>
      <c r="BN548" s="149">
        <v>0</v>
      </c>
      <c r="BO548" s="149">
        <v>0</v>
      </c>
      <c r="BP548" s="152"/>
      <c r="BQ548" s="152"/>
      <c r="BR548" s="154" t="s">
        <v>150</v>
      </c>
      <c r="BS548" s="136">
        <v>10</v>
      </c>
      <c r="BT548" s="267"/>
      <c r="BU548" s="267"/>
      <c r="BV548" s="267"/>
      <c r="BW548" s="267"/>
      <c r="BX548" s="267">
        <f t="shared" si="50"/>
        <v>35.666666666666664</v>
      </c>
      <c r="BY548" s="267">
        <f t="shared" si="51"/>
        <v>35.666666666666664</v>
      </c>
      <c r="BZ548" s="267">
        <f t="shared" si="52"/>
        <v>35.666666666666664</v>
      </c>
      <c r="CA548" s="267"/>
      <c r="CB548" s="267"/>
      <c r="CC548" s="267"/>
      <c r="CD548" s="267"/>
      <c r="CE548" s="267"/>
      <c r="CF548" s="267"/>
      <c r="CG548" s="267"/>
      <c r="CH548" s="267"/>
      <c r="CI548" s="267"/>
      <c r="CJ548" s="267"/>
      <c r="CK548" s="267"/>
      <c r="CL548" s="267"/>
      <c r="CM548" s="267"/>
      <c r="CN548" s="101">
        <f t="shared" si="41"/>
        <v>71.333333333333329</v>
      </c>
      <c r="CO548" s="101">
        <f t="shared" si="42"/>
        <v>107</v>
      </c>
    </row>
    <row r="549" spans="1:93" ht="13.9" customHeight="1" x14ac:dyDescent="0.2">
      <c r="A549" s="149">
        <v>7304</v>
      </c>
      <c r="B549" s="150" t="s">
        <v>1216</v>
      </c>
      <c r="C549" s="150" t="s">
        <v>1608</v>
      </c>
      <c r="D549" s="150" t="s">
        <v>1609</v>
      </c>
      <c r="E549" s="150" t="s">
        <v>1614</v>
      </c>
      <c r="F549" s="149">
        <v>522152</v>
      </c>
      <c r="G549" s="149">
        <v>173834</v>
      </c>
      <c r="H549" s="150" t="s">
        <v>166</v>
      </c>
      <c r="I549" s="151"/>
      <c r="J549" s="151"/>
      <c r="K549" s="149">
        <v>0</v>
      </c>
      <c r="L549" s="149">
        <v>121</v>
      </c>
      <c r="M549" s="149">
        <v>121</v>
      </c>
      <c r="N549" s="149">
        <v>1068</v>
      </c>
      <c r="O549" s="149">
        <v>780</v>
      </c>
      <c r="P549" s="152" t="s">
        <v>327</v>
      </c>
      <c r="Q549" s="150" t="s">
        <v>1611</v>
      </c>
      <c r="R549" s="150" t="s">
        <v>329</v>
      </c>
      <c r="S549" s="151">
        <v>43623</v>
      </c>
      <c r="T549" s="151">
        <v>44643</v>
      </c>
      <c r="U549" s="152"/>
      <c r="V549" s="150" t="s">
        <v>330</v>
      </c>
      <c r="W549" s="151"/>
      <c r="X549" s="150" t="s">
        <v>331</v>
      </c>
      <c r="Y549" s="150" t="s">
        <v>343</v>
      </c>
      <c r="Z549" s="150" t="s">
        <v>343</v>
      </c>
      <c r="AA549" s="150" t="s">
        <v>334</v>
      </c>
      <c r="AB549" s="153">
        <v>0.44</v>
      </c>
      <c r="AC549" s="151"/>
      <c r="AD549" s="150"/>
      <c r="AE549" s="151"/>
      <c r="AF549" s="150" t="s">
        <v>70</v>
      </c>
      <c r="AG549" s="152" t="s">
        <v>352</v>
      </c>
      <c r="AH549" s="150" t="s">
        <v>1612</v>
      </c>
      <c r="AI549" s="99"/>
      <c r="AJ549" s="149"/>
      <c r="AK549" s="149">
        <v>110</v>
      </c>
      <c r="AL549" s="149"/>
      <c r="AM549" s="149">
        <v>11</v>
      </c>
      <c r="AN549" s="149">
        <v>0</v>
      </c>
      <c r="AO549" s="149">
        <v>38</v>
      </c>
      <c r="AP549" s="149">
        <v>83</v>
      </c>
      <c r="AQ549" s="149">
        <v>0</v>
      </c>
      <c r="AR549" s="149">
        <v>0</v>
      </c>
      <c r="AS549" s="149">
        <v>0</v>
      </c>
      <c r="AT549" s="149">
        <v>0</v>
      </c>
      <c r="AU549" s="149">
        <v>0</v>
      </c>
      <c r="AV549" s="149">
        <v>38</v>
      </c>
      <c r="AW549" s="149">
        <v>83</v>
      </c>
      <c r="AX549" s="149">
        <v>0</v>
      </c>
      <c r="AY549" s="149">
        <v>0</v>
      </c>
      <c r="AZ549" s="149">
        <v>0</v>
      </c>
      <c r="BA549" s="149">
        <v>0</v>
      </c>
      <c r="BB549" s="149">
        <v>0</v>
      </c>
      <c r="BC549" s="149">
        <v>0</v>
      </c>
      <c r="BD549" s="149">
        <v>0</v>
      </c>
      <c r="BE549" s="149">
        <v>0</v>
      </c>
      <c r="BF549" s="149">
        <v>0</v>
      </c>
      <c r="BG549" s="149">
        <v>0</v>
      </c>
      <c r="BH549" s="149">
        <v>0</v>
      </c>
      <c r="BI549" s="149">
        <v>0</v>
      </c>
      <c r="BJ549" s="149">
        <v>0</v>
      </c>
      <c r="BK549" s="149">
        <v>0</v>
      </c>
      <c r="BL549" s="149">
        <v>0</v>
      </c>
      <c r="BM549" s="149">
        <v>0</v>
      </c>
      <c r="BN549" s="149">
        <v>0</v>
      </c>
      <c r="BO549" s="149">
        <v>0</v>
      </c>
      <c r="BP549" s="152"/>
      <c r="BQ549" s="152"/>
      <c r="BR549" s="154" t="s">
        <v>150</v>
      </c>
      <c r="BS549" s="136">
        <v>10</v>
      </c>
      <c r="BT549" s="267"/>
      <c r="BU549" s="267"/>
      <c r="BV549" s="267"/>
      <c r="BW549" s="267"/>
      <c r="BX549" s="267">
        <f t="shared" si="50"/>
        <v>40.333333333333336</v>
      </c>
      <c r="BY549" s="267">
        <f t="shared" si="51"/>
        <v>40.333333333333336</v>
      </c>
      <c r="BZ549" s="267">
        <f t="shared" si="52"/>
        <v>40.333333333333336</v>
      </c>
      <c r="CA549" s="267"/>
      <c r="CB549" s="267"/>
      <c r="CC549" s="267"/>
      <c r="CD549" s="267"/>
      <c r="CE549" s="267"/>
      <c r="CF549" s="267"/>
      <c r="CG549" s="267"/>
      <c r="CH549" s="267"/>
      <c r="CI549" s="267"/>
      <c r="CJ549" s="267"/>
      <c r="CK549" s="267"/>
      <c r="CL549" s="267"/>
      <c r="CM549" s="267"/>
      <c r="CN549" s="101">
        <f t="shared" si="41"/>
        <v>80.666666666666671</v>
      </c>
      <c r="CO549" s="101">
        <f t="shared" si="42"/>
        <v>121</v>
      </c>
    </row>
    <row r="550" spans="1:93" ht="13.9" customHeight="1" x14ac:dyDescent="0.2">
      <c r="A550" s="149">
        <v>7304</v>
      </c>
      <c r="B550" s="150" t="s">
        <v>1216</v>
      </c>
      <c r="C550" s="150" t="s">
        <v>1608</v>
      </c>
      <c r="D550" s="150" t="s">
        <v>1609</v>
      </c>
      <c r="E550" s="150" t="s">
        <v>1615</v>
      </c>
      <c r="F550" s="149">
        <v>522152</v>
      </c>
      <c r="G550" s="149">
        <v>173834</v>
      </c>
      <c r="H550" s="150" t="s">
        <v>166</v>
      </c>
      <c r="I550" s="151"/>
      <c r="J550" s="151"/>
      <c r="K550" s="149">
        <v>0</v>
      </c>
      <c r="L550" s="149">
        <v>6</v>
      </c>
      <c r="M550" s="149">
        <v>6</v>
      </c>
      <c r="N550" s="149">
        <v>1068</v>
      </c>
      <c r="O550" s="149">
        <v>780</v>
      </c>
      <c r="P550" s="152" t="s">
        <v>327</v>
      </c>
      <c r="Q550" s="150" t="s">
        <v>1611</v>
      </c>
      <c r="R550" s="150" t="s">
        <v>329</v>
      </c>
      <c r="S550" s="151">
        <v>43623</v>
      </c>
      <c r="T550" s="151">
        <v>44643</v>
      </c>
      <c r="U550" s="152"/>
      <c r="V550" s="150" t="s">
        <v>330</v>
      </c>
      <c r="W550" s="151"/>
      <c r="X550" s="150" t="s">
        <v>331</v>
      </c>
      <c r="Y550" s="150" t="s">
        <v>343</v>
      </c>
      <c r="Z550" s="150" t="s">
        <v>343</v>
      </c>
      <c r="AA550" s="150" t="s">
        <v>334</v>
      </c>
      <c r="AB550" s="153">
        <v>2.1780000000000001E-2</v>
      </c>
      <c r="AC550" s="151"/>
      <c r="AD550" s="150"/>
      <c r="AE550" s="151"/>
      <c r="AF550" s="150" t="s">
        <v>48</v>
      </c>
      <c r="AG550" s="152" t="s">
        <v>785</v>
      </c>
      <c r="AH550" s="150" t="s">
        <v>1612</v>
      </c>
      <c r="AI550" s="99"/>
      <c r="AJ550" s="149"/>
      <c r="AK550" s="149">
        <v>5</v>
      </c>
      <c r="AL550" s="149"/>
      <c r="AM550" s="149">
        <v>1</v>
      </c>
      <c r="AN550" s="149">
        <v>0</v>
      </c>
      <c r="AO550" s="149">
        <v>0</v>
      </c>
      <c r="AP550" s="149">
        <v>2</v>
      </c>
      <c r="AQ550" s="149">
        <v>2</v>
      </c>
      <c r="AR550" s="149">
        <v>2</v>
      </c>
      <c r="AS550" s="149">
        <v>0</v>
      </c>
      <c r="AT550" s="149">
        <v>0</v>
      </c>
      <c r="AU550" s="149">
        <v>0</v>
      </c>
      <c r="AV550" s="149">
        <v>0</v>
      </c>
      <c r="AW550" s="149">
        <v>2</v>
      </c>
      <c r="AX550" s="149">
        <v>2</v>
      </c>
      <c r="AY550" s="149">
        <v>2</v>
      </c>
      <c r="AZ550" s="149">
        <v>0</v>
      </c>
      <c r="BA550" s="149">
        <v>0</v>
      </c>
      <c r="BB550" s="149">
        <v>0</v>
      </c>
      <c r="BC550" s="149">
        <v>0</v>
      </c>
      <c r="BD550" s="149">
        <v>0</v>
      </c>
      <c r="BE550" s="149">
        <v>0</v>
      </c>
      <c r="BF550" s="149">
        <v>0</v>
      </c>
      <c r="BG550" s="149">
        <v>0</v>
      </c>
      <c r="BH550" s="149">
        <v>0</v>
      </c>
      <c r="BI550" s="149">
        <v>0</v>
      </c>
      <c r="BJ550" s="149">
        <v>0</v>
      </c>
      <c r="BK550" s="149">
        <v>0</v>
      </c>
      <c r="BL550" s="149">
        <v>0</v>
      </c>
      <c r="BM550" s="149">
        <v>0</v>
      </c>
      <c r="BN550" s="149">
        <v>0</v>
      </c>
      <c r="BO550" s="149">
        <v>0</v>
      </c>
      <c r="BP550" s="152"/>
      <c r="BQ550" s="152"/>
      <c r="BR550" s="154" t="s">
        <v>150</v>
      </c>
      <c r="BS550" s="136">
        <v>10</v>
      </c>
      <c r="BT550" s="267"/>
      <c r="BU550" s="267"/>
      <c r="BV550" s="267"/>
      <c r="BW550" s="267"/>
      <c r="BX550" s="267">
        <f t="shared" si="50"/>
        <v>2</v>
      </c>
      <c r="BY550" s="267">
        <f t="shared" si="51"/>
        <v>2</v>
      </c>
      <c r="BZ550" s="267">
        <f t="shared" si="52"/>
        <v>2</v>
      </c>
      <c r="CA550" s="267"/>
      <c r="CB550" s="267"/>
      <c r="CC550" s="267"/>
      <c r="CD550" s="267"/>
      <c r="CE550" s="267"/>
      <c r="CF550" s="267"/>
      <c r="CG550" s="267"/>
      <c r="CH550" s="267"/>
      <c r="CI550" s="267"/>
      <c r="CJ550" s="267"/>
      <c r="CK550" s="267"/>
      <c r="CL550" s="267"/>
      <c r="CM550" s="267"/>
      <c r="CN550" s="101">
        <f t="shared" si="41"/>
        <v>4</v>
      </c>
      <c r="CO550" s="101">
        <f t="shared" si="42"/>
        <v>6</v>
      </c>
    </row>
    <row r="551" spans="1:93" ht="13.9" customHeight="1" x14ac:dyDescent="0.2">
      <c r="A551" s="149">
        <v>7304</v>
      </c>
      <c r="B551" s="150" t="s">
        <v>1216</v>
      </c>
      <c r="C551" s="150" t="s">
        <v>1608</v>
      </c>
      <c r="D551" s="150" t="s">
        <v>1609</v>
      </c>
      <c r="E551" s="150" t="s">
        <v>1615</v>
      </c>
      <c r="F551" s="149">
        <v>522152</v>
      </c>
      <c r="G551" s="149">
        <v>173834</v>
      </c>
      <c r="H551" s="150" t="s">
        <v>166</v>
      </c>
      <c r="I551" s="151"/>
      <c r="J551" s="151"/>
      <c r="K551" s="149">
        <v>0</v>
      </c>
      <c r="L551" s="149">
        <v>29</v>
      </c>
      <c r="M551" s="149">
        <v>29</v>
      </c>
      <c r="N551" s="149">
        <v>1068</v>
      </c>
      <c r="O551" s="149">
        <v>780</v>
      </c>
      <c r="P551" s="152" t="s">
        <v>327</v>
      </c>
      <c r="Q551" s="150" t="s">
        <v>1611</v>
      </c>
      <c r="R551" s="150" t="s">
        <v>329</v>
      </c>
      <c r="S551" s="151">
        <v>43623</v>
      </c>
      <c r="T551" s="151">
        <v>44643</v>
      </c>
      <c r="U551" s="152"/>
      <c r="V551" s="150" t="s">
        <v>330</v>
      </c>
      <c r="W551" s="151"/>
      <c r="X551" s="150" t="s">
        <v>331</v>
      </c>
      <c r="Y551" s="150" t="s">
        <v>343</v>
      </c>
      <c r="Z551" s="150" t="s">
        <v>343</v>
      </c>
      <c r="AA551" s="150" t="s">
        <v>334</v>
      </c>
      <c r="AB551" s="153">
        <v>0.14499999999999999</v>
      </c>
      <c r="AC551" s="151"/>
      <c r="AD551" s="150"/>
      <c r="AE551" s="151"/>
      <c r="AF551" s="150" t="s">
        <v>49</v>
      </c>
      <c r="AG551" s="152" t="s">
        <v>383</v>
      </c>
      <c r="AH551" s="150" t="s">
        <v>1612</v>
      </c>
      <c r="AI551" s="99"/>
      <c r="AJ551" s="149"/>
      <c r="AK551" s="149">
        <v>26</v>
      </c>
      <c r="AL551" s="149"/>
      <c r="AM551" s="149">
        <v>3</v>
      </c>
      <c r="AN551" s="149">
        <v>0</v>
      </c>
      <c r="AO551" s="149">
        <v>12</v>
      </c>
      <c r="AP551" s="149">
        <v>14</v>
      </c>
      <c r="AQ551" s="149">
        <v>3</v>
      </c>
      <c r="AR551" s="149">
        <v>0</v>
      </c>
      <c r="AS551" s="149">
        <v>0</v>
      </c>
      <c r="AT551" s="149">
        <v>0</v>
      </c>
      <c r="AU551" s="149">
        <v>0</v>
      </c>
      <c r="AV551" s="149">
        <v>12</v>
      </c>
      <c r="AW551" s="149">
        <v>14</v>
      </c>
      <c r="AX551" s="149">
        <v>3</v>
      </c>
      <c r="AY551" s="149">
        <v>0</v>
      </c>
      <c r="AZ551" s="149">
        <v>0</v>
      </c>
      <c r="BA551" s="149">
        <v>0</v>
      </c>
      <c r="BB551" s="149">
        <v>0</v>
      </c>
      <c r="BC551" s="149">
        <v>0</v>
      </c>
      <c r="BD551" s="149">
        <v>0</v>
      </c>
      <c r="BE551" s="149">
        <v>0</v>
      </c>
      <c r="BF551" s="149">
        <v>0</v>
      </c>
      <c r="BG551" s="149">
        <v>0</v>
      </c>
      <c r="BH551" s="149">
        <v>0</v>
      </c>
      <c r="BI551" s="149">
        <v>0</v>
      </c>
      <c r="BJ551" s="149">
        <v>0</v>
      </c>
      <c r="BK551" s="149">
        <v>0</v>
      </c>
      <c r="BL551" s="149">
        <v>0</v>
      </c>
      <c r="BM551" s="149">
        <v>0</v>
      </c>
      <c r="BN551" s="149">
        <v>0</v>
      </c>
      <c r="BO551" s="149">
        <v>0</v>
      </c>
      <c r="BP551" s="152"/>
      <c r="BQ551" s="152"/>
      <c r="BR551" s="154" t="s">
        <v>150</v>
      </c>
      <c r="BS551" s="136">
        <v>10</v>
      </c>
      <c r="BT551" s="267"/>
      <c r="BU551" s="267"/>
      <c r="BV551" s="267"/>
      <c r="BW551" s="267"/>
      <c r="BX551" s="267">
        <f t="shared" si="50"/>
        <v>9.6666666666666661</v>
      </c>
      <c r="BY551" s="267">
        <f t="shared" si="51"/>
        <v>9.6666666666666661</v>
      </c>
      <c r="BZ551" s="267">
        <f t="shared" si="52"/>
        <v>9.6666666666666661</v>
      </c>
      <c r="CA551" s="267"/>
      <c r="CB551" s="267"/>
      <c r="CC551" s="267"/>
      <c r="CD551" s="267"/>
      <c r="CE551" s="267"/>
      <c r="CF551" s="267"/>
      <c r="CG551" s="267"/>
      <c r="CH551" s="267"/>
      <c r="CI551" s="267"/>
      <c r="CJ551" s="267"/>
      <c r="CK551" s="267"/>
      <c r="CL551" s="267"/>
      <c r="CM551" s="267"/>
      <c r="CN551" s="101">
        <f t="shared" si="41"/>
        <v>19.333333333333332</v>
      </c>
      <c r="CO551" s="101">
        <f t="shared" si="42"/>
        <v>29</v>
      </c>
    </row>
    <row r="552" spans="1:93" ht="13.9" customHeight="1" x14ac:dyDescent="0.2">
      <c r="A552" s="149">
        <v>7304</v>
      </c>
      <c r="B552" s="150" t="s">
        <v>1216</v>
      </c>
      <c r="C552" s="150" t="s">
        <v>1608</v>
      </c>
      <c r="D552" s="150" t="s">
        <v>1609</v>
      </c>
      <c r="E552" s="150" t="s">
        <v>1616</v>
      </c>
      <c r="F552" s="149">
        <v>522152</v>
      </c>
      <c r="G552" s="149">
        <v>173834</v>
      </c>
      <c r="H552" s="150" t="s">
        <v>166</v>
      </c>
      <c r="I552" s="151"/>
      <c r="J552" s="151"/>
      <c r="K552" s="149">
        <v>0</v>
      </c>
      <c r="L552" s="149">
        <v>31</v>
      </c>
      <c r="M552" s="149">
        <v>31</v>
      </c>
      <c r="N552" s="149">
        <v>1068</v>
      </c>
      <c r="O552" s="149">
        <v>780</v>
      </c>
      <c r="P552" s="152" t="s">
        <v>327</v>
      </c>
      <c r="Q552" s="150" t="s">
        <v>1611</v>
      </c>
      <c r="R552" s="150" t="s">
        <v>329</v>
      </c>
      <c r="S552" s="151">
        <v>43623</v>
      </c>
      <c r="T552" s="151">
        <v>44643</v>
      </c>
      <c r="U552" s="152"/>
      <c r="V552" s="150" t="s">
        <v>330</v>
      </c>
      <c r="W552" s="151"/>
      <c r="X552" s="150" t="s">
        <v>331</v>
      </c>
      <c r="Y552" s="150" t="s">
        <v>343</v>
      </c>
      <c r="Z552" s="150" t="s">
        <v>343</v>
      </c>
      <c r="AA552" s="150" t="s">
        <v>334</v>
      </c>
      <c r="AB552" s="153">
        <v>0.11253000000000001</v>
      </c>
      <c r="AC552" s="151"/>
      <c r="AD552" s="150"/>
      <c r="AE552" s="151"/>
      <c r="AF552" s="150" t="s">
        <v>48</v>
      </c>
      <c r="AG552" s="152" t="s">
        <v>544</v>
      </c>
      <c r="AH552" s="150" t="s">
        <v>1612</v>
      </c>
      <c r="AI552" s="99"/>
      <c r="AJ552" s="149"/>
      <c r="AK552" s="149">
        <v>28</v>
      </c>
      <c r="AL552" s="149"/>
      <c r="AM552" s="149">
        <v>3</v>
      </c>
      <c r="AN552" s="149">
        <v>0</v>
      </c>
      <c r="AO552" s="149">
        <v>12</v>
      </c>
      <c r="AP552" s="149">
        <v>14</v>
      </c>
      <c r="AQ552" s="149">
        <v>5</v>
      </c>
      <c r="AR552" s="149">
        <v>0</v>
      </c>
      <c r="AS552" s="149">
        <v>0</v>
      </c>
      <c r="AT552" s="149">
        <v>0</v>
      </c>
      <c r="AU552" s="149">
        <v>0</v>
      </c>
      <c r="AV552" s="149">
        <v>12</v>
      </c>
      <c r="AW552" s="149">
        <v>14</v>
      </c>
      <c r="AX552" s="149">
        <v>5</v>
      </c>
      <c r="AY552" s="149">
        <v>0</v>
      </c>
      <c r="AZ552" s="149">
        <v>0</v>
      </c>
      <c r="BA552" s="149">
        <v>0</v>
      </c>
      <c r="BB552" s="149">
        <v>0</v>
      </c>
      <c r="BC552" s="149">
        <v>0</v>
      </c>
      <c r="BD552" s="149">
        <v>0</v>
      </c>
      <c r="BE552" s="149">
        <v>0</v>
      </c>
      <c r="BF552" s="149">
        <v>0</v>
      </c>
      <c r="BG552" s="149">
        <v>0</v>
      </c>
      <c r="BH552" s="149">
        <v>0</v>
      </c>
      <c r="BI552" s="149">
        <v>0</v>
      </c>
      <c r="BJ552" s="149">
        <v>0</v>
      </c>
      <c r="BK552" s="149">
        <v>0</v>
      </c>
      <c r="BL552" s="149">
        <v>0</v>
      </c>
      <c r="BM552" s="149">
        <v>0</v>
      </c>
      <c r="BN552" s="149">
        <v>0</v>
      </c>
      <c r="BO552" s="149">
        <v>0</v>
      </c>
      <c r="BP552" s="152"/>
      <c r="BQ552" s="152"/>
      <c r="BR552" s="154" t="s">
        <v>150</v>
      </c>
      <c r="BS552" s="136">
        <v>10</v>
      </c>
      <c r="BT552" s="267"/>
      <c r="BU552" s="267"/>
      <c r="BV552" s="267"/>
      <c r="BW552" s="267"/>
      <c r="BX552" s="267">
        <f t="shared" si="50"/>
        <v>10.333333333333334</v>
      </c>
      <c r="BY552" s="267">
        <f t="shared" si="51"/>
        <v>10.333333333333334</v>
      </c>
      <c r="BZ552" s="267">
        <f t="shared" si="52"/>
        <v>10.333333333333334</v>
      </c>
      <c r="CA552" s="267"/>
      <c r="CB552" s="267"/>
      <c r="CC552" s="267"/>
      <c r="CD552" s="267"/>
      <c r="CE552" s="267"/>
      <c r="CF552" s="267"/>
      <c r="CG552" s="267"/>
      <c r="CH552" s="267"/>
      <c r="CI552" s="267"/>
      <c r="CJ552" s="267"/>
      <c r="CK552" s="267"/>
      <c r="CL552" s="267"/>
      <c r="CM552" s="267"/>
      <c r="CN552" s="101">
        <f t="shared" si="41"/>
        <v>20.666666666666668</v>
      </c>
      <c r="CO552" s="101">
        <f t="shared" si="42"/>
        <v>31</v>
      </c>
    </row>
    <row r="553" spans="1:93" ht="13.9" customHeight="1" x14ac:dyDescent="0.2">
      <c r="A553" s="149">
        <v>7304</v>
      </c>
      <c r="B553" s="150" t="s">
        <v>1216</v>
      </c>
      <c r="C553" s="150" t="s">
        <v>1608</v>
      </c>
      <c r="D553" s="150" t="s">
        <v>1609</v>
      </c>
      <c r="E553" s="150" t="s">
        <v>1617</v>
      </c>
      <c r="F553" s="149">
        <v>522152</v>
      </c>
      <c r="G553" s="149">
        <v>173834</v>
      </c>
      <c r="H553" s="150" t="s">
        <v>166</v>
      </c>
      <c r="I553" s="151"/>
      <c r="J553" s="151"/>
      <c r="K553" s="149">
        <v>0</v>
      </c>
      <c r="L553" s="149">
        <v>107</v>
      </c>
      <c r="M553" s="149">
        <v>107</v>
      </c>
      <c r="N553" s="149">
        <v>1068</v>
      </c>
      <c r="O553" s="149">
        <v>780</v>
      </c>
      <c r="P553" s="152" t="s">
        <v>327</v>
      </c>
      <c r="Q553" s="150" t="s">
        <v>1611</v>
      </c>
      <c r="R553" s="150" t="s">
        <v>329</v>
      </c>
      <c r="S553" s="151">
        <v>43623</v>
      </c>
      <c r="T553" s="151">
        <v>44643</v>
      </c>
      <c r="U553" s="152"/>
      <c r="V553" s="150" t="s">
        <v>330</v>
      </c>
      <c r="W553" s="151"/>
      <c r="X553" s="150" t="s">
        <v>331</v>
      </c>
      <c r="Y553" s="150" t="s">
        <v>343</v>
      </c>
      <c r="Z553" s="150" t="s">
        <v>343</v>
      </c>
      <c r="AA553" s="150" t="s">
        <v>334</v>
      </c>
      <c r="AB553" s="153">
        <v>0.40300000000000002</v>
      </c>
      <c r="AC553" s="151"/>
      <c r="AD553" s="150"/>
      <c r="AE553" s="151"/>
      <c r="AF553" s="150" t="s">
        <v>49</v>
      </c>
      <c r="AG553" s="152" t="s">
        <v>383</v>
      </c>
      <c r="AH553" s="150" t="s">
        <v>1612</v>
      </c>
      <c r="AI553" s="99"/>
      <c r="AJ553" s="149"/>
      <c r="AK553" s="149">
        <v>96</v>
      </c>
      <c r="AL553" s="149"/>
      <c r="AM553" s="149">
        <v>11</v>
      </c>
      <c r="AN553" s="149">
        <v>0</v>
      </c>
      <c r="AO553" s="149">
        <v>21</v>
      </c>
      <c r="AP553" s="149">
        <v>27</v>
      </c>
      <c r="AQ553" s="149">
        <v>40</v>
      </c>
      <c r="AR553" s="149">
        <v>19</v>
      </c>
      <c r="AS553" s="149">
        <v>0</v>
      </c>
      <c r="AT553" s="149">
        <v>0</v>
      </c>
      <c r="AU553" s="149">
        <v>0</v>
      </c>
      <c r="AV553" s="149">
        <v>21</v>
      </c>
      <c r="AW553" s="149">
        <v>27</v>
      </c>
      <c r="AX553" s="149">
        <v>40</v>
      </c>
      <c r="AY553" s="149">
        <v>19</v>
      </c>
      <c r="AZ553" s="149">
        <v>0</v>
      </c>
      <c r="BA553" s="149">
        <v>0</v>
      </c>
      <c r="BB553" s="149">
        <v>0</v>
      </c>
      <c r="BC553" s="149">
        <v>0</v>
      </c>
      <c r="BD553" s="149">
        <v>0</v>
      </c>
      <c r="BE553" s="149">
        <v>0</v>
      </c>
      <c r="BF553" s="149">
        <v>0</v>
      </c>
      <c r="BG553" s="149">
        <v>0</v>
      </c>
      <c r="BH553" s="149">
        <v>0</v>
      </c>
      <c r="BI553" s="149">
        <v>0</v>
      </c>
      <c r="BJ553" s="149">
        <v>0</v>
      </c>
      <c r="BK553" s="149">
        <v>0</v>
      </c>
      <c r="BL553" s="149">
        <v>0</v>
      </c>
      <c r="BM553" s="149">
        <v>0</v>
      </c>
      <c r="BN553" s="149">
        <v>0</v>
      </c>
      <c r="BO553" s="149">
        <v>0</v>
      </c>
      <c r="BP553" s="152"/>
      <c r="BQ553" s="152"/>
      <c r="BR553" s="154" t="s">
        <v>150</v>
      </c>
      <c r="BS553" s="136">
        <v>10</v>
      </c>
      <c r="BT553" s="267"/>
      <c r="BU553" s="267"/>
      <c r="BV553" s="267"/>
      <c r="BW553" s="267"/>
      <c r="BX553" s="267">
        <f t="shared" si="50"/>
        <v>35.666666666666664</v>
      </c>
      <c r="BY553" s="267">
        <f t="shared" si="51"/>
        <v>35.666666666666664</v>
      </c>
      <c r="BZ553" s="267">
        <f t="shared" si="52"/>
        <v>35.666666666666664</v>
      </c>
      <c r="CA553" s="267"/>
      <c r="CB553" s="267"/>
      <c r="CC553" s="267"/>
      <c r="CD553" s="267"/>
      <c r="CE553" s="267"/>
      <c r="CF553" s="267"/>
      <c r="CG553" s="267"/>
      <c r="CH553" s="267"/>
      <c r="CI553" s="267"/>
      <c r="CJ553" s="267"/>
      <c r="CK553" s="267"/>
      <c r="CL553" s="267"/>
      <c r="CM553" s="267"/>
      <c r="CN553" s="101">
        <f t="shared" si="41"/>
        <v>71.333333333333329</v>
      </c>
      <c r="CO553" s="101">
        <f t="shared" si="42"/>
        <v>107</v>
      </c>
    </row>
    <row r="554" spans="1:93" ht="13.9" customHeight="1" x14ac:dyDescent="0.2">
      <c r="A554" s="149">
        <v>7304</v>
      </c>
      <c r="B554" s="150" t="s">
        <v>1216</v>
      </c>
      <c r="C554" s="150" t="s">
        <v>1608</v>
      </c>
      <c r="D554" s="150" t="s">
        <v>1609</v>
      </c>
      <c r="E554" s="150" t="s">
        <v>1617</v>
      </c>
      <c r="F554" s="149">
        <v>522152</v>
      </c>
      <c r="G554" s="149">
        <v>173834</v>
      </c>
      <c r="H554" s="150" t="s">
        <v>166</v>
      </c>
      <c r="I554" s="151"/>
      <c r="J554" s="151"/>
      <c r="K554" s="149">
        <v>0</v>
      </c>
      <c r="L554" s="149">
        <v>23</v>
      </c>
      <c r="M554" s="149">
        <v>23</v>
      </c>
      <c r="N554" s="149">
        <v>1068</v>
      </c>
      <c r="O554" s="149">
        <v>780</v>
      </c>
      <c r="P554" s="152" t="s">
        <v>327</v>
      </c>
      <c r="Q554" s="150" t="s">
        <v>1611</v>
      </c>
      <c r="R554" s="150" t="s">
        <v>329</v>
      </c>
      <c r="S554" s="151">
        <v>43623</v>
      </c>
      <c r="T554" s="151">
        <v>44643</v>
      </c>
      <c r="U554" s="152"/>
      <c r="V554" s="150" t="s">
        <v>330</v>
      </c>
      <c r="W554" s="151"/>
      <c r="X554" s="150" t="s">
        <v>331</v>
      </c>
      <c r="Y554" s="150" t="s">
        <v>343</v>
      </c>
      <c r="Z554" s="150" t="s">
        <v>343</v>
      </c>
      <c r="AA554" s="150" t="s">
        <v>334</v>
      </c>
      <c r="AB554" s="153">
        <v>0.16400000000000001</v>
      </c>
      <c r="AC554" s="151"/>
      <c r="AD554" s="150"/>
      <c r="AE554" s="151"/>
      <c r="AF554" s="150" t="s">
        <v>48</v>
      </c>
      <c r="AG554" s="152" t="s">
        <v>785</v>
      </c>
      <c r="AH554" s="150" t="s">
        <v>1612</v>
      </c>
      <c r="AI554" s="99"/>
      <c r="AJ554" s="149"/>
      <c r="AK554" s="138">
        <v>21</v>
      </c>
      <c r="AL554" s="149"/>
      <c r="AM554" s="138">
        <v>2</v>
      </c>
      <c r="AN554" s="149">
        <v>0</v>
      </c>
      <c r="AO554" s="149">
        <v>0</v>
      </c>
      <c r="AP554" s="149">
        <v>3</v>
      </c>
      <c r="AQ554" s="149">
        <v>20</v>
      </c>
      <c r="AR554" s="149">
        <v>0</v>
      </c>
      <c r="AS554" s="149">
        <v>0</v>
      </c>
      <c r="AT554" s="149">
        <v>0</v>
      </c>
      <c r="AU554" s="149">
        <v>0</v>
      </c>
      <c r="AV554" s="149">
        <v>0</v>
      </c>
      <c r="AW554" s="149">
        <v>3</v>
      </c>
      <c r="AX554" s="149">
        <v>20</v>
      </c>
      <c r="AY554" s="149">
        <v>0</v>
      </c>
      <c r="AZ554" s="149">
        <v>0</v>
      </c>
      <c r="BA554" s="149">
        <v>0</v>
      </c>
      <c r="BB554" s="149">
        <v>0</v>
      </c>
      <c r="BC554" s="149">
        <v>0</v>
      </c>
      <c r="BD554" s="149">
        <v>0</v>
      </c>
      <c r="BE554" s="149">
        <v>0</v>
      </c>
      <c r="BF554" s="149">
        <v>0</v>
      </c>
      <c r="BG554" s="149">
        <v>0</v>
      </c>
      <c r="BH554" s="149">
        <v>0</v>
      </c>
      <c r="BI554" s="149">
        <v>0</v>
      </c>
      <c r="BJ554" s="149">
        <v>0</v>
      </c>
      <c r="BK554" s="149">
        <v>0</v>
      </c>
      <c r="BL554" s="149">
        <v>0</v>
      </c>
      <c r="BM554" s="149">
        <v>0</v>
      </c>
      <c r="BN554" s="149">
        <v>0</v>
      </c>
      <c r="BO554" s="149">
        <v>0</v>
      </c>
      <c r="BP554" s="152"/>
      <c r="BQ554" s="152"/>
      <c r="BR554" s="154" t="s">
        <v>150</v>
      </c>
      <c r="BS554" s="136">
        <v>10</v>
      </c>
      <c r="BT554" s="267"/>
      <c r="BU554" s="267"/>
      <c r="BV554" s="267"/>
      <c r="BW554" s="267"/>
      <c r="BX554" s="267">
        <f t="shared" si="50"/>
        <v>7.666666666666667</v>
      </c>
      <c r="BY554" s="267">
        <f t="shared" si="51"/>
        <v>7.666666666666667</v>
      </c>
      <c r="BZ554" s="267">
        <f t="shared" si="52"/>
        <v>7.666666666666667</v>
      </c>
      <c r="CA554" s="267"/>
      <c r="CB554" s="267"/>
      <c r="CC554" s="267"/>
      <c r="CD554" s="267"/>
      <c r="CE554" s="267"/>
      <c r="CF554" s="267"/>
      <c r="CG554" s="267"/>
      <c r="CH554" s="267"/>
      <c r="CI554" s="267"/>
      <c r="CJ554" s="267"/>
      <c r="CK554" s="267"/>
      <c r="CL554" s="267"/>
      <c r="CM554" s="267"/>
      <c r="CN554" s="101">
        <f t="shared" si="41"/>
        <v>15.333333333333334</v>
      </c>
      <c r="CO554" s="101">
        <f t="shared" si="42"/>
        <v>23</v>
      </c>
    </row>
    <row r="555" spans="1:93" ht="13.9" customHeight="1" x14ac:dyDescent="0.2">
      <c r="A555" s="149">
        <v>7304</v>
      </c>
      <c r="B555" s="150" t="s">
        <v>1216</v>
      </c>
      <c r="C555" s="150" t="s">
        <v>1608</v>
      </c>
      <c r="D555" s="150" t="s">
        <v>1609</v>
      </c>
      <c r="E555" s="150" t="s">
        <v>1618</v>
      </c>
      <c r="F555" s="149">
        <v>522152</v>
      </c>
      <c r="G555" s="149">
        <v>173834</v>
      </c>
      <c r="H555" s="150" t="s">
        <v>166</v>
      </c>
      <c r="I555" s="151"/>
      <c r="J555" s="151"/>
      <c r="K555" s="149">
        <v>0</v>
      </c>
      <c r="L555" s="149">
        <v>349</v>
      </c>
      <c r="M555" s="149">
        <v>349</v>
      </c>
      <c r="N555" s="149">
        <v>1068</v>
      </c>
      <c r="O555" s="149">
        <v>780</v>
      </c>
      <c r="P555" s="152" t="s">
        <v>327</v>
      </c>
      <c r="Q555" s="150" t="s">
        <v>1611</v>
      </c>
      <c r="R555" s="150" t="s">
        <v>329</v>
      </c>
      <c r="S555" s="151">
        <v>43623</v>
      </c>
      <c r="T555" s="151">
        <v>44643</v>
      </c>
      <c r="U555" s="152"/>
      <c r="V555" s="150" t="s">
        <v>330</v>
      </c>
      <c r="W555" s="151"/>
      <c r="X555" s="150" t="s">
        <v>331</v>
      </c>
      <c r="Y555" s="150" t="s">
        <v>343</v>
      </c>
      <c r="Z555" s="150" t="s">
        <v>343</v>
      </c>
      <c r="AA555" s="150" t="s">
        <v>334</v>
      </c>
      <c r="AB555" s="153">
        <v>1.268</v>
      </c>
      <c r="AC555" s="151"/>
      <c r="AD555" s="150"/>
      <c r="AE555" s="151"/>
      <c r="AF555" s="150" t="s">
        <v>70</v>
      </c>
      <c r="AG555" s="152" t="s">
        <v>352</v>
      </c>
      <c r="AH555" s="150" t="s">
        <v>1612</v>
      </c>
      <c r="AI555" s="99"/>
      <c r="AJ555" s="149"/>
      <c r="AK555" s="138">
        <v>314</v>
      </c>
      <c r="AL555" s="149"/>
      <c r="AM555" s="138">
        <v>35</v>
      </c>
      <c r="AN555" s="149">
        <v>0</v>
      </c>
      <c r="AO555" s="149">
        <v>0</v>
      </c>
      <c r="AP555" s="149">
        <v>0</v>
      </c>
      <c r="AQ555" s="149">
        <v>0</v>
      </c>
      <c r="AR555" s="149">
        <v>0</v>
      </c>
      <c r="AS555" s="149">
        <v>0</v>
      </c>
      <c r="AT555" s="149">
        <v>349</v>
      </c>
      <c r="AU555" s="149">
        <v>0</v>
      </c>
      <c r="AV555" s="149">
        <v>0</v>
      </c>
      <c r="AW555" s="149">
        <v>0</v>
      </c>
      <c r="AX555" s="149">
        <v>0</v>
      </c>
      <c r="AY555" s="149">
        <v>0</v>
      </c>
      <c r="AZ555" s="149">
        <v>0</v>
      </c>
      <c r="BA555" s="149">
        <v>349</v>
      </c>
      <c r="BB555" s="149">
        <v>0</v>
      </c>
      <c r="BC555" s="149">
        <v>0</v>
      </c>
      <c r="BD555" s="149">
        <v>0</v>
      </c>
      <c r="BE555" s="149">
        <v>0</v>
      </c>
      <c r="BF555" s="149">
        <v>0</v>
      </c>
      <c r="BG555" s="149">
        <v>0</v>
      </c>
      <c r="BH555" s="149">
        <v>0</v>
      </c>
      <c r="BI555" s="149">
        <v>0</v>
      </c>
      <c r="BJ555" s="149">
        <v>0</v>
      </c>
      <c r="BK555" s="149">
        <v>0</v>
      </c>
      <c r="BL555" s="149">
        <v>0</v>
      </c>
      <c r="BM555" s="149">
        <v>0</v>
      </c>
      <c r="BN555" s="149">
        <v>0</v>
      </c>
      <c r="BO555" s="149">
        <v>0</v>
      </c>
      <c r="BP555" s="152"/>
      <c r="BQ555" s="152"/>
      <c r="BR555" s="154" t="s">
        <v>150</v>
      </c>
      <c r="BS555" s="136">
        <v>10</v>
      </c>
      <c r="BT555" s="267"/>
      <c r="BU555" s="267"/>
      <c r="BV555" s="267"/>
      <c r="BW555" s="267"/>
      <c r="BX555" s="267">
        <f t="shared" si="50"/>
        <v>116.33333333333333</v>
      </c>
      <c r="BY555" s="267">
        <f t="shared" si="51"/>
        <v>116.33333333333333</v>
      </c>
      <c r="BZ555" s="267">
        <f t="shared" si="52"/>
        <v>116.33333333333333</v>
      </c>
      <c r="CA555" s="267"/>
      <c r="CB555" s="267"/>
      <c r="CC555" s="267"/>
      <c r="CD555" s="267"/>
      <c r="CE555" s="267"/>
      <c r="CF555" s="267"/>
      <c r="CG555" s="267"/>
      <c r="CH555" s="267"/>
      <c r="CI555" s="267"/>
      <c r="CJ555" s="267"/>
      <c r="CK555" s="267"/>
      <c r="CL555" s="267"/>
      <c r="CM555" s="267"/>
      <c r="CN555" s="101">
        <f t="shared" si="41"/>
        <v>232.66666666666666</v>
      </c>
      <c r="CO555" s="101">
        <f t="shared" si="42"/>
        <v>349</v>
      </c>
    </row>
    <row r="556" spans="1:93" ht="13.9" customHeight="1" x14ac:dyDescent="0.2">
      <c r="A556" s="149">
        <v>7304</v>
      </c>
      <c r="B556" s="150" t="s">
        <v>1216</v>
      </c>
      <c r="C556" s="150" t="s">
        <v>1608</v>
      </c>
      <c r="D556" s="150" t="s">
        <v>1609</v>
      </c>
      <c r="E556" s="150" t="s">
        <v>442</v>
      </c>
      <c r="F556" s="149">
        <v>522152</v>
      </c>
      <c r="G556" s="149">
        <v>173834</v>
      </c>
      <c r="H556" s="150" t="s">
        <v>166</v>
      </c>
      <c r="I556" s="151"/>
      <c r="J556" s="151"/>
      <c r="K556" s="149">
        <v>130</v>
      </c>
      <c r="L556" s="149">
        <v>0</v>
      </c>
      <c r="M556" s="149">
        <v>-130</v>
      </c>
      <c r="N556" s="149">
        <v>1068</v>
      </c>
      <c r="O556" s="149">
        <v>780</v>
      </c>
      <c r="P556" s="152" t="s">
        <v>327</v>
      </c>
      <c r="Q556" s="150" t="s">
        <v>1611</v>
      </c>
      <c r="R556" s="150" t="s">
        <v>329</v>
      </c>
      <c r="S556" s="151">
        <v>43623</v>
      </c>
      <c r="T556" s="151">
        <v>44643</v>
      </c>
      <c r="U556" s="152"/>
      <c r="V556" s="150" t="s">
        <v>330</v>
      </c>
      <c r="W556" s="151"/>
      <c r="X556" s="150" t="s">
        <v>331</v>
      </c>
      <c r="Y556" s="150" t="s">
        <v>343</v>
      </c>
      <c r="Z556" s="150" t="s">
        <v>343</v>
      </c>
      <c r="AA556" s="150" t="s">
        <v>334</v>
      </c>
      <c r="AB556" s="153">
        <v>0</v>
      </c>
      <c r="AC556" s="151"/>
      <c r="AD556" s="150"/>
      <c r="AE556" s="151"/>
      <c r="AF556" s="150" t="s">
        <v>70</v>
      </c>
      <c r="AG556" s="152" t="s">
        <v>352</v>
      </c>
      <c r="AH556" s="150" t="s">
        <v>1612</v>
      </c>
      <c r="AI556" s="99"/>
      <c r="AJ556" s="149"/>
      <c r="AK556" s="102"/>
      <c r="AL556" s="149"/>
      <c r="AM556" s="102"/>
      <c r="AN556" s="149">
        <v>0</v>
      </c>
      <c r="AO556" s="149">
        <v>-4</v>
      </c>
      <c r="AP556" s="149">
        <v>-8</v>
      </c>
      <c r="AQ556" s="149">
        <v>-118</v>
      </c>
      <c r="AR556" s="149">
        <v>0</v>
      </c>
      <c r="AS556" s="149">
        <v>0</v>
      </c>
      <c r="AT556" s="149">
        <v>0</v>
      </c>
      <c r="AU556" s="149">
        <v>0</v>
      </c>
      <c r="AV556" s="149">
        <v>-4</v>
      </c>
      <c r="AW556" s="149">
        <v>-8</v>
      </c>
      <c r="AX556" s="149">
        <v>-118</v>
      </c>
      <c r="AY556" s="149">
        <v>0</v>
      </c>
      <c r="AZ556" s="149">
        <v>0</v>
      </c>
      <c r="BA556" s="149">
        <v>0</v>
      </c>
      <c r="BB556" s="149">
        <v>0</v>
      </c>
      <c r="BC556" s="149">
        <v>0</v>
      </c>
      <c r="BD556" s="149">
        <v>0</v>
      </c>
      <c r="BE556" s="149">
        <v>0</v>
      </c>
      <c r="BF556" s="149">
        <v>0</v>
      </c>
      <c r="BG556" s="149">
        <v>0</v>
      </c>
      <c r="BH556" s="149">
        <v>0</v>
      </c>
      <c r="BI556" s="149">
        <v>0</v>
      </c>
      <c r="BJ556" s="149">
        <v>0</v>
      </c>
      <c r="BK556" s="149">
        <v>0</v>
      </c>
      <c r="BL556" s="149">
        <v>0</v>
      </c>
      <c r="BM556" s="149">
        <v>0</v>
      </c>
      <c r="BN556" s="149">
        <v>0</v>
      </c>
      <c r="BO556" s="149">
        <v>0</v>
      </c>
      <c r="BP556" s="152"/>
      <c r="BQ556" s="152"/>
      <c r="BR556" s="154" t="s">
        <v>150</v>
      </c>
      <c r="BS556" s="136">
        <v>10</v>
      </c>
      <c r="BT556" s="267"/>
      <c r="BU556" s="267"/>
      <c r="BV556" s="267"/>
      <c r="BW556" s="267"/>
      <c r="BX556" s="267">
        <f t="shared" si="50"/>
        <v>-43.333333333333336</v>
      </c>
      <c r="BY556" s="267">
        <f t="shared" si="51"/>
        <v>-43.333333333333336</v>
      </c>
      <c r="BZ556" s="267">
        <f t="shared" si="52"/>
        <v>-43.333333333333336</v>
      </c>
      <c r="CA556" s="267"/>
      <c r="CB556" s="267"/>
      <c r="CC556" s="267"/>
      <c r="CD556" s="267"/>
      <c r="CE556" s="267"/>
      <c r="CF556" s="267"/>
      <c r="CG556" s="267"/>
      <c r="CH556" s="267"/>
      <c r="CI556" s="267"/>
      <c r="CJ556" s="267"/>
      <c r="CK556" s="267"/>
      <c r="CL556" s="267"/>
      <c r="CM556" s="267"/>
      <c r="CN556" s="101">
        <f t="shared" si="41"/>
        <v>-86.666666666666671</v>
      </c>
      <c r="CO556" s="101">
        <f t="shared" si="42"/>
        <v>-130</v>
      </c>
    </row>
    <row r="557" spans="1:93" ht="13.9" customHeight="1" x14ac:dyDescent="0.2">
      <c r="A557" s="149">
        <v>7304</v>
      </c>
      <c r="B557" s="150" t="s">
        <v>1216</v>
      </c>
      <c r="C557" s="150" t="s">
        <v>1608</v>
      </c>
      <c r="D557" s="150" t="s">
        <v>1609</v>
      </c>
      <c r="E557" s="150" t="s">
        <v>442</v>
      </c>
      <c r="F557" s="149">
        <v>522152</v>
      </c>
      <c r="G557" s="149">
        <v>173834</v>
      </c>
      <c r="H557" s="150" t="s">
        <v>166</v>
      </c>
      <c r="I557" s="151"/>
      <c r="J557" s="151"/>
      <c r="K557" s="149">
        <v>158</v>
      </c>
      <c r="L557" s="149">
        <v>0</v>
      </c>
      <c r="M557" s="149">
        <v>-158</v>
      </c>
      <c r="N557" s="149">
        <v>1068</v>
      </c>
      <c r="O557" s="149">
        <v>780</v>
      </c>
      <c r="P557" s="152" t="s">
        <v>327</v>
      </c>
      <c r="Q557" s="150" t="s">
        <v>1611</v>
      </c>
      <c r="R557" s="150" t="s">
        <v>329</v>
      </c>
      <c r="S557" s="151">
        <v>43623</v>
      </c>
      <c r="T557" s="151">
        <v>44643</v>
      </c>
      <c r="U557" s="152"/>
      <c r="V557" s="150" t="s">
        <v>330</v>
      </c>
      <c r="W557" s="151"/>
      <c r="X557" s="150" t="s">
        <v>331</v>
      </c>
      <c r="Y557" s="150" t="s">
        <v>343</v>
      </c>
      <c r="Z557" s="150" t="s">
        <v>343</v>
      </c>
      <c r="AA557" s="150" t="s">
        <v>334</v>
      </c>
      <c r="AB557" s="153">
        <v>0</v>
      </c>
      <c r="AC557" s="151"/>
      <c r="AD557" s="150"/>
      <c r="AE557" s="151"/>
      <c r="AF557" s="150" t="s">
        <v>49</v>
      </c>
      <c r="AG557" s="152" t="s">
        <v>394</v>
      </c>
      <c r="AH557" s="150" t="s">
        <v>1612</v>
      </c>
      <c r="AI557" s="99"/>
      <c r="AJ557" s="149"/>
      <c r="AK557" s="99"/>
      <c r="AL557" s="149"/>
      <c r="AM557" s="99"/>
      <c r="AN557" s="149">
        <v>0</v>
      </c>
      <c r="AO557" s="149">
        <v>-20</v>
      </c>
      <c r="AP557" s="149">
        <v>-34</v>
      </c>
      <c r="AQ557" s="149">
        <v>-103</v>
      </c>
      <c r="AR557" s="149">
        <v>0</v>
      </c>
      <c r="AS557" s="149">
        <v>-1</v>
      </c>
      <c r="AT557" s="149">
        <v>0</v>
      </c>
      <c r="AU557" s="149">
        <v>0</v>
      </c>
      <c r="AV557" s="149">
        <v>-20</v>
      </c>
      <c r="AW557" s="149">
        <v>-34</v>
      </c>
      <c r="AX557" s="149">
        <v>-103</v>
      </c>
      <c r="AY557" s="149">
        <v>0</v>
      </c>
      <c r="AZ557" s="149">
        <v>-1</v>
      </c>
      <c r="BA557" s="149">
        <v>0</v>
      </c>
      <c r="BB557" s="149">
        <v>0</v>
      </c>
      <c r="BC557" s="149">
        <v>0</v>
      </c>
      <c r="BD557" s="149">
        <v>0</v>
      </c>
      <c r="BE557" s="149">
        <v>0</v>
      </c>
      <c r="BF557" s="149">
        <v>0</v>
      </c>
      <c r="BG557" s="149">
        <v>0</v>
      </c>
      <c r="BH557" s="149">
        <v>0</v>
      </c>
      <c r="BI557" s="149">
        <v>0</v>
      </c>
      <c r="BJ557" s="149">
        <v>0</v>
      </c>
      <c r="BK557" s="149">
        <v>0</v>
      </c>
      <c r="BL557" s="149">
        <v>0</v>
      </c>
      <c r="BM557" s="149">
        <v>0</v>
      </c>
      <c r="BN557" s="149">
        <v>0</v>
      </c>
      <c r="BO557" s="149">
        <v>0</v>
      </c>
      <c r="BP557" s="152"/>
      <c r="BQ557" s="152"/>
      <c r="BR557" s="154" t="s">
        <v>150</v>
      </c>
      <c r="BS557" s="136">
        <v>10</v>
      </c>
      <c r="BT557" s="267"/>
      <c r="BU557" s="267"/>
      <c r="BV557" s="267"/>
      <c r="BW557" s="267"/>
      <c r="BX557" s="267">
        <f t="shared" si="50"/>
        <v>-52.666666666666664</v>
      </c>
      <c r="BY557" s="267">
        <f t="shared" si="51"/>
        <v>-52.666666666666664</v>
      </c>
      <c r="BZ557" s="267">
        <f t="shared" si="52"/>
        <v>-52.666666666666664</v>
      </c>
      <c r="CA557" s="267"/>
      <c r="CB557" s="267"/>
      <c r="CC557" s="267"/>
      <c r="CD557" s="267"/>
      <c r="CE557" s="267"/>
      <c r="CF557" s="267"/>
      <c r="CG557" s="267"/>
      <c r="CH557" s="267"/>
      <c r="CI557" s="267"/>
      <c r="CJ557" s="267"/>
      <c r="CK557" s="267"/>
      <c r="CL557" s="267"/>
      <c r="CM557" s="267"/>
      <c r="CN557" s="101">
        <f t="shared" si="41"/>
        <v>-105.33333333333333</v>
      </c>
      <c r="CO557" s="101">
        <f t="shared" si="42"/>
        <v>-158</v>
      </c>
    </row>
    <row r="558" spans="1:93" ht="13.9" customHeight="1" x14ac:dyDescent="0.2">
      <c r="A558" s="149">
        <v>7304</v>
      </c>
      <c r="B558" s="150" t="s">
        <v>1216</v>
      </c>
      <c r="C558" s="150" t="s">
        <v>1608</v>
      </c>
      <c r="D558" s="150" t="s">
        <v>1609</v>
      </c>
      <c r="E558" s="150" t="s">
        <v>1619</v>
      </c>
      <c r="F558" s="149">
        <v>522152</v>
      </c>
      <c r="G558" s="149">
        <v>173834</v>
      </c>
      <c r="H558" s="150" t="s">
        <v>166</v>
      </c>
      <c r="I558" s="151"/>
      <c r="J558" s="151"/>
      <c r="K558" s="149">
        <v>0</v>
      </c>
      <c r="L558" s="149">
        <v>65</v>
      </c>
      <c r="M558" s="149">
        <v>65</v>
      </c>
      <c r="N558" s="149">
        <v>1068</v>
      </c>
      <c r="O558" s="149">
        <v>780</v>
      </c>
      <c r="P558" s="152" t="s">
        <v>327</v>
      </c>
      <c r="Q558" s="150" t="s">
        <v>1611</v>
      </c>
      <c r="R558" s="150" t="s">
        <v>329</v>
      </c>
      <c r="S558" s="151">
        <v>43623</v>
      </c>
      <c r="T558" s="151">
        <v>44643</v>
      </c>
      <c r="U558" s="152"/>
      <c r="V558" s="150" t="s">
        <v>330</v>
      </c>
      <c r="W558" s="151"/>
      <c r="X558" s="150" t="s">
        <v>331</v>
      </c>
      <c r="Y558" s="150" t="s">
        <v>343</v>
      </c>
      <c r="Z558" s="150" t="s">
        <v>343</v>
      </c>
      <c r="AA558" s="150" t="s">
        <v>334</v>
      </c>
      <c r="AB558" s="153">
        <v>0.23594999999999999</v>
      </c>
      <c r="AC558" s="151"/>
      <c r="AD558" s="150"/>
      <c r="AE558" s="151"/>
      <c r="AF558" s="150" t="s">
        <v>49</v>
      </c>
      <c r="AG558" s="152" t="s">
        <v>470</v>
      </c>
      <c r="AH558" s="150" t="s">
        <v>1612</v>
      </c>
      <c r="AI558" s="99"/>
      <c r="AJ558" s="149"/>
      <c r="AK558" s="138">
        <v>59</v>
      </c>
      <c r="AL558" s="149"/>
      <c r="AM558" s="138">
        <v>6</v>
      </c>
      <c r="AN558" s="149">
        <v>0</v>
      </c>
      <c r="AO558" s="149">
        <v>0</v>
      </c>
      <c r="AP558" s="149">
        <v>0</v>
      </c>
      <c r="AQ558" s="149">
        <v>0</v>
      </c>
      <c r="AR558" s="149">
        <v>0</v>
      </c>
      <c r="AS558" s="149">
        <v>0</v>
      </c>
      <c r="AT558" s="149">
        <v>65</v>
      </c>
      <c r="AU558" s="149">
        <v>0</v>
      </c>
      <c r="AV558" s="149">
        <v>0</v>
      </c>
      <c r="AW558" s="149">
        <v>0</v>
      </c>
      <c r="AX558" s="149">
        <v>0</v>
      </c>
      <c r="AY558" s="149">
        <v>0</v>
      </c>
      <c r="AZ558" s="149">
        <v>0</v>
      </c>
      <c r="BA558" s="149">
        <v>65</v>
      </c>
      <c r="BB558" s="149">
        <v>0</v>
      </c>
      <c r="BC558" s="149">
        <v>0</v>
      </c>
      <c r="BD558" s="149">
        <v>0</v>
      </c>
      <c r="BE558" s="149">
        <v>0</v>
      </c>
      <c r="BF558" s="149">
        <v>0</v>
      </c>
      <c r="BG558" s="149">
        <v>0</v>
      </c>
      <c r="BH558" s="149">
        <v>0</v>
      </c>
      <c r="BI558" s="149">
        <v>0</v>
      </c>
      <c r="BJ558" s="149">
        <v>0</v>
      </c>
      <c r="BK558" s="149">
        <v>0</v>
      </c>
      <c r="BL558" s="149">
        <v>0</v>
      </c>
      <c r="BM558" s="149">
        <v>0</v>
      </c>
      <c r="BN558" s="149">
        <v>0</v>
      </c>
      <c r="BO558" s="149">
        <v>0</v>
      </c>
      <c r="BP558" s="152"/>
      <c r="BQ558" s="152"/>
      <c r="BR558" s="154" t="s">
        <v>150</v>
      </c>
      <c r="BS558" s="136">
        <v>10</v>
      </c>
      <c r="BT558" s="267"/>
      <c r="BU558" s="267"/>
      <c r="BV558" s="267"/>
      <c r="BW558" s="267"/>
      <c r="BX558" s="267">
        <f t="shared" si="50"/>
        <v>21.666666666666668</v>
      </c>
      <c r="BY558" s="267">
        <f t="shared" si="51"/>
        <v>21.666666666666668</v>
      </c>
      <c r="BZ558" s="267">
        <f t="shared" si="52"/>
        <v>21.666666666666668</v>
      </c>
      <c r="CA558" s="267"/>
      <c r="CB558" s="267"/>
      <c r="CC558" s="267"/>
      <c r="CD558" s="267"/>
      <c r="CE558" s="267"/>
      <c r="CF558" s="267"/>
      <c r="CG558" s="267"/>
      <c r="CH558" s="267"/>
      <c r="CI558" s="267"/>
      <c r="CJ558" s="267"/>
      <c r="CK558" s="267"/>
      <c r="CL558" s="267"/>
      <c r="CM558" s="267"/>
      <c r="CN558" s="101">
        <f t="shared" si="41"/>
        <v>43.333333333333336</v>
      </c>
      <c r="CO558" s="101">
        <f t="shared" si="42"/>
        <v>65</v>
      </c>
    </row>
    <row r="559" spans="1:93" ht="13.9" customHeight="1" x14ac:dyDescent="0.2">
      <c r="A559" s="149">
        <v>7191</v>
      </c>
      <c r="B559" s="150" t="s">
        <v>1216</v>
      </c>
      <c r="C559" s="150" t="s">
        <v>1620</v>
      </c>
      <c r="D559" s="150" t="s">
        <v>1621</v>
      </c>
      <c r="E559" s="150" t="s">
        <v>326</v>
      </c>
      <c r="F559" s="149">
        <v>524767</v>
      </c>
      <c r="G559" s="149">
        <v>173302</v>
      </c>
      <c r="H559" s="150" t="s">
        <v>169</v>
      </c>
      <c r="I559" s="151"/>
      <c r="J559" s="151"/>
      <c r="K559" s="149">
        <v>0</v>
      </c>
      <c r="L559" s="149">
        <v>1</v>
      </c>
      <c r="M559" s="149">
        <v>1</v>
      </c>
      <c r="N559" s="149">
        <v>1</v>
      </c>
      <c r="O559" s="149">
        <v>1</v>
      </c>
      <c r="P559" s="152"/>
      <c r="Q559" s="150" t="s">
        <v>1622</v>
      </c>
      <c r="R559" s="150" t="s">
        <v>407</v>
      </c>
      <c r="S559" s="151">
        <v>43643</v>
      </c>
      <c r="T559" s="151">
        <v>43693</v>
      </c>
      <c r="U559" s="152"/>
      <c r="V559" s="150" t="s">
        <v>330</v>
      </c>
      <c r="W559" s="151"/>
      <c r="X559" s="150" t="s">
        <v>331</v>
      </c>
      <c r="Y559" s="150" t="s">
        <v>332</v>
      </c>
      <c r="Z559" s="150" t="s">
        <v>334</v>
      </c>
      <c r="AA559" s="150" t="s">
        <v>29</v>
      </c>
      <c r="AB559" s="153">
        <v>2E-3</v>
      </c>
      <c r="AC559" s="151"/>
      <c r="AD559" s="150"/>
      <c r="AE559" s="151"/>
      <c r="AF559" s="150" t="s">
        <v>70</v>
      </c>
      <c r="AG559" s="152" t="s">
        <v>352</v>
      </c>
      <c r="AH559" s="150" t="s">
        <v>326</v>
      </c>
      <c r="AI559" s="99"/>
      <c r="AJ559" s="149"/>
      <c r="AK559" s="99"/>
      <c r="AL559" s="149"/>
      <c r="AM559" s="99"/>
      <c r="AN559" s="149">
        <v>0</v>
      </c>
      <c r="AO559" s="149">
        <v>1</v>
      </c>
      <c r="AP559" s="149">
        <v>0</v>
      </c>
      <c r="AQ559" s="149">
        <v>0</v>
      </c>
      <c r="AR559" s="149">
        <v>0</v>
      </c>
      <c r="AS559" s="149">
        <v>0</v>
      </c>
      <c r="AT559" s="149">
        <v>0</v>
      </c>
      <c r="AU559" s="149">
        <v>0</v>
      </c>
      <c r="AV559" s="149">
        <v>1</v>
      </c>
      <c r="AW559" s="149">
        <v>0</v>
      </c>
      <c r="AX559" s="149">
        <v>0</v>
      </c>
      <c r="AY559" s="149">
        <v>0</v>
      </c>
      <c r="AZ559" s="149">
        <v>0</v>
      </c>
      <c r="BA559" s="149">
        <v>0</v>
      </c>
      <c r="BB559" s="149">
        <v>0</v>
      </c>
      <c r="BC559" s="149">
        <v>0</v>
      </c>
      <c r="BD559" s="149">
        <v>0</v>
      </c>
      <c r="BE559" s="149">
        <v>0</v>
      </c>
      <c r="BF559" s="149">
        <v>0</v>
      </c>
      <c r="BG559" s="149">
        <v>0</v>
      </c>
      <c r="BH559" s="149">
        <v>0</v>
      </c>
      <c r="BI559" s="149">
        <v>0</v>
      </c>
      <c r="BJ559" s="149">
        <v>0</v>
      </c>
      <c r="BK559" s="149">
        <v>0</v>
      </c>
      <c r="BL559" s="149">
        <v>0</v>
      </c>
      <c r="BM559" s="149">
        <v>0</v>
      </c>
      <c r="BN559" s="149">
        <v>0</v>
      </c>
      <c r="BO559" s="149">
        <v>0</v>
      </c>
      <c r="BP559" s="152"/>
      <c r="BQ559" s="152"/>
      <c r="BR559" s="154" t="s">
        <v>359</v>
      </c>
      <c r="BS559" s="136">
        <v>15</v>
      </c>
      <c r="BT559" s="267"/>
      <c r="BU559" s="267">
        <f>M559/4</f>
        <v>0.25</v>
      </c>
      <c r="BV559" s="267">
        <f t="shared" ref="BV559:BV570" si="53">M559/4</f>
        <v>0.25</v>
      </c>
      <c r="BW559" s="267">
        <f t="shared" ref="BW559:BW570" si="54">M559/4</f>
        <v>0.25</v>
      </c>
      <c r="BX559" s="267">
        <f t="shared" ref="BX559:BX570" si="55">M559/4</f>
        <v>0.25</v>
      </c>
      <c r="BY559" s="267"/>
      <c r="BZ559" s="267"/>
      <c r="CA559" s="267"/>
      <c r="CB559" s="267"/>
      <c r="CC559" s="267"/>
      <c r="CD559" s="267"/>
      <c r="CE559" s="267"/>
      <c r="CF559" s="267"/>
      <c r="CG559" s="267"/>
      <c r="CH559" s="267"/>
      <c r="CI559" s="267"/>
      <c r="CJ559" s="267"/>
      <c r="CK559" s="267"/>
      <c r="CL559" s="267"/>
      <c r="CM559" s="267"/>
      <c r="CN559" s="101">
        <f t="shared" si="41"/>
        <v>1</v>
      </c>
      <c r="CO559" s="101">
        <f t="shared" si="42"/>
        <v>1</v>
      </c>
    </row>
    <row r="560" spans="1:93" ht="13.9" customHeight="1" x14ac:dyDescent="0.2">
      <c r="A560" s="149">
        <v>7190</v>
      </c>
      <c r="B560" s="150" t="s">
        <v>1216</v>
      </c>
      <c r="C560" s="150" t="s">
        <v>1623</v>
      </c>
      <c r="D560" s="150" t="s">
        <v>1624</v>
      </c>
      <c r="E560" s="150" t="s">
        <v>326</v>
      </c>
      <c r="F560" s="149">
        <v>523349</v>
      </c>
      <c r="G560" s="149">
        <v>173599</v>
      </c>
      <c r="H560" s="150" t="s">
        <v>179</v>
      </c>
      <c r="I560" s="151"/>
      <c r="J560" s="151"/>
      <c r="K560" s="149">
        <v>0</v>
      </c>
      <c r="L560" s="149">
        <v>9</v>
      </c>
      <c r="M560" s="149">
        <v>9</v>
      </c>
      <c r="N560" s="149">
        <v>9</v>
      </c>
      <c r="O560" s="149">
        <v>9</v>
      </c>
      <c r="P560" s="152"/>
      <c r="Q560" s="150" t="s">
        <v>1625</v>
      </c>
      <c r="R560" s="150" t="s">
        <v>349</v>
      </c>
      <c r="S560" s="151">
        <v>43643</v>
      </c>
      <c r="T560" s="151">
        <v>43726</v>
      </c>
      <c r="U560" s="152"/>
      <c r="V560" s="150" t="s">
        <v>330</v>
      </c>
      <c r="W560" s="151"/>
      <c r="X560" s="150" t="s">
        <v>331</v>
      </c>
      <c r="Y560" s="150" t="s">
        <v>491</v>
      </c>
      <c r="Z560" s="150" t="s">
        <v>334</v>
      </c>
      <c r="AA560" s="150" t="s">
        <v>413</v>
      </c>
      <c r="AB560" s="153">
        <v>3.5999999999999997E-2</v>
      </c>
      <c r="AC560" s="151"/>
      <c r="AD560" s="150"/>
      <c r="AE560" s="151"/>
      <c r="AF560" s="150" t="s">
        <v>70</v>
      </c>
      <c r="AG560" s="152" t="s">
        <v>352</v>
      </c>
      <c r="AH560" s="150" t="s">
        <v>326</v>
      </c>
      <c r="AI560" s="99"/>
      <c r="AJ560" s="149"/>
      <c r="AK560" s="99"/>
      <c r="AL560" s="149"/>
      <c r="AM560" s="99"/>
      <c r="AN560" s="149">
        <v>0</v>
      </c>
      <c r="AO560" s="149">
        <v>0</v>
      </c>
      <c r="AP560" s="149">
        <v>6</v>
      </c>
      <c r="AQ560" s="149">
        <v>3</v>
      </c>
      <c r="AR560" s="149">
        <v>0</v>
      </c>
      <c r="AS560" s="149">
        <v>0</v>
      </c>
      <c r="AT560" s="149">
        <v>0</v>
      </c>
      <c r="AU560" s="149">
        <v>0</v>
      </c>
      <c r="AV560" s="149">
        <v>0</v>
      </c>
      <c r="AW560" s="149">
        <v>6</v>
      </c>
      <c r="AX560" s="149">
        <v>3</v>
      </c>
      <c r="AY560" s="149">
        <v>0</v>
      </c>
      <c r="AZ560" s="149">
        <v>0</v>
      </c>
      <c r="BA560" s="149">
        <v>0</v>
      </c>
      <c r="BB560" s="149">
        <v>0</v>
      </c>
      <c r="BC560" s="149">
        <v>0</v>
      </c>
      <c r="BD560" s="149">
        <v>0</v>
      </c>
      <c r="BE560" s="149">
        <v>0</v>
      </c>
      <c r="BF560" s="149">
        <v>0</v>
      </c>
      <c r="BG560" s="149">
        <v>0</v>
      </c>
      <c r="BH560" s="149">
        <v>0</v>
      </c>
      <c r="BI560" s="149">
        <v>0</v>
      </c>
      <c r="BJ560" s="149">
        <v>0</v>
      </c>
      <c r="BK560" s="149">
        <v>0</v>
      </c>
      <c r="BL560" s="149">
        <v>0</v>
      </c>
      <c r="BM560" s="149">
        <v>0</v>
      </c>
      <c r="BN560" s="149">
        <v>0</v>
      </c>
      <c r="BO560" s="149">
        <v>0</v>
      </c>
      <c r="BP560" s="152"/>
      <c r="BQ560" s="152"/>
      <c r="BR560" s="154" t="s">
        <v>359</v>
      </c>
      <c r="BS560" s="136">
        <v>18</v>
      </c>
      <c r="BT560" s="267"/>
      <c r="BU560" s="267">
        <f>M560/4</f>
        <v>2.25</v>
      </c>
      <c r="BV560" s="267">
        <f t="shared" si="53"/>
        <v>2.25</v>
      </c>
      <c r="BW560" s="267">
        <f t="shared" si="54"/>
        <v>2.25</v>
      </c>
      <c r="BX560" s="267">
        <f t="shared" si="55"/>
        <v>2.25</v>
      </c>
      <c r="BY560" s="267"/>
      <c r="BZ560" s="267"/>
      <c r="CA560" s="267"/>
      <c r="CB560" s="267"/>
      <c r="CC560" s="267"/>
      <c r="CD560" s="267"/>
      <c r="CE560" s="267"/>
      <c r="CF560" s="267"/>
      <c r="CG560" s="267"/>
      <c r="CH560" s="267"/>
      <c r="CI560" s="267"/>
      <c r="CJ560" s="267"/>
      <c r="CK560" s="267"/>
      <c r="CL560" s="267"/>
      <c r="CM560" s="267"/>
      <c r="CN560" s="101">
        <f t="shared" si="41"/>
        <v>9</v>
      </c>
      <c r="CO560" s="101">
        <f t="shared" si="42"/>
        <v>9</v>
      </c>
    </row>
    <row r="561" spans="1:93" ht="13.9" customHeight="1" x14ac:dyDescent="0.2">
      <c r="A561" s="149">
        <v>340</v>
      </c>
      <c r="B561" s="150" t="s">
        <v>1216</v>
      </c>
      <c r="C561" s="150" t="s">
        <v>1626</v>
      </c>
      <c r="D561" s="150" t="s">
        <v>1627</v>
      </c>
      <c r="E561" s="150" t="s">
        <v>326</v>
      </c>
      <c r="F561" s="149">
        <v>528898</v>
      </c>
      <c r="G561" s="149">
        <v>171088</v>
      </c>
      <c r="H561" s="150" t="s">
        <v>163</v>
      </c>
      <c r="I561" s="151"/>
      <c r="J561" s="151"/>
      <c r="K561" s="149">
        <v>0</v>
      </c>
      <c r="L561" s="149">
        <v>2</v>
      </c>
      <c r="M561" s="149">
        <v>2</v>
      </c>
      <c r="N561" s="149">
        <v>2</v>
      </c>
      <c r="O561" s="149">
        <v>2</v>
      </c>
      <c r="P561" s="152"/>
      <c r="Q561" s="150" t="s">
        <v>1628</v>
      </c>
      <c r="R561" s="150" t="s">
        <v>427</v>
      </c>
      <c r="S561" s="151">
        <v>43651</v>
      </c>
      <c r="T561" s="151">
        <v>43693</v>
      </c>
      <c r="U561" s="152"/>
      <c r="V561" s="150" t="s">
        <v>330</v>
      </c>
      <c r="W561" s="151"/>
      <c r="X561" s="150" t="s">
        <v>331</v>
      </c>
      <c r="Y561" s="150" t="s">
        <v>332</v>
      </c>
      <c r="Z561" s="150" t="s">
        <v>334</v>
      </c>
      <c r="AA561" s="150" t="s">
        <v>29</v>
      </c>
      <c r="AB561" s="153">
        <v>5.0000000000000001E-3</v>
      </c>
      <c r="AC561" s="151"/>
      <c r="AD561" s="150"/>
      <c r="AE561" s="151"/>
      <c r="AF561" s="150" t="s">
        <v>70</v>
      </c>
      <c r="AG561" s="152" t="s">
        <v>352</v>
      </c>
      <c r="AH561" s="150" t="s">
        <v>326</v>
      </c>
      <c r="AI561" s="99"/>
      <c r="AJ561" s="149"/>
      <c r="AK561" s="99"/>
      <c r="AL561" s="149"/>
      <c r="AM561" s="99"/>
      <c r="AN561" s="149">
        <v>0</v>
      </c>
      <c r="AO561" s="149">
        <v>2</v>
      </c>
      <c r="AP561" s="149">
        <v>0</v>
      </c>
      <c r="AQ561" s="149">
        <v>0</v>
      </c>
      <c r="AR561" s="149">
        <v>0</v>
      </c>
      <c r="AS561" s="149">
        <v>0</v>
      </c>
      <c r="AT561" s="149">
        <v>0</v>
      </c>
      <c r="AU561" s="149">
        <v>0</v>
      </c>
      <c r="AV561" s="149">
        <v>2</v>
      </c>
      <c r="AW561" s="149">
        <v>0</v>
      </c>
      <c r="AX561" s="149">
        <v>0</v>
      </c>
      <c r="AY561" s="149">
        <v>0</v>
      </c>
      <c r="AZ561" s="149">
        <v>0</v>
      </c>
      <c r="BA561" s="149">
        <v>0</v>
      </c>
      <c r="BB561" s="149">
        <v>0</v>
      </c>
      <c r="BC561" s="149">
        <v>0</v>
      </c>
      <c r="BD561" s="149">
        <v>0</v>
      </c>
      <c r="BE561" s="149">
        <v>0</v>
      </c>
      <c r="BF561" s="149">
        <v>0</v>
      </c>
      <c r="BG561" s="149">
        <v>0</v>
      </c>
      <c r="BH561" s="149">
        <v>0</v>
      </c>
      <c r="BI561" s="149">
        <v>0</v>
      </c>
      <c r="BJ561" s="149">
        <v>0</v>
      </c>
      <c r="BK561" s="149">
        <v>0</v>
      </c>
      <c r="BL561" s="149">
        <v>0</v>
      </c>
      <c r="BM561" s="149">
        <v>0</v>
      </c>
      <c r="BN561" s="149">
        <v>0</v>
      </c>
      <c r="BO561" s="149">
        <v>0</v>
      </c>
      <c r="BP561" s="152"/>
      <c r="BQ561" s="152"/>
      <c r="BR561" s="154" t="s">
        <v>359</v>
      </c>
      <c r="BS561" s="136">
        <v>15</v>
      </c>
      <c r="BT561" s="267"/>
      <c r="BU561" s="267">
        <f>M561/4</f>
        <v>0.5</v>
      </c>
      <c r="BV561" s="267">
        <f t="shared" si="53"/>
        <v>0.5</v>
      </c>
      <c r="BW561" s="267">
        <f t="shared" si="54"/>
        <v>0.5</v>
      </c>
      <c r="BX561" s="267">
        <f t="shared" si="55"/>
        <v>0.5</v>
      </c>
      <c r="BY561" s="267"/>
      <c r="BZ561" s="267"/>
      <c r="CA561" s="267"/>
      <c r="CB561" s="267"/>
      <c r="CC561" s="267"/>
      <c r="CD561" s="267"/>
      <c r="CE561" s="267"/>
      <c r="CF561" s="267"/>
      <c r="CG561" s="267"/>
      <c r="CH561" s="267"/>
      <c r="CI561" s="267"/>
      <c r="CJ561" s="267"/>
      <c r="CK561" s="267"/>
      <c r="CL561" s="267"/>
      <c r="CM561" s="267"/>
      <c r="CN561" s="101">
        <f t="shared" si="41"/>
        <v>2</v>
      </c>
      <c r="CO561" s="101">
        <f t="shared" si="42"/>
        <v>2</v>
      </c>
    </row>
    <row r="562" spans="1:93" ht="13.9" customHeight="1" x14ac:dyDescent="0.2">
      <c r="A562" s="149">
        <v>5699</v>
      </c>
      <c r="B562" s="150" t="s">
        <v>1216</v>
      </c>
      <c r="C562" s="150" t="s">
        <v>1629</v>
      </c>
      <c r="D562" s="150" t="s">
        <v>1630</v>
      </c>
      <c r="E562" s="150" t="s">
        <v>326</v>
      </c>
      <c r="F562" s="149">
        <v>523902</v>
      </c>
      <c r="G562" s="149">
        <v>174030</v>
      </c>
      <c r="H562" s="150" t="s">
        <v>161</v>
      </c>
      <c r="I562" s="151"/>
      <c r="J562" s="151"/>
      <c r="K562" s="149">
        <v>0</v>
      </c>
      <c r="L562" s="149">
        <v>1</v>
      </c>
      <c r="M562" s="149">
        <v>1</v>
      </c>
      <c r="N562" s="149">
        <v>1</v>
      </c>
      <c r="O562" s="149">
        <v>1</v>
      </c>
      <c r="P562" s="152"/>
      <c r="Q562" s="150" t="s">
        <v>1631</v>
      </c>
      <c r="R562" s="150" t="s">
        <v>349</v>
      </c>
      <c r="S562" s="151">
        <v>43663</v>
      </c>
      <c r="T562" s="151">
        <v>43742</v>
      </c>
      <c r="U562" s="152"/>
      <c r="V562" s="150" t="s">
        <v>330</v>
      </c>
      <c r="W562" s="151"/>
      <c r="X562" s="150" t="s">
        <v>331</v>
      </c>
      <c r="Y562" s="150" t="s">
        <v>343</v>
      </c>
      <c r="Z562" s="150" t="s">
        <v>334</v>
      </c>
      <c r="AA562" s="150" t="s">
        <v>363</v>
      </c>
      <c r="AB562" s="153">
        <v>1.0999999999999999E-2</v>
      </c>
      <c r="AC562" s="151"/>
      <c r="AD562" s="150"/>
      <c r="AE562" s="151"/>
      <c r="AF562" s="150" t="s">
        <v>70</v>
      </c>
      <c r="AG562" s="152" t="s">
        <v>352</v>
      </c>
      <c r="AH562" s="150" t="s">
        <v>326</v>
      </c>
      <c r="AI562" s="99"/>
      <c r="AJ562" s="149"/>
      <c r="AK562" s="99"/>
      <c r="AL562" s="149"/>
      <c r="AM562" s="99"/>
      <c r="AN562" s="149">
        <v>0</v>
      </c>
      <c r="AO562" s="149">
        <v>0</v>
      </c>
      <c r="AP562" s="149">
        <v>1</v>
      </c>
      <c r="AQ562" s="149">
        <v>0</v>
      </c>
      <c r="AR562" s="149">
        <v>0</v>
      </c>
      <c r="AS562" s="149">
        <v>0</v>
      </c>
      <c r="AT562" s="149">
        <v>0</v>
      </c>
      <c r="AU562" s="149">
        <v>0</v>
      </c>
      <c r="AV562" s="149">
        <v>0</v>
      </c>
      <c r="AW562" s="149">
        <v>0</v>
      </c>
      <c r="AX562" s="149">
        <v>0</v>
      </c>
      <c r="AY562" s="149">
        <v>0</v>
      </c>
      <c r="AZ562" s="149">
        <v>0</v>
      </c>
      <c r="BA562" s="149">
        <v>0</v>
      </c>
      <c r="BB562" s="149">
        <v>0</v>
      </c>
      <c r="BC562" s="149">
        <v>0</v>
      </c>
      <c r="BD562" s="149">
        <v>1</v>
      </c>
      <c r="BE562" s="149">
        <v>0</v>
      </c>
      <c r="BF562" s="149">
        <v>0</v>
      </c>
      <c r="BG562" s="149">
        <v>0</v>
      </c>
      <c r="BH562" s="149">
        <v>0</v>
      </c>
      <c r="BI562" s="149">
        <v>0</v>
      </c>
      <c r="BJ562" s="149">
        <v>0</v>
      </c>
      <c r="BK562" s="149">
        <v>0</v>
      </c>
      <c r="BL562" s="149">
        <v>0</v>
      </c>
      <c r="BM562" s="149">
        <v>0</v>
      </c>
      <c r="BN562" s="149">
        <v>0</v>
      </c>
      <c r="BO562" s="149">
        <v>0</v>
      </c>
      <c r="BP562" s="152"/>
      <c r="BQ562" s="152"/>
      <c r="BR562" s="154" t="s">
        <v>359</v>
      </c>
      <c r="BS562" s="136">
        <v>7</v>
      </c>
      <c r="BT562" s="267"/>
      <c r="BU562" s="267"/>
      <c r="BV562" s="267">
        <f t="shared" si="53"/>
        <v>0.25</v>
      </c>
      <c r="BW562" s="267">
        <f t="shared" si="54"/>
        <v>0.25</v>
      </c>
      <c r="BX562" s="267">
        <f t="shared" si="55"/>
        <v>0.25</v>
      </c>
      <c r="BY562" s="267">
        <f>M562/4</f>
        <v>0.25</v>
      </c>
      <c r="BZ562" s="267"/>
      <c r="CA562" s="267"/>
      <c r="CB562" s="267"/>
      <c r="CC562" s="267"/>
      <c r="CD562" s="267"/>
      <c r="CE562" s="267"/>
      <c r="CF562" s="267"/>
      <c r="CG562" s="267"/>
      <c r="CH562" s="267"/>
      <c r="CI562" s="267"/>
      <c r="CJ562" s="267"/>
      <c r="CK562" s="267"/>
      <c r="CL562" s="267"/>
      <c r="CM562" s="267"/>
      <c r="CN562" s="101">
        <f t="shared" si="41"/>
        <v>1</v>
      </c>
      <c r="CO562" s="101">
        <f t="shared" si="42"/>
        <v>1</v>
      </c>
    </row>
    <row r="563" spans="1:93" ht="13.9" customHeight="1" x14ac:dyDescent="0.2">
      <c r="A563" s="149">
        <v>7232</v>
      </c>
      <c r="B563" s="150" t="s">
        <v>1216</v>
      </c>
      <c r="C563" s="150" t="s">
        <v>1632</v>
      </c>
      <c r="D563" s="150" t="s">
        <v>1633</v>
      </c>
      <c r="E563" s="150" t="s">
        <v>326</v>
      </c>
      <c r="F563" s="149">
        <v>528139</v>
      </c>
      <c r="G563" s="149">
        <v>173962</v>
      </c>
      <c r="H563" s="150" t="s">
        <v>139</v>
      </c>
      <c r="I563" s="151"/>
      <c r="J563" s="151"/>
      <c r="K563" s="149">
        <v>1</v>
      </c>
      <c r="L563" s="149">
        <v>2</v>
      </c>
      <c r="M563" s="149">
        <v>1</v>
      </c>
      <c r="N563" s="149">
        <v>2</v>
      </c>
      <c r="O563" s="149">
        <v>1</v>
      </c>
      <c r="P563" s="152"/>
      <c r="Q563" s="150" t="s">
        <v>1634</v>
      </c>
      <c r="R563" s="150" t="s">
        <v>349</v>
      </c>
      <c r="S563" s="151">
        <v>43697</v>
      </c>
      <c r="T563" s="151">
        <v>43740</v>
      </c>
      <c r="U563" s="152"/>
      <c r="V563" s="150" t="s">
        <v>330</v>
      </c>
      <c r="W563" s="151"/>
      <c r="X563" s="150" t="s">
        <v>331</v>
      </c>
      <c r="Y563" s="150" t="s">
        <v>350</v>
      </c>
      <c r="Z563" s="150" t="s">
        <v>334</v>
      </c>
      <c r="AA563" s="150" t="s">
        <v>399</v>
      </c>
      <c r="AB563" s="153">
        <v>8.9999999999999993E-3</v>
      </c>
      <c r="AC563" s="151"/>
      <c r="AD563" s="150"/>
      <c r="AE563" s="151"/>
      <c r="AF563" s="150" t="s">
        <v>70</v>
      </c>
      <c r="AG563" s="152" t="s">
        <v>352</v>
      </c>
      <c r="AH563" s="150" t="s">
        <v>326</v>
      </c>
      <c r="AI563" s="99"/>
      <c r="AJ563" s="149"/>
      <c r="AK563" s="99"/>
      <c r="AL563" s="149"/>
      <c r="AM563" s="99"/>
      <c r="AN563" s="149">
        <v>0</v>
      </c>
      <c r="AO563" s="149">
        <v>2</v>
      </c>
      <c r="AP563" s="149">
        <v>0</v>
      </c>
      <c r="AQ563" s="149">
        <v>-1</v>
      </c>
      <c r="AR563" s="149">
        <v>0</v>
      </c>
      <c r="AS563" s="149">
        <v>0</v>
      </c>
      <c r="AT563" s="149">
        <v>0</v>
      </c>
      <c r="AU563" s="149">
        <v>0</v>
      </c>
      <c r="AV563" s="149">
        <v>2</v>
      </c>
      <c r="AW563" s="149">
        <v>0</v>
      </c>
      <c r="AX563" s="149">
        <v>-1</v>
      </c>
      <c r="AY563" s="149">
        <v>0</v>
      </c>
      <c r="AZ563" s="149">
        <v>0</v>
      </c>
      <c r="BA563" s="149">
        <v>0</v>
      </c>
      <c r="BB563" s="149">
        <v>0</v>
      </c>
      <c r="BC563" s="149">
        <v>0</v>
      </c>
      <c r="BD563" s="149">
        <v>0</v>
      </c>
      <c r="BE563" s="149">
        <v>0</v>
      </c>
      <c r="BF563" s="149">
        <v>0</v>
      </c>
      <c r="BG563" s="149">
        <v>0</v>
      </c>
      <c r="BH563" s="149">
        <v>0</v>
      </c>
      <c r="BI563" s="149">
        <v>0</v>
      </c>
      <c r="BJ563" s="149">
        <v>0</v>
      </c>
      <c r="BK563" s="149">
        <v>0</v>
      </c>
      <c r="BL563" s="149">
        <v>0</v>
      </c>
      <c r="BM563" s="149">
        <v>0</v>
      </c>
      <c r="BN563" s="149">
        <v>0</v>
      </c>
      <c r="BO563" s="149">
        <v>0</v>
      </c>
      <c r="BP563" s="152"/>
      <c r="BQ563" s="152"/>
      <c r="BR563" s="154" t="s">
        <v>359</v>
      </c>
      <c r="BS563" s="136">
        <v>15</v>
      </c>
      <c r="BT563" s="267"/>
      <c r="BU563" s="267">
        <f t="shared" ref="BU563:BU570" si="56">M563/4</f>
        <v>0.25</v>
      </c>
      <c r="BV563" s="267">
        <f t="shared" si="53"/>
        <v>0.25</v>
      </c>
      <c r="BW563" s="267">
        <f t="shared" si="54"/>
        <v>0.25</v>
      </c>
      <c r="BX563" s="267">
        <f t="shared" si="55"/>
        <v>0.25</v>
      </c>
      <c r="BY563" s="267"/>
      <c r="BZ563" s="267"/>
      <c r="CA563" s="267"/>
      <c r="CB563" s="267"/>
      <c r="CC563" s="267"/>
      <c r="CD563" s="267"/>
      <c r="CE563" s="267"/>
      <c r="CF563" s="267"/>
      <c r="CG563" s="267"/>
      <c r="CH563" s="267"/>
      <c r="CI563" s="267"/>
      <c r="CJ563" s="267"/>
      <c r="CK563" s="267"/>
      <c r="CL563" s="267"/>
      <c r="CM563" s="267"/>
      <c r="CN563" s="101">
        <f t="shared" si="41"/>
        <v>1</v>
      </c>
      <c r="CO563" s="101">
        <f t="shared" si="42"/>
        <v>1</v>
      </c>
    </row>
    <row r="564" spans="1:93" ht="13.9" customHeight="1" x14ac:dyDescent="0.2">
      <c r="A564" s="149">
        <v>7248</v>
      </c>
      <c r="B564" s="150" t="s">
        <v>1216</v>
      </c>
      <c r="C564" s="150" t="s">
        <v>1635</v>
      </c>
      <c r="D564" s="150" t="s">
        <v>1636</v>
      </c>
      <c r="E564" s="150" t="s">
        <v>326</v>
      </c>
      <c r="F564" s="149">
        <v>524095</v>
      </c>
      <c r="G564" s="149">
        <v>175524</v>
      </c>
      <c r="H564" s="150" t="s">
        <v>171</v>
      </c>
      <c r="I564" s="151"/>
      <c r="J564" s="151"/>
      <c r="K564" s="149">
        <v>1</v>
      </c>
      <c r="L564" s="149">
        <v>2</v>
      </c>
      <c r="M564" s="149">
        <v>1</v>
      </c>
      <c r="N564" s="149">
        <v>2</v>
      </c>
      <c r="O564" s="149">
        <v>1</v>
      </c>
      <c r="P564" s="152"/>
      <c r="Q564" s="150" t="s">
        <v>1637</v>
      </c>
      <c r="R564" s="150" t="s">
        <v>349</v>
      </c>
      <c r="S564" s="151">
        <v>43720</v>
      </c>
      <c r="T564" s="151">
        <v>43983</v>
      </c>
      <c r="U564" s="152"/>
      <c r="V564" s="150" t="s">
        <v>330</v>
      </c>
      <c r="W564" s="151"/>
      <c r="X564" s="150" t="s">
        <v>331</v>
      </c>
      <c r="Y564" s="150" t="s">
        <v>350</v>
      </c>
      <c r="Z564" s="150" t="s">
        <v>334</v>
      </c>
      <c r="AA564" s="150" t="s">
        <v>413</v>
      </c>
      <c r="AB564" s="153">
        <v>7.0000000000000001E-3</v>
      </c>
      <c r="AC564" s="151"/>
      <c r="AD564" s="150"/>
      <c r="AE564" s="151"/>
      <c r="AF564" s="150" t="s">
        <v>70</v>
      </c>
      <c r="AG564" s="152" t="s">
        <v>352</v>
      </c>
      <c r="AH564" s="150" t="s">
        <v>326</v>
      </c>
      <c r="AI564" s="99"/>
      <c r="AJ564" s="149"/>
      <c r="AK564" s="99"/>
      <c r="AL564" s="149"/>
      <c r="AM564" s="99"/>
      <c r="AN564" s="149">
        <v>0</v>
      </c>
      <c r="AO564" s="149">
        <v>1</v>
      </c>
      <c r="AP564" s="149">
        <v>0</v>
      </c>
      <c r="AQ564" s="149">
        <v>0</v>
      </c>
      <c r="AR564" s="149">
        <v>0</v>
      </c>
      <c r="AS564" s="149">
        <v>0</v>
      </c>
      <c r="AT564" s="149">
        <v>0</v>
      </c>
      <c r="AU564" s="149">
        <v>0</v>
      </c>
      <c r="AV564" s="149">
        <v>1</v>
      </c>
      <c r="AW564" s="149">
        <v>0</v>
      </c>
      <c r="AX564" s="149">
        <v>0</v>
      </c>
      <c r="AY564" s="149">
        <v>0</v>
      </c>
      <c r="AZ564" s="149">
        <v>0</v>
      </c>
      <c r="BA564" s="149">
        <v>0</v>
      </c>
      <c r="BB564" s="149">
        <v>0</v>
      </c>
      <c r="BC564" s="149">
        <v>0</v>
      </c>
      <c r="BD564" s="149">
        <v>0</v>
      </c>
      <c r="BE564" s="149">
        <v>0</v>
      </c>
      <c r="BF564" s="149">
        <v>0</v>
      </c>
      <c r="BG564" s="149">
        <v>0</v>
      </c>
      <c r="BH564" s="149">
        <v>0</v>
      </c>
      <c r="BI564" s="149">
        <v>0</v>
      </c>
      <c r="BJ564" s="149">
        <v>0</v>
      </c>
      <c r="BK564" s="149">
        <v>0</v>
      </c>
      <c r="BL564" s="149">
        <v>0</v>
      </c>
      <c r="BM564" s="149">
        <v>0</v>
      </c>
      <c r="BN564" s="149">
        <v>0</v>
      </c>
      <c r="BO564" s="149">
        <v>0</v>
      </c>
      <c r="BP564" s="152" t="s">
        <v>141</v>
      </c>
      <c r="BQ564" s="152"/>
      <c r="BR564" s="154" t="s">
        <v>141</v>
      </c>
      <c r="BS564" s="136">
        <v>15</v>
      </c>
      <c r="BT564" s="267"/>
      <c r="BU564" s="267">
        <f t="shared" si="56"/>
        <v>0.25</v>
      </c>
      <c r="BV564" s="267">
        <f t="shared" si="53"/>
        <v>0.25</v>
      </c>
      <c r="BW564" s="267">
        <f t="shared" si="54"/>
        <v>0.25</v>
      </c>
      <c r="BX564" s="267">
        <f t="shared" si="55"/>
        <v>0.25</v>
      </c>
      <c r="BY564" s="267"/>
      <c r="BZ564" s="267"/>
      <c r="CA564" s="267"/>
      <c r="CB564" s="267"/>
      <c r="CC564" s="267"/>
      <c r="CD564" s="267"/>
      <c r="CE564" s="267"/>
      <c r="CF564" s="267"/>
      <c r="CG564" s="267"/>
      <c r="CH564" s="267"/>
      <c r="CI564" s="267"/>
      <c r="CJ564" s="267"/>
      <c r="CK564" s="267"/>
      <c r="CL564" s="267"/>
      <c r="CM564" s="267"/>
      <c r="CN564" s="101">
        <f t="shared" si="41"/>
        <v>1</v>
      </c>
      <c r="CO564" s="101">
        <f t="shared" si="42"/>
        <v>1</v>
      </c>
    </row>
    <row r="565" spans="1:93" ht="13.9" customHeight="1" x14ac:dyDescent="0.2">
      <c r="A565" s="149">
        <v>7294</v>
      </c>
      <c r="B565" s="150" t="s">
        <v>1216</v>
      </c>
      <c r="C565" s="150" t="s">
        <v>1638</v>
      </c>
      <c r="D565" s="150" t="s">
        <v>1639</v>
      </c>
      <c r="E565" s="150" t="s">
        <v>326</v>
      </c>
      <c r="F565" s="149">
        <v>525948</v>
      </c>
      <c r="G565" s="149">
        <v>173961</v>
      </c>
      <c r="H565" s="150" t="s">
        <v>175</v>
      </c>
      <c r="I565" s="151"/>
      <c r="J565" s="151"/>
      <c r="K565" s="149">
        <v>0</v>
      </c>
      <c r="L565" s="149">
        <v>2</v>
      </c>
      <c r="M565" s="149">
        <v>2</v>
      </c>
      <c r="N565" s="149">
        <v>2</v>
      </c>
      <c r="O565" s="149">
        <v>2</v>
      </c>
      <c r="P565" s="152"/>
      <c r="Q565" s="150" t="s">
        <v>1640</v>
      </c>
      <c r="R565" s="150" t="s">
        <v>349</v>
      </c>
      <c r="S565" s="151">
        <v>43763</v>
      </c>
      <c r="T565" s="151">
        <v>43882</v>
      </c>
      <c r="U565" s="152"/>
      <c r="V565" s="150" t="s">
        <v>330</v>
      </c>
      <c r="W565" s="151"/>
      <c r="X565" s="150" t="s">
        <v>331</v>
      </c>
      <c r="Y565" s="150" t="s">
        <v>491</v>
      </c>
      <c r="Z565" s="150" t="s">
        <v>334</v>
      </c>
      <c r="AA565" s="150" t="s">
        <v>413</v>
      </c>
      <c r="AB565" s="153">
        <v>4.0000000000000001E-3</v>
      </c>
      <c r="AC565" s="151"/>
      <c r="AD565" s="150"/>
      <c r="AE565" s="151"/>
      <c r="AF565" s="150" t="s">
        <v>70</v>
      </c>
      <c r="AG565" s="152" t="s">
        <v>352</v>
      </c>
      <c r="AH565" s="150" t="s">
        <v>326</v>
      </c>
      <c r="AI565" s="99"/>
      <c r="AJ565" s="149"/>
      <c r="AK565" s="99"/>
      <c r="AL565" s="149"/>
      <c r="AM565" s="99"/>
      <c r="AN565" s="149">
        <v>0</v>
      </c>
      <c r="AO565" s="149">
        <v>0</v>
      </c>
      <c r="AP565" s="149">
        <v>2</v>
      </c>
      <c r="AQ565" s="149">
        <v>0</v>
      </c>
      <c r="AR565" s="149">
        <v>0</v>
      </c>
      <c r="AS565" s="149">
        <v>0</v>
      </c>
      <c r="AT565" s="149">
        <v>0</v>
      </c>
      <c r="AU565" s="149">
        <v>0</v>
      </c>
      <c r="AV565" s="149">
        <v>0</v>
      </c>
      <c r="AW565" s="149">
        <v>2</v>
      </c>
      <c r="AX565" s="149">
        <v>0</v>
      </c>
      <c r="AY565" s="149">
        <v>0</v>
      </c>
      <c r="AZ565" s="149">
        <v>0</v>
      </c>
      <c r="BA565" s="149">
        <v>0</v>
      </c>
      <c r="BB565" s="149">
        <v>0</v>
      </c>
      <c r="BC565" s="149">
        <v>0</v>
      </c>
      <c r="BD565" s="149">
        <v>0</v>
      </c>
      <c r="BE565" s="149">
        <v>0</v>
      </c>
      <c r="BF565" s="149">
        <v>0</v>
      </c>
      <c r="BG565" s="149">
        <v>0</v>
      </c>
      <c r="BH565" s="149">
        <v>0</v>
      </c>
      <c r="BI565" s="149">
        <v>0</v>
      </c>
      <c r="BJ565" s="149">
        <v>0</v>
      </c>
      <c r="BK565" s="149">
        <v>0</v>
      </c>
      <c r="BL565" s="149">
        <v>0</v>
      </c>
      <c r="BM565" s="149">
        <v>0</v>
      </c>
      <c r="BN565" s="149">
        <v>0</v>
      </c>
      <c r="BO565" s="149">
        <v>0</v>
      </c>
      <c r="BP565" s="152"/>
      <c r="BQ565" s="152"/>
      <c r="BR565" s="154" t="s">
        <v>359</v>
      </c>
      <c r="BS565" s="136">
        <v>15</v>
      </c>
      <c r="BT565" s="267"/>
      <c r="BU565" s="267">
        <f t="shared" si="56"/>
        <v>0.5</v>
      </c>
      <c r="BV565" s="267">
        <f t="shared" si="53"/>
        <v>0.5</v>
      </c>
      <c r="BW565" s="267">
        <f t="shared" si="54"/>
        <v>0.5</v>
      </c>
      <c r="BX565" s="267">
        <f t="shared" si="55"/>
        <v>0.5</v>
      </c>
      <c r="BY565" s="267"/>
      <c r="BZ565" s="267"/>
      <c r="CA565" s="267"/>
      <c r="CB565" s="267"/>
      <c r="CC565" s="267"/>
      <c r="CD565" s="267"/>
      <c r="CE565" s="267"/>
      <c r="CF565" s="267"/>
      <c r="CG565" s="267"/>
      <c r="CH565" s="267"/>
      <c r="CI565" s="267"/>
      <c r="CJ565" s="267"/>
      <c r="CK565" s="267"/>
      <c r="CL565" s="267"/>
      <c r="CM565" s="267"/>
      <c r="CN565" s="101">
        <f t="shared" si="41"/>
        <v>2</v>
      </c>
      <c r="CO565" s="101">
        <f t="shared" si="42"/>
        <v>2</v>
      </c>
    </row>
    <row r="566" spans="1:93" ht="13.9" customHeight="1" x14ac:dyDescent="0.2">
      <c r="A566" s="149">
        <v>7245</v>
      </c>
      <c r="B566" s="150" t="s">
        <v>1216</v>
      </c>
      <c r="C566" s="150" t="s">
        <v>1641</v>
      </c>
      <c r="D566" s="150" t="s">
        <v>1642</v>
      </c>
      <c r="E566" s="150" t="s">
        <v>326</v>
      </c>
      <c r="F566" s="149">
        <v>528090</v>
      </c>
      <c r="G566" s="149">
        <v>173486</v>
      </c>
      <c r="H566" s="150" t="s">
        <v>139</v>
      </c>
      <c r="I566" s="151"/>
      <c r="J566" s="151"/>
      <c r="K566" s="149">
        <v>0</v>
      </c>
      <c r="L566" s="149">
        <v>2</v>
      </c>
      <c r="M566" s="149">
        <v>2</v>
      </c>
      <c r="N566" s="149">
        <v>2</v>
      </c>
      <c r="O566" s="149">
        <v>2</v>
      </c>
      <c r="P566" s="152"/>
      <c r="Q566" s="150" t="s">
        <v>1643</v>
      </c>
      <c r="R566" s="150" t="s">
        <v>407</v>
      </c>
      <c r="S566" s="151">
        <v>43720</v>
      </c>
      <c r="T566" s="151">
        <v>43773</v>
      </c>
      <c r="U566" s="152"/>
      <c r="V566" s="150" t="s">
        <v>330</v>
      </c>
      <c r="W566" s="151"/>
      <c r="X566" s="150" t="s">
        <v>331</v>
      </c>
      <c r="Y566" s="150" t="s">
        <v>332</v>
      </c>
      <c r="Z566" s="150" t="s">
        <v>334</v>
      </c>
      <c r="AA566" s="150" t="s">
        <v>26</v>
      </c>
      <c r="AB566" s="153">
        <v>7.0000000000000001E-3</v>
      </c>
      <c r="AC566" s="151"/>
      <c r="AD566" s="150"/>
      <c r="AE566" s="151"/>
      <c r="AF566" s="150" t="s">
        <v>70</v>
      </c>
      <c r="AG566" s="152" t="s">
        <v>352</v>
      </c>
      <c r="AH566" s="150" t="s">
        <v>326</v>
      </c>
      <c r="AI566" s="99"/>
      <c r="AJ566" s="149"/>
      <c r="AK566" s="99"/>
      <c r="AL566" s="149"/>
      <c r="AM566" s="99"/>
      <c r="AN566" s="149">
        <v>2</v>
      </c>
      <c r="AO566" s="149">
        <v>0</v>
      </c>
      <c r="AP566" s="149">
        <v>0</v>
      </c>
      <c r="AQ566" s="149">
        <v>0</v>
      </c>
      <c r="AR566" s="149">
        <v>0</v>
      </c>
      <c r="AS566" s="149">
        <v>0</v>
      </c>
      <c r="AT566" s="149">
        <v>0</v>
      </c>
      <c r="AU566" s="149">
        <v>2</v>
      </c>
      <c r="AV566" s="149">
        <v>0</v>
      </c>
      <c r="AW566" s="149">
        <v>0</v>
      </c>
      <c r="AX566" s="149">
        <v>0</v>
      </c>
      <c r="AY566" s="149">
        <v>0</v>
      </c>
      <c r="AZ566" s="149">
        <v>0</v>
      </c>
      <c r="BA566" s="149">
        <v>0</v>
      </c>
      <c r="BB566" s="149">
        <v>0</v>
      </c>
      <c r="BC566" s="149">
        <v>0</v>
      </c>
      <c r="BD566" s="149">
        <v>0</v>
      </c>
      <c r="BE566" s="149">
        <v>0</v>
      </c>
      <c r="BF566" s="149">
        <v>0</v>
      </c>
      <c r="BG566" s="149">
        <v>0</v>
      </c>
      <c r="BH566" s="149">
        <v>0</v>
      </c>
      <c r="BI566" s="149">
        <v>0</v>
      </c>
      <c r="BJ566" s="149">
        <v>0</v>
      </c>
      <c r="BK566" s="149">
        <v>0</v>
      </c>
      <c r="BL566" s="149">
        <v>0</v>
      </c>
      <c r="BM566" s="149">
        <v>0</v>
      </c>
      <c r="BN566" s="149">
        <v>0</v>
      </c>
      <c r="BO566" s="149">
        <v>0</v>
      </c>
      <c r="BP566" s="152"/>
      <c r="BQ566" s="152"/>
      <c r="BR566" s="154" t="s">
        <v>359</v>
      </c>
      <c r="BS566" s="136">
        <v>15</v>
      </c>
      <c r="BT566" s="267"/>
      <c r="BU566" s="267">
        <f t="shared" si="56"/>
        <v>0.5</v>
      </c>
      <c r="BV566" s="267">
        <f t="shared" si="53"/>
        <v>0.5</v>
      </c>
      <c r="BW566" s="267">
        <f t="shared" si="54"/>
        <v>0.5</v>
      </c>
      <c r="BX566" s="267">
        <f t="shared" si="55"/>
        <v>0.5</v>
      </c>
      <c r="BY566" s="267"/>
      <c r="BZ566" s="267"/>
      <c r="CA566" s="267"/>
      <c r="CB566" s="267"/>
      <c r="CC566" s="267"/>
      <c r="CD566" s="267"/>
      <c r="CE566" s="267"/>
      <c r="CF566" s="267"/>
      <c r="CG566" s="267"/>
      <c r="CH566" s="267"/>
      <c r="CI566" s="267"/>
      <c r="CJ566" s="267"/>
      <c r="CK566" s="267"/>
      <c r="CL566" s="267"/>
      <c r="CM566" s="267"/>
      <c r="CN566" s="101">
        <f t="shared" si="41"/>
        <v>2</v>
      </c>
      <c r="CO566" s="101">
        <f t="shared" si="42"/>
        <v>2</v>
      </c>
    </row>
    <row r="567" spans="1:93" ht="13.9" customHeight="1" x14ac:dyDescent="0.2">
      <c r="A567" s="149">
        <v>7266</v>
      </c>
      <c r="B567" s="150" t="s">
        <v>1216</v>
      </c>
      <c r="C567" s="150" t="s">
        <v>1644</v>
      </c>
      <c r="D567" s="150" t="s">
        <v>1645</v>
      </c>
      <c r="E567" s="150" t="s">
        <v>326</v>
      </c>
      <c r="F567" s="149">
        <v>527567</v>
      </c>
      <c r="G567" s="149">
        <v>176185</v>
      </c>
      <c r="H567" s="150" t="s">
        <v>167</v>
      </c>
      <c r="I567" s="151"/>
      <c r="J567" s="151"/>
      <c r="K567" s="149">
        <v>0</v>
      </c>
      <c r="L567" s="149">
        <v>1</v>
      </c>
      <c r="M567" s="149">
        <v>1</v>
      </c>
      <c r="N567" s="149">
        <v>3</v>
      </c>
      <c r="O567" s="149">
        <v>2</v>
      </c>
      <c r="P567" s="152"/>
      <c r="Q567" s="150" t="s">
        <v>1646</v>
      </c>
      <c r="R567" s="150" t="s">
        <v>349</v>
      </c>
      <c r="S567" s="151">
        <v>43742</v>
      </c>
      <c r="T567" s="151">
        <v>43837</v>
      </c>
      <c r="U567" s="152"/>
      <c r="V567" s="150" t="s">
        <v>330</v>
      </c>
      <c r="W567" s="151"/>
      <c r="X567" s="150" t="s">
        <v>331</v>
      </c>
      <c r="Y567" s="150" t="s">
        <v>398</v>
      </c>
      <c r="Z567" s="150" t="s">
        <v>334</v>
      </c>
      <c r="AA567" s="150" t="s">
        <v>413</v>
      </c>
      <c r="AB567" s="153">
        <v>8.0000000000000002E-3</v>
      </c>
      <c r="AC567" s="151"/>
      <c r="AD567" s="150"/>
      <c r="AE567" s="151"/>
      <c r="AF567" s="150" t="s">
        <v>70</v>
      </c>
      <c r="AG567" s="152" t="s">
        <v>352</v>
      </c>
      <c r="AH567" s="150" t="s">
        <v>326</v>
      </c>
      <c r="AI567" s="99"/>
      <c r="AJ567" s="149"/>
      <c r="AK567" s="99"/>
      <c r="AL567" s="149"/>
      <c r="AM567" s="99"/>
      <c r="AN567" s="149">
        <v>0</v>
      </c>
      <c r="AO567" s="149">
        <v>0</v>
      </c>
      <c r="AP567" s="149">
        <v>0</v>
      </c>
      <c r="AQ567" s="149">
        <v>1</v>
      </c>
      <c r="AR567" s="149">
        <v>0</v>
      </c>
      <c r="AS567" s="149">
        <v>0</v>
      </c>
      <c r="AT567" s="149">
        <v>0</v>
      </c>
      <c r="AU567" s="149">
        <v>0</v>
      </c>
      <c r="AV567" s="149">
        <v>0</v>
      </c>
      <c r="AW567" s="149">
        <v>0</v>
      </c>
      <c r="AX567" s="149">
        <v>1</v>
      </c>
      <c r="AY567" s="149">
        <v>0</v>
      </c>
      <c r="AZ567" s="149">
        <v>0</v>
      </c>
      <c r="BA567" s="149">
        <v>0</v>
      </c>
      <c r="BB567" s="149">
        <v>0</v>
      </c>
      <c r="BC567" s="149">
        <v>0</v>
      </c>
      <c r="BD567" s="149">
        <v>0</v>
      </c>
      <c r="BE567" s="149">
        <v>0</v>
      </c>
      <c r="BF567" s="149">
        <v>0</v>
      </c>
      <c r="BG567" s="149">
        <v>0</v>
      </c>
      <c r="BH567" s="149">
        <v>0</v>
      </c>
      <c r="BI567" s="149">
        <v>0</v>
      </c>
      <c r="BJ567" s="149">
        <v>0</v>
      </c>
      <c r="BK567" s="149">
        <v>0</v>
      </c>
      <c r="BL567" s="149">
        <v>0</v>
      </c>
      <c r="BM567" s="149">
        <v>0</v>
      </c>
      <c r="BN567" s="149">
        <v>0</v>
      </c>
      <c r="BO567" s="149">
        <v>0</v>
      </c>
      <c r="BP567" s="152"/>
      <c r="BQ567" s="152"/>
      <c r="BR567" s="154" t="s">
        <v>359</v>
      </c>
      <c r="BS567" s="136">
        <v>15</v>
      </c>
      <c r="BT567" s="267"/>
      <c r="BU567" s="267">
        <f t="shared" si="56"/>
        <v>0.25</v>
      </c>
      <c r="BV567" s="267">
        <f t="shared" si="53"/>
        <v>0.25</v>
      </c>
      <c r="BW567" s="267">
        <f t="shared" si="54"/>
        <v>0.25</v>
      </c>
      <c r="BX567" s="267">
        <f t="shared" si="55"/>
        <v>0.25</v>
      </c>
      <c r="BY567" s="267"/>
      <c r="BZ567" s="267"/>
      <c r="CA567" s="267"/>
      <c r="CB567" s="267"/>
      <c r="CC567" s="267"/>
      <c r="CD567" s="267"/>
      <c r="CE567" s="267"/>
      <c r="CF567" s="267"/>
      <c r="CG567" s="267"/>
      <c r="CH567" s="267"/>
      <c r="CI567" s="267"/>
      <c r="CJ567" s="267"/>
      <c r="CK567" s="267"/>
      <c r="CL567" s="267"/>
      <c r="CM567" s="267"/>
      <c r="CN567" s="101">
        <f t="shared" ref="CN567:CN630" si="57">SUM(BU567:BY567)</f>
        <v>1</v>
      </c>
      <c r="CO567" s="101">
        <f t="shared" ref="CO567:CO630" si="58">SUM(BU567:CD567)</f>
        <v>1</v>
      </c>
    </row>
    <row r="568" spans="1:93" ht="13.9" customHeight="1" x14ac:dyDescent="0.2">
      <c r="A568" s="149">
        <v>7266</v>
      </c>
      <c r="B568" s="150" t="s">
        <v>1216</v>
      </c>
      <c r="C568" s="150" t="s">
        <v>1644</v>
      </c>
      <c r="D568" s="150" t="s">
        <v>1645</v>
      </c>
      <c r="E568" s="150" t="s">
        <v>326</v>
      </c>
      <c r="F568" s="149">
        <v>527567</v>
      </c>
      <c r="G568" s="149">
        <v>176185</v>
      </c>
      <c r="H568" s="150" t="s">
        <v>167</v>
      </c>
      <c r="I568" s="151"/>
      <c r="J568" s="151"/>
      <c r="K568" s="149">
        <v>1</v>
      </c>
      <c r="L568" s="149">
        <v>2</v>
      </c>
      <c r="M568" s="149">
        <v>1</v>
      </c>
      <c r="N568" s="149">
        <v>3</v>
      </c>
      <c r="O568" s="149">
        <v>2</v>
      </c>
      <c r="P568" s="152"/>
      <c r="Q568" s="150" t="s">
        <v>1646</v>
      </c>
      <c r="R568" s="150" t="s">
        <v>349</v>
      </c>
      <c r="S568" s="151">
        <v>43742</v>
      </c>
      <c r="T568" s="151">
        <v>43837</v>
      </c>
      <c r="U568" s="152"/>
      <c r="V568" s="150" t="s">
        <v>330</v>
      </c>
      <c r="W568" s="151"/>
      <c r="X568" s="150" t="s">
        <v>331</v>
      </c>
      <c r="Y568" s="150" t="s">
        <v>398</v>
      </c>
      <c r="Z568" s="150" t="s">
        <v>334</v>
      </c>
      <c r="AA568" s="150" t="s">
        <v>16</v>
      </c>
      <c r="AB568" s="153">
        <v>1.4E-2</v>
      </c>
      <c r="AC568" s="151"/>
      <c r="AD568" s="150"/>
      <c r="AE568" s="151"/>
      <c r="AF568" s="150" t="s">
        <v>70</v>
      </c>
      <c r="AG568" s="152" t="s">
        <v>352</v>
      </c>
      <c r="AH568" s="150" t="s">
        <v>326</v>
      </c>
      <c r="AI568" s="99"/>
      <c r="AJ568" s="149"/>
      <c r="AK568" s="99"/>
      <c r="AL568" s="149"/>
      <c r="AM568" s="99"/>
      <c r="AN568" s="149">
        <v>0</v>
      </c>
      <c r="AO568" s="149">
        <v>0</v>
      </c>
      <c r="AP568" s="149">
        <v>1</v>
      </c>
      <c r="AQ568" s="149">
        <v>0</v>
      </c>
      <c r="AR568" s="149">
        <v>0</v>
      </c>
      <c r="AS568" s="149">
        <v>0</v>
      </c>
      <c r="AT568" s="149">
        <v>0</v>
      </c>
      <c r="AU568" s="149">
        <v>0</v>
      </c>
      <c r="AV568" s="149">
        <v>0</v>
      </c>
      <c r="AW568" s="149">
        <v>1</v>
      </c>
      <c r="AX568" s="149">
        <v>1</v>
      </c>
      <c r="AY568" s="149">
        <v>0</v>
      </c>
      <c r="AZ568" s="149">
        <v>0</v>
      </c>
      <c r="BA568" s="149">
        <v>0</v>
      </c>
      <c r="BB568" s="149">
        <v>0</v>
      </c>
      <c r="BC568" s="149">
        <v>0</v>
      </c>
      <c r="BD568" s="149">
        <v>0</v>
      </c>
      <c r="BE568" s="149">
        <v>-1</v>
      </c>
      <c r="BF568" s="149">
        <v>0</v>
      </c>
      <c r="BG568" s="149">
        <v>0</v>
      </c>
      <c r="BH568" s="149">
        <v>0</v>
      </c>
      <c r="BI568" s="149">
        <v>0</v>
      </c>
      <c r="BJ568" s="149">
        <v>0</v>
      </c>
      <c r="BK568" s="149">
        <v>0</v>
      </c>
      <c r="BL568" s="149">
        <v>0</v>
      </c>
      <c r="BM568" s="149">
        <v>0</v>
      </c>
      <c r="BN568" s="149">
        <v>0</v>
      </c>
      <c r="BO568" s="149">
        <v>0</v>
      </c>
      <c r="BP568" s="152"/>
      <c r="BQ568" s="152"/>
      <c r="BR568" s="154" t="s">
        <v>359</v>
      </c>
      <c r="BS568" s="136">
        <v>15</v>
      </c>
      <c r="BT568" s="267"/>
      <c r="BU568" s="267">
        <f t="shared" si="56"/>
        <v>0.25</v>
      </c>
      <c r="BV568" s="267">
        <f t="shared" si="53"/>
        <v>0.25</v>
      </c>
      <c r="BW568" s="267">
        <f t="shared" si="54"/>
        <v>0.25</v>
      </c>
      <c r="BX568" s="267">
        <f t="shared" si="55"/>
        <v>0.25</v>
      </c>
      <c r="BY568" s="267"/>
      <c r="BZ568" s="267"/>
      <c r="CA568" s="267"/>
      <c r="CB568" s="267"/>
      <c r="CC568" s="267"/>
      <c r="CD568" s="267"/>
      <c r="CE568" s="267"/>
      <c r="CF568" s="267"/>
      <c r="CG568" s="267"/>
      <c r="CH568" s="267"/>
      <c r="CI568" s="267"/>
      <c r="CJ568" s="267"/>
      <c r="CK568" s="267"/>
      <c r="CL568" s="267"/>
      <c r="CM568" s="267"/>
      <c r="CN568" s="101">
        <f t="shared" si="57"/>
        <v>1</v>
      </c>
      <c r="CO568" s="101">
        <f t="shared" si="58"/>
        <v>1</v>
      </c>
    </row>
    <row r="569" spans="1:93" ht="13.9" customHeight="1" x14ac:dyDescent="0.2">
      <c r="A569" s="149">
        <v>7245</v>
      </c>
      <c r="B569" s="150" t="s">
        <v>1216</v>
      </c>
      <c r="C569" s="150" t="s">
        <v>1647</v>
      </c>
      <c r="D569" s="150" t="s">
        <v>1642</v>
      </c>
      <c r="E569" s="150" t="s">
        <v>326</v>
      </c>
      <c r="F569" s="149">
        <v>528090</v>
      </c>
      <c r="G569" s="149">
        <v>173486</v>
      </c>
      <c r="H569" s="150" t="s">
        <v>139</v>
      </c>
      <c r="I569" s="151"/>
      <c r="J569" s="151"/>
      <c r="K569" s="149">
        <v>0</v>
      </c>
      <c r="L569" s="149">
        <v>1</v>
      </c>
      <c r="M569" s="149">
        <v>1</v>
      </c>
      <c r="N569" s="149">
        <v>1</v>
      </c>
      <c r="O569" s="149">
        <v>1</v>
      </c>
      <c r="P569" s="152"/>
      <c r="Q569" s="150" t="s">
        <v>1648</v>
      </c>
      <c r="R569" s="150" t="s">
        <v>349</v>
      </c>
      <c r="S569" s="151">
        <v>43809</v>
      </c>
      <c r="T569" s="151">
        <v>44062</v>
      </c>
      <c r="U569" s="152"/>
      <c r="V569" s="150" t="s">
        <v>330</v>
      </c>
      <c r="W569" s="151"/>
      <c r="X569" s="150" t="s">
        <v>331</v>
      </c>
      <c r="Y569" s="150" t="s">
        <v>491</v>
      </c>
      <c r="Z569" s="150" t="s">
        <v>334</v>
      </c>
      <c r="AA569" s="150" t="s">
        <v>413</v>
      </c>
      <c r="AB569" s="153">
        <v>4.0000000000000001E-3</v>
      </c>
      <c r="AC569" s="151"/>
      <c r="AD569" s="150"/>
      <c r="AE569" s="151"/>
      <c r="AF569" s="150" t="s">
        <v>70</v>
      </c>
      <c r="AG569" s="152" t="s">
        <v>352</v>
      </c>
      <c r="AH569" s="150" t="s">
        <v>326</v>
      </c>
      <c r="AI569" s="99"/>
      <c r="AJ569" s="149"/>
      <c r="AK569" s="99"/>
      <c r="AL569" s="149"/>
      <c r="AM569" s="99"/>
      <c r="AN569" s="149">
        <v>1</v>
      </c>
      <c r="AO569" s="149">
        <v>0</v>
      </c>
      <c r="AP569" s="149">
        <v>0</v>
      </c>
      <c r="AQ569" s="149">
        <v>0</v>
      </c>
      <c r="AR569" s="149">
        <v>0</v>
      </c>
      <c r="AS569" s="149">
        <v>0</v>
      </c>
      <c r="AT569" s="149">
        <v>0</v>
      </c>
      <c r="AU569" s="149">
        <v>1</v>
      </c>
      <c r="AV569" s="149">
        <v>0</v>
      </c>
      <c r="AW569" s="149">
        <v>0</v>
      </c>
      <c r="AX569" s="149">
        <v>0</v>
      </c>
      <c r="AY569" s="149">
        <v>0</v>
      </c>
      <c r="AZ569" s="149">
        <v>0</v>
      </c>
      <c r="BA569" s="149">
        <v>0</v>
      </c>
      <c r="BB569" s="149">
        <v>0</v>
      </c>
      <c r="BC569" s="149">
        <v>0</v>
      </c>
      <c r="BD569" s="149">
        <v>0</v>
      </c>
      <c r="BE569" s="149">
        <v>0</v>
      </c>
      <c r="BF569" s="149">
        <v>0</v>
      </c>
      <c r="BG569" s="149">
        <v>0</v>
      </c>
      <c r="BH569" s="149">
        <v>0</v>
      </c>
      <c r="BI569" s="149">
        <v>0</v>
      </c>
      <c r="BJ569" s="149">
        <v>0</v>
      </c>
      <c r="BK569" s="149">
        <v>0</v>
      </c>
      <c r="BL569" s="149">
        <v>0</v>
      </c>
      <c r="BM569" s="149">
        <v>0</v>
      </c>
      <c r="BN569" s="149">
        <v>0</v>
      </c>
      <c r="BO569" s="149">
        <v>0</v>
      </c>
      <c r="BP569" s="152"/>
      <c r="BQ569" s="152"/>
      <c r="BR569" s="154" t="s">
        <v>359</v>
      </c>
      <c r="BS569" s="136">
        <v>15</v>
      </c>
      <c r="BT569" s="267"/>
      <c r="BU569" s="267">
        <f t="shared" si="56"/>
        <v>0.25</v>
      </c>
      <c r="BV569" s="267">
        <f t="shared" si="53"/>
        <v>0.25</v>
      </c>
      <c r="BW569" s="267">
        <f t="shared" si="54"/>
        <v>0.25</v>
      </c>
      <c r="BX569" s="267">
        <f t="shared" si="55"/>
        <v>0.25</v>
      </c>
      <c r="BY569" s="267"/>
      <c r="BZ569" s="267"/>
      <c r="CA569" s="267"/>
      <c r="CB569" s="267"/>
      <c r="CC569" s="267"/>
      <c r="CD569" s="267"/>
      <c r="CE569" s="267"/>
      <c r="CF569" s="267"/>
      <c r="CG569" s="267"/>
      <c r="CH569" s="267"/>
      <c r="CI569" s="267"/>
      <c r="CJ569" s="267"/>
      <c r="CK569" s="267"/>
      <c r="CL569" s="267"/>
      <c r="CM569" s="267"/>
      <c r="CN569" s="101">
        <f t="shared" si="57"/>
        <v>1</v>
      </c>
      <c r="CO569" s="101">
        <f t="shared" si="58"/>
        <v>1</v>
      </c>
    </row>
    <row r="570" spans="1:93" ht="13.9" customHeight="1" x14ac:dyDescent="0.2">
      <c r="A570" s="149">
        <v>6979</v>
      </c>
      <c r="B570" s="150" t="s">
        <v>1216</v>
      </c>
      <c r="C570" s="150" t="s">
        <v>1649</v>
      </c>
      <c r="D570" s="150" t="s">
        <v>1650</v>
      </c>
      <c r="E570" s="150" t="s">
        <v>326</v>
      </c>
      <c r="F570" s="149">
        <v>528847</v>
      </c>
      <c r="G570" s="149">
        <v>171190</v>
      </c>
      <c r="H570" s="150" t="s">
        <v>163</v>
      </c>
      <c r="I570" s="151"/>
      <c r="J570" s="151"/>
      <c r="K570" s="149">
        <v>0</v>
      </c>
      <c r="L570" s="149">
        <v>4</v>
      </c>
      <c r="M570" s="149">
        <v>4</v>
      </c>
      <c r="N570" s="149">
        <v>4</v>
      </c>
      <c r="O570" s="149">
        <v>4</v>
      </c>
      <c r="P570" s="152"/>
      <c r="Q570" s="150" t="s">
        <v>1651</v>
      </c>
      <c r="R570" s="150" t="s">
        <v>349</v>
      </c>
      <c r="S570" s="151">
        <v>43769</v>
      </c>
      <c r="T570" s="151">
        <v>44019</v>
      </c>
      <c r="U570" s="152"/>
      <c r="V570" s="150" t="s">
        <v>330</v>
      </c>
      <c r="W570" s="151"/>
      <c r="X570" s="150" t="s">
        <v>331</v>
      </c>
      <c r="Y570" s="150" t="s">
        <v>491</v>
      </c>
      <c r="Z570" s="150" t="s">
        <v>334</v>
      </c>
      <c r="AA570" s="150" t="s">
        <v>413</v>
      </c>
      <c r="AB570" s="153">
        <v>7.0000000000000001E-3</v>
      </c>
      <c r="AC570" s="151"/>
      <c r="AD570" s="150"/>
      <c r="AE570" s="151"/>
      <c r="AF570" s="150" t="s">
        <v>70</v>
      </c>
      <c r="AG570" s="152" t="s">
        <v>352</v>
      </c>
      <c r="AH570" s="150" t="s">
        <v>326</v>
      </c>
      <c r="AI570" s="99"/>
      <c r="AJ570" s="149"/>
      <c r="AK570" s="99"/>
      <c r="AL570" s="149"/>
      <c r="AM570" s="99"/>
      <c r="AN570" s="149">
        <v>1</v>
      </c>
      <c r="AO570" s="149">
        <v>3</v>
      </c>
      <c r="AP570" s="149">
        <v>0</v>
      </c>
      <c r="AQ570" s="149">
        <v>0</v>
      </c>
      <c r="AR570" s="149">
        <v>0</v>
      </c>
      <c r="AS570" s="149">
        <v>0</v>
      </c>
      <c r="AT570" s="149">
        <v>0</v>
      </c>
      <c r="AU570" s="149">
        <v>1</v>
      </c>
      <c r="AV570" s="149">
        <v>3</v>
      </c>
      <c r="AW570" s="149">
        <v>0</v>
      </c>
      <c r="AX570" s="149">
        <v>0</v>
      </c>
      <c r="AY570" s="149">
        <v>0</v>
      </c>
      <c r="AZ570" s="149">
        <v>0</v>
      </c>
      <c r="BA570" s="149">
        <v>0</v>
      </c>
      <c r="BB570" s="149">
        <v>0</v>
      </c>
      <c r="BC570" s="149">
        <v>0</v>
      </c>
      <c r="BD570" s="149">
        <v>0</v>
      </c>
      <c r="BE570" s="149">
        <v>0</v>
      </c>
      <c r="BF570" s="149">
        <v>0</v>
      </c>
      <c r="BG570" s="149">
        <v>0</v>
      </c>
      <c r="BH570" s="149">
        <v>0</v>
      </c>
      <c r="BI570" s="149">
        <v>0</v>
      </c>
      <c r="BJ570" s="149">
        <v>0</v>
      </c>
      <c r="BK570" s="149">
        <v>0</v>
      </c>
      <c r="BL570" s="149">
        <v>0</v>
      </c>
      <c r="BM570" s="149">
        <v>0</v>
      </c>
      <c r="BN570" s="149">
        <v>0</v>
      </c>
      <c r="BO570" s="149">
        <v>0</v>
      </c>
      <c r="BP570" s="152"/>
      <c r="BQ570" s="152"/>
      <c r="BR570" s="154" t="s">
        <v>359</v>
      </c>
      <c r="BS570" s="136">
        <v>15</v>
      </c>
      <c r="BT570" s="267"/>
      <c r="BU570" s="267">
        <f t="shared" si="56"/>
        <v>1</v>
      </c>
      <c r="BV570" s="267">
        <f t="shared" si="53"/>
        <v>1</v>
      </c>
      <c r="BW570" s="267">
        <f t="shared" si="54"/>
        <v>1</v>
      </c>
      <c r="BX570" s="267">
        <f t="shared" si="55"/>
        <v>1</v>
      </c>
      <c r="BY570" s="267"/>
      <c r="BZ570" s="267"/>
      <c r="CA570" s="267"/>
      <c r="CB570" s="267"/>
      <c r="CC570" s="267"/>
      <c r="CD570" s="267"/>
      <c r="CE570" s="267"/>
      <c r="CF570" s="267"/>
      <c r="CG570" s="267"/>
      <c r="CH570" s="267"/>
      <c r="CI570" s="267"/>
      <c r="CJ570" s="267"/>
      <c r="CK570" s="267"/>
      <c r="CL570" s="267"/>
      <c r="CM570" s="267"/>
      <c r="CN570" s="101">
        <f t="shared" si="57"/>
        <v>4</v>
      </c>
      <c r="CO570" s="101">
        <f t="shared" si="58"/>
        <v>4</v>
      </c>
    </row>
    <row r="571" spans="1:93" ht="13.9" customHeight="1" x14ac:dyDescent="0.2">
      <c r="A571" s="149">
        <v>7298</v>
      </c>
      <c r="B571" s="150" t="s">
        <v>1216</v>
      </c>
      <c r="C571" s="150" t="s">
        <v>1652</v>
      </c>
      <c r="D571" s="150" t="s">
        <v>1653</v>
      </c>
      <c r="E571" s="150" t="s">
        <v>1654</v>
      </c>
      <c r="F571" s="149">
        <v>527967</v>
      </c>
      <c r="G571" s="149">
        <v>170922</v>
      </c>
      <c r="H571" s="150" t="s">
        <v>173</v>
      </c>
      <c r="I571" s="151"/>
      <c r="J571" s="151"/>
      <c r="K571" s="149">
        <v>4</v>
      </c>
      <c r="L571" s="149">
        <v>8</v>
      </c>
      <c r="M571" s="149">
        <v>4</v>
      </c>
      <c r="N571" s="149">
        <v>9</v>
      </c>
      <c r="O571" s="149">
        <v>5</v>
      </c>
      <c r="P571" s="152"/>
      <c r="Q571" s="150" t="s">
        <v>1655</v>
      </c>
      <c r="R571" s="150" t="s">
        <v>349</v>
      </c>
      <c r="S571" s="151">
        <v>43788</v>
      </c>
      <c r="T571" s="151">
        <v>44187</v>
      </c>
      <c r="U571" s="152"/>
      <c r="V571" s="150" t="s">
        <v>330</v>
      </c>
      <c r="W571" s="151"/>
      <c r="X571" s="150" t="s">
        <v>331</v>
      </c>
      <c r="Y571" s="150" t="s">
        <v>343</v>
      </c>
      <c r="Z571" s="150" t="s">
        <v>334</v>
      </c>
      <c r="AA571" s="150" t="s">
        <v>363</v>
      </c>
      <c r="AB571" s="153">
        <v>4.2999999999999997E-2</v>
      </c>
      <c r="AC571" s="151"/>
      <c r="AD571" s="150"/>
      <c r="AE571" s="151"/>
      <c r="AF571" s="150" t="s">
        <v>70</v>
      </c>
      <c r="AG571" s="152" t="s">
        <v>352</v>
      </c>
      <c r="AH571" s="150" t="s">
        <v>326</v>
      </c>
      <c r="AI571" s="99"/>
      <c r="AJ571" s="149"/>
      <c r="AK571" s="99"/>
      <c r="AL571" s="149"/>
      <c r="AM571" s="99"/>
      <c r="AN571" s="149">
        <v>-3</v>
      </c>
      <c r="AO571" s="149">
        <v>3</v>
      </c>
      <c r="AP571" s="149">
        <v>2</v>
      </c>
      <c r="AQ571" s="149">
        <v>2</v>
      </c>
      <c r="AR571" s="149">
        <v>0</v>
      </c>
      <c r="AS571" s="149">
        <v>0</v>
      </c>
      <c r="AT571" s="149">
        <v>0</v>
      </c>
      <c r="AU571" s="149">
        <v>-3</v>
      </c>
      <c r="AV571" s="149">
        <v>3</v>
      </c>
      <c r="AW571" s="149">
        <v>2</v>
      </c>
      <c r="AX571" s="149">
        <v>2</v>
      </c>
      <c r="AY571" s="149">
        <v>0</v>
      </c>
      <c r="AZ571" s="149">
        <v>0</v>
      </c>
      <c r="BA571" s="149">
        <v>0</v>
      </c>
      <c r="BB571" s="149">
        <v>0</v>
      </c>
      <c r="BC571" s="149">
        <v>0</v>
      </c>
      <c r="BD571" s="149">
        <v>0</v>
      </c>
      <c r="BE571" s="149">
        <v>0</v>
      </c>
      <c r="BF571" s="149">
        <v>0</v>
      </c>
      <c r="BG571" s="149">
        <v>0</v>
      </c>
      <c r="BH571" s="149">
        <v>0</v>
      </c>
      <c r="BI571" s="149">
        <v>0</v>
      </c>
      <c r="BJ571" s="149">
        <v>0</v>
      </c>
      <c r="BK571" s="149">
        <v>0</v>
      </c>
      <c r="BL571" s="149">
        <v>0</v>
      </c>
      <c r="BM571" s="149">
        <v>0</v>
      </c>
      <c r="BN571" s="149">
        <v>0</v>
      </c>
      <c r="BO571" s="149">
        <v>0</v>
      </c>
      <c r="BP571" s="152"/>
      <c r="BQ571" s="152"/>
      <c r="BR571" s="154" t="s">
        <v>359</v>
      </c>
      <c r="BS571" s="136">
        <v>10</v>
      </c>
      <c r="BT571" s="267"/>
      <c r="BU571" s="267"/>
      <c r="BV571" s="267"/>
      <c r="BW571" s="267"/>
      <c r="BX571" s="267">
        <f>M571/3</f>
        <v>1.3333333333333333</v>
      </c>
      <c r="BY571" s="267">
        <f>M571/3</f>
        <v>1.3333333333333333</v>
      </c>
      <c r="BZ571" s="267">
        <f>M571/3</f>
        <v>1.3333333333333333</v>
      </c>
      <c r="CA571" s="267"/>
      <c r="CB571" s="267"/>
      <c r="CC571" s="267"/>
      <c r="CD571" s="267"/>
      <c r="CE571" s="267"/>
      <c r="CF571" s="267"/>
      <c r="CG571" s="267"/>
      <c r="CH571" s="267"/>
      <c r="CI571" s="267"/>
      <c r="CJ571" s="267"/>
      <c r="CK571" s="267"/>
      <c r="CL571" s="267"/>
      <c r="CM571" s="267"/>
      <c r="CN571" s="101">
        <f t="shared" si="57"/>
        <v>2.6666666666666665</v>
      </c>
      <c r="CO571" s="101">
        <f t="shared" si="58"/>
        <v>4</v>
      </c>
    </row>
    <row r="572" spans="1:93" ht="13.9" customHeight="1" x14ac:dyDescent="0.2">
      <c r="A572" s="149">
        <v>7298</v>
      </c>
      <c r="B572" s="150" t="s">
        <v>1216</v>
      </c>
      <c r="C572" s="150" t="s">
        <v>1652</v>
      </c>
      <c r="D572" s="150" t="s">
        <v>1653</v>
      </c>
      <c r="E572" s="150" t="s">
        <v>1656</v>
      </c>
      <c r="F572" s="149">
        <v>527967</v>
      </c>
      <c r="G572" s="149">
        <v>170922</v>
      </c>
      <c r="H572" s="150" t="s">
        <v>173</v>
      </c>
      <c r="I572" s="151"/>
      <c r="J572" s="151"/>
      <c r="K572" s="149">
        <v>0</v>
      </c>
      <c r="L572" s="149">
        <v>1</v>
      </c>
      <c r="M572" s="149">
        <v>1</v>
      </c>
      <c r="N572" s="149">
        <v>9</v>
      </c>
      <c r="O572" s="149">
        <v>5</v>
      </c>
      <c r="P572" s="152"/>
      <c r="Q572" s="150" t="s">
        <v>1655</v>
      </c>
      <c r="R572" s="150" t="s">
        <v>349</v>
      </c>
      <c r="S572" s="151">
        <v>43788</v>
      </c>
      <c r="T572" s="151">
        <v>44187</v>
      </c>
      <c r="U572" s="152"/>
      <c r="V572" s="150" t="s">
        <v>330</v>
      </c>
      <c r="W572" s="151"/>
      <c r="X572" s="150" t="s">
        <v>331</v>
      </c>
      <c r="Y572" s="150" t="s">
        <v>343</v>
      </c>
      <c r="Z572" s="150" t="s">
        <v>334</v>
      </c>
      <c r="AA572" s="150" t="s">
        <v>363</v>
      </c>
      <c r="AB572" s="153">
        <v>1.0999999999999999E-2</v>
      </c>
      <c r="AC572" s="151"/>
      <c r="AD572" s="150"/>
      <c r="AE572" s="151"/>
      <c r="AF572" s="150" t="s">
        <v>70</v>
      </c>
      <c r="AG572" s="152" t="s">
        <v>352</v>
      </c>
      <c r="AH572" s="150" t="s">
        <v>326</v>
      </c>
      <c r="AI572" s="99"/>
      <c r="AJ572" s="149"/>
      <c r="AK572" s="99"/>
      <c r="AL572" s="149"/>
      <c r="AM572" s="99"/>
      <c r="AN572" s="149">
        <v>0</v>
      </c>
      <c r="AO572" s="149">
        <v>0</v>
      </c>
      <c r="AP572" s="149">
        <v>0</v>
      </c>
      <c r="AQ572" s="149">
        <v>1</v>
      </c>
      <c r="AR572" s="149">
        <v>0</v>
      </c>
      <c r="AS572" s="149">
        <v>0</v>
      </c>
      <c r="AT572" s="149">
        <v>0</v>
      </c>
      <c r="AU572" s="149">
        <v>0</v>
      </c>
      <c r="AV572" s="149">
        <v>0</v>
      </c>
      <c r="AW572" s="149">
        <v>0</v>
      </c>
      <c r="AX572" s="149">
        <v>0</v>
      </c>
      <c r="AY572" s="149">
        <v>0</v>
      </c>
      <c r="AZ572" s="149">
        <v>0</v>
      </c>
      <c r="BA572" s="149">
        <v>0</v>
      </c>
      <c r="BB572" s="149">
        <v>0</v>
      </c>
      <c r="BC572" s="149">
        <v>0</v>
      </c>
      <c r="BD572" s="149">
        <v>0</v>
      </c>
      <c r="BE572" s="149">
        <v>1</v>
      </c>
      <c r="BF572" s="149">
        <v>0</v>
      </c>
      <c r="BG572" s="149">
        <v>0</v>
      </c>
      <c r="BH572" s="149">
        <v>0</v>
      </c>
      <c r="BI572" s="149">
        <v>0</v>
      </c>
      <c r="BJ572" s="149">
        <v>0</v>
      </c>
      <c r="BK572" s="149">
        <v>0</v>
      </c>
      <c r="BL572" s="149">
        <v>0</v>
      </c>
      <c r="BM572" s="149">
        <v>0</v>
      </c>
      <c r="BN572" s="149">
        <v>0</v>
      </c>
      <c r="BO572" s="149">
        <v>0</v>
      </c>
      <c r="BP572" s="152"/>
      <c r="BQ572" s="152"/>
      <c r="BR572" s="154" t="s">
        <v>359</v>
      </c>
      <c r="BS572" s="136">
        <v>10</v>
      </c>
      <c r="BT572" s="267"/>
      <c r="BU572" s="267"/>
      <c r="BV572" s="267"/>
      <c r="BW572" s="267"/>
      <c r="BX572" s="267">
        <f>M572/3</f>
        <v>0.33333333333333331</v>
      </c>
      <c r="BY572" s="267">
        <f>M572/3</f>
        <v>0.33333333333333331</v>
      </c>
      <c r="BZ572" s="267">
        <f>M572/3</f>
        <v>0.33333333333333331</v>
      </c>
      <c r="CA572" s="267"/>
      <c r="CB572" s="267"/>
      <c r="CC572" s="267"/>
      <c r="CD572" s="267"/>
      <c r="CE572" s="267"/>
      <c r="CF572" s="267"/>
      <c r="CG572" s="267"/>
      <c r="CH572" s="267"/>
      <c r="CI572" s="267"/>
      <c r="CJ572" s="267"/>
      <c r="CK572" s="267"/>
      <c r="CL572" s="267"/>
      <c r="CM572" s="267"/>
      <c r="CN572" s="101">
        <f t="shared" si="57"/>
        <v>0.66666666666666663</v>
      </c>
      <c r="CO572" s="101">
        <f t="shared" si="58"/>
        <v>1</v>
      </c>
    </row>
    <row r="573" spans="1:93" ht="13.9" customHeight="1" x14ac:dyDescent="0.2">
      <c r="A573" s="149">
        <v>6709</v>
      </c>
      <c r="B573" s="150" t="s">
        <v>1216</v>
      </c>
      <c r="C573" s="150" t="s">
        <v>1657</v>
      </c>
      <c r="D573" s="150" t="s">
        <v>1658</v>
      </c>
      <c r="E573" s="150" t="s">
        <v>326</v>
      </c>
      <c r="F573" s="149">
        <v>528478</v>
      </c>
      <c r="G573" s="149">
        <v>175737</v>
      </c>
      <c r="H573" s="150" t="s">
        <v>164</v>
      </c>
      <c r="I573" s="151"/>
      <c r="J573" s="151"/>
      <c r="K573" s="149">
        <v>0</v>
      </c>
      <c r="L573" s="149">
        <v>2</v>
      </c>
      <c r="M573" s="149">
        <v>2</v>
      </c>
      <c r="N573" s="149">
        <v>2</v>
      </c>
      <c r="O573" s="149">
        <v>2</v>
      </c>
      <c r="P573" s="152"/>
      <c r="Q573" s="150" t="s">
        <v>1659</v>
      </c>
      <c r="R573" s="150" t="s">
        <v>427</v>
      </c>
      <c r="S573" s="151">
        <v>43784</v>
      </c>
      <c r="T573" s="151">
        <v>43832</v>
      </c>
      <c r="U573" s="152"/>
      <c r="V573" s="150" t="s">
        <v>330</v>
      </c>
      <c r="W573" s="151"/>
      <c r="X573" s="150" t="s">
        <v>331</v>
      </c>
      <c r="Y573" s="150" t="s">
        <v>332</v>
      </c>
      <c r="Z573" s="150" t="s">
        <v>334</v>
      </c>
      <c r="AA573" s="150" t="s">
        <v>32</v>
      </c>
      <c r="AB573" s="153">
        <v>7.0000000000000001E-3</v>
      </c>
      <c r="AC573" s="151"/>
      <c r="AD573" s="150"/>
      <c r="AE573" s="151"/>
      <c r="AF573" s="150" t="s">
        <v>70</v>
      </c>
      <c r="AG573" s="152" t="s">
        <v>352</v>
      </c>
      <c r="AH573" s="150" t="s">
        <v>326</v>
      </c>
      <c r="AI573" s="99"/>
      <c r="AJ573" s="149"/>
      <c r="AK573" s="99"/>
      <c r="AL573" s="149"/>
      <c r="AM573" s="99"/>
      <c r="AN573" s="149">
        <v>0</v>
      </c>
      <c r="AO573" s="149">
        <v>2</v>
      </c>
      <c r="AP573" s="149">
        <v>0</v>
      </c>
      <c r="AQ573" s="149">
        <v>0</v>
      </c>
      <c r="AR573" s="149">
        <v>0</v>
      </c>
      <c r="AS573" s="149">
        <v>0</v>
      </c>
      <c r="AT573" s="149">
        <v>0</v>
      </c>
      <c r="AU573" s="149">
        <v>0</v>
      </c>
      <c r="AV573" s="149">
        <v>2</v>
      </c>
      <c r="AW573" s="149">
        <v>0</v>
      </c>
      <c r="AX573" s="149">
        <v>0</v>
      </c>
      <c r="AY573" s="149">
        <v>0</v>
      </c>
      <c r="AZ573" s="149">
        <v>0</v>
      </c>
      <c r="BA573" s="149">
        <v>0</v>
      </c>
      <c r="BB573" s="149">
        <v>0</v>
      </c>
      <c r="BC573" s="149">
        <v>0</v>
      </c>
      <c r="BD573" s="149">
        <v>0</v>
      </c>
      <c r="BE573" s="149">
        <v>0</v>
      </c>
      <c r="BF573" s="149">
        <v>0</v>
      </c>
      <c r="BG573" s="149">
        <v>0</v>
      </c>
      <c r="BH573" s="149">
        <v>0</v>
      </c>
      <c r="BI573" s="149">
        <v>0</v>
      </c>
      <c r="BJ573" s="149">
        <v>0</v>
      </c>
      <c r="BK573" s="149">
        <v>0</v>
      </c>
      <c r="BL573" s="149">
        <v>0</v>
      </c>
      <c r="BM573" s="149">
        <v>0</v>
      </c>
      <c r="BN573" s="149">
        <v>0</v>
      </c>
      <c r="BO573" s="149">
        <v>0</v>
      </c>
      <c r="BP573" s="152"/>
      <c r="BQ573" s="152"/>
      <c r="BR573" s="154" t="s">
        <v>359</v>
      </c>
      <c r="BS573" s="136">
        <v>15</v>
      </c>
      <c r="BT573" s="267"/>
      <c r="BU573" s="267">
        <f>M573/4</f>
        <v>0.5</v>
      </c>
      <c r="BV573" s="267">
        <f t="shared" ref="BV573:BV602" si="59">M573/4</f>
        <v>0.5</v>
      </c>
      <c r="BW573" s="267">
        <f t="shared" ref="BW573:BW602" si="60">M573/4</f>
        <v>0.5</v>
      </c>
      <c r="BX573" s="267">
        <f t="shared" ref="BX573:BX602" si="61">M573/4</f>
        <v>0.5</v>
      </c>
      <c r="BY573" s="267"/>
      <c r="BZ573" s="267"/>
      <c r="CA573" s="267"/>
      <c r="CB573" s="267"/>
      <c r="CC573" s="267"/>
      <c r="CD573" s="267"/>
      <c r="CE573" s="267"/>
      <c r="CF573" s="267"/>
      <c r="CG573" s="267"/>
      <c r="CH573" s="267"/>
      <c r="CI573" s="267"/>
      <c r="CJ573" s="267"/>
      <c r="CK573" s="267"/>
      <c r="CL573" s="267"/>
      <c r="CM573" s="267"/>
      <c r="CN573" s="101">
        <f t="shared" si="57"/>
        <v>2</v>
      </c>
      <c r="CO573" s="101">
        <f t="shared" si="58"/>
        <v>2</v>
      </c>
    </row>
    <row r="574" spans="1:93" ht="13.9" customHeight="1" x14ac:dyDescent="0.2">
      <c r="A574" s="149">
        <v>6953</v>
      </c>
      <c r="B574" s="150" t="s">
        <v>1216</v>
      </c>
      <c r="C574" s="150" t="s">
        <v>1660</v>
      </c>
      <c r="D574" s="150" t="s">
        <v>1661</v>
      </c>
      <c r="E574" s="150" t="s">
        <v>514</v>
      </c>
      <c r="F574" s="149">
        <v>527131</v>
      </c>
      <c r="G574" s="149">
        <v>171625</v>
      </c>
      <c r="H574" s="150" t="s">
        <v>173</v>
      </c>
      <c r="I574" s="151">
        <v>43555</v>
      </c>
      <c r="J574" s="151"/>
      <c r="K574" s="149">
        <v>0</v>
      </c>
      <c r="L574" s="149">
        <v>1</v>
      </c>
      <c r="M574" s="149">
        <v>1</v>
      </c>
      <c r="N574" s="149">
        <v>3</v>
      </c>
      <c r="O574" s="149">
        <v>2</v>
      </c>
      <c r="P574" s="152"/>
      <c r="Q574" s="150" t="s">
        <v>1662</v>
      </c>
      <c r="R574" s="150" t="s">
        <v>349</v>
      </c>
      <c r="S574" s="151">
        <v>43803</v>
      </c>
      <c r="T574" s="151">
        <v>43905</v>
      </c>
      <c r="U574" s="152"/>
      <c r="V574" s="150" t="s">
        <v>330</v>
      </c>
      <c r="W574" s="151"/>
      <c r="X574" s="150" t="s">
        <v>331</v>
      </c>
      <c r="Y574" s="150" t="s">
        <v>398</v>
      </c>
      <c r="Z574" s="150" t="s">
        <v>334</v>
      </c>
      <c r="AA574" s="150" t="s">
        <v>29</v>
      </c>
      <c r="AB574" s="153">
        <v>5.0000000000000001E-3</v>
      </c>
      <c r="AC574" s="151"/>
      <c r="AD574" s="150"/>
      <c r="AE574" s="151"/>
      <c r="AF574" s="150" t="s">
        <v>70</v>
      </c>
      <c r="AG574" s="152" t="s">
        <v>352</v>
      </c>
      <c r="AH574" s="150" t="s">
        <v>326</v>
      </c>
      <c r="AI574" s="99"/>
      <c r="AJ574" s="149"/>
      <c r="AK574" s="99"/>
      <c r="AL574" s="149"/>
      <c r="AM574" s="99"/>
      <c r="AN574" s="149">
        <v>0</v>
      </c>
      <c r="AO574" s="149">
        <v>1</v>
      </c>
      <c r="AP574" s="149">
        <v>0</v>
      </c>
      <c r="AQ574" s="149">
        <v>0</v>
      </c>
      <c r="AR574" s="149">
        <v>0</v>
      </c>
      <c r="AS574" s="149">
        <v>0</v>
      </c>
      <c r="AT574" s="149">
        <v>0</v>
      </c>
      <c r="AU574" s="149">
        <v>0</v>
      </c>
      <c r="AV574" s="149">
        <v>1</v>
      </c>
      <c r="AW574" s="149">
        <v>0</v>
      </c>
      <c r="AX574" s="149">
        <v>0</v>
      </c>
      <c r="AY574" s="149">
        <v>0</v>
      </c>
      <c r="AZ574" s="149">
        <v>0</v>
      </c>
      <c r="BA574" s="149">
        <v>0</v>
      </c>
      <c r="BB574" s="149">
        <v>0</v>
      </c>
      <c r="BC574" s="149">
        <v>0</v>
      </c>
      <c r="BD574" s="149">
        <v>0</v>
      </c>
      <c r="BE574" s="149">
        <v>0</v>
      </c>
      <c r="BF574" s="149">
        <v>0</v>
      </c>
      <c r="BG574" s="149">
        <v>0</v>
      </c>
      <c r="BH574" s="149">
        <v>0</v>
      </c>
      <c r="BI574" s="149">
        <v>0</v>
      </c>
      <c r="BJ574" s="149">
        <v>0</v>
      </c>
      <c r="BK574" s="149">
        <v>0</v>
      </c>
      <c r="BL574" s="149">
        <v>0</v>
      </c>
      <c r="BM574" s="149">
        <v>0</v>
      </c>
      <c r="BN574" s="149">
        <v>0</v>
      </c>
      <c r="BO574" s="149">
        <v>0</v>
      </c>
      <c r="BP574" s="152"/>
      <c r="BQ574" s="152"/>
      <c r="BR574" s="154" t="s">
        <v>359</v>
      </c>
      <c r="BS574" s="136">
        <v>15</v>
      </c>
      <c r="BT574" s="267"/>
      <c r="BU574" s="267">
        <f>M574/4</f>
        <v>0.25</v>
      </c>
      <c r="BV574" s="267">
        <f t="shared" si="59"/>
        <v>0.25</v>
      </c>
      <c r="BW574" s="267">
        <f t="shared" si="60"/>
        <v>0.25</v>
      </c>
      <c r="BX574" s="267">
        <f t="shared" si="61"/>
        <v>0.25</v>
      </c>
      <c r="BY574" s="267"/>
      <c r="BZ574" s="267"/>
      <c r="CA574" s="267"/>
      <c r="CB574" s="267"/>
      <c r="CC574" s="267"/>
      <c r="CD574" s="267"/>
      <c r="CE574" s="267"/>
      <c r="CF574" s="267"/>
      <c r="CG574" s="267"/>
      <c r="CH574" s="267"/>
      <c r="CI574" s="267"/>
      <c r="CJ574" s="267"/>
      <c r="CK574" s="267"/>
      <c r="CL574" s="267"/>
      <c r="CM574" s="267"/>
      <c r="CN574" s="101">
        <f t="shared" si="57"/>
        <v>1</v>
      </c>
      <c r="CO574" s="101">
        <f t="shared" si="58"/>
        <v>1</v>
      </c>
    </row>
    <row r="575" spans="1:93" ht="13.9" customHeight="1" x14ac:dyDescent="0.2">
      <c r="A575" s="149">
        <v>7118</v>
      </c>
      <c r="B575" s="150" t="s">
        <v>1216</v>
      </c>
      <c r="C575" s="150" t="s">
        <v>1663</v>
      </c>
      <c r="D575" s="150" t="s">
        <v>1664</v>
      </c>
      <c r="E575" s="150" t="s">
        <v>326</v>
      </c>
      <c r="F575" s="149">
        <v>527344</v>
      </c>
      <c r="G575" s="149">
        <v>171674</v>
      </c>
      <c r="H575" s="150" t="s">
        <v>173</v>
      </c>
      <c r="I575" s="151"/>
      <c r="J575" s="151"/>
      <c r="K575" s="149">
        <v>1</v>
      </c>
      <c r="L575" s="149">
        <v>0</v>
      </c>
      <c r="M575" s="149">
        <v>-1</v>
      </c>
      <c r="N575" s="149">
        <v>0</v>
      </c>
      <c r="O575" s="149">
        <v>-1</v>
      </c>
      <c r="P575" s="152"/>
      <c r="Q575" s="150" t="s">
        <v>1665</v>
      </c>
      <c r="R575" s="150" t="s">
        <v>349</v>
      </c>
      <c r="S575" s="151">
        <v>43516</v>
      </c>
      <c r="T575" s="151">
        <v>44132</v>
      </c>
      <c r="U575" s="152"/>
      <c r="V575" s="150" t="s">
        <v>330</v>
      </c>
      <c r="W575" s="151"/>
      <c r="X575" s="150" t="s">
        <v>331</v>
      </c>
      <c r="Y575" s="150" t="s">
        <v>332</v>
      </c>
      <c r="Z575" s="150" t="s">
        <v>334</v>
      </c>
      <c r="AA575" s="150" t="s">
        <v>35</v>
      </c>
      <c r="AB575" s="153">
        <v>6.4000000000000001E-2</v>
      </c>
      <c r="AC575" s="151"/>
      <c r="AD575" s="150"/>
      <c r="AE575" s="151"/>
      <c r="AF575" s="150" t="s">
        <v>70</v>
      </c>
      <c r="AG575" s="152" t="s">
        <v>352</v>
      </c>
      <c r="AH575" s="150" t="s">
        <v>326</v>
      </c>
      <c r="AI575" s="99"/>
      <c r="AJ575" s="149"/>
      <c r="AK575" s="99"/>
      <c r="AL575" s="149"/>
      <c r="AM575" s="99"/>
      <c r="AN575" s="149">
        <v>0</v>
      </c>
      <c r="AO575" s="149">
        <v>0</v>
      </c>
      <c r="AP575" s="149">
        <v>0</v>
      </c>
      <c r="AQ575" s="149">
        <v>0</v>
      </c>
      <c r="AR575" s="149">
        <v>0</v>
      </c>
      <c r="AS575" s="149">
        <v>-1</v>
      </c>
      <c r="AT575" s="149">
        <v>0</v>
      </c>
      <c r="AU575" s="149">
        <v>0</v>
      </c>
      <c r="AV575" s="149">
        <v>0</v>
      </c>
      <c r="AW575" s="149">
        <v>0</v>
      </c>
      <c r="AX575" s="149">
        <v>0</v>
      </c>
      <c r="AY575" s="149">
        <v>0</v>
      </c>
      <c r="AZ575" s="149">
        <v>-1</v>
      </c>
      <c r="BA575" s="149">
        <v>0</v>
      </c>
      <c r="BB575" s="149">
        <v>0</v>
      </c>
      <c r="BC575" s="149">
        <v>0</v>
      </c>
      <c r="BD575" s="149">
        <v>0</v>
      </c>
      <c r="BE575" s="149">
        <v>0</v>
      </c>
      <c r="BF575" s="149">
        <v>0</v>
      </c>
      <c r="BG575" s="149">
        <v>0</v>
      </c>
      <c r="BH575" s="149">
        <v>0</v>
      </c>
      <c r="BI575" s="149">
        <v>0</v>
      </c>
      <c r="BJ575" s="149">
        <v>0</v>
      </c>
      <c r="BK575" s="149">
        <v>0</v>
      </c>
      <c r="BL575" s="149">
        <v>0</v>
      </c>
      <c r="BM575" s="149">
        <v>0</v>
      </c>
      <c r="BN575" s="149">
        <v>0</v>
      </c>
      <c r="BO575" s="149">
        <v>0</v>
      </c>
      <c r="BP575" s="152"/>
      <c r="BQ575" s="152"/>
      <c r="BR575" s="154" t="s">
        <v>359</v>
      </c>
      <c r="BS575" s="136">
        <v>15</v>
      </c>
      <c r="BT575" s="267"/>
      <c r="BU575" s="267">
        <f>M575/4</f>
        <v>-0.25</v>
      </c>
      <c r="BV575" s="267">
        <f t="shared" si="59"/>
        <v>-0.25</v>
      </c>
      <c r="BW575" s="267">
        <f t="shared" si="60"/>
        <v>-0.25</v>
      </c>
      <c r="BX575" s="267">
        <f t="shared" si="61"/>
        <v>-0.25</v>
      </c>
      <c r="BY575" s="267"/>
      <c r="BZ575" s="267"/>
      <c r="CA575" s="267"/>
      <c r="CB575" s="267"/>
      <c r="CC575" s="267"/>
      <c r="CD575" s="267"/>
      <c r="CE575" s="267"/>
      <c r="CF575" s="267"/>
      <c r="CG575" s="267"/>
      <c r="CH575" s="267"/>
      <c r="CI575" s="267"/>
      <c r="CJ575" s="267"/>
      <c r="CK575" s="267"/>
      <c r="CL575" s="267"/>
      <c r="CM575" s="267"/>
      <c r="CN575" s="101">
        <f t="shared" si="57"/>
        <v>-1</v>
      </c>
      <c r="CO575" s="101">
        <f t="shared" si="58"/>
        <v>-1</v>
      </c>
    </row>
    <row r="576" spans="1:93" ht="13.9" customHeight="1" x14ac:dyDescent="0.2">
      <c r="A576" s="149">
        <v>211</v>
      </c>
      <c r="B576" s="150" t="s">
        <v>1216</v>
      </c>
      <c r="C576" s="150" t="s">
        <v>1666</v>
      </c>
      <c r="D576" s="150" t="s">
        <v>1667</v>
      </c>
      <c r="E576" s="150" t="s">
        <v>326</v>
      </c>
      <c r="F576" s="149">
        <v>527282</v>
      </c>
      <c r="G576" s="149">
        <v>176235</v>
      </c>
      <c r="H576" s="150" t="s">
        <v>162</v>
      </c>
      <c r="I576" s="151"/>
      <c r="J576" s="151"/>
      <c r="K576" s="149">
        <v>0</v>
      </c>
      <c r="L576" s="149">
        <v>1</v>
      </c>
      <c r="M576" s="149">
        <v>1</v>
      </c>
      <c r="N576" s="149">
        <v>1</v>
      </c>
      <c r="O576" s="149">
        <v>1</v>
      </c>
      <c r="P576" s="152"/>
      <c r="Q576" s="150" t="s">
        <v>1668</v>
      </c>
      <c r="R576" s="150" t="s">
        <v>349</v>
      </c>
      <c r="S576" s="151">
        <v>43804</v>
      </c>
      <c r="T576" s="151">
        <v>43837</v>
      </c>
      <c r="U576" s="152"/>
      <c r="V576" s="150" t="s">
        <v>330</v>
      </c>
      <c r="W576" s="151"/>
      <c r="X576" s="150" t="s">
        <v>331</v>
      </c>
      <c r="Y576" s="150" t="s">
        <v>343</v>
      </c>
      <c r="Z576" s="150" t="s">
        <v>334</v>
      </c>
      <c r="AA576" s="150" t="s">
        <v>363</v>
      </c>
      <c r="AB576" s="153">
        <v>0.107</v>
      </c>
      <c r="AC576" s="151"/>
      <c r="AD576" s="150"/>
      <c r="AE576" s="151"/>
      <c r="AF576" s="150" t="s">
        <v>70</v>
      </c>
      <c r="AG576" s="152" t="s">
        <v>352</v>
      </c>
      <c r="AH576" s="150" t="s">
        <v>326</v>
      </c>
      <c r="AI576" s="99"/>
      <c r="AJ576" s="149"/>
      <c r="AK576" s="99"/>
      <c r="AL576" s="149"/>
      <c r="AM576" s="99"/>
      <c r="AN576" s="149">
        <v>0</v>
      </c>
      <c r="AO576" s="149">
        <v>0</v>
      </c>
      <c r="AP576" s="149">
        <v>0</v>
      </c>
      <c r="AQ576" s="149">
        <v>1</v>
      </c>
      <c r="AR576" s="149">
        <v>0</v>
      </c>
      <c r="AS576" s="149">
        <v>0</v>
      </c>
      <c r="AT576" s="149">
        <v>0</v>
      </c>
      <c r="AU576" s="149">
        <v>0</v>
      </c>
      <c r="AV576" s="149">
        <v>0</v>
      </c>
      <c r="AW576" s="149">
        <v>0</v>
      </c>
      <c r="AX576" s="149">
        <v>0</v>
      </c>
      <c r="AY576" s="149">
        <v>0</v>
      </c>
      <c r="AZ576" s="149">
        <v>0</v>
      </c>
      <c r="BA576" s="149">
        <v>0</v>
      </c>
      <c r="BB576" s="149">
        <v>0</v>
      </c>
      <c r="BC576" s="149">
        <v>0</v>
      </c>
      <c r="BD576" s="149">
        <v>0</v>
      </c>
      <c r="BE576" s="149">
        <v>1</v>
      </c>
      <c r="BF576" s="149">
        <v>0</v>
      </c>
      <c r="BG576" s="149">
        <v>0</v>
      </c>
      <c r="BH576" s="149">
        <v>0</v>
      </c>
      <c r="BI576" s="149">
        <v>0</v>
      </c>
      <c r="BJ576" s="149">
        <v>0</v>
      </c>
      <c r="BK576" s="149">
        <v>0</v>
      </c>
      <c r="BL576" s="149">
        <v>0</v>
      </c>
      <c r="BM576" s="149">
        <v>0</v>
      </c>
      <c r="BN576" s="149">
        <v>0</v>
      </c>
      <c r="BO576" s="149">
        <v>0</v>
      </c>
      <c r="BP576" s="152"/>
      <c r="BQ576" s="152"/>
      <c r="BR576" s="154" t="s">
        <v>359</v>
      </c>
      <c r="BS576" s="136">
        <v>7</v>
      </c>
      <c r="BT576" s="267"/>
      <c r="BU576" s="267"/>
      <c r="BV576" s="267">
        <f t="shared" si="59"/>
        <v>0.25</v>
      </c>
      <c r="BW576" s="267">
        <f t="shared" si="60"/>
        <v>0.25</v>
      </c>
      <c r="BX576" s="267">
        <f t="shared" si="61"/>
        <v>0.25</v>
      </c>
      <c r="BY576" s="267">
        <f>M576/4</f>
        <v>0.25</v>
      </c>
      <c r="BZ576" s="267"/>
      <c r="CA576" s="267"/>
      <c r="CB576" s="267"/>
      <c r="CC576" s="267"/>
      <c r="CD576" s="267"/>
      <c r="CE576" s="267"/>
      <c r="CF576" s="267"/>
      <c r="CG576" s="267"/>
      <c r="CH576" s="267"/>
      <c r="CI576" s="267"/>
      <c r="CJ576" s="267"/>
      <c r="CK576" s="267"/>
      <c r="CL576" s="267"/>
      <c r="CM576" s="267"/>
      <c r="CN576" s="101">
        <f t="shared" si="57"/>
        <v>1</v>
      </c>
      <c r="CO576" s="101">
        <f t="shared" si="58"/>
        <v>1</v>
      </c>
    </row>
    <row r="577" spans="1:93" ht="13.9" customHeight="1" x14ac:dyDescent="0.2">
      <c r="A577" s="149">
        <v>6280</v>
      </c>
      <c r="B577" s="150" t="s">
        <v>1216</v>
      </c>
      <c r="C577" s="150" t="s">
        <v>1669</v>
      </c>
      <c r="D577" s="150" t="s">
        <v>1670</v>
      </c>
      <c r="E577" s="150" t="s">
        <v>326</v>
      </c>
      <c r="F577" s="149">
        <v>523210</v>
      </c>
      <c r="G577" s="149">
        <v>175380</v>
      </c>
      <c r="H577" s="150" t="s">
        <v>179</v>
      </c>
      <c r="I577" s="151"/>
      <c r="J577" s="151"/>
      <c r="K577" s="149">
        <v>0</v>
      </c>
      <c r="L577" s="149">
        <v>9</v>
      </c>
      <c r="M577" s="149">
        <v>9</v>
      </c>
      <c r="N577" s="149">
        <v>9</v>
      </c>
      <c r="O577" s="149">
        <v>9</v>
      </c>
      <c r="P577" s="152"/>
      <c r="Q577" s="150" t="s">
        <v>1671</v>
      </c>
      <c r="R577" s="150" t="s">
        <v>349</v>
      </c>
      <c r="S577" s="151">
        <v>43815</v>
      </c>
      <c r="T577" s="151">
        <v>44000</v>
      </c>
      <c r="U577" s="152"/>
      <c r="V577" s="150" t="s">
        <v>330</v>
      </c>
      <c r="W577" s="151"/>
      <c r="X577" s="150" t="s">
        <v>331</v>
      </c>
      <c r="Y577" s="150" t="s">
        <v>491</v>
      </c>
      <c r="Z577" s="150" t="s">
        <v>334</v>
      </c>
      <c r="AA577" s="150" t="s">
        <v>413</v>
      </c>
      <c r="AB577" s="153">
        <v>3.9E-2</v>
      </c>
      <c r="AC577" s="151"/>
      <c r="AD577" s="150"/>
      <c r="AE577" s="151"/>
      <c r="AF577" s="150" t="s">
        <v>70</v>
      </c>
      <c r="AG577" s="152" t="s">
        <v>352</v>
      </c>
      <c r="AH577" s="150" t="s">
        <v>326</v>
      </c>
      <c r="AI577" s="99"/>
      <c r="AJ577" s="149"/>
      <c r="AK577" s="99"/>
      <c r="AL577" s="149"/>
      <c r="AM577" s="99"/>
      <c r="AN577" s="149">
        <v>0</v>
      </c>
      <c r="AO577" s="149">
        <v>2</v>
      </c>
      <c r="AP577" s="149">
        <v>6</v>
      </c>
      <c r="AQ577" s="149">
        <v>1</v>
      </c>
      <c r="AR577" s="149">
        <v>0</v>
      </c>
      <c r="AS577" s="149">
        <v>0</v>
      </c>
      <c r="AT577" s="149">
        <v>0</v>
      </c>
      <c r="AU577" s="149">
        <v>0</v>
      </c>
      <c r="AV577" s="149">
        <v>2</v>
      </c>
      <c r="AW577" s="149">
        <v>6</v>
      </c>
      <c r="AX577" s="149">
        <v>1</v>
      </c>
      <c r="AY577" s="149">
        <v>0</v>
      </c>
      <c r="AZ577" s="149">
        <v>0</v>
      </c>
      <c r="BA577" s="149">
        <v>0</v>
      </c>
      <c r="BB577" s="149">
        <v>0</v>
      </c>
      <c r="BC577" s="149">
        <v>0</v>
      </c>
      <c r="BD577" s="149">
        <v>0</v>
      </c>
      <c r="BE577" s="149">
        <v>0</v>
      </c>
      <c r="BF577" s="149">
        <v>0</v>
      </c>
      <c r="BG577" s="149">
        <v>0</v>
      </c>
      <c r="BH577" s="149">
        <v>0</v>
      </c>
      <c r="BI577" s="149">
        <v>0</v>
      </c>
      <c r="BJ577" s="149">
        <v>0</v>
      </c>
      <c r="BK577" s="149">
        <v>0</v>
      </c>
      <c r="BL577" s="149">
        <v>0</v>
      </c>
      <c r="BM577" s="149">
        <v>0</v>
      </c>
      <c r="BN577" s="149">
        <v>0</v>
      </c>
      <c r="BO577" s="149">
        <v>0</v>
      </c>
      <c r="BP577" s="152"/>
      <c r="BQ577" s="152"/>
      <c r="BR577" s="154" t="s">
        <v>359</v>
      </c>
      <c r="BS577" s="136">
        <v>18</v>
      </c>
      <c r="BT577" s="267"/>
      <c r="BU577" s="267">
        <f>M577/4</f>
        <v>2.25</v>
      </c>
      <c r="BV577" s="267">
        <f t="shared" si="59"/>
        <v>2.25</v>
      </c>
      <c r="BW577" s="267">
        <f t="shared" si="60"/>
        <v>2.25</v>
      </c>
      <c r="BX577" s="267">
        <f t="shared" si="61"/>
        <v>2.25</v>
      </c>
      <c r="BY577" s="267"/>
      <c r="BZ577" s="267"/>
      <c r="CA577" s="267"/>
      <c r="CB577" s="267"/>
      <c r="CC577" s="267"/>
      <c r="CD577" s="267"/>
      <c r="CE577" s="267"/>
      <c r="CF577" s="267"/>
      <c r="CG577" s="267"/>
      <c r="CH577" s="267"/>
      <c r="CI577" s="267"/>
      <c r="CJ577" s="267"/>
      <c r="CK577" s="267"/>
      <c r="CL577" s="267"/>
      <c r="CM577" s="267"/>
      <c r="CN577" s="101">
        <f t="shared" si="57"/>
        <v>9</v>
      </c>
      <c r="CO577" s="101">
        <f t="shared" si="58"/>
        <v>9</v>
      </c>
    </row>
    <row r="578" spans="1:93" ht="13.9" customHeight="1" x14ac:dyDescent="0.2">
      <c r="A578" s="149">
        <v>7036</v>
      </c>
      <c r="B578" s="150" t="s">
        <v>1216</v>
      </c>
      <c r="C578" s="150" t="s">
        <v>1672</v>
      </c>
      <c r="D578" s="150" t="s">
        <v>1673</v>
      </c>
      <c r="E578" s="150" t="s">
        <v>326</v>
      </c>
      <c r="F578" s="149">
        <v>527828</v>
      </c>
      <c r="G578" s="149">
        <v>175000</v>
      </c>
      <c r="H578" s="150" t="s">
        <v>165</v>
      </c>
      <c r="I578" s="151"/>
      <c r="J578" s="151"/>
      <c r="K578" s="149">
        <v>1</v>
      </c>
      <c r="L578" s="149">
        <v>3</v>
      </c>
      <c r="M578" s="149">
        <v>2</v>
      </c>
      <c r="N578" s="149">
        <v>3</v>
      </c>
      <c r="O578" s="149">
        <v>2</v>
      </c>
      <c r="P578" s="152"/>
      <c r="Q578" s="150" t="s">
        <v>1674</v>
      </c>
      <c r="R578" s="150" t="s">
        <v>349</v>
      </c>
      <c r="S578" s="151">
        <v>43839</v>
      </c>
      <c r="T578" s="151">
        <v>43949</v>
      </c>
      <c r="U578" s="152"/>
      <c r="V578" s="150" t="s">
        <v>330</v>
      </c>
      <c r="W578" s="151"/>
      <c r="X578" s="150" t="s">
        <v>331</v>
      </c>
      <c r="Y578" s="150" t="s">
        <v>398</v>
      </c>
      <c r="Z578" s="150" t="s">
        <v>334</v>
      </c>
      <c r="AA578" s="150" t="s">
        <v>16</v>
      </c>
      <c r="AB578" s="153">
        <v>1.4E-2</v>
      </c>
      <c r="AC578" s="151"/>
      <c r="AD578" s="150"/>
      <c r="AE578" s="151"/>
      <c r="AF578" s="150" t="s">
        <v>70</v>
      </c>
      <c r="AG578" s="152" t="s">
        <v>352</v>
      </c>
      <c r="AH578" s="150" t="s">
        <v>326</v>
      </c>
      <c r="AI578" s="99"/>
      <c r="AJ578" s="149"/>
      <c r="AK578" s="99"/>
      <c r="AL578" s="149"/>
      <c r="AM578" s="99"/>
      <c r="AN578" s="149">
        <v>0</v>
      </c>
      <c r="AO578" s="149">
        <v>0</v>
      </c>
      <c r="AP578" s="149">
        <v>1</v>
      </c>
      <c r="AQ578" s="149">
        <v>2</v>
      </c>
      <c r="AR578" s="149">
        <v>-1</v>
      </c>
      <c r="AS578" s="149">
        <v>0</v>
      </c>
      <c r="AT578" s="149">
        <v>0</v>
      </c>
      <c r="AU578" s="149">
        <v>0</v>
      </c>
      <c r="AV578" s="149">
        <v>0</v>
      </c>
      <c r="AW578" s="149">
        <v>1</v>
      </c>
      <c r="AX578" s="149">
        <v>2</v>
      </c>
      <c r="AY578" s="149">
        <v>0</v>
      </c>
      <c r="AZ578" s="149">
        <v>0</v>
      </c>
      <c r="BA578" s="149">
        <v>0</v>
      </c>
      <c r="BB578" s="149">
        <v>0</v>
      </c>
      <c r="BC578" s="149">
        <v>0</v>
      </c>
      <c r="BD578" s="149">
        <v>0</v>
      </c>
      <c r="BE578" s="149">
        <v>0</v>
      </c>
      <c r="BF578" s="149">
        <v>-1</v>
      </c>
      <c r="BG578" s="149">
        <v>0</v>
      </c>
      <c r="BH578" s="149">
        <v>0</v>
      </c>
      <c r="BI578" s="149">
        <v>0</v>
      </c>
      <c r="BJ578" s="149">
        <v>0</v>
      </c>
      <c r="BK578" s="149">
        <v>0</v>
      </c>
      <c r="BL578" s="149">
        <v>0</v>
      </c>
      <c r="BM578" s="149">
        <v>0</v>
      </c>
      <c r="BN578" s="149">
        <v>0</v>
      </c>
      <c r="BO578" s="149">
        <v>0</v>
      </c>
      <c r="BP578" s="152"/>
      <c r="BQ578" s="152"/>
      <c r="BR578" s="154" t="s">
        <v>359</v>
      </c>
      <c r="BS578" s="136">
        <v>15</v>
      </c>
      <c r="BT578" s="267"/>
      <c r="BU578" s="267">
        <f>M578/4</f>
        <v>0.5</v>
      </c>
      <c r="BV578" s="267">
        <f t="shared" si="59"/>
        <v>0.5</v>
      </c>
      <c r="BW578" s="267">
        <f t="shared" si="60"/>
        <v>0.5</v>
      </c>
      <c r="BX578" s="267">
        <f t="shared" si="61"/>
        <v>0.5</v>
      </c>
      <c r="BY578" s="267"/>
      <c r="BZ578" s="267"/>
      <c r="CA578" s="267"/>
      <c r="CB578" s="267"/>
      <c r="CC578" s="267"/>
      <c r="CD578" s="267"/>
      <c r="CE578" s="267"/>
      <c r="CF578" s="267"/>
      <c r="CG578" s="267"/>
      <c r="CH578" s="267"/>
      <c r="CI578" s="267"/>
      <c r="CJ578" s="267"/>
      <c r="CK578" s="267"/>
      <c r="CL578" s="267"/>
      <c r="CM578" s="267"/>
      <c r="CN578" s="101">
        <f t="shared" si="57"/>
        <v>2</v>
      </c>
      <c r="CO578" s="101">
        <f t="shared" si="58"/>
        <v>2</v>
      </c>
    </row>
    <row r="579" spans="1:93" ht="13.9" customHeight="1" x14ac:dyDescent="0.2">
      <c r="A579" s="149">
        <v>1813</v>
      </c>
      <c r="B579" s="150" t="s">
        <v>1216</v>
      </c>
      <c r="C579" s="150" t="s">
        <v>1675</v>
      </c>
      <c r="D579" s="150" t="s">
        <v>1676</v>
      </c>
      <c r="E579" s="150" t="s">
        <v>1677</v>
      </c>
      <c r="F579" s="149">
        <v>523804</v>
      </c>
      <c r="G579" s="149">
        <v>173079</v>
      </c>
      <c r="H579" s="150" t="s">
        <v>178</v>
      </c>
      <c r="I579" s="151"/>
      <c r="J579" s="151"/>
      <c r="K579" s="149">
        <v>0</v>
      </c>
      <c r="L579" s="149">
        <v>1</v>
      </c>
      <c r="M579" s="149">
        <v>1</v>
      </c>
      <c r="N579" s="149">
        <v>2</v>
      </c>
      <c r="O579" s="149">
        <v>2</v>
      </c>
      <c r="P579" s="152"/>
      <c r="Q579" s="150" t="s">
        <v>1678</v>
      </c>
      <c r="R579" s="150" t="s">
        <v>349</v>
      </c>
      <c r="S579" s="151">
        <v>43844</v>
      </c>
      <c r="T579" s="151">
        <v>43923</v>
      </c>
      <c r="U579" s="152"/>
      <c r="V579" s="150" t="s">
        <v>330</v>
      </c>
      <c r="W579" s="151"/>
      <c r="X579" s="150" t="s">
        <v>331</v>
      </c>
      <c r="Y579" s="150" t="s">
        <v>343</v>
      </c>
      <c r="Z579" s="150" t="s">
        <v>334</v>
      </c>
      <c r="AA579" s="150" t="s">
        <v>363</v>
      </c>
      <c r="AB579" s="153">
        <v>3.7999999999999999E-2</v>
      </c>
      <c r="AC579" s="151"/>
      <c r="AD579" s="150"/>
      <c r="AE579" s="151"/>
      <c r="AF579" s="150" t="s">
        <v>70</v>
      </c>
      <c r="AG579" s="152" t="s">
        <v>352</v>
      </c>
      <c r="AH579" s="150" t="s">
        <v>326</v>
      </c>
      <c r="AI579" s="99"/>
      <c r="AJ579" s="149"/>
      <c r="AK579" s="99"/>
      <c r="AL579" s="149"/>
      <c r="AM579" s="99"/>
      <c r="AN579" s="149">
        <v>0</v>
      </c>
      <c r="AO579" s="149">
        <v>0</v>
      </c>
      <c r="AP579" s="149">
        <v>0</v>
      </c>
      <c r="AQ579" s="149">
        <v>1</v>
      </c>
      <c r="AR579" s="149">
        <v>0</v>
      </c>
      <c r="AS579" s="149">
        <v>0</v>
      </c>
      <c r="AT579" s="149">
        <v>0</v>
      </c>
      <c r="AU579" s="149">
        <v>0</v>
      </c>
      <c r="AV579" s="149">
        <v>0</v>
      </c>
      <c r="AW579" s="149">
        <v>0</v>
      </c>
      <c r="AX579" s="149">
        <v>0</v>
      </c>
      <c r="AY579" s="149">
        <v>0</v>
      </c>
      <c r="AZ579" s="149">
        <v>0</v>
      </c>
      <c r="BA579" s="149">
        <v>0</v>
      </c>
      <c r="BB579" s="149">
        <v>0</v>
      </c>
      <c r="BC579" s="149">
        <v>0</v>
      </c>
      <c r="BD579" s="149">
        <v>0</v>
      </c>
      <c r="BE579" s="149">
        <v>1</v>
      </c>
      <c r="BF579" s="149">
        <v>0</v>
      </c>
      <c r="BG579" s="149">
        <v>0</v>
      </c>
      <c r="BH579" s="149">
        <v>0</v>
      </c>
      <c r="BI579" s="149">
        <v>0</v>
      </c>
      <c r="BJ579" s="149">
        <v>0</v>
      </c>
      <c r="BK579" s="149">
        <v>0</v>
      </c>
      <c r="BL579" s="149">
        <v>0</v>
      </c>
      <c r="BM579" s="149">
        <v>0</v>
      </c>
      <c r="BN579" s="149">
        <v>0</v>
      </c>
      <c r="BO579" s="149">
        <v>0</v>
      </c>
      <c r="BP579" s="152"/>
      <c r="BQ579" s="152"/>
      <c r="BR579" s="154" t="s">
        <v>359</v>
      </c>
      <c r="BS579" s="136">
        <v>7</v>
      </c>
      <c r="BT579" s="267"/>
      <c r="BU579" s="267"/>
      <c r="BV579" s="267">
        <f t="shared" si="59"/>
        <v>0.25</v>
      </c>
      <c r="BW579" s="267">
        <f t="shared" si="60"/>
        <v>0.25</v>
      </c>
      <c r="BX579" s="267">
        <f t="shared" si="61"/>
        <v>0.25</v>
      </c>
      <c r="BY579" s="267">
        <f>M579/4</f>
        <v>0.25</v>
      </c>
      <c r="BZ579" s="267"/>
      <c r="CA579" s="267"/>
      <c r="CB579" s="267"/>
      <c r="CC579" s="267"/>
      <c r="CD579" s="267"/>
      <c r="CE579" s="267"/>
      <c r="CF579" s="267"/>
      <c r="CG579" s="267"/>
      <c r="CH579" s="267"/>
      <c r="CI579" s="267"/>
      <c r="CJ579" s="267"/>
      <c r="CK579" s="267"/>
      <c r="CL579" s="267"/>
      <c r="CM579" s="267"/>
      <c r="CN579" s="101">
        <f t="shared" si="57"/>
        <v>1</v>
      </c>
      <c r="CO579" s="101">
        <f t="shared" si="58"/>
        <v>1</v>
      </c>
    </row>
    <row r="580" spans="1:93" ht="13.9" customHeight="1" x14ac:dyDescent="0.2">
      <c r="A580" s="149">
        <v>1813</v>
      </c>
      <c r="B580" s="150" t="s">
        <v>1216</v>
      </c>
      <c r="C580" s="150" t="s">
        <v>1675</v>
      </c>
      <c r="D580" s="150" t="s">
        <v>1676</v>
      </c>
      <c r="E580" s="150" t="s">
        <v>1679</v>
      </c>
      <c r="F580" s="149">
        <v>523804</v>
      </c>
      <c r="G580" s="149">
        <v>173079</v>
      </c>
      <c r="H580" s="150" t="s">
        <v>178</v>
      </c>
      <c r="I580" s="151"/>
      <c r="J580" s="151"/>
      <c r="K580" s="149">
        <v>0</v>
      </c>
      <c r="L580" s="149">
        <v>1</v>
      </c>
      <c r="M580" s="149">
        <v>1</v>
      </c>
      <c r="N580" s="149">
        <v>2</v>
      </c>
      <c r="O580" s="149">
        <v>2</v>
      </c>
      <c r="P580" s="152"/>
      <c r="Q580" s="150" t="s">
        <v>1678</v>
      </c>
      <c r="R580" s="150" t="s">
        <v>349</v>
      </c>
      <c r="S580" s="151">
        <v>43844</v>
      </c>
      <c r="T580" s="151">
        <v>43923</v>
      </c>
      <c r="U580" s="152"/>
      <c r="V580" s="150" t="s">
        <v>330</v>
      </c>
      <c r="W580" s="151"/>
      <c r="X580" s="150" t="s">
        <v>331</v>
      </c>
      <c r="Y580" s="150" t="s">
        <v>343</v>
      </c>
      <c r="Z580" s="150" t="s">
        <v>334</v>
      </c>
      <c r="AA580" s="150" t="s">
        <v>363</v>
      </c>
      <c r="AB580" s="153">
        <v>3.2000000000000001E-2</v>
      </c>
      <c r="AC580" s="151"/>
      <c r="AD580" s="150"/>
      <c r="AE580" s="151"/>
      <c r="AF580" s="150" t="s">
        <v>70</v>
      </c>
      <c r="AG580" s="152" t="s">
        <v>352</v>
      </c>
      <c r="AH580" s="150" t="s">
        <v>326</v>
      </c>
      <c r="AI580" s="99"/>
      <c r="AJ580" s="149"/>
      <c r="AK580" s="99"/>
      <c r="AL580" s="149"/>
      <c r="AM580" s="99"/>
      <c r="AN580" s="149">
        <v>0</v>
      </c>
      <c r="AO580" s="149">
        <v>0</v>
      </c>
      <c r="AP580" s="149">
        <v>0</v>
      </c>
      <c r="AQ580" s="149">
        <v>1</v>
      </c>
      <c r="AR580" s="149">
        <v>0</v>
      </c>
      <c r="AS580" s="149">
        <v>0</v>
      </c>
      <c r="AT580" s="149">
        <v>0</v>
      </c>
      <c r="AU580" s="149">
        <v>0</v>
      </c>
      <c r="AV580" s="149">
        <v>0</v>
      </c>
      <c r="AW580" s="149">
        <v>0</v>
      </c>
      <c r="AX580" s="149">
        <v>0</v>
      </c>
      <c r="AY580" s="149">
        <v>0</v>
      </c>
      <c r="AZ580" s="149">
        <v>0</v>
      </c>
      <c r="BA580" s="149">
        <v>0</v>
      </c>
      <c r="BB580" s="149">
        <v>0</v>
      </c>
      <c r="BC580" s="149">
        <v>0</v>
      </c>
      <c r="BD580" s="149">
        <v>0</v>
      </c>
      <c r="BE580" s="149">
        <v>1</v>
      </c>
      <c r="BF580" s="149">
        <v>0</v>
      </c>
      <c r="BG580" s="149">
        <v>0</v>
      </c>
      <c r="BH580" s="149">
        <v>0</v>
      </c>
      <c r="BI580" s="149">
        <v>0</v>
      </c>
      <c r="BJ580" s="149">
        <v>0</v>
      </c>
      <c r="BK580" s="149">
        <v>0</v>
      </c>
      <c r="BL580" s="149">
        <v>0</v>
      </c>
      <c r="BM580" s="149">
        <v>0</v>
      </c>
      <c r="BN580" s="149">
        <v>0</v>
      </c>
      <c r="BO580" s="149">
        <v>0</v>
      </c>
      <c r="BP580" s="152"/>
      <c r="BQ580" s="152"/>
      <c r="BR580" s="154" t="s">
        <v>359</v>
      </c>
      <c r="BS580" s="136">
        <v>7</v>
      </c>
      <c r="BT580" s="267"/>
      <c r="BU580" s="267"/>
      <c r="BV580" s="267">
        <f t="shared" si="59"/>
        <v>0.25</v>
      </c>
      <c r="BW580" s="267">
        <f t="shared" si="60"/>
        <v>0.25</v>
      </c>
      <c r="BX580" s="267">
        <f t="shared" si="61"/>
        <v>0.25</v>
      </c>
      <c r="BY580" s="267">
        <f>M580/4</f>
        <v>0.25</v>
      </c>
      <c r="BZ580" s="267"/>
      <c r="CA580" s="267"/>
      <c r="CB580" s="267"/>
      <c r="CC580" s="267"/>
      <c r="CD580" s="267"/>
      <c r="CE580" s="267"/>
      <c r="CF580" s="267"/>
      <c r="CG580" s="267"/>
      <c r="CH580" s="267"/>
      <c r="CI580" s="267"/>
      <c r="CJ580" s="267"/>
      <c r="CK580" s="267"/>
      <c r="CL580" s="267"/>
      <c r="CM580" s="267"/>
      <c r="CN580" s="101">
        <f t="shared" si="57"/>
        <v>1</v>
      </c>
      <c r="CO580" s="101">
        <f t="shared" si="58"/>
        <v>1</v>
      </c>
    </row>
    <row r="581" spans="1:93" ht="13.9" customHeight="1" x14ac:dyDescent="0.2">
      <c r="A581" s="149">
        <v>3268</v>
      </c>
      <c r="B581" s="150" t="s">
        <v>1216</v>
      </c>
      <c r="C581" s="150" t="s">
        <v>1680</v>
      </c>
      <c r="D581" s="150" t="s">
        <v>1681</v>
      </c>
      <c r="E581" s="150" t="s">
        <v>326</v>
      </c>
      <c r="F581" s="149">
        <v>528819</v>
      </c>
      <c r="G581" s="149">
        <v>171232</v>
      </c>
      <c r="H581" s="150" t="s">
        <v>163</v>
      </c>
      <c r="I581" s="151"/>
      <c r="J581" s="151"/>
      <c r="K581" s="149">
        <v>0</v>
      </c>
      <c r="L581" s="149">
        <v>1</v>
      </c>
      <c r="M581" s="149">
        <v>1</v>
      </c>
      <c r="N581" s="149">
        <v>1</v>
      </c>
      <c r="O581" s="149">
        <v>1</v>
      </c>
      <c r="P581" s="152"/>
      <c r="Q581" s="150" t="s">
        <v>1682</v>
      </c>
      <c r="R581" s="150" t="s">
        <v>349</v>
      </c>
      <c r="S581" s="151">
        <v>43845</v>
      </c>
      <c r="T581" s="151">
        <v>43871</v>
      </c>
      <c r="U581" s="152"/>
      <c r="V581" s="150" t="s">
        <v>330</v>
      </c>
      <c r="W581" s="151"/>
      <c r="X581" s="150" t="s">
        <v>331</v>
      </c>
      <c r="Y581" s="150" t="s">
        <v>343</v>
      </c>
      <c r="Z581" s="150" t="s">
        <v>334</v>
      </c>
      <c r="AA581" s="150" t="s">
        <v>363</v>
      </c>
      <c r="AB581" s="153">
        <v>8.0000000000000002E-3</v>
      </c>
      <c r="AC581" s="151"/>
      <c r="AD581" s="150"/>
      <c r="AE581" s="151"/>
      <c r="AF581" s="150" t="s">
        <v>70</v>
      </c>
      <c r="AG581" s="152" t="s">
        <v>352</v>
      </c>
      <c r="AH581" s="150" t="s">
        <v>326</v>
      </c>
      <c r="AI581" s="99"/>
      <c r="AJ581" s="149"/>
      <c r="AK581" s="99"/>
      <c r="AL581" s="149"/>
      <c r="AM581" s="99"/>
      <c r="AN581" s="149">
        <v>0</v>
      </c>
      <c r="AO581" s="149">
        <v>0</v>
      </c>
      <c r="AP581" s="149">
        <v>1</v>
      </c>
      <c r="AQ581" s="149">
        <v>0</v>
      </c>
      <c r="AR581" s="149">
        <v>0</v>
      </c>
      <c r="AS581" s="149">
        <v>0</v>
      </c>
      <c r="AT581" s="149">
        <v>0</v>
      </c>
      <c r="AU581" s="149">
        <v>0</v>
      </c>
      <c r="AV581" s="149">
        <v>0</v>
      </c>
      <c r="AW581" s="149">
        <v>0</v>
      </c>
      <c r="AX581" s="149">
        <v>0</v>
      </c>
      <c r="AY581" s="149">
        <v>0</v>
      </c>
      <c r="AZ581" s="149">
        <v>0</v>
      </c>
      <c r="BA581" s="149">
        <v>0</v>
      </c>
      <c r="BB581" s="149">
        <v>0</v>
      </c>
      <c r="BC581" s="149">
        <v>0</v>
      </c>
      <c r="BD581" s="149">
        <v>1</v>
      </c>
      <c r="BE581" s="149">
        <v>0</v>
      </c>
      <c r="BF581" s="149">
        <v>0</v>
      </c>
      <c r="BG581" s="149">
        <v>0</v>
      </c>
      <c r="BH581" s="149">
        <v>0</v>
      </c>
      <c r="BI581" s="149">
        <v>0</v>
      </c>
      <c r="BJ581" s="149">
        <v>0</v>
      </c>
      <c r="BK581" s="149">
        <v>0</v>
      </c>
      <c r="BL581" s="149">
        <v>0</v>
      </c>
      <c r="BM581" s="149">
        <v>0</v>
      </c>
      <c r="BN581" s="149">
        <v>0</v>
      </c>
      <c r="BO581" s="149">
        <v>0</v>
      </c>
      <c r="BP581" s="152"/>
      <c r="BQ581" s="152"/>
      <c r="BR581" s="154" t="s">
        <v>359</v>
      </c>
      <c r="BS581" s="136">
        <v>7</v>
      </c>
      <c r="BT581" s="267"/>
      <c r="BU581" s="267"/>
      <c r="BV581" s="267">
        <f t="shared" si="59"/>
        <v>0.25</v>
      </c>
      <c r="BW581" s="267">
        <f t="shared" si="60"/>
        <v>0.25</v>
      </c>
      <c r="BX581" s="267">
        <f t="shared" si="61"/>
        <v>0.25</v>
      </c>
      <c r="BY581" s="267">
        <f>M581/4</f>
        <v>0.25</v>
      </c>
      <c r="BZ581" s="267"/>
      <c r="CA581" s="267"/>
      <c r="CB581" s="267"/>
      <c r="CC581" s="267"/>
      <c r="CD581" s="267"/>
      <c r="CE581" s="267"/>
      <c r="CF581" s="267"/>
      <c r="CG581" s="267"/>
      <c r="CH581" s="267"/>
      <c r="CI581" s="267"/>
      <c r="CJ581" s="267"/>
      <c r="CK581" s="267"/>
      <c r="CL581" s="267"/>
      <c r="CM581" s="267"/>
      <c r="CN581" s="101">
        <f t="shared" si="57"/>
        <v>1</v>
      </c>
      <c r="CO581" s="101">
        <f t="shared" si="58"/>
        <v>1</v>
      </c>
    </row>
    <row r="582" spans="1:93" ht="13.9" customHeight="1" x14ac:dyDescent="0.2">
      <c r="A582" s="149">
        <v>5684</v>
      </c>
      <c r="B582" s="150" t="s">
        <v>1216</v>
      </c>
      <c r="C582" s="150" t="s">
        <v>1683</v>
      </c>
      <c r="D582" s="150" t="s">
        <v>1684</v>
      </c>
      <c r="E582" s="150" t="s">
        <v>326</v>
      </c>
      <c r="F582" s="149">
        <v>527218</v>
      </c>
      <c r="G582" s="149">
        <v>173669</v>
      </c>
      <c r="H582" s="150" t="s">
        <v>176</v>
      </c>
      <c r="I582" s="151"/>
      <c r="J582" s="151"/>
      <c r="K582" s="149">
        <v>1</v>
      </c>
      <c r="L582" s="149">
        <v>1</v>
      </c>
      <c r="M582" s="149">
        <v>0</v>
      </c>
      <c r="N582" s="149">
        <v>1</v>
      </c>
      <c r="O582" s="149">
        <v>0</v>
      </c>
      <c r="P582" s="152"/>
      <c r="Q582" s="150" t="s">
        <v>1685</v>
      </c>
      <c r="R582" s="150" t="s">
        <v>349</v>
      </c>
      <c r="S582" s="151">
        <v>43851</v>
      </c>
      <c r="T582" s="151">
        <v>43888</v>
      </c>
      <c r="U582" s="152"/>
      <c r="V582" s="150" t="s">
        <v>330</v>
      </c>
      <c r="W582" s="151"/>
      <c r="X582" s="150" t="s">
        <v>331</v>
      </c>
      <c r="Y582" s="150" t="s">
        <v>343</v>
      </c>
      <c r="Z582" s="150" t="s">
        <v>334</v>
      </c>
      <c r="AA582" s="150" t="s">
        <v>363</v>
      </c>
      <c r="AB582" s="153">
        <v>4.7E-2</v>
      </c>
      <c r="AC582" s="151"/>
      <c r="AD582" s="150"/>
      <c r="AE582" s="151"/>
      <c r="AF582" s="150" t="s">
        <v>70</v>
      </c>
      <c r="AG582" s="152" t="s">
        <v>352</v>
      </c>
      <c r="AH582" s="150" t="s">
        <v>326</v>
      </c>
      <c r="AI582" s="99"/>
      <c r="AJ582" s="149"/>
      <c r="AK582" s="99"/>
      <c r="AL582" s="149"/>
      <c r="AM582" s="99"/>
      <c r="AN582" s="149">
        <v>0</v>
      </c>
      <c r="AO582" s="149">
        <v>0</v>
      </c>
      <c r="AP582" s="149">
        <v>0</v>
      </c>
      <c r="AQ582" s="149">
        <v>-1</v>
      </c>
      <c r="AR582" s="149">
        <v>1</v>
      </c>
      <c r="AS582" s="149">
        <v>0</v>
      </c>
      <c r="AT582" s="149">
        <v>0</v>
      </c>
      <c r="AU582" s="149">
        <v>0</v>
      </c>
      <c r="AV582" s="149">
        <v>0</v>
      </c>
      <c r="AW582" s="149">
        <v>0</v>
      </c>
      <c r="AX582" s="149">
        <v>0</v>
      </c>
      <c r="AY582" s="149">
        <v>0</v>
      </c>
      <c r="AZ582" s="149">
        <v>0</v>
      </c>
      <c r="BA582" s="149">
        <v>0</v>
      </c>
      <c r="BB582" s="149">
        <v>0</v>
      </c>
      <c r="BC582" s="149">
        <v>0</v>
      </c>
      <c r="BD582" s="149">
        <v>0</v>
      </c>
      <c r="BE582" s="149">
        <v>-1</v>
      </c>
      <c r="BF582" s="149">
        <v>1</v>
      </c>
      <c r="BG582" s="149">
        <v>0</v>
      </c>
      <c r="BH582" s="149">
        <v>0</v>
      </c>
      <c r="BI582" s="149">
        <v>0</v>
      </c>
      <c r="BJ582" s="149">
        <v>0</v>
      </c>
      <c r="BK582" s="149">
        <v>0</v>
      </c>
      <c r="BL582" s="149">
        <v>0</v>
      </c>
      <c r="BM582" s="149">
        <v>0</v>
      </c>
      <c r="BN582" s="149">
        <v>0</v>
      </c>
      <c r="BO582" s="149">
        <v>0</v>
      </c>
      <c r="BP582" s="152"/>
      <c r="BQ582" s="152"/>
      <c r="BR582" s="154" t="s">
        <v>359</v>
      </c>
      <c r="BS582" s="136">
        <v>7</v>
      </c>
      <c r="BT582" s="267"/>
      <c r="BU582" s="267"/>
      <c r="BV582" s="267">
        <f t="shared" si="59"/>
        <v>0</v>
      </c>
      <c r="BW582" s="267">
        <f t="shared" si="60"/>
        <v>0</v>
      </c>
      <c r="BX582" s="267">
        <f t="shared" si="61"/>
        <v>0</v>
      </c>
      <c r="BY582" s="267">
        <f>M582/4</f>
        <v>0</v>
      </c>
      <c r="BZ582" s="267"/>
      <c r="CA582" s="267"/>
      <c r="CB582" s="267"/>
      <c r="CC582" s="267"/>
      <c r="CD582" s="267"/>
      <c r="CE582" s="267"/>
      <c r="CF582" s="267"/>
      <c r="CG582" s="267"/>
      <c r="CH582" s="267"/>
      <c r="CI582" s="267"/>
      <c r="CJ582" s="267"/>
      <c r="CK582" s="267"/>
      <c r="CL582" s="267"/>
      <c r="CM582" s="267"/>
      <c r="CN582" s="101">
        <f t="shared" si="57"/>
        <v>0</v>
      </c>
      <c r="CO582" s="101">
        <f t="shared" si="58"/>
        <v>0</v>
      </c>
    </row>
    <row r="583" spans="1:93" ht="13.9" customHeight="1" x14ac:dyDescent="0.2">
      <c r="A583" s="149">
        <v>2552</v>
      </c>
      <c r="B583" s="150" t="s">
        <v>1216</v>
      </c>
      <c r="C583" s="150" t="s">
        <v>1686</v>
      </c>
      <c r="D583" s="150" t="s">
        <v>1687</v>
      </c>
      <c r="E583" s="150" t="s">
        <v>326</v>
      </c>
      <c r="F583" s="149">
        <v>527504</v>
      </c>
      <c r="G583" s="149">
        <v>171615</v>
      </c>
      <c r="H583" s="150" t="s">
        <v>173</v>
      </c>
      <c r="I583" s="151"/>
      <c r="J583" s="151"/>
      <c r="K583" s="149">
        <v>0</v>
      </c>
      <c r="L583" s="149">
        <v>1</v>
      </c>
      <c r="M583" s="149">
        <v>1</v>
      </c>
      <c r="N583" s="149">
        <v>1</v>
      </c>
      <c r="O583" s="149">
        <v>1</v>
      </c>
      <c r="P583" s="152"/>
      <c r="Q583" s="150" t="s">
        <v>1688</v>
      </c>
      <c r="R583" s="150" t="s">
        <v>349</v>
      </c>
      <c r="S583" s="151">
        <v>43881</v>
      </c>
      <c r="T583" s="151">
        <v>43934</v>
      </c>
      <c r="U583" s="152"/>
      <c r="V583" s="150" t="s">
        <v>330</v>
      </c>
      <c r="W583" s="151"/>
      <c r="X583" s="150" t="s">
        <v>331</v>
      </c>
      <c r="Y583" s="150" t="s">
        <v>491</v>
      </c>
      <c r="Z583" s="150" t="s">
        <v>334</v>
      </c>
      <c r="AA583" s="150" t="s">
        <v>413</v>
      </c>
      <c r="AB583" s="153">
        <v>1E-3</v>
      </c>
      <c r="AC583" s="151"/>
      <c r="AD583" s="150"/>
      <c r="AE583" s="151"/>
      <c r="AF583" s="150" t="s">
        <v>70</v>
      </c>
      <c r="AG583" s="152" t="s">
        <v>352</v>
      </c>
      <c r="AH583" s="150" t="s">
        <v>326</v>
      </c>
      <c r="AI583" s="99"/>
      <c r="AJ583" s="149"/>
      <c r="AK583" s="99"/>
      <c r="AL583" s="149"/>
      <c r="AM583" s="99"/>
      <c r="AN583" s="149">
        <v>1</v>
      </c>
      <c r="AO583" s="149">
        <v>0</v>
      </c>
      <c r="AP583" s="149">
        <v>0</v>
      </c>
      <c r="AQ583" s="149">
        <v>0</v>
      </c>
      <c r="AR583" s="149">
        <v>0</v>
      </c>
      <c r="AS583" s="149">
        <v>0</v>
      </c>
      <c r="AT583" s="149">
        <v>0</v>
      </c>
      <c r="AU583" s="149">
        <v>1</v>
      </c>
      <c r="AV583" s="149">
        <v>0</v>
      </c>
      <c r="AW583" s="149">
        <v>0</v>
      </c>
      <c r="AX583" s="149">
        <v>0</v>
      </c>
      <c r="AY583" s="149">
        <v>0</v>
      </c>
      <c r="AZ583" s="149">
        <v>0</v>
      </c>
      <c r="BA583" s="149">
        <v>0</v>
      </c>
      <c r="BB583" s="149">
        <v>0</v>
      </c>
      <c r="BC583" s="149">
        <v>0</v>
      </c>
      <c r="BD583" s="149">
        <v>0</v>
      </c>
      <c r="BE583" s="149">
        <v>0</v>
      </c>
      <c r="BF583" s="149">
        <v>0</v>
      </c>
      <c r="BG583" s="149">
        <v>0</v>
      </c>
      <c r="BH583" s="149">
        <v>0</v>
      </c>
      <c r="BI583" s="149">
        <v>0</v>
      </c>
      <c r="BJ583" s="149">
        <v>0</v>
      </c>
      <c r="BK583" s="149">
        <v>0</v>
      </c>
      <c r="BL583" s="149">
        <v>0</v>
      </c>
      <c r="BM583" s="149">
        <v>0</v>
      </c>
      <c r="BN583" s="149">
        <v>0</v>
      </c>
      <c r="BO583" s="149">
        <v>0</v>
      </c>
      <c r="BP583" s="152" t="s">
        <v>142</v>
      </c>
      <c r="BQ583" s="152"/>
      <c r="BR583" s="154" t="s">
        <v>142</v>
      </c>
      <c r="BS583" s="136">
        <v>15</v>
      </c>
      <c r="BT583" s="267"/>
      <c r="BU583" s="267">
        <f t="shared" ref="BU583:BU598" si="62">M583/4</f>
        <v>0.25</v>
      </c>
      <c r="BV583" s="267">
        <f t="shared" si="59"/>
        <v>0.25</v>
      </c>
      <c r="BW583" s="267">
        <f t="shared" si="60"/>
        <v>0.25</v>
      </c>
      <c r="BX583" s="267">
        <f t="shared" si="61"/>
        <v>0.25</v>
      </c>
      <c r="BY583" s="267"/>
      <c r="BZ583" s="267"/>
      <c r="CA583" s="267"/>
      <c r="CB583" s="267"/>
      <c r="CC583" s="267"/>
      <c r="CD583" s="267"/>
      <c r="CE583" s="267"/>
      <c r="CF583" s="267"/>
      <c r="CG583" s="267"/>
      <c r="CH583" s="267"/>
      <c r="CI583" s="267"/>
      <c r="CJ583" s="267"/>
      <c r="CK583" s="267"/>
      <c r="CL583" s="267"/>
      <c r="CM583" s="267"/>
      <c r="CN583" s="101">
        <f t="shared" si="57"/>
        <v>1</v>
      </c>
      <c r="CO583" s="101">
        <f t="shared" si="58"/>
        <v>1</v>
      </c>
    </row>
    <row r="584" spans="1:93" ht="13.9" customHeight="1" x14ac:dyDescent="0.2">
      <c r="A584" s="149">
        <v>5123</v>
      </c>
      <c r="B584" s="150" t="s">
        <v>1216</v>
      </c>
      <c r="C584" s="150" t="s">
        <v>1689</v>
      </c>
      <c r="D584" s="150" t="s">
        <v>1690</v>
      </c>
      <c r="E584" s="150" t="s">
        <v>326</v>
      </c>
      <c r="F584" s="149">
        <v>524195</v>
      </c>
      <c r="G584" s="149">
        <v>175062</v>
      </c>
      <c r="H584" s="150" t="s">
        <v>171</v>
      </c>
      <c r="I584" s="151"/>
      <c r="J584" s="151"/>
      <c r="K584" s="149">
        <v>2</v>
      </c>
      <c r="L584" s="149">
        <v>1</v>
      </c>
      <c r="M584" s="149">
        <v>-1</v>
      </c>
      <c r="N584" s="149">
        <v>1</v>
      </c>
      <c r="O584" s="149">
        <v>-1</v>
      </c>
      <c r="P584" s="152"/>
      <c r="Q584" s="150" t="s">
        <v>1691</v>
      </c>
      <c r="R584" s="150" t="s">
        <v>349</v>
      </c>
      <c r="S584" s="151">
        <v>43865</v>
      </c>
      <c r="T584" s="151">
        <v>43916</v>
      </c>
      <c r="U584" s="152"/>
      <c r="V584" s="150" t="s">
        <v>330</v>
      </c>
      <c r="W584" s="151"/>
      <c r="X584" s="150" t="s">
        <v>331</v>
      </c>
      <c r="Y584" s="150" t="s">
        <v>350</v>
      </c>
      <c r="Z584" s="150" t="s">
        <v>334</v>
      </c>
      <c r="AA584" s="150" t="s">
        <v>18</v>
      </c>
      <c r="AB584" s="153">
        <v>1.9E-2</v>
      </c>
      <c r="AC584" s="151"/>
      <c r="AD584" s="150"/>
      <c r="AE584" s="151"/>
      <c r="AF584" s="150" t="s">
        <v>70</v>
      </c>
      <c r="AG584" s="152" t="s">
        <v>352</v>
      </c>
      <c r="AH584" s="150" t="s">
        <v>326</v>
      </c>
      <c r="AI584" s="99"/>
      <c r="AJ584" s="149"/>
      <c r="AK584" s="99"/>
      <c r="AL584" s="149"/>
      <c r="AM584" s="99"/>
      <c r="AN584" s="149">
        <v>0</v>
      </c>
      <c r="AO584" s="149">
        <v>-1</v>
      </c>
      <c r="AP584" s="149">
        <v>0</v>
      </c>
      <c r="AQ584" s="149">
        <v>-1</v>
      </c>
      <c r="AR584" s="149">
        <v>0</v>
      </c>
      <c r="AS584" s="149">
        <v>1</v>
      </c>
      <c r="AT584" s="149">
        <v>0</v>
      </c>
      <c r="AU584" s="149">
        <v>0</v>
      </c>
      <c r="AV584" s="149">
        <v>-1</v>
      </c>
      <c r="AW584" s="149">
        <v>0</v>
      </c>
      <c r="AX584" s="149">
        <v>-1</v>
      </c>
      <c r="AY584" s="149">
        <v>0</v>
      </c>
      <c r="AZ584" s="149">
        <v>0</v>
      </c>
      <c r="BA584" s="149">
        <v>0</v>
      </c>
      <c r="BB584" s="149">
        <v>0</v>
      </c>
      <c r="BC584" s="149">
        <v>0</v>
      </c>
      <c r="BD584" s="149">
        <v>0</v>
      </c>
      <c r="BE584" s="149">
        <v>0</v>
      </c>
      <c r="BF584" s="149">
        <v>0</v>
      </c>
      <c r="BG584" s="149">
        <v>1</v>
      </c>
      <c r="BH584" s="149">
        <v>0</v>
      </c>
      <c r="BI584" s="149">
        <v>0</v>
      </c>
      <c r="BJ584" s="149">
        <v>0</v>
      </c>
      <c r="BK584" s="149">
        <v>0</v>
      </c>
      <c r="BL584" s="149">
        <v>0</v>
      </c>
      <c r="BM584" s="149">
        <v>0</v>
      </c>
      <c r="BN584" s="149">
        <v>0</v>
      </c>
      <c r="BO584" s="149">
        <v>0</v>
      </c>
      <c r="BP584" s="152"/>
      <c r="BQ584" s="152"/>
      <c r="BR584" s="154" t="s">
        <v>141</v>
      </c>
      <c r="BS584" s="136">
        <v>15</v>
      </c>
      <c r="BT584" s="267"/>
      <c r="BU584" s="267">
        <f t="shared" si="62"/>
        <v>-0.25</v>
      </c>
      <c r="BV584" s="267">
        <f t="shared" si="59"/>
        <v>-0.25</v>
      </c>
      <c r="BW584" s="267">
        <f t="shared" si="60"/>
        <v>-0.25</v>
      </c>
      <c r="BX584" s="267">
        <f t="shared" si="61"/>
        <v>-0.25</v>
      </c>
      <c r="BY584" s="267"/>
      <c r="BZ584" s="267"/>
      <c r="CA584" s="267"/>
      <c r="CB584" s="267"/>
      <c r="CC584" s="267"/>
      <c r="CD584" s="267"/>
      <c r="CE584" s="267"/>
      <c r="CF584" s="267"/>
      <c r="CG584" s="267"/>
      <c r="CH584" s="267"/>
      <c r="CI584" s="267"/>
      <c r="CJ584" s="267"/>
      <c r="CK584" s="267"/>
      <c r="CL584" s="267"/>
      <c r="CM584" s="267"/>
      <c r="CN584" s="101">
        <f t="shared" si="57"/>
        <v>-1</v>
      </c>
      <c r="CO584" s="101">
        <f t="shared" si="58"/>
        <v>-1</v>
      </c>
    </row>
    <row r="585" spans="1:93" ht="13.9" customHeight="1" x14ac:dyDescent="0.2">
      <c r="A585" s="149">
        <v>7342</v>
      </c>
      <c r="B585" s="150" t="s">
        <v>1216</v>
      </c>
      <c r="C585" s="150" t="s">
        <v>1692</v>
      </c>
      <c r="D585" s="150" t="s">
        <v>1693</v>
      </c>
      <c r="E585" s="150" t="s">
        <v>326</v>
      </c>
      <c r="F585" s="149">
        <v>526368</v>
      </c>
      <c r="G585" s="149">
        <v>175721</v>
      </c>
      <c r="H585" s="150" t="s">
        <v>170</v>
      </c>
      <c r="I585" s="151"/>
      <c r="J585" s="151"/>
      <c r="K585" s="149">
        <v>0</v>
      </c>
      <c r="L585" s="149">
        <v>3</v>
      </c>
      <c r="M585" s="149">
        <v>3</v>
      </c>
      <c r="N585" s="149">
        <v>3</v>
      </c>
      <c r="O585" s="149">
        <v>3</v>
      </c>
      <c r="P585" s="152"/>
      <c r="Q585" s="150" t="s">
        <v>1694</v>
      </c>
      <c r="R585" s="150" t="s">
        <v>427</v>
      </c>
      <c r="S585" s="151">
        <v>43873</v>
      </c>
      <c r="T585" s="151">
        <v>43906</v>
      </c>
      <c r="U585" s="152"/>
      <c r="V585" s="150" t="s">
        <v>330</v>
      </c>
      <c r="W585" s="151"/>
      <c r="X585" s="150" t="s">
        <v>331</v>
      </c>
      <c r="Y585" s="150" t="s">
        <v>332</v>
      </c>
      <c r="Z585" s="150" t="s">
        <v>334</v>
      </c>
      <c r="AA585" s="150" t="s">
        <v>29</v>
      </c>
      <c r="AB585" s="153">
        <v>8.0000000000000002E-3</v>
      </c>
      <c r="AC585" s="151"/>
      <c r="AD585" s="150"/>
      <c r="AE585" s="151"/>
      <c r="AF585" s="150" t="s">
        <v>70</v>
      </c>
      <c r="AG585" s="152" t="s">
        <v>352</v>
      </c>
      <c r="AH585" s="150" t="s">
        <v>326</v>
      </c>
      <c r="AI585" s="99"/>
      <c r="AJ585" s="149"/>
      <c r="AK585" s="102"/>
      <c r="AL585" s="149"/>
      <c r="AM585" s="99"/>
      <c r="AN585" s="149">
        <v>0</v>
      </c>
      <c r="AO585" s="149">
        <v>2</v>
      </c>
      <c r="AP585" s="149">
        <v>1</v>
      </c>
      <c r="AQ585" s="149">
        <v>0</v>
      </c>
      <c r="AR585" s="149">
        <v>0</v>
      </c>
      <c r="AS585" s="149">
        <v>0</v>
      </c>
      <c r="AT585" s="149">
        <v>0</v>
      </c>
      <c r="AU585" s="149">
        <v>0</v>
      </c>
      <c r="AV585" s="149">
        <v>2</v>
      </c>
      <c r="AW585" s="149">
        <v>1</v>
      </c>
      <c r="AX585" s="149">
        <v>0</v>
      </c>
      <c r="AY585" s="149">
        <v>0</v>
      </c>
      <c r="AZ585" s="149">
        <v>0</v>
      </c>
      <c r="BA585" s="149">
        <v>0</v>
      </c>
      <c r="BB585" s="149">
        <v>0</v>
      </c>
      <c r="BC585" s="149">
        <v>0</v>
      </c>
      <c r="BD585" s="149">
        <v>0</v>
      </c>
      <c r="BE585" s="149">
        <v>0</v>
      </c>
      <c r="BF585" s="149">
        <v>0</v>
      </c>
      <c r="BG585" s="149">
        <v>0</v>
      </c>
      <c r="BH585" s="149">
        <v>0</v>
      </c>
      <c r="BI585" s="149">
        <v>0</v>
      </c>
      <c r="BJ585" s="149">
        <v>0</v>
      </c>
      <c r="BK585" s="149">
        <v>0</v>
      </c>
      <c r="BL585" s="149">
        <v>0</v>
      </c>
      <c r="BM585" s="149">
        <v>0</v>
      </c>
      <c r="BN585" s="149">
        <v>0</v>
      </c>
      <c r="BO585" s="149">
        <v>0</v>
      </c>
      <c r="BP585" s="152"/>
      <c r="BQ585" s="152"/>
      <c r="BR585" s="154" t="s">
        <v>408</v>
      </c>
      <c r="BS585" s="136">
        <v>15</v>
      </c>
      <c r="BT585" s="267"/>
      <c r="BU585" s="267">
        <f t="shared" si="62"/>
        <v>0.75</v>
      </c>
      <c r="BV585" s="267">
        <f t="shared" si="59"/>
        <v>0.75</v>
      </c>
      <c r="BW585" s="267">
        <f t="shared" si="60"/>
        <v>0.75</v>
      </c>
      <c r="BX585" s="267">
        <f t="shared" si="61"/>
        <v>0.75</v>
      </c>
      <c r="BY585" s="267"/>
      <c r="BZ585" s="267"/>
      <c r="CA585" s="267"/>
      <c r="CB585" s="267"/>
      <c r="CC585" s="267"/>
      <c r="CD585" s="267"/>
      <c r="CE585" s="267"/>
      <c r="CF585" s="267"/>
      <c r="CG585" s="267"/>
      <c r="CH585" s="267"/>
      <c r="CI585" s="267"/>
      <c r="CJ585" s="267"/>
      <c r="CK585" s="267"/>
      <c r="CL585" s="267"/>
      <c r="CM585" s="267"/>
      <c r="CN585" s="101">
        <f t="shared" si="57"/>
        <v>3</v>
      </c>
      <c r="CO585" s="101">
        <f t="shared" si="58"/>
        <v>3</v>
      </c>
    </row>
    <row r="586" spans="1:93" ht="13.9" customHeight="1" x14ac:dyDescent="0.2">
      <c r="A586" s="149">
        <v>7340</v>
      </c>
      <c r="B586" s="150" t="s">
        <v>1216</v>
      </c>
      <c r="C586" s="150" t="s">
        <v>1695</v>
      </c>
      <c r="D586" s="150" t="s">
        <v>1696</v>
      </c>
      <c r="E586" s="150" t="s">
        <v>326</v>
      </c>
      <c r="F586" s="149">
        <v>528330</v>
      </c>
      <c r="G586" s="149">
        <v>175742</v>
      </c>
      <c r="H586" s="150" t="s">
        <v>167</v>
      </c>
      <c r="I586" s="151"/>
      <c r="J586" s="151"/>
      <c r="K586" s="149">
        <v>0</v>
      </c>
      <c r="L586" s="149">
        <v>1</v>
      </c>
      <c r="M586" s="149">
        <v>1</v>
      </c>
      <c r="N586" s="149">
        <v>1</v>
      </c>
      <c r="O586" s="149">
        <v>1</v>
      </c>
      <c r="P586" s="152"/>
      <c r="Q586" s="150" t="s">
        <v>1697</v>
      </c>
      <c r="R586" s="150" t="s">
        <v>349</v>
      </c>
      <c r="S586" s="151">
        <v>43874</v>
      </c>
      <c r="T586" s="151">
        <v>43944</v>
      </c>
      <c r="U586" s="152"/>
      <c r="V586" s="150" t="s">
        <v>330</v>
      </c>
      <c r="W586" s="151"/>
      <c r="X586" s="150" t="s">
        <v>331</v>
      </c>
      <c r="Y586" s="150" t="s">
        <v>398</v>
      </c>
      <c r="Z586" s="150" t="s">
        <v>334</v>
      </c>
      <c r="AA586" s="150" t="s">
        <v>32</v>
      </c>
      <c r="AB586" s="153">
        <v>7.0000000000000001E-3</v>
      </c>
      <c r="AC586" s="151"/>
      <c r="AD586" s="150"/>
      <c r="AE586" s="151"/>
      <c r="AF586" s="150" t="s">
        <v>70</v>
      </c>
      <c r="AG586" s="152" t="s">
        <v>352</v>
      </c>
      <c r="AH586" s="150" t="s">
        <v>326</v>
      </c>
      <c r="AI586" s="99"/>
      <c r="AJ586" s="149"/>
      <c r="AK586" s="102"/>
      <c r="AL586" s="149"/>
      <c r="AM586" s="99"/>
      <c r="AN586" s="149">
        <v>0</v>
      </c>
      <c r="AO586" s="149">
        <v>1</v>
      </c>
      <c r="AP586" s="149">
        <v>0</v>
      </c>
      <c r="AQ586" s="149">
        <v>0</v>
      </c>
      <c r="AR586" s="149">
        <v>0</v>
      </c>
      <c r="AS586" s="149">
        <v>0</v>
      </c>
      <c r="AT586" s="149">
        <v>0</v>
      </c>
      <c r="AU586" s="149">
        <v>0</v>
      </c>
      <c r="AV586" s="149">
        <v>1</v>
      </c>
      <c r="AW586" s="149">
        <v>0</v>
      </c>
      <c r="AX586" s="149">
        <v>0</v>
      </c>
      <c r="AY586" s="149">
        <v>0</v>
      </c>
      <c r="AZ586" s="149">
        <v>0</v>
      </c>
      <c r="BA586" s="149">
        <v>0</v>
      </c>
      <c r="BB586" s="149">
        <v>0</v>
      </c>
      <c r="BC586" s="149">
        <v>0</v>
      </c>
      <c r="BD586" s="149">
        <v>0</v>
      </c>
      <c r="BE586" s="149">
        <v>0</v>
      </c>
      <c r="BF586" s="149">
        <v>0</v>
      </c>
      <c r="BG586" s="149">
        <v>0</v>
      </c>
      <c r="BH586" s="149">
        <v>0</v>
      </c>
      <c r="BI586" s="149">
        <v>0</v>
      </c>
      <c r="BJ586" s="149">
        <v>0</v>
      </c>
      <c r="BK586" s="149">
        <v>0</v>
      </c>
      <c r="BL586" s="149">
        <v>0</v>
      </c>
      <c r="BM586" s="149">
        <v>0</v>
      </c>
      <c r="BN586" s="149">
        <v>0</v>
      </c>
      <c r="BO586" s="149">
        <v>0</v>
      </c>
      <c r="BP586" s="152"/>
      <c r="BQ586" s="152"/>
      <c r="BR586" s="154" t="s">
        <v>359</v>
      </c>
      <c r="BS586" s="136">
        <v>15</v>
      </c>
      <c r="BT586" s="267"/>
      <c r="BU586" s="267">
        <f t="shared" si="62"/>
        <v>0.25</v>
      </c>
      <c r="BV586" s="267">
        <f t="shared" si="59"/>
        <v>0.25</v>
      </c>
      <c r="BW586" s="267">
        <f t="shared" si="60"/>
        <v>0.25</v>
      </c>
      <c r="BX586" s="267">
        <f t="shared" si="61"/>
        <v>0.25</v>
      </c>
      <c r="BY586" s="267"/>
      <c r="BZ586" s="267"/>
      <c r="CA586" s="267"/>
      <c r="CB586" s="267"/>
      <c r="CC586" s="267"/>
      <c r="CD586" s="267"/>
      <c r="CE586" s="267"/>
      <c r="CF586" s="267"/>
      <c r="CG586" s="267"/>
      <c r="CH586" s="267"/>
      <c r="CI586" s="267"/>
      <c r="CJ586" s="267"/>
      <c r="CK586" s="267"/>
      <c r="CL586" s="267"/>
      <c r="CM586" s="267"/>
      <c r="CN586" s="101">
        <f t="shared" si="57"/>
        <v>1</v>
      </c>
      <c r="CO586" s="101">
        <f t="shared" si="58"/>
        <v>1</v>
      </c>
    </row>
    <row r="587" spans="1:93" ht="13.9" customHeight="1" x14ac:dyDescent="0.2">
      <c r="A587" s="149">
        <v>7367</v>
      </c>
      <c r="B587" s="150" t="s">
        <v>1216</v>
      </c>
      <c r="C587" s="150" t="s">
        <v>1698</v>
      </c>
      <c r="D587" s="150" t="s">
        <v>1699</v>
      </c>
      <c r="E587" s="150" t="s">
        <v>1700</v>
      </c>
      <c r="F587" s="149">
        <v>525438</v>
      </c>
      <c r="G587" s="149">
        <v>173644</v>
      </c>
      <c r="H587" s="150" t="s">
        <v>169</v>
      </c>
      <c r="I587" s="151"/>
      <c r="J587" s="151"/>
      <c r="K587" s="149">
        <v>0</v>
      </c>
      <c r="L587" s="149">
        <v>20</v>
      </c>
      <c r="M587" s="149">
        <v>20</v>
      </c>
      <c r="N587" s="149">
        <v>23</v>
      </c>
      <c r="O587" s="149">
        <v>22</v>
      </c>
      <c r="P587" s="152" t="s">
        <v>327</v>
      </c>
      <c r="Q587" s="150" t="s">
        <v>1701</v>
      </c>
      <c r="R587" s="150" t="s">
        <v>329</v>
      </c>
      <c r="S587" s="151">
        <v>43915</v>
      </c>
      <c r="T587" s="151">
        <v>44603</v>
      </c>
      <c r="U587" s="152"/>
      <c r="V587" s="150" t="s">
        <v>330</v>
      </c>
      <c r="W587" s="151"/>
      <c r="X587" s="150" t="s">
        <v>331</v>
      </c>
      <c r="Y587" s="150" t="s">
        <v>398</v>
      </c>
      <c r="Z587" s="150" t="s">
        <v>491</v>
      </c>
      <c r="AA587" s="150" t="s">
        <v>334</v>
      </c>
      <c r="AB587" s="153">
        <v>0.11799999999999999</v>
      </c>
      <c r="AC587" s="151"/>
      <c r="AD587" s="150"/>
      <c r="AE587" s="151"/>
      <c r="AF587" s="150" t="s">
        <v>70</v>
      </c>
      <c r="AG587" s="152" t="s">
        <v>352</v>
      </c>
      <c r="AH587" s="150" t="s">
        <v>326</v>
      </c>
      <c r="AI587" s="99"/>
      <c r="AJ587" s="149"/>
      <c r="AK587" s="99"/>
      <c r="AL587" s="149"/>
      <c r="AM587" s="99"/>
      <c r="AN587" s="149">
        <v>5</v>
      </c>
      <c r="AO587" s="149">
        <v>15</v>
      </c>
      <c r="AP587" s="149">
        <v>0</v>
      </c>
      <c r="AQ587" s="149">
        <v>0</v>
      </c>
      <c r="AR587" s="149">
        <v>0</v>
      </c>
      <c r="AS587" s="149">
        <v>0</v>
      </c>
      <c r="AT587" s="149">
        <v>0</v>
      </c>
      <c r="AU587" s="149">
        <v>5</v>
      </c>
      <c r="AV587" s="149">
        <v>15</v>
      </c>
      <c r="AW587" s="149">
        <v>0</v>
      </c>
      <c r="AX587" s="149">
        <v>0</v>
      </c>
      <c r="AY587" s="149">
        <v>0</v>
      </c>
      <c r="AZ587" s="149">
        <v>0</v>
      </c>
      <c r="BA587" s="149">
        <v>0</v>
      </c>
      <c r="BB587" s="149">
        <v>0</v>
      </c>
      <c r="BC587" s="149">
        <v>0</v>
      </c>
      <c r="BD587" s="149">
        <v>0</v>
      </c>
      <c r="BE587" s="149">
        <v>0</v>
      </c>
      <c r="BF587" s="149">
        <v>0</v>
      </c>
      <c r="BG587" s="149">
        <v>0</v>
      </c>
      <c r="BH587" s="149">
        <v>0</v>
      </c>
      <c r="BI587" s="149">
        <v>0</v>
      </c>
      <c r="BJ587" s="149">
        <v>0</v>
      </c>
      <c r="BK587" s="149">
        <v>0</v>
      </c>
      <c r="BL587" s="149">
        <v>0</v>
      </c>
      <c r="BM587" s="149">
        <v>0</v>
      </c>
      <c r="BN587" s="149">
        <v>0</v>
      </c>
      <c r="BO587" s="149">
        <v>0</v>
      </c>
      <c r="BP587" s="152"/>
      <c r="BQ587" s="152"/>
      <c r="BR587" s="154" t="s">
        <v>151</v>
      </c>
      <c r="BS587" s="136">
        <v>18</v>
      </c>
      <c r="BT587" s="267"/>
      <c r="BU587" s="267">
        <f t="shared" si="62"/>
        <v>5</v>
      </c>
      <c r="BV587" s="267">
        <f t="shared" si="59"/>
        <v>5</v>
      </c>
      <c r="BW587" s="267">
        <f t="shared" si="60"/>
        <v>5</v>
      </c>
      <c r="BX587" s="267">
        <f t="shared" si="61"/>
        <v>5</v>
      </c>
      <c r="BY587" s="267"/>
      <c r="BZ587" s="267"/>
      <c r="CA587" s="267"/>
      <c r="CB587" s="267"/>
      <c r="CC587" s="267"/>
      <c r="CD587" s="267"/>
      <c r="CE587" s="267"/>
      <c r="CF587" s="267"/>
      <c r="CG587" s="267"/>
      <c r="CH587" s="267"/>
      <c r="CI587" s="267"/>
      <c r="CJ587" s="267"/>
      <c r="CK587" s="267"/>
      <c r="CL587" s="267"/>
      <c r="CM587" s="267"/>
      <c r="CN587" s="101">
        <f t="shared" si="57"/>
        <v>20</v>
      </c>
      <c r="CO587" s="101">
        <f t="shared" si="58"/>
        <v>20</v>
      </c>
    </row>
    <row r="588" spans="1:93" ht="13.9" customHeight="1" x14ac:dyDescent="0.2">
      <c r="A588" s="149">
        <v>7367</v>
      </c>
      <c r="B588" s="150" t="s">
        <v>1216</v>
      </c>
      <c r="C588" s="150" t="s">
        <v>1698</v>
      </c>
      <c r="D588" s="150" t="s">
        <v>1699</v>
      </c>
      <c r="E588" s="150" t="s">
        <v>1527</v>
      </c>
      <c r="F588" s="149">
        <v>525438</v>
      </c>
      <c r="G588" s="149">
        <v>173644</v>
      </c>
      <c r="H588" s="150" t="s">
        <v>169</v>
      </c>
      <c r="I588" s="151"/>
      <c r="J588" s="151"/>
      <c r="K588" s="149">
        <v>1</v>
      </c>
      <c r="L588" s="149">
        <v>3</v>
      </c>
      <c r="M588" s="149">
        <v>2</v>
      </c>
      <c r="N588" s="149">
        <v>23</v>
      </c>
      <c r="O588" s="149">
        <v>22</v>
      </c>
      <c r="P588" s="152" t="s">
        <v>327</v>
      </c>
      <c r="Q588" s="150" t="s">
        <v>1701</v>
      </c>
      <c r="R588" s="150" t="s">
        <v>329</v>
      </c>
      <c r="S588" s="151">
        <v>43915</v>
      </c>
      <c r="T588" s="151">
        <v>44603</v>
      </c>
      <c r="U588" s="152"/>
      <c r="V588" s="150" t="s">
        <v>330</v>
      </c>
      <c r="W588" s="151"/>
      <c r="X588" s="150" t="s">
        <v>331</v>
      </c>
      <c r="Y588" s="150" t="s">
        <v>398</v>
      </c>
      <c r="Z588" s="150" t="s">
        <v>343</v>
      </c>
      <c r="AA588" s="150" t="s">
        <v>334</v>
      </c>
      <c r="AB588" s="153">
        <v>2.1999999999999999E-2</v>
      </c>
      <c r="AC588" s="151"/>
      <c r="AD588" s="150"/>
      <c r="AE588" s="151"/>
      <c r="AF588" s="150" t="s">
        <v>70</v>
      </c>
      <c r="AG588" s="152" t="s">
        <v>352</v>
      </c>
      <c r="AH588" s="150" t="s">
        <v>326</v>
      </c>
      <c r="AI588" s="99"/>
      <c r="AJ588" s="149"/>
      <c r="AK588" s="149">
        <v>3</v>
      </c>
      <c r="AL588" s="149"/>
      <c r="AM588" s="99"/>
      <c r="AN588" s="149">
        <v>0</v>
      </c>
      <c r="AO588" s="149">
        <v>0</v>
      </c>
      <c r="AP588" s="149">
        <v>2</v>
      </c>
      <c r="AQ588" s="149">
        <v>0</v>
      </c>
      <c r="AR588" s="149">
        <v>0</v>
      </c>
      <c r="AS588" s="149">
        <v>0</v>
      </c>
      <c r="AT588" s="149">
        <v>0</v>
      </c>
      <c r="AU588" s="149">
        <v>0</v>
      </c>
      <c r="AV588" s="149">
        <v>0</v>
      </c>
      <c r="AW588" s="149">
        <v>3</v>
      </c>
      <c r="AX588" s="149">
        <v>0</v>
      </c>
      <c r="AY588" s="149">
        <v>0</v>
      </c>
      <c r="AZ588" s="149">
        <v>0</v>
      </c>
      <c r="BA588" s="149">
        <v>0</v>
      </c>
      <c r="BB588" s="149">
        <v>0</v>
      </c>
      <c r="BC588" s="149">
        <v>0</v>
      </c>
      <c r="BD588" s="149">
        <v>-1</v>
      </c>
      <c r="BE588" s="149">
        <v>0</v>
      </c>
      <c r="BF588" s="149">
        <v>0</v>
      </c>
      <c r="BG588" s="149">
        <v>0</v>
      </c>
      <c r="BH588" s="149">
        <v>0</v>
      </c>
      <c r="BI588" s="149">
        <v>0</v>
      </c>
      <c r="BJ588" s="149">
        <v>0</v>
      </c>
      <c r="BK588" s="149">
        <v>0</v>
      </c>
      <c r="BL588" s="149">
        <v>0</v>
      </c>
      <c r="BM588" s="149">
        <v>0</v>
      </c>
      <c r="BN588" s="149">
        <v>0</v>
      </c>
      <c r="BO588" s="149">
        <v>0</v>
      </c>
      <c r="BP588" s="152"/>
      <c r="BQ588" s="152"/>
      <c r="BR588" s="154" t="s">
        <v>151</v>
      </c>
      <c r="BS588" s="136">
        <v>18</v>
      </c>
      <c r="BT588" s="267"/>
      <c r="BU588" s="267">
        <f t="shared" si="62"/>
        <v>0.5</v>
      </c>
      <c r="BV588" s="267">
        <f t="shared" si="59"/>
        <v>0.5</v>
      </c>
      <c r="BW588" s="267">
        <f t="shared" si="60"/>
        <v>0.5</v>
      </c>
      <c r="BX588" s="267">
        <f t="shared" si="61"/>
        <v>0.5</v>
      </c>
      <c r="BY588" s="267"/>
      <c r="BZ588" s="267"/>
      <c r="CA588" s="267"/>
      <c r="CB588" s="267"/>
      <c r="CC588" s="267"/>
      <c r="CD588" s="267"/>
      <c r="CE588" s="267"/>
      <c r="CF588" s="267"/>
      <c r="CG588" s="267"/>
      <c r="CH588" s="267"/>
      <c r="CI588" s="267"/>
      <c r="CJ588" s="267"/>
      <c r="CK588" s="267"/>
      <c r="CL588" s="267"/>
      <c r="CM588" s="267"/>
      <c r="CN588" s="101">
        <f t="shared" si="57"/>
        <v>2</v>
      </c>
      <c r="CO588" s="101">
        <f t="shared" si="58"/>
        <v>2</v>
      </c>
    </row>
    <row r="589" spans="1:93" ht="13.9" customHeight="1" x14ac:dyDescent="0.2">
      <c r="A589" s="149">
        <v>4043</v>
      </c>
      <c r="B589" s="150" t="s">
        <v>1216</v>
      </c>
      <c r="C589" s="150" t="s">
        <v>1702</v>
      </c>
      <c r="D589" s="150" t="s">
        <v>1703</v>
      </c>
      <c r="E589" s="150" t="s">
        <v>326</v>
      </c>
      <c r="F589" s="149">
        <v>527663</v>
      </c>
      <c r="G589" s="149">
        <v>174334</v>
      </c>
      <c r="H589" s="150" t="s">
        <v>165</v>
      </c>
      <c r="I589" s="151"/>
      <c r="J589" s="151"/>
      <c r="K589" s="149">
        <v>0</v>
      </c>
      <c r="L589" s="149">
        <v>1</v>
      </c>
      <c r="M589" s="149">
        <v>1</v>
      </c>
      <c r="N589" s="149">
        <v>1</v>
      </c>
      <c r="O589" s="149">
        <v>1</v>
      </c>
      <c r="P589" s="152"/>
      <c r="Q589" s="150" t="s">
        <v>1704</v>
      </c>
      <c r="R589" s="150" t="s">
        <v>407</v>
      </c>
      <c r="S589" s="151">
        <v>43887</v>
      </c>
      <c r="T589" s="151">
        <v>43930</v>
      </c>
      <c r="U589" s="152"/>
      <c r="V589" s="150" t="s">
        <v>330</v>
      </c>
      <c r="W589" s="151"/>
      <c r="X589" s="150" t="s">
        <v>331</v>
      </c>
      <c r="Y589" s="150" t="s">
        <v>332</v>
      </c>
      <c r="Z589" s="150" t="s">
        <v>334</v>
      </c>
      <c r="AA589" s="150" t="s">
        <v>26</v>
      </c>
      <c r="AB589" s="153">
        <v>4.0000000000000001E-3</v>
      </c>
      <c r="AC589" s="151"/>
      <c r="AD589" s="150"/>
      <c r="AE589" s="151"/>
      <c r="AF589" s="150" t="s">
        <v>70</v>
      </c>
      <c r="AG589" s="152" t="s">
        <v>352</v>
      </c>
      <c r="AH589" s="150" t="s">
        <v>326</v>
      </c>
      <c r="AI589" s="99"/>
      <c r="AJ589" s="149"/>
      <c r="AK589" s="99"/>
      <c r="AL589" s="149"/>
      <c r="AM589" s="99"/>
      <c r="AN589" s="149">
        <v>0</v>
      </c>
      <c r="AO589" s="149">
        <v>0</v>
      </c>
      <c r="AP589" s="149">
        <v>1</v>
      </c>
      <c r="AQ589" s="149">
        <v>0</v>
      </c>
      <c r="AR589" s="149">
        <v>0</v>
      </c>
      <c r="AS589" s="149">
        <v>0</v>
      </c>
      <c r="AT589" s="149">
        <v>0</v>
      </c>
      <c r="AU589" s="149">
        <v>0</v>
      </c>
      <c r="AV589" s="149">
        <v>0</v>
      </c>
      <c r="AW589" s="149">
        <v>1</v>
      </c>
      <c r="AX589" s="149">
        <v>0</v>
      </c>
      <c r="AY589" s="149">
        <v>0</v>
      </c>
      <c r="AZ589" s="149">
        <v>0</v>
      </c>
      <c r="BA589" s="149">
        <v>0</v>
      </c>
      <c r="BB589" s="149">
        <v>0</v>
      </c>
      <c r="BC589" s="149">
        <v>0</v>
      </c>
      <c r="BD589" s="149">
        <v>0</v>
      </c>
      <c r="BE589" s="149">
        <v>0</v>
      </c>
      <c r="BF589" s="149">
        <v>0</v>
      </c>
      <c r="BG589" s="149">
        <v>0</v>
      </c>
      <c r="BH589" s="149">
        <v>0</v>
      </c>
      <c r="BI589" s="149">
        <v>0</v>
      </c>
      <c r="BJ589" s="149">
        <v>0</v>
      </c>
      <c r="BK589" s="149">
        <v>0</v>
      </c>
      <c r="BL589" s="149">
        <v>0</v>
      </c>
      <c r="BM589" s="149">
        <v>0</v>
      </c>
      <c r="BN589" s="149">
        <v>0</v>
      </c>
      <c r="BO589" s="149">
        <v>0</v>
      </c>
      <c r="BP589" s="152"/>
      <c r="BQ589" s="152"/>
      <c r="BR589" s="154" t="s">
        <v>359</v>
      </c>
      <c r="BS589" s="136">
        <v>15</v>
      </c>
      <c r="BT589" s="267"/>
      <c r="BU589" s="267">
        <f t="shared" si="62"/>
        <v>0.25</v>
      </c>
      <c r="BV589" s="267">
        <f t="shared" si="59"/>
        <v>0.25</v>
      </c>
      <c r="BW589" s="267">
        <f t="shared" si="60"/>
        <v>0.25</v>
      </c>
      <c r="BX589" s="267">
        <f t="shared" si="61"/>
        <v>0.25</v>
      </c>
      <c r="BY589" s="267"/>
      <c r="BZ589" s="267"/>
      <c r="CA589" s="267"/>
      <c r="CB589" s="267"/>
      <c r="CC589" s="267"/>
      <c r="CD589" s="267"/>
      <c r="CE589" s="267"/>
      <c r="CF589" s="267"/>
      <c r="CG589" s="267"/>
      <c r="CH589" s="267"/>
      <c r="CI589" s="267"/>
      <c r="CJ589" s="267"/>
      <c r="CK589" s="267"/>
      <c r="CL589" s="267"/>
      <c r="CM589" s="267"/>
      <c r="CN589" s="101">
        <f t="shared" si="57"/>
        <v>1</v>
      </c>
      <c r="CO589" s="101">
        <f t="shared" si="58"/>
        <v>1</v>
      </c>
    </row>
    <row r="590" spans="1:93" ht="13.9" customHeight="1" x14ac:dyDescent="0.2">
      <c r="A590" s="149">
        <v>7358</v>
      </c>
      <c r="B590" s="150" t="s">
        <v>1216</v>
      </c>
      <c r="C590" s="150" t="s">
        <v>1705</v>
      </c>
      <c r="D590" s="150" t="s">
        <v>1706</v>
      </c>
      <c r="E590" s="150" t="s">
        <v>326</v>
      </c>
      <c r="F590" s="149">
        <v>526467</v>
      </c>
      <c r="G590" s="149">
        <v>175725</v>
      </c>
      <c r="H590" s="150" t="s">
        <v>170</v>
      </c>
      <c r="I590" s="151"/>
      <c r="J590" s="151"/>
      <c r="K590" s="149">
        <v>0</v>
      </c>
      <c r="L590" s="149">
        <v>6</v>
      </c>
      <c r="M590" s="149">
        <v>6</v>
      </c>
      <c r="N590" s="149">
        <v>6</v>
      </c>
      <c r="O590" s="149">
        <v>6</v>
      </c>
      <c r="P590" s="152"/>
      <c r="Q590" s="150" t="s">
        <v>1707</v>
      </c>
      <c r="R590" s="150" t="s">
        <v>427</v>
      </c>
      <c r="S590" s="151">
        <v>43895</v>
      </c>
      <c r="T590" s="151">
        <v>43938</v>
      </c>
      <c r="U590" s="152"/>
      <c r="V590" s="150" t="s">
        <v>330</v>
      </c>
      <c r="W590" s="151"/>
      <c r="X590" s="150" t="s">
        <v>331</v>
      </c>
      <c r="Y590" s="150" t="s">
        <v>332</v>
      </c>
      <c r="Z590" s="150" t="s">
        <v>334</v>
      </c>
      <c r="AA590" s="150" t="s">
        <v>29</v>
      </c>
      <c r="AB590" s="153">
        <v>1.4999999999999999E-2</v>
      </c>
      <c r="AC590" s="151"/>
      <c r="AD590" s="150"/>
      <c r="AE590" s="151"/>
      <c r="AF590" s="150" t="s">
        <v>70</v>
      </c>
      <c r="AG590" s="152" t="s">
        <v>352</v>
      </c>
      <c r="AH590" s="150" t="s">
        <v>326</v>
      </c>
      <c r="AI590" s="99"/>
      <c r="AJ590" s="149"/>
      <c r="AK590" s="99"/>
      <c r="AL590" s="149"/>
      <c r="AM590" s="99"/>
      <c r="AN590" s="149">
        <v>0</v>
      </c>
      <c r="AO590" s="149">
        <v>3</v>
      </c>
      <c r="AP590" s="149">
        <v>3</v>
      </c>
      <c r="AQ590" s="149">
        <v>0</v>
      </c>
      <c r="AR590" s="149">
        <v>0</v>
      </c>
      <c r="AS590" s="149">
        <v>0</v>
      </c>
      <c r="AT590" s="149">
        <v>0</v>
      </c>
      <c r="AU590" s="149">
        <v>0</v>
      </c>
      <c r="AV590" s="149">
        <v>3</v>
      </c>
      <c r="AW590" s="149">
        <v>3</v>
      </c>
      <c r="AX590" s="149">
        <v>0</v>
      </c>
      <c r="AY590" s="149">
        <v>0</v>
      </c>
      <c r="AZ590" s="149">
        <v>0</v>
      </c>
      <c r="BA590" s="149">
        <v>0</v>
      </c>
      <c r="BB590" s="149">
        <v>0</v>
      </c>
      <c r="BC590" s="149">
        <v>0</v>
      </c>
      <c r="BD590" s="149">
        <v>0</v>
      </c>
      <c r="BE590" s="149">
        <v>0</v>
      </c>
      <c r="BF590" s="149">
        <v>0</v>
      </c>
      <c r="BG590" s="149">
        <v>0</v>
      </c>
      <c r="BH590" s="149">
        <v>0</v>
      </c>
      <c r="BI590" s="149">
        <v>0</v>
      </c>
      <c r="BJ590" s="149">
        <v>0</v>
      </c>
      <c r="BK590" s="149">
        <v>0</v>
      </c>
      <c r="BL590" s="149">
        <v>0</v>
      </c>
      <c r="BM590" s="149">
        <v>0</v>
      </c>
      <c r="BN590" s="149">
        <v>0</v>
      </c>
      <c r="BO590" s="149">
        <v>0</v>
      </c>
      <c r="BP590" s="152"/>
      <c r="BQ590" s="152"/>
      <c r="BR590" s="154" t="s">
        <v>408</v>
      </c>
      <c r="BS590" s="136">
        <v>18</v>
      </c>
      <c r="BT590" s="267"/>
      <c r="BU590" s="267">
        <f t="shared" si="62"/>
        <v>1.5</v>
      </c>
      <c r="BV590" s="267">
        <f t="shared" si="59"/>
        <v>1.5</v>
      </c>
      <c r="BW590" s="267">
        <f t="shared" si="60"/>
        <v>1.5</v>
      </c>
      <c r="BX590" s="267">
        <f t="shared" si="61"/>
        <v>1.5</v>
      </c>
      <c r="BY590" s="267"/>
      <c r="BZ590" s="267"/>
      <c r="CA590" s="267"/>
      <c r="CB590" s="267"/>
      <c r="CC590" s="267"/>
      <c r="CD590" s="267"/>
      <c r="CE590" s="267"/>
      <c r="CF590" s="267"/>
      <c r="CG590" s="267"/>
      <c r="CH590" s="267"/>
      <c r="CI590" s="267"/>
      <c r="CJ590" s="267"/>
      <c r="CK590" s="267"/>
      <c r="CL590" s="267"/>
      <c r="CM590" s="267"/>
      <c r="CN590" s="101">
        <f t="shared" si="57"/>
        <v>6</v>
      </c>
      <c r="CO590" s="101">
        <f t="shared" si="58"/>
        <v>6</v>
      </c>
    </row>
    <row r="591" spans="1:93" ht="13.9" customHeight="1" x14ac:dyDescent="0.2">
      <c r="A591" s="149">
        <v>5802</v>
      </c>
      <c r="B591" s="150" t="s">
        <v>1216</v>
      </c>
      <c r="C591" s="150" t="s">
        <v>1708</v>
      </c>
      <c r="D591" s="150" t="s">
        <v>1709</v>
      </c>
      <c r="E591" s="150" t="s">
        <v>326</v>
      </c>
      <c r="F591" s="149">
        <v>526505</v>
      </c>
      <c r="G591" s="149">
        <v>175773</v>
      </c>
      <c r="H591" s="150" t="s">
        <v>170</v>
      </c>
      <c r="I591" s="151"/>
      <c r="J591" s="151"/>
      <c r="K591" s="149">
        <v>0</v>
      </c>
      <c r="L591" s="149">
        <v>11</v>
      </c>
      <c r="M591" s="149">
        <v>11</v>
      </c>
      <c r="N591" s="149">
        <v>11</v>
      </c>
      <c r="O591" s="149">
        <v>11</v>
      </c>
      <c r="P591" s="152" t="s">
        <v>327</v>
      </c>
      <c r="Q591" s="150" t="s">
        <v>1710</v>
      </c>
      <c r="R591" s="150" t="s">
        <v>427</v>
      </c>
      <c r="S591" s="151">
        <v>43887</v>
      </c>
      <c r="T591" s="151">
        <v>43938</v>
      </c>
      <c r="U591" s="152"/>
      <c r="V591" s="150" t="s">
        <v>330</v>
      </c>
      <c r="W591" s="151"/>
      <c r="X591" s="150" t="s">
        <v>331</v>
      </c>
      <c r="Y591" s="150" t="s">
        <v>332</v>
      </c>
      <c r="Z591" s="150" t="s">
        <v>931</v>
      </c>
      <c r="AA591" s="150" t="s">
        <v>334</v>
      </c>
      <c r="AB591" s="153">
        <v>1.2999999999999999E-2</v>
      </c>
      <c r="AC591" s="151"/>
      <c r="AD591" s="150"/>
      <c r="AE591" s="151"/>
      <c r="AF591" s="150" t="s">
        <v>70</v>
      </c>
      <c r="AG591" s="152" t="s">
        <v>352</v>
      </c>
      <c r="AH591" s="150" t="s">
        <v>792</v>
      </c>
      <c r="AI591" s="99"/>
      <c r="AJ591" s="149"/>
      <c r="AK591" s="99"/>
      <c r="AL591" s="149"/>
      <c r="AM591" s="99"/>
      <c r="AN591" s="149">
        <v>0</v>
      </c>
      <c r="AO591" s="149">
        <v>7</v>
      </c>
      <c r="AP591" s="149">
        <v>4</v>
      </c>
      <c r="AQ591" s="149">
        <v>0</v>
      </c>
      <c r="AR591" s="149">
        <v>0</v>
      </c>
      <c r="AS591" s="149">
        <v>0</v>
      </c>
      <c r="AT591" s="149">
        <v>0</v>
      </c>
      <c r="AU591" s="149">
        <v>0</v>
      </c>
      <c r="AV591" s="149">
        <v>7</v>
      </c>
      <c r="AW591" s="149">
        <v>4</v>
      </c>
      <c r="AX591" s="149">
        <v>0</v>
      </c>
      <c r="AY591" s="149">
        <v>0</v>
      </c>
      <c r="AZ591" s="149">
        <v>0</v>
      </c>
      <c r="BA591" s="149">
        <v>0</v>
      </c>
      <c r="BB591" s="149">
        <v>0</v>
      </c>
      <c r="BC591" s="149">
        <v>0</v>
      </c>
      <c r="BD591" s="149">
        <v>0</v>
      </c>
      <c r="BE591" s="149">
        <v>0</v>
      </c>
      <c r="BF591" s="149">
        <v>0</v>
      </c>
      <c r="BG591" s="149">
        <v>0</v>
      </c>
      <c r="BH591" s="149">
        <v>0</v>
      </c>
      <c r="BI591" s="149">
        <v>0</v>
      </c>
      <c r="BJ591" s="149">
        <v>0</v>
      </c>
      <c r="BK591" s="149">
        <v>0</v>
      </c>
      <c r="BL591" s="149">
        <v>0</v>
      </c>
      <c r="BM591" s="149">
        <v>0</v>
      </c>
      <c r="BN591" s="149">
        <v>0</v>
      </c>
      <c r="BO591" s="149">
        <v>0</v>
      </c>
      <c r="BP591" s="152"/>
      <c r="BQ591" s="152"/>
      <c r="BR591" s="154" t="s">
        <v>408</v>
      </c>
      <c r="BS591" s="136">
        <v>18</v>
      </c>
      <c r="BT591" s="267"/>
      <c r="BU591" s="267">
        <f t="shared" si="62"/>
        <v>2.75</v>
      </c>
      <c r="BV591" s="267">
        <f t="shared" si="59"/>
        <v>2.75</v>
      </c>
      <c r="BW591" s="267">
        <f t="shared" si="60"/>
        <v>2.75</v>
      </c>
      <c r="BX591" s="267">
        <f t="shared" si="61"/>
        <v>2.75</v>
      </c>
      <c r="BY591" s="267"/>
      <c r="BZ591" s="267"/>
      <c r="CA591" s="267"/>
      <c r="CB591" s="267"/>
      <c r="CC591" s="267"/>
      <c r="CD591" s="267"/>
      <c r="CE591" s="267"/>
      <c r="CF591" s="267"/>
      <c r="CG591" s="267"/>
      <c r="CH591" s="267"/>
      <c r="CI591" s="267"/>
      <c r="CJ591" s="267"/>
      <c r="CK591" s="267"/>
      <c r="CL591" s="267"/>
      <c r="CM591" s="267"/>
      <c r="CN591" s="101">
        <f t="shared" si="57"/>
        <v>11</v>
      </c>
      <c r="CO591" s="101">
        <f t="shared" si="58"/>
        <v>11</v>
      </c>
    </row>
    <row r="592" spans="1:93" ht="13.9" customHeight="1" x14ac:dyDescent="0.2">
      <c r="A592" s="149">
        <v>5801</v>
      </c>
      <c r="B592" s="150" t="s">
        <v>1216</v>
      </c>
      <c r="C592" s="150" t="s">
        <v>1711</v>
      </c>
      <c r="D592" s="150" t="s">
        <v>1712</v>
      </c>
      <c r="E592" s="150" t="s">
        <v>326</v>
      </c>
      <c r="F592" s="149">
        <v>526534</v>
      </c>
      <c r="G592" s="149">
        <v>175822</v>
      </c>
      <c r="H592" s="150" t="s">
        <v>170</v>
      </c>
      <c r="I592" s="151"/>
      <c r="J592" s="151"/>
      <c r="K592" s="149">
        <v>0</v>
      </c>
      <c r="L592" s="149">
        <v>1</v>
      </c>
      <c r="M592" s="149">
        <v>1</v>
      </c>
      <c r="N592" s="149">
        <v>1</v>
      </c>
      <c r="O592" s="149">
        <v>1</v>
      </c>
      <c r="P592" s="152"/>
      <c r="Q592" s="150" t="s">
        <v>1713</v>
      </c>
      <c r="R592" s="150" t="s">
        <v>427</v>
      </c>
      <c r="S592" s="151">
        <v>43892</v>
      </c>
      <c r="T592" s="151">
        <v>43938</v>
      </c>
      <c r="U592" s="152"/>
      <c r="V592" s="150" t="s">
        <v>330</v>
      </c>
      <c r="W592" s="151"/>
      <c r="X592" s="150" t="s">
        <v>331</v>
      </c>
      <c r="Y592" s="150" t="s">
        <v>332</v>
      </c>
      <c r="Z592" s="150" t="s">
        <v>334</v>
      </c>
      <c r="AA592" s="150" t="s">
        <v>29</v>
      </c>
      <c r="AB592" s="153">
        <v>4.0000000000000001E-3</v>
      </c>
      <c r="AC592" s="151"/>
      <c r="AD592" s="150"/>
      <c r="AE592" s="151"/>
      <c r="AF592" s="150" t="s">
        <v>48</v>
      </c>
      <c r="AG592" s="152" t="s">
        <v>992</v>
      </c>
      <c r="AH592" s="150" t="s">
        <v>792</v>
      </c>
      <c r="AI592" s="99"/>
      <c r="AJ592" s="149"/>
      <c r="AK592" s="99"/>
      <c r="AL592" s="149"/>
      <c r="AM592" s="99"/>
      <c r="AN592" s="149">
        <v>0</v>
      </c>
      <c r="AO592" s="149">
        <v>1</v>
      </c>
      <c r="AP592" s="149">
        <v>0</v>
      </c>
      <c r="AQ592" s="149">
        <v>0</v>
      </c>
      <c r="AR592" s="149">
        <v>0</v>
      </c>
      <c r="AS592" s="149">
        <v>0</v>
      </c>
      <c r="AT592" s="149">
        <v>0</v>
      </c>
      <c r="AU592" s="149">
        <v>0</v>
      </c>
      <c r="AV592" s="149">
        <v>1</v>
      </c>
      <c r="AW592" s="149">
        <v>0</v>
      </c>
      <c r="AX592" s="149">
        <v>0</v>
      </c>
      <c r="AY592" s="149">
        <v>0</v>
      </c>
      <c r="AZ592" s="149">
        <v>0</v>
      </c>
      <c r="BA592" s="149">
        <v>0</v>
      </c>
      <c r="BB592" s="149">
        <v>0</v>
      </c>
      <c r="BC592" s="149">
        <v>0</v>
      </c>
      <c r="BD592" s="149">
        <v>0</v>
      </c>
      <c r="BE592" s="149">
        <v>0</v>
      </c>
      <c r="BF592" s="149">
        <v>0</v>
      </c>
      <c r="BG592" s="149">
        <v>0</v>
      </c>
      <c r="BH592" s="149">
        <v>0</v>
      </c>
      <c r="BI592" s="149">
        <v>0</v>
      </c>
      <c r="BJ592" s="149">
        <v>0</v>
      </c>
      <c r="BK592" s="149">
        <v>0</v>
      </c>
      <c r="BL592" s="149">
        <v>0</v>
      </c>
      <c r="BM592" s="149">
        <v>0</v>
      </c>
      <c r="BN592" s="149">
        <v>0</v>
      </c>
      <c r="BO592" s="149">
        <v>0</v>
      </c>
      <c r="BP592" s="152"/>
      <c r="BQ592" s="152"/>
      <c r="BR592" s="154" t="s">
        <v>408</v>
      </c>
      <c r="BS592" s="136">
        <v>15</v>
      </c>
      <c r="BT592" s="267"/>
      <c r="BU592" s="267">
        <f t="shared" si="62"/>
        <v>0.25</v>
      </c>
      <c r="BV592" s="267">
        <f t="shared" si="59"/>
        <v>0.25</v>
      </c>
      <c r="BW592" s="267">
        <f t="shared" si="60"/>
        <v>0.25</v>
      </c>
      <c r="BX592" s="267">
        <f t="shared" si="61"/>
        <v>0.25</v>
      </c>
      <c r="BY592" s="267"/>
      <c r="BZ592" s="267"/>
      <c r="CA592" s="267"/>
      <c r="CB592" s="267"/>
      <c r="CC592" s="267"/>
      <c r="CD592" s="267"/>
      <c r="CE592" s="267"/>
      <c r="CF592" s="267"/>
      <c r="CG592" s="267"/>
      <c r="CH592" s="267"/>
      <c r="CI592" s="267"/>
      <c r="CJ592" s="267"/>
      <c r="CK592" s="267"/>
      <c r="CL592" s="267"/>
      <c r="CM592" s="267"/>
      <c r="CN592" s="101">
        <f t="shared" si="57"/>
        <v>1</v>
      </c>
      <c r="CO592" s="101">
        <f t="shared" si="58"/>
        <v>1</v>
      </c>
    </row>
    <row r="593" spans="1:93" ht="13.9" customHeight="1" x14ac:dyDescent="0.2">
      <c r="A593" s="149">
        <v>5605</v>
      </c>
      <c r="B593" s="150" t="s">
        <v>1216</v>
      </c>
      <c r="C593" s="150" t="s">
        <v>1714</v>
      </c>
      <c r="D593" s="150" t="s">
        <v>1715</v>
      </c>
      <c r="E593" s="150" t="s">
        <v>326</v>
      </c>
      <c r="F593" s="149">
        <v>526468</v>
      </c>
      <c r="G593" s="149">
        <v>175725</v>
      </c>
      <c r="H593" s="150" t="s">
        <v>170</v>
      </c>
      <c r="I593" s="151"/>
      <c r="J593" s="151"/>
      <c r="K593" s="149">
        <v>0</v>
      </c>
      <c r="L593" s="149">
        <v>1</v>
      </c>
      <c r="M593" s="149">
        <v>1</v>
      </c>
      <c r="N593" s="149">
        <v>1</v>
      </c>
      <c r="O593" s="149">
        <v>1</v>
      </c>
      <c r="P593" s="152"/>
      <c r="Q593" s="150" t="s">
        <v>1716</v>
      </c>
      <c r="R593" s="150" t="s">
        <v>427</v>
      </c>
      <c r="S593" s="151">
        <v>43895</v>
      </c>
      <c r="T593" s="151">
        <v>43938</v>
      </c>
      <c r="U593" s="152"/>
      <c r="V593" s="150" t="s">
        <v>330</v>
      </c>
      <c r="W593" s="151"/>
      <c r="X593" s="150" t="s">
        <v>331</v>
      </c>
      <c r="Y593" s="150" t="s">
        <v>332</v>
      </c>
      <c r="Z593" s="150" t="s">
        <v>334</v>
      </c>
      <c r="AA593" s="150" t="s">
        <v>29</v>
      </c>
      <c r="AB593" s="153">
        <v>6.0000000000000001E-3</v>
      </c>
      <c r="AC593" s="151"/>
      <c r="AD593" s="150"/>
      <c r="AE593" s="151"/>
      <c r="AF593" s="150" t="s">
        <v>70</v>
      </c>
      <c r="AG593" s="152" t="s">
        <v>352</v>
      </c>
      <c r="AH593" s="150" t="s">
        <v>792</v>
      </c>
      <c r="AI593" s="99"/>
      <c r="AJ593" s="149"/>
      <c r="AK593" s="99"/>
      <c r="AL593" s="149"/>
      <c r="AM593" s="99"/>
      <c r="AN593" s="149">
        <v>0</v>
      </c>
      <c r="AO593" s="149">
        <v>0</v>
      </c>
      <c r="AP593" s="149">
        <v>1</v>
      </c>
      <c r="AQ593" s="149">
        <v>0</v>
      </c>
      <c r="AR593" s="149">
        <v>0</v>
      </c>
      <c r="AS593" s="149">
        <v>0</v>
      </c>
      <c r="AT593" s="149">
        <v>0</v>
      </c>
      <c r="AU593" s="149">
        <v>0</v>
      </c>
      <c r="AV593" s="149">
        <v>0</v>
      </c>
      <c r="AW593" s="149">
        <v>1</v>
      </c>
      <c r="AX593" s="149">
        <v>0</v>
      </c>
      <c r="AY593" s="149">
        <v>0</v>
      </c>
      <c r="AZ593" s="149">
        <v>0</v>
      </c>
      <c r="BA593" s="149">
        <v>0</v>
      </c>
      <c r="BB593" s="149">
        <v>0</v>
      </c>
      <c r="BC593" s="149">
        <v>0</v>
      </c>
      <c r="BD593" s="149">
        <v>0</v>
      </c>
      <c r="BE593" s="149">
        <v>0</v>
      </c>
      <c r="BF593" s="149">
        <v>0</v>
      </c>
      <c r="BG593" s="149">
        <v>0</v>
      </c>
      <c r="BH593" s="149">
        <v>0</v>
      </c>
      <c r="BI593" s="149">
        <v>0</v>
      </c>
      <c r="BJ593" s="149">
        <v>0</v>
      </c>
      <c r="BK593" s="149">
        <v>0</v>
      </c>
      <c r="BL593" s="149">
        <v>0</v>
      </c>
      <c r="BM593" s="149">
        <v>0</v>
      </c>
      <c r="BN593" s="149">
        <v>0</v>
      </c>
      <c r="BO593" s="149">
        <v>0</v>
      </c>
      <c r="BP593" s="152"/>
      <c r="BQ593" s="152"/>
      <c r="BR593" s="154" t="s">
        <v>408</v>
      </c>
      <c r="BS593" s="136">
        <v>15</v>
      </c>
      <c r="BT593" s="267"/>
      <c r="BU593" s="267">
        <f t="shared" si="62"/>
        <v>0.25</v>
      </c>
      <c r="BV593" s="267">
        <f t="shared" si="59"/>
        <v>0.25</v>
      </c>
      <c r="BW593" s="267">
        <f t="shared" si="60"/>
        <v>0.25</v>
      </c>
      <c r="BX593" s="267">
        <f t="shared" si="61"/>
        <v>0.25</v>
      </c>
      <c r="BY593" s="267"/>
      <c r="BZ593" s="267"/>
      <c r="CA593" s="267"/>
      <c r="CB593" s="267"/>
      <c r="CC593" s="267"/>
      <c r="CD593" s="267"/>
      <c r="CE593" s="267"/>
      <c r="CF593" s="267"/>
      <c r="CG593" s="267"/>
      <c r="CH593" s="267"/>
      <c r="CI593" s="267"/>
      <c r="CJ593" s="267"/>
      <c r="CK593" s="267"/>
      <c r="CL593" s="267"/>
      <c r="CM593" s="267"/>
      <c r="CN593" s="101">
        <f t="shared" si="57"/>
        <v>1</v>
      </c>
      <c r="CO593" s="101">
        <f t="shared" si="58"/>
        <v>1</v>
      </c>
    </row>
    <row r="594" spans="1:93" ht="13.9" customHeight="1" x14ac:dyDescent="0.2">
      <c r="A594" s="149">
        <v>5800</v>
      </c>
      <c r="B594" s="150" t="s">
        <v>1216</v>
      </c>
      <c r="C594" s="150" t="s">
        <v>1717</v>
      </c>
      <c r="D594" s="150" t="s">
        <v>1718</v>
      </c>
      <c r="E594" s="150" t="s">
        <v>326</v>
      </c>
      <c r="F594" s="149">
        <v>526505</v>
      </c>
      <c r="G594" s="149">
        <v>175773</v>
      </c>
      <c r="H594" s="150" t="s">
        <v>170</v>
      </c>
      <c r="I594" s="151"/>
      <c r="J594" s="151"/>
      <c r="K594" s="149">
        <v>0</v>
      </c>
      <c r="L594" s="149">
        <v>3</v>
      </c>
      <c r="M594" s="149">
        <v>3</v>
      </c>
      <c r="N594" s="149">
        <v>3</v>
      </c>
      <c r="O594" s="149">
        <v>3</v>
      </c>
      <c r="P594" s="152"/>
      <c r="Q594" s="150" t="s">
        <v>1719</v>
      </c>
      <c r="R594" s="150" t="s">
        <v>427</v>
      </c>
      <c r="S594" s="151">
        <v>43895</v>
      </c>
      <c r="T594" s="151">
        <v>43938</v>
      </c>
      <c r="U594" s="152"/>
      <c r="V594" s="150" t="s">
        <v>330</v>
      </c>
      <c r="W594" s="151"/>
      <c r="X594" s="150" t="s">
        <v>331</v>
      </c>
      <c r="Y594" s="150" t="s">
        <v>332</v>
      </c>
      <c r="Z594" s="150" t="s">
        <v>334</v>
      </c>
      <c r="AA594" s="150" t="s">
        <v>29</v>
      </c>
      <c r="AB594" s="153">
        <v>1.2999999999999999E-2</v>
      </c>
      <c r="AC594" s="151"/>
      <c r="AD594" s="150"/>
      <c r="AE594" s="151"/>
      <c r="AF594" s="150" t="s">
        <v>70</v>
      </c>
      <c r="AG594" s="152" t="s">
        <v>352</v>
      </c>
      <c r="AH594" s="150" t="s">
        <v>792</v>
      </c>
      <c r="AI594" s="99"/>
      <c r="AJ594" s="149"/>
      <c r="AK594" s="99"/>
      <c r="AL594" s="149"/>
      <c r="AM594" s="99"/>
      <c r="AN594" s="149">
        <v>0</v>
      </c>
      <c r="AO594" s="149">
        <v>3</v>
      </c>
      <c r="AP594" s="149">
        <v>0</v>
      </c>
      <c r="AQ594" s="149">
        <v>0</v>
      </c>
      <c r="AR594" s="149">
        <v>0</v>
      </c>
      <c r="AS594" s="149">
        <v>0</v>
      </c>
      <c r="AT594" s="149">
        <v>0</v>
      </c>
      <c r="AU594" s="149">
        <v>0</v>
      </c>
      <c r="AV594" s="149">
        <v>3</v>
      </c>
      <c r="AW594" s="149">
        <v>0</v>
      </c>
      <c r="AX594" s="149">
        <v>0</v>
      </c>
      <c r="AY594" s="149">
        <v>0</v>
      </c>
      <c r="AZ594" s="149">
        <v>0</v>
      </c>
      <c r="BA594" s="149">
        <v>0</v>
      </c>
      <c r="BB594" s="149">
        <v>0</v>
      </c>
      <c r="BC594" s="149">
        <v>0</v>
      </c>
      <c r="BD594" s="149">
        <v>0</v>
      </c>
      <c r="BE594" s="149">
        <v>0</v>
      </c>
      <c r="BF594" s="149">
        <v>0</v>
      </c>
      <c r="BG594" s="149">
        <v>0</v>
      </c>
      <c r="BH594" s="149">
        <v>0</v>
      </c>
      <c r="BI594" s="149">
        <v>0</v>
      </c>
      <c r="BJ594" s="149">
        <v>0</v>
      </c>
      <c r="BK594" s="149">
        <v>0</v>
      </c>
      <c r="BL594" s="149">
        <v>0</v>
      </c>
      <c r="BM594" s="149">
        <v>0</v>
      </c>
      <c r="BN594" s="149">
        <v>0</v>
      </c>
      <c r="BO594" s="149">
        <v>0</v>
      </c>
      <c r="BP594" s="152"/>
      <c r="BQ594" s="152"/>
      <c r="BR594" s="154" t="s">
        <v>408</v>
      </c>
      <c r="BS594" s="136">
        <v>15</v>
      </c>
      <c r="BT594" s="267"/>
      <c r="BU594" s="267">
        <f t="shared" si="62"/>
        <v>0.75</v>
      </c>
      <c r="BV594" s="267">
        <f t="shared" si="59"/>
        <v>0.75</v>
      </c>
      <c r="BW594" s="267">
        <f t="shared" si="60"/>
        <v>0.75</v>
      </c>
      <c r="BX594" s="267">
        <f t="shared" si="61"/>
        <v>0.75</v>
      </c>
      <c r="BY594" s="267"/>
      <c r="BZ594" s="267"/>
      <c r="CA594" s="267"/>
      <c r="CB594" s="267"/>
      <c r="CC594" s="267"/>
      <c r="CD594" s="267"/>
      <c r="CE594" s="267"/>
      <c r="CF594" s="267"/>
      <c r="CG594" s="267"/>
      <c r="CH594" s="267"/>
      <c r="CI594" s="267"/>
      <c r="CJ594" s="267"/>
      <c r="CK594" s="267"/>
      <c r="CL594" s="267"/>
      <c r="CM594" s="267"/>
      <c r="CN594" s="101">
        <f t="shared" si="57"/>
        <v>3</v>
      </c>
      <c r="CO594" s="101">
        <f t="shared" si="58"/>
        <v>3</v>
      </c>
    </row>
    <row r="595" spans="1:93" ht="13.9" customHeight="1" x14ac:dyDescent="0.2">
      <c r="A595" s="149">
        <v>5803</v>
      </c>
      <c r="B595" s="150" t="s">
        <v>1216</v>
      </c>
      <c r="C595" s="150" t="s">
        <v>1720</v>
      </c>
      <c r="D595" s="150" t="s">
        <v>1721</v>
      </c>
      <c r="E595" s="150" t="s">
        <v>326</v>
      </c>
      <c r="F595" s="149">
        <v>526534</v>
      </c>
      <c r="G595" s="149">
        <v>175822</v>
      </c>
      <c r="H595" s="150" t="s">
        <v>170</v>
      </c>
      <c r="I595" s="151"/>
      <c r="J595" s="151"/>
      <c r="K595" s="149">
        <v>0</v>
      </c>
      <c r="L595" s="149">
        <v>6</v>
      </c>
      <c r="M595" s="149">
        <v>6</v>
      </c>
      <c r="N595" s="149">
        <v>6</v>
      </c>
      <c r="O595" s="149">
        <v>6</v>
      </c>
      <c r="P595" s="152"/>
      <c r="Q595" s="150" t="s">
        <v>1722</v>
      </c>
      <c r="R595" s="150" t="s">
        <v>427</v>
      </c>
      <c r="S595" s="151">
        <v>43892</v>
      </c>
      <c r="T595" s="151">
        <v>43938</v>
      </c>
      <c r="U595" s="152"/>
      <c r="V595" s="150" t="s">
        <v>330</v>
      </c>
      <c r="W595" s="151"/>
      <c r="X595" s="150" t="s">
        <v>331</v>
      </c>
      <c r="Y595" s="150" t="s">
        <v>332</v>
      </c>
      <c r="Z595" s="150" t="s">
        <v>334</v>
      </c>
      <c r="AA595" s="150" t="s">
        <v>29</v>
      </c>
      <c r="AB595" s="153">
        <v>8.0000000000000002E-3</v>
      </c>
      <c r="AC595" s="151"/>
      <c r="AD595" s="150"/>
      <c r="AE595" s="151"/>
      <c r="AF595" s="150" t="s">
        <v>70</v>
      </c>
      <c r="AG595" s="152" t="s">
        <v>352</v>
      </c>
      <c r="AH595" s="150" t="s">
        <v>792</v>
      </c>
      <c r="AI595" s="99"/>
      <c r="AJ595" s="149"/>
      <c r="AK595" s="99"/>
      <c r="AL595" s="149"/>
      <c r="AM595" s="99"/>
      <c r="AN595" s="149">
        <v>0</v>
      </c>
      <c r="AO595" s="149">
        <v>6</v>
      </c>
      <c r="AP595" s="149">
        <v>0</v>
      </c>
      <c r="AQ595" s="149">
        <v>0</v>
      </c>
      <c r="AR595" s="149">
        <v>0</v>
      </c>
      <c r="AS595" s="149">
        <v>0</v>
      </c>
      <c r="AT595" s="149">
        <v>0</v>
      </c>
      <c r="AU595" s="149">
        <v>0</v>
      </c>
      <c r="AV595" s="149">
        <v>6</v>
      </c>
      <c r="AW595" s="149">
        <v>0</v>
      </c>
      <c r="AX595" s="149">
        <v>0</v>
      </c>
      <c r="AY595" s="149">
        <v>0</v>
      </c>
      <c r="AZ595" s="149">
        <v>0</v>
      </c>
      <c r="BA595" s="149">
        <v>0</v>
      </c>
      <c r="BB595" s="149">
        <v>0</v>
      </c>
      <c r="BC595" s="149">
        <v>0</v>
      </c>
      <c r="BD595" s="149">
        <v>0</v>
      </c>
      <c r="BE595" s="149">
        <v>0</v>
      </c>
      <c r="BF595" s="149">
        <v>0</v>
      </c>
      <c r="BG595" s="149">
        <v>0</v>
      </c>
      <c r="BH595" s="149">
        <v>0</v>
      </c>
      <c r="BI595" s="149">
        <v>0</v>
      </c>
      <c r="BJ595" s="149">
        <v>0</v>
      </c>
      <c r="BK595" s="149">
        <v>0</v>
      </c>
      <c r="BL595" s="149">
        <v>0</v>
      </c>
      <c r="BM595" s="149">
        <v>0</v>
      </c>
      <c r="BN595" s="149">
        <v>0</v>
      </c>
      <c r="BO595" s="149">
        <v>0</v>
      </c>
      <c r="BP595" s="152"/>
      <c r="BQ595" s="152"/>
      <c r="BR595" s="154" t="s">
        <v>408</v>
      </c>
      <c r="BS595" s="136">
        <v>18</v>
      </c>
      <c r="BT595" s="267"/>
      <c r="BU595" s="267">
        <f t="shared" si="62"/>
        <v>1.5</v>
      </c>
      <c r="BV595" s="267">
        <f t="shared" si="59"/>
        <v>1.5</v>
      </c>
      <c r="BW595" s="267">
        <f t="shared" si="60"/>
        <v>1.5</v>
      </c>
      <c r="BX595" s="267">
        <f t="shared" si="61"/>
        <v>1.5</v>
      </c>
      <c r="BY595" s="267"/>
      <c r="BZ595" s="267"/>
      <c r="CA595" s="267"/>
      <c r="CB595" s="267"/>
      <c r="CC595" s="267"/>
      <c r="CD595" s="267"/>
      <c r="CE595" s="267"/>
      <c r="CF595" s="267"/>
      <c r="CG595" s="267"/>
      <c r="CH595" s="267"/>
      <c r="CI595" s="267"/>
      <c r="CJ595" s="267"/>
      <c r="CK595" s="267"/>
      <c r="CL595" s="267"/>
      <c r="CM595" s="267"/>
      <c r="CN595" s="101">
        <f t="shared" si="57"/>
        <v>6</v>
      </c>
      <c r="CO595" s="101">
        <f t="shared" si="58"/>
        <v>6</v>
      </c>
    </row>
    <row r="596" spans="1:93" ht="13.9" customHeight="1" x14ac:dyDescent="0.2">
      <c r="A596" s="149">
        <v>5804</v>
      </c>
      <c r="B596" s="150" t="s">
        <v>1216</v>
      </c>
      <c r="C596" s="150" t="s">
        <v>1723</v>
      </c>
      <c r="D596" s="150" t="s">
        <v>1724</v>
      </c>
      <c r="E596" s="150" t="s">
        <v>326</v>
      </c>
      <c r="F596" s="149">
        <v>526485</v>
      </c>
      <c r="G596" s="149">
        <v>175743</v>
      </c>
      <c r="H596" s="150" t="s">
        <v>170</v>
      </c>
      <c r="I596" s="151"/>
      <c r="J596" s="151"/>
      <c r="K596" s="149">
        <v>0</v>
      </c>
      <c r="L596" s="149">
        <v>5</v>
      </c>
      <c r="M596" s="149">
        <v>5</v>
      </c>
      <c r="N596" s="149">
        <v>5</v>
      </c>
      <c r="O596" s="149">
        <v>5</v>
      </c>
      <c r="P596" s="152"/>
      <c r="Q596" s="150" t="s">
        <v>1725</v>
      </c>
      <c r="R596" s="150" t="s">
        <v>427</v>
      </c>
      <c r="S596" s="151">
        <v>43895</v>
      </c>
      <c r="T596" s="151">
        <v>43938</v>
      </c>
      <c r="U596" s="152"/>
      <c r="V596" s="150" t="s">
        <v>330</v>
      </c>
      <c r="W596" s="151"/>
      <c r="X596" s="150" t="s">
        <v>331</v>
      </c>
      <c r="Y596" s="150" t="s">
        <v>332</v>
      </c>
      <c r="Z596" s="150" t="s">
        <v>334</v>
      </c>
      <c r="AA596" s="150" t="s">
        <v>29</v>
      </c>
      <c r="AB596" s="153">
        <v>3.5999999999999997E-2</v>
      </c>
      <c r="AC596" s="151"/>
      <c r="AD596" s="150"/>
      <c r="AE596" s="151"/>
      <c r="AF596" s="150" t="s">
        <v>70</v>
      </c>
      <c r="AG596" s="152" t="s">
        <v>352</v>
      </c>
      <c r="AH596" s="150" t="s">
        <v>792</v>
      </c>
      <c r="AI596" s="99"/>
      <c r="AJ596" s="149"/>
      <c r="AK596" s="99"/>
      <c r="AL596" s="149"/>
      <c r="AM596" s="99"/>
      <c r="AN596" s="149">
        <v>0</v>
      </c>
      <c r="AO596" s="149">
        <v>0</v>
      </c>
      <c r="AP596" s="149">
        <v>0</v>
      </c>
      <c r="AQ596" s="149">
        <v>5</v>
      </c>
      <c r="AR596" s="149">
        <v>0</v>
      </c>
      <c r="AS596" s="149">
        <v>0</v>
      </c>
      <c r="AT596" s="149">
        <v>0</v>
      </c>
      <c r="AU596" s="149">
        <v>0</v>
      </c>
      <c r="AV596" s="149">
        <v>0</v>
      </c>
      <c r="AW596" s="149">
        <v>0</v>
      </c>
      <c r="AX596" s="149">
        <v>5</v>
      </c>
      <c r="AY596" s="149">
        <v>0</v>
      </c>
      <c r="AZ596" s="149">
        <v>0</v>
      </c>
      <c r="BA596" s="149">
        <v>0</v>
      </c>
      <c r="BB596" s="149">
        <v>0</v>
      </c>
      <c r="BC596" s="149">
        <v>0</v>
      </c>
      <c r="BD596" s="149">
        <v>0</v>
      </c>
      <c r="BE596" s="149">
        <v>0</v>
      </c>
      <c r="BF596" s="149">
        <v>0</v>
      </c>
      <c r="BG596" s="149">
        <v>0</v>
      </c>
      <c r="BH596" s="149">
        <v>0</v>
      </c>
      <c r="BI596" s="149">
        <v>0</v>
      </c>
      <c r="BJ596" s="149">
        <v>0</v>
      </c>
      <c r="BK596" s="149">
        <v>0</v>
      </c>
      <c r="BL596" s="149">
        <v>0</v>
      </c>
      <c r="BM596" s="149">
        <v>0</v>
      </c>
      <c r="BN596" s="149">
        <v>0</v>
      </c>
      <c r="BO596" s="149">
        <v>0</v>
      </c>
      <c r="BP596" s="152"/>
      <c r="BQ596" s="152"/>
      <c r="BR596" s="154" t="s">
        <v>408</v>
      </c>
      <c r="BS596" s="136">
        <v>15</v>
      </c>
      <c r="BT596" s="267"/>
      <c r="BU596" s="267">
        <f t="shared" si="62"/>
        <v>1.25</v>
      </c>
      <c r="BV596" s="267">
        <f t="shared" si="59"/>
        <v>1.25</v>
      </c>
      <c r="BW596" s="267">
        <f t="shared" si="60"/>
        <v>1.25</v>
      </c>
      <c r="BX596" s="267">
        <f t="shared" si="61"/>
        <v>1.25</v>
      </c>
      <c r="BY596" s="267"/>
      <c r="BZ596" s="267"/>
      <c r="CA596" s="267"/>
      <c r="CB596" s="267"/>
      <c r="CC596" s="267"/>
      <c r="CD596" s="267"/>
      <c r="CE596" s="267"/>
      <c r="CF596" s="267"/>
      <c r="CG596" s="267"/>
      <c r="CH596" s="267"/>
      <c r="CI596" s="267"/>
      <c r="CJ596" s="267"/>
      <c r="CK596" s="267"/>
      <c r="CL596" s="267"/>
      <c r="CM596" s="267"/>
      <c r="CN596" s="101">
        <f t="shared" si="57"/>
        <v>5</v>
      </c>
      <c r="CO596" s="101">
        <f t="shared" si="58"/>
        <v>5</v>
      </c>
    </row>
    <row r="597" spans="1:93" ht="13.9" customHeight="1" x14ac:dyDescent="0.2">
      <c r="A597" s="149">
        <v>518</v>
      </c>
      <c r="B597" s="150" t="s">
        <v>1216</v>
      </c>
      <c r="C597" s="150" t="s">
        <v>1726</v>
      </c>
      <c r="D597" s="150" t="s">
        <v>1727</v>
      </c>
      <c r="E597" s="150" t="s">
        <v>402</v>
      </c>
      <c r="F597" s="149">
        <v>527485</v>
      </c>
      <c r="G597" s="149">
        <v>171424</v>
      </c>
      <c r="H597" s="150" t="s">
        <v>173</v>
      </c>
      <c r="I597" s="151"/>
      <c r="J597" s="151"/>
      <c r="K597" s="149">
        <v>4</v>
      </c>
      <c r="L597" s="149">
        <v>5</v>
      </c>
      <c r="M597" s="149">
        <v>1</v>
      </c>
      <c r="N597" s="149">
        <v>9</v>
      </c>
      <c r="O597" s="149">
        <v>5</v>
      </c>
      <c r="P597" s="152"/>
      <c r="Q597" s="150" t="s">
        <v>1728</v>
      </c>
      <c r="R597" s="150" t="s">
        <v>349</v>
      </c>
      <c r="S597" s="151">
        <v>43896</v>
      </c>
      <c r="T597" s="151">
        <v>44013</v>
      </c>
      <c r="U597" s="152"/>
      <c r="V597" s="150" t="s">
        <v>330</v>
      </c>
      <c r="W597" s="151"/>
      <c r="X597" s="150" t="s">
        <v>331</v>
      </c>
      <c r="Y597" s="150" t="s">
        <v>398</v>
      </c>
      <c r="Z597" s="150" t="s">
        <v>334</v>
      </c>
      <c r="AA597" s="150" t="s">
        <v>399</v>
      </c>
      <c r="AB597" s="153">
        <v>1.2E-2</v>
      </c>
      <c r="AC597" s="151"/>
      <c r="AD597" s="150"/>
      <c r="AE597" s="151"/>
      <c r="AF597" s="150" t="s">
        <v>70</v>
      </c>
      <c r="AG597" s="152" t="s">
        <v>352</v>
      </c>
      <c r="AH597" s="150" t="s">
        <v>326</v>
      </c>
      <c r="AI597" s="99"/>
      <c r="AJ597" s="149"/>
      <c r="AK597" s="99"/>
      <c r="AL597" s="149"/>
      <c r="AM597" s="99"/>
      <c r="AN597" s="149">
        <v>0</v>
      </c>
      <c r="AO597" s="149">
        <v>2</v>
      </c>
      <c r="AP597" s="149">
        <v>-2</v>
      </c>
      <c r="AQ597" s="149">
        <v>1</v>
      </c>
      <c r="AR597" s="149">
        <v>0</v>
      </c>
      <c r="AS597" s="149">
        <v>0</v>
      </c>
      <c r="AT597" s="149">
        <v>0</v>
      </c>
      <c r="AU597" s="149">
        <v>0</v>
      </c>
      <c r="AV597" s="149">
        <v>2</v>
      </c>
      <c r="AW597" s="149">
        <v>-2</v>
      </c>
      <c r="AX597" s="149">
        <v>1</v>
      </c>
      <c r="AY597" s="149">
        <v>0</v>
      </c>
      <c r="AZ597" s="149">
        <v>0</v>
      </c>
      <c r="BA597" s="149">
        <v>0</v>
      </c>
      <c r="BB597" s="149">
        <v>0</v>
      </c>
      <c r="BC597" s="149">
        <v>0</v>
      </c>
      <c r="BD597" s="149">
        <v>0</v>
      </c>
      <c r="BE597" s="149">
        <v>0</v>
      </c>
      <c r="BF597" s="149">
        <v>0</v>
      </c>
      <c r="BG597" s="149">
        <v>0</v>
      </c>
      <c r="BH597" s="149">
        <v>0</v>
      </c>
      <c r="BI597" s="149">
        <v>0</v>
      </c>
      <c r="BJ597" s="149">
        <v>0</v>
      </c>
      <c r="BK597" s="149">
        <v>0</v>
      </c>
      <c r="BL597" s="149">
        <v>0</v>
      </c>
      <c r="BM597" s="149">
        <v>0</v>
      </c>
      <c r="BN597" s="149">
        <v>0</v>
      </c>
      <c r="BO597" s="149">
        <v>0</v>
      </c>
      <c r="BP597" s="152" t="s">
        <v>142</v>
      </c>
      <c r="BQ597" s="152"/>
      <c r="BR597" s="154" t="s">
        <v>142</v>
      </c>
      <c r="BS597" s="136">
        <v>18</v>
      </c>
      <c r="BT597" s="267"/>
      <c r="BU597" s="267">
        <f t="shared" si="62"/>
        <v>0.25</v>
      </c>
      <c r="BV597" s="267">
        <f t="shared" si="59"/>
        <v>0.25</v>
      </c>
      <c r="BW597" s="267">
        <f t="shared" si="60"/>
        <v>0.25</v>
      </c>
      <c r="BX597" s="267">
        <f t="shared" si="61"/>
        <v>0.25</v>
      </c>
      <c r="BY597" s="267"/>
      <c r="BZ597" s="267"/>
      <c r="CA597" s="267"/>
      <c r="CB597" s="267"/>
      <c r="CC597" s="267"/>
      <c r="CD597" s="267"/>
      <c r="CE597" s="267"/>
      <c r="CF597" s="267"/>
      <c r="CG597" s="267"/>
      <c r="CH597" s="267"/>
      <c r="CI597" s="267"/>
      <c r="CJ597" s="267"/>
      <c r="CK597" s="267"/>
      <c r="CL597" s="267"/>
      <c r="CM597" s="267"/>
      <c r="CN597" s="101">
        <f t="shared" si="57"/>
        <v>1</v>
      </c>
      <c r="CO597" s="101">
        <f t="shared" si="58"/>
        <v>1</v>
      </c>
    </row>
    <row r="598" spans="1:93" ht="13.9" customHeight="1" x14ac:dyDescent="0.2">
      <c r="A598" s="149">
        <v>518</v>
      </c>
      <c r="B598" s="150" t="s">
        <v>1216</v>
      </c>
      <c r="C598" s="150" t="s">
        <v>1726</v>
      </c>
      <c r="D598" s="150" t="s">
        <v>1727</v>
      </c>
      <c r="E598" s="150" t="s">
        <v>565</v>
      </c>
      <c r="F598" s="149">
        <v>527485</v>
      </c>
      <c r="G598" s="149">
        <v>171424</v>
      </c>
      <c r="H598" s="150" t="s">
        <v>173</v>
      </c>
      <c r="I598" s="151"/>
      <c r="J598" s="151"/>
      <c r="K598" s="149">
        <v>0</v>
      </c>
      <c r="L598" s="149">
        <v>4</v>
      </c>
      <c r="M598" s="149">
        <v>4</v>
      </c>
      <c r="N598" s="149">
        <v>9</v>
      </c>
      <c r="O598" s="149">
        <v>5</v>
      </c>
      <c r="P598" s="152"/>
      <c r="Q598" s="150" t="s">
        <v>1728</v>
      </c>
      <c r="R598" s="150" t="s">
        <v>349</v>
      </c>
      <c r="S598" s="151">
        <v>43896</v>
      </c>
      <c r="T598" s="151">
        <v>44013</v>
      </c>
      <c r="U598" s="152"/>
      <c r="V598" s="150" t="s">
        <v>330</v>
      </c>
      <c r="W598" s="151"/>
      <c r="X598" s="150" t="s">
        <v>331</v>
      </c>
      <c r="Y598" s="150" t="s">
        <v>398</v>
      </c>
      <c r="Z598" s="150" t="s">
        <v>334</v>
      </c>
      <c r="AA598" s="150" t="s">
        <v>413</v>
      </c>
      <c r="AB598" s="153">
        <v>8.9999999999999993E-3</v>
      </c>
      <c r="AC598" s="151"/>
      <c r="AD598" s="150"/>
      <c r="AE598" s="151"/>
      <c r="AF598" s="150" t="s">
        <v>70</v>
      </c>
      <c r="AG598" s="152" t="s">
        <v>352</v>
      </c>
      <c r="AH598" s="150" t="s">
        <v>326</v>
      </c>
      <c r="AI598" s="99"/>
      <c r="AJ598" s="149"/>
      <c r="AK598" s="99"/>
      <c r="AL598" s="149"/>
      <c r="AM598" s="99"/>
      <c r="AN598" s="149">
        <v>0</v>
      </c>
      <c r="AO598" s="149">
        <v>0</v>
      </c>
      <c r="AP598" s="149">
        <v>4</v>
      </c>
      <c r="AQ598" s="149">
        <v>0</v>
      </c>
      <c r="AR598" s="149">
        <v>0</v>
      </c>
      <c r="AS598" s="149">
        <v>0</v>
      </c>
      <c r="AT598" s="149">
        <v>0</v>
      </c>
      <c r="AU598" s="149">
        <v>0</v>
      </c>
      <c r="AV598" s="149">
        <v>0</v>
      </c>
      <c r="AW598" s="149">
        <v>4</v>
      </c>
      <c r="AX598" s="149">
        <v>0</v>
      </c>
      <c r="AY598" s="149">
        <v>0</v>
      </c>
      <c r="AZ598" s="149">
        <v>0</v>
      </c>
      <c r="BA598" s="149">
        <v>0</v>
      </c>
      <c r="BB598" s="149">
        <v>0</v>
      </c>
      <c r="BC598" s="149">
        <v>0</v>
      </c>
      <c r="BD598" s="149">
        <v>0</v>
      </c>
      <c r="BE598" s="149">
        <v>0</v>
      </c>
      <c r="BF598" s="149">
        <v>0</v>
      </c>
      <c r="BG598" s="149">
        <v>0</v>
      </c>
      <c r="BH598" s="149">
        <v>0</v>
      </c>
      <c r="BI598" s="149">
        <v>0</v>
      </c>
      <c r="BJ598" s="149">
        <v>0</v>
      </c>
      <c r="BK598" s="149">
        <v>0</v>
      </c>
      <c r="BL598" s="149">
        <v>0</v>
      </c>
      <c r="BM598" s="149">
        <v>0</v>
      </c>
      <c r="BN598" s="149">
        <v>0</v>
      </c>
      <c r="BO598" s="149">
        <v>0</v>
      </c>
      <c r="BP598" s="152" t="s">
        <v>142</v>
      </c>
      <c r="BQ598" s="152"/>
      <c r="BR598" s="154" t="s">
        <v>142</v>
      </c>
      <c r="BS598" s="136">
        <v>18</v>
      </c>
      <c r="BT598" s="267"/>
      <c r="BU598" s="267">
        <f t="shared" si="62"/>
        <v>1</v>
      </c>
      <c r="BV598" s="267">
        <f t="shared" si="59"/>
        <v>1</v>
      </c>
      <c r="BW598" s="267">
        <f t="shared" si="60"/>
        <v>1</v>
      </c>
      <c r="BX598" s="267">
        <f t="shared" si="61"/>
        <v>1</v>
      </c>
      <c r="BY598" s="267"/>
      <c r="BZ598" s="267"/>
      <c r="CA598" s="267"/>
      <c r="CB598" s="267"/>
      <c r="CC598" s="267"/>
      <c r="CD598" s="267"/>
      <c r="CE598" s="267"/>
      <c r="CF598" s="267"/>
      <c r="CG598" s="267"/>
      <c r="CH598" s="267"/>
      <c r="CI598" s="267"/>
      <c r="CJ598" s="267"/>
      <c r="CK598" s="267"/>
      <c r="CL598" s="267"/>
      <c r="CM598" s="267"/>
      <c r="CN598" s="101">
        <f t="shared" si="57"/>
        <v>4</v>
      </c>
      <c r="CO598" s="101">
        <f t="shared" si="58"/>
        <v>4</v>
      </c>
    </row>
    <row r="599" spans="1:93" ht="13.9" customHeight="1" x14ac:dyDescent="0.2">
      <c r="A599" s="149">
        <v>6022</v>
      </c>
      <c r="B599" s="150" t="s">
        <v>1216</v>
      </c>
      <c r="C599" s="150" t="s">
        <v>1729</v>
      </c>
      <c r="D599" s="150" t="s">
        <v>1730</v>
      </c>
      <c r="E599" s="150" t="s">
        <v>326</v>
      </c>
      <c r="F599" s="149">
        <v>527477</v>
      </c>
      <c r="G599" s="149">
        <v>176443</v>
      </c>
      <c r="H599" s="150" t="s">
        <v>170</v>
      </c>
      <c r="I599" s="151"/>
      <c r="J599" s="151"/>
      <c r="K599" s="149">
        <v>0</v>
      </c>
      <c r="L599" s="149">
        <v>1</v>
      </c>
      <c r="M599" s="149">
        <v>1</v>
      </c>
      <c r="N599" s="149">
        <v>1</v>
      </c>
      <c r="O599" s="149">
        <v>1</v>
      </c>
      <c r="P599" s="152"/>
      <c r="Q599" s="150" t="s">
        <v>1731</v>
      </c>
      <c r="R599" s="150" t="s">
        <v>349</v>
      </c>
      <c r="S599" s="151">
        <v>43930</v>
      </c>
      <c r="T599" s="151">
        <v>44344</v>
      </c>
      <c r="U599" s="152"/>
      <c r="V599" s="150" t="s">
        <v>330</v>
      </c>
      <c r="W599" s="151"/>
      <c r="X599" s="150" t="s">
        <v>331</v>
      </c>
      <c r="Y599" s="150" t="s">
        <v>343</v>
      </c>
      <c r="Z599" s="150" t="s">
        <v>334</v>
      </c>
      <c r="AA599" s="150" t="s">
        <v>363</v>
      </c>
      <c r="AB599" s="153">
        <v>1.4E-2</v>
      </c>
      <c r="AC599" s="151"/>
      <c r="AD599" s="150"/>
      <c r="AE599" s="151"/>
      <c r="AF599" s="150" t="s">
        <v>70</v>
      </c>
      <c r="AG599" s="152" t="s">
        <v>352</v>
      </c>
      <c r="AH599" s="150" t="s">
        <v>326</v>
      </c>
      <c r="AI599" s="99"/>
      <c r="AJ599" s="149"/>
      <c r="AK599" s="99"/>
      <c r="AL599" s="149"/>
      <c r="AM599" s="99"/>
      <c r="AN599" s="149">
        <v>0</v>
      </c>
      <c r="AO599" s="149">
        <v>1</v>
      </c>
      <c r="AP599" s="149">
        <v>0</v>
      </c>
      <c r="AQ599" s="149">
        <v>0</v>
      </c>
      <c r="AR599" s="149">
        <v>0</v>
      </c>
      <c r="AS599" s="149">
        <v>0</v>
      </c>
      <c r="AT599" s="149">
        <v>0</v>
      </c>
      <c r="AU599" s="149">
        <v>0</v>
      </c>
      <c r="AV599" s="149">
        <v>0</v>
      </c>
      <c r="AW599" s="149">
        <v>0</v>
      </c>
      <c r="AX599" s="149">
        <v>0</v>
      </c>
      <c r="AY599" s="149">
        <v>0</v>
      </c>
      <c r="AZ599" s="149">
        <v>0</v>
      </c>
      <c r="BA599" s="149">
        <v>0</v>
      </c>
      <c r="BB599" s="149">
        <v>0</v>
      </c>
      <c r="BC599" s="149">
        <v>1</v>
      </c>
      <c r="BD599" s="149">
        <v>0</v>
      </c>
      <c r="BE599" s="149">
        <v>0</v>
      </c>
      <c r="BF599" s="149">
        <v>0</v>
      </c>
      <c r="BG599" s="149">
        <v>0</v>
      </c>
      <c r="BH599" s="149">
        <v>0</v>
      </c>
      <c r="BI599" s="149">
        <v>0</v>
      </c>
      <c r="BJ599" s="149">
        <v>0</v>
      </c>
      <c r="BK599" s="149">
        <v>0</v>
      </c>
      <c r="BL599" s="149">
        <v>0</v>
      </c>
      <c r="BM599" s="149">
        <v>0</v>
      </c>
      <c r="BN599" s="149">
        <v>0</v>
      </c>
      <c r="BO599" s="149">
        <v>0</v>
      </c>
      <c r="BP599" s="152"/>
      <c r="BQ599" s="152"/>
      <c r="BR599" s="154" t="s">
        <v>359</v>
      </c>
      <c r="BS599" s="136">
        <v>7</v>
      </c>
      <c r="BT599" s="267"/>
      <c r="BU599" s="267"/>
      <c r="BV599" s="267">
        <f t="shared" si="59"/>
        <v>0.25</v>
      </c>
      <c r="BW599" s="267">
        <f t="shared" si="60"/>
        <v>0.25</v>
      </c>
      <c r="BX599" s="267">
        <f t="shared" si="61"/>
        <v>0.25</v>
      </c>
      <c r="BY599" s="267">
        <f>M599/4</f>
        <v>0.25</v>
      </c>
      <c r="BZ599" s="267"/>
      <c r="CA599" s="267"/>
      <c r="CB599" s="267"/>
      <c r="CC599" s="267"/>
      <c r="CD599" s="267"/>
      <c r="CE599" s="267"/>
      <c r="CF599" s="267"/>
      <c r="CG599" s="267"/>
      <c r="CH599" s="267"/>
      <c r="CI599" s="267"/>
      <c r="CJ599" s="267"/>
      <c r="CK599" s="267"/>
      <c r="CL599" s="267"/>
      <c r="CM599" s="267"/>
      <c r="CN599" s="101">
        <f t="shared" si="57"/>
        <v>1</v>
      </c>
      <c r="CO599" s="101">
        <f t="shared" si="58"/>
        <v>1</v>
      </c>
    </row>
    <row r="600" spans="1:93" ht="13.9" customHeight="1" x14ac:dyDescent="0.2">
      <c r="A600" s="149">
        <v>7143</v>
      </c>
      <c r="B600" s="150" t="s">
        <v>1216</v>
      </c>
      <c r="C600" s="150" t="s">
        <v>1732</v>
      </c>
      <c r="D600" s="150" t="s">
        <v>1733</v>
      </c>
      <c r="E600" s="150" t="s">
        <v>326</v>
      </c>
      <c r="F600" s="149">
        <v>527274</v>
      </c>
      <c r="G600" s="149">
        <v>174744</v>
      </c>
      <c r="H600" s="150" t="s">
        <v>165</v>
      </c>
      <c r="I600" s="151"/>
      <c r="J600" s="151"/>
      <c r="K600" s="149">
        <v>0</v>
      </c>
      <c r="L600" s="149">
        <v>1</v>
      </c>
      <c r="M600" s="149">
        <v>1</v>
      </c>
      <c r="N600" s="149">
        <v>1</v>
      </c>
      <c r="O600" s="149">
        <v>1</v>
      </c>
      <c r="P600" s="152"/>
      <c r="Q600" s="150" t="s">
        <v>1734</v>
      </c>
      <c r="R600" s="150" t="s">
        <v>349</v>
      </c>
      <c r="S600" s="151">
        <v>43924</v>
      </c>
      <c r="T600" s="151">
        <v>44056</v>
      </c>
      <c r="U600" s="152"/>
      <c r="V600" s="150" t="s">
        <v>330</v>
      </c>
      <c r="W600" s="151"/>
      <c r="X600" s="150" t="s">
        <v>331</v>
      </c>
      <c r="Y600" s="150" t="s">
        <v>343</v>
      </c>
      <c r="Z600" s="150" t="s">
        <v>334</v>
      </c>
      <c r="AA600" s="150" t="s">
        <v>363</v>
      </c>
      <c r="AB600" s="153">
        <v>2.8000000000000001E-2</v>
      </c>
      <c r="AC600" s="151"/>
      <c r="AD600" s="150"/>
      <c r="AE600" s="151"/>
      <c r="AF600" s="150" t="s">
        <v>70</v>
      </c>
      <c r="AG600" s="152" t="s">
        <v>352</v>
      </c>
      <c r="AH600" s="150" t="s">
        <v>326</v>
      </c>
      <c r="AI600" s="99"/>
      <c r="AJ600" s="149"/>
      <c r="AK600" s="99"/>
      <c r="AL600" s="149"/>
      <c r="AM600" s="99"/>
      <c r="AN600" s="149">
        <v>0</v>
      </c>
      <c r="AO600" s="149">
        <v>1</v>
      </c>
      <c r="AP600" s="149">
        <v>0</v>
      </c>
      <c r="AQ600" s="149">
        <v>0</v>
      </c>
      <c r="AR600" s="149">
        <v>0</v>
      </c>
      <c r="AS600" s="149">
        <v>0</v>
      </c>
      <c r="AT600" s="149">
        <v>0</v>
      </c>
      <c r="AU600" s="149">
        <v>0</v>
      </c>
      <c r="AV600" s="149">
        <v>0</v>
      </c>
      <c r="AW600" s="149">
        <v>0</v>
      </c>
      <c r="AX600" s="149">
        <v>0</v>
      </c>
      <c r="AY600" s="149">
        <v>0</v>
      </c>
      <c r="AZ600" s="149">
        <v>0</v>
      </c>
      <c r="BA600" s="149">
        <v>0</v>
      </c>
      <c r="BB600" s="149">
        <v>0</v>
      </c>
      <c r="BC600" s="149">
        <v>1</v>
      </c>
      <c r="BD600" s="149">
        <v>0</v>
      </c>
      <c r="BE600" s="149">
        <v>0</v>
      </c>
      <c r="BF600" s="149">
        <v>0</v>
      </c>
      <c r="BG600" s="149">
        <v>0</v>
      </c>
      <c r="BH600" s="149">
        <v>0</v>
      </c>
      <c r="BI600" s="149">
        <v>0</v>
      </c>
      <c r="BJ600" s="149">
        <v>0</v>
      </c>
      <c r="BK600" s="149">
        <v>0</v>
      </c>
      <c r="BL600" s="149">
        <v>0</v>
      </c>
      <c r="BM600" s="149">
        <v>0</v>
      </c>
      <c r="BN600" s="149">
        <v>0</v>
      </c>
      <c r="BO600" s="149">
        <v>0</v>
      </c>
      <c r="BP600" s="152"/>
      <c r="BQ600" s="152"/>
      <c r="BR600" s="154" t="s">
        <v>359</v>
      </c>
      <c r="BS600" s="136">
        <v>7</v>
      </c>
      <c r="BT600" s="267"/>
      <c r="BU600" s="267"/>
      <c r="BV600" s="267">
        <f t="shared" si="59"/>
        <v>0.25</v>
      </c>
      <c r="BW600" s="267">
        <f t="shared" si="60"/>
        <v>0.25</v>
      </c>
      <c r="BX600" s="267">
        <f t="shared" si="61"/>
        <v>0.25</v>
      </c>
      <c r="BY600" s="267">
        <f>M600/4</f>
        <v>0.25</v>
      </c>
      <c r="BZ600" s="267"/>
      <c r="CA600" s="267"/>
      <c r="CB600" s="267"/>
      <c r="CC600" s="267"/>
      <c r="CD600" s="267"/>
      <c r="CE600" s="267"/>
      <c r="CF600" s="267"/>
      <c r="CG600" s="267"/>
      <c r="CH600" s="267"/>
      <c r="CI600" s="267"/>
      <c r="CJ600" s="267"/>
      <c r="CK600" s="267"/>
      <c r="CL600" s="267"/>
      <c r="CM600" s="267"/>
      <c r="CN600" s="101">
        <f t="shared" si="57"/>
        <v>1</v>
      </c>
      <c r="CO600" s="101">
        <f t="shared" si="58"/>
        <v>1</v>
      </c>
    </row>
    <row r="601" spans="1:93" ht="13.9" customHeight="1" x14ac:dyDescent="0.2">
      <c r="A601" s="149">
        <v>3246</v>
      </c>
      <c r="B601" s="150" t="s">
        <v>1216</v>
      </c>
      <c r="C601" s="150" t="s">
        <v>1735</v>
      </c>
      <c r="D601" s="150" t="s">
        <v>1736</v>
      </c>
      <c r="E601" s="150" t="s">
        <v>326</v>
      </c>
      <c r="F601" s="149">
        <v>523446</v>
      </c>
      <c r="G601" s="149">
        <v>175860</v>
      </c>
      <c r="H601" s="150" t="s">
        <v>171</v>
      </c>
      <c r="I601" s="151"/>
      <c r="J601" s="151"/>
      <c r="K601" s="149">
        <v>0</v>
      </c>
      <c r="L601" s="149">
        <v>1</v>
      </c>
      <c r="M601" s="149">
        <v>1</v>
      </c>
      <c r="N601" s="149">
        <v>2</v>
      </c>
      <c r="O601" s="149">
        <v>1</v>
      </c>
      <c r="P601" s="152"/>
      <c r="Q601" s="150" t="s">
        <v>1737</v>
      </c>
      <c r="R601" s="150" t="s">
        <v>349</v>
      </c>
      <c r="S601" s="151">
        <v>43928</v>
      </c>
      <c r="T601" s="151">
        <v>43983</v>
      </c>
      <c r="U601" s="152"/>
      <c r="V601" s="150" t="s">
        <v>330</v>
      </c>
      <c r="W601" s="151"/>
      <c r="X601" s="150" t="s">
        <v>331</v>
      </c>
      <c r="Y601" s="150" t="s">
        <v>398</v>
      </c>
      <c r="Z601" s="150" t="s">
        <v>334</v>
      </c>
      <c r="AA601" s="150" t="s">
        <v>413</v>
      </c>
      <c r="AB601" s="153">
        <v>5.0000000000000001E-3</v>
      </c>
      <c r="AC601" s="151"/>
      <c r="AD601" s="150"/>
      <c r="AE601" s="151"/>
      <c r="AF601" s="150" t="s">
        <v>70</v>
      </c>
      <c r="AG601" s="152" t="s">
        <v>352</v>
      </c>
      <c r="AH601" s="150" t="s">
        <v>326</v>
      </c>
      <c r="AI601" s="99"/>
      <c r="AJ601" s="149"/>
      <c r="AK601" s="99"/>
      <c r="AL601" s="149"/>
      <c r="AM601" s="99"/>
      <c r="AN601" s="149">
        <v>0</v>
      </c>
      <c r="AO601" s="149">
        <v>1</v>
      </c>
      <c r="AP601" s="149">
        <v>0</v>
      </c>
      <c r="AQ601" s="149">
        <v>0</v>
      </c>
      <c r="AR601" s="149">
        <v>0</v>
      </c>
      <c r="AS601" s="149">
        <v>0</v>
      </c>
      <c r="AT601" s="149">
        <v>0</v>
      </c>
      <c r="AU601" s="149">
        <v>0</v>
      </c>
      <c r="AV601" s="149">
        <v>1</v>
      </c>
      <c r="AW601" s="149">
        <v>0</v>
      </c>
      <c r="AX601" s="149">
        <v>0</v>
      </c>
      <c r="AY601" s="149">
        <v>0</v>
      </c>
      <c r="AZ601" s="149">
        <v>0</v>
      </c>
      <c r="BA601" s="149">
        <v>0</v>
      </c>
      <c r="BB601" s="149">
        <v>0</v>
      </c>
      <c r="BC601" s="149">
        <v>0</v>
      </c>
      <c r="BD601" s="149">
        <v>0</v>
      </c>
      <c r="BE601" s="149">
        <v>0</v>
      </c>
      <c r="BF601" s="149">
        <v>0</v>
      </c>
      <c r="BG601" s="149">
        <v>0</v>
      </c>
      <c r="BH601" s="149">
        <v>0</v>
      </c>
      <c r="BI601" s="149">
        <v>0</v>
      </c>
      <c r="BJ601" s="149">
        <v>0</v>
      </c>
      <c r="BK601" s="149">
        <v>0</v>
      </c>
      <c r="BL601" s="149">
        <v>0</v>
      </c>
      <c r="BM601" s="149">
        <v>0</v>
      </c>
      <c r="BN601" s="149">
        <v>0</v>
      </c>
      <c r="BO601" s="149">
        <v>0</v>
      </c>
      <c r="BP601" s="152"/>
      <c r="BQ601" s="152"/>
      <c r="BR601" s="154" t="s">
        <v>359</v>
      </c>
      <c r="BS601" s="136">
        <v>15</v>
      </c>
      <c r="BT601" s="267"/>
      <c r="BU601" s="267">
        <f>M601/4</f>
        <v>0.25</v>
      </c>
      <c r="BV601" s="267">
        <f t="shared" si="59"/>
        <v>0.25</v>
      </c>
      <c r="BW601" s="267">
        <f t="shared" si="60"/>
        <v>0.25</v>
      </c>
      <c r="BX601" s="267">
        <f t="shared" si="61"/>
        <v>0.25</v>
      </c>
      <c r="BY601" s="267"/>
      <c r="BZ601" s="267"/>
      <c r="CA601" s="267"/>
      <c r="CB601" s="267"/>
      <c r="CC601" s="267"/>
      <c r="CD601" s="267"/>
      <c r="CE601" s="267"/>
      <c r="CF601" s="267"/>
      <c r="CG601" s="267"/>
      <c r="CH601" s="267"/>
      <c r="CI601" s="267"/>
      <c r="CJ601" s="267"/>
      <c r="CK601" s="267"/>
      <c r="CL601" s="267"/>
      <c r="CM601" s="267"/>
      <c r="CN601" s="101">
        <f t="shared" si="57"/>
        <v>1</v>
      </c>
      <c r="CO601" s="101">
        <f t="shared" si="58"/>
        <v>1</v>
      </c>
    </row>
    <row r="602" spans="1:93" ht="13.9" customHeight="1" x14ac:dyDescent="0.2">
      <c r="A602" s="149">
        <v>3246</v>
      </c>
      <c r="B602" s="150" t="s">
        <v>1216</v>
      </c>
      <c r="C602" s="150" t="s">
        <v>1735</v>
      </c>
      <c r="D602" s="150" t="s">
        <v>1736</v>
      </c>
      <c r="E602" s="150" t="s">
        <v>326</v>
      </c>
      <c r="F602" s="149">
        <v>523446</v>
      </c>
      <c r="G602" s="149">
        <v>175860</v>
      </c>
      <c r="H602" s="150" t="s">
        <v>171</v>
      </c>
      <c r="I602" s="151"/>
      <c r="J602" s="151"/>
      <c r="K602" s="149">
        <v>1</v>
      </c>
      <c r="L602" s="149">
        <v>1</v>
      </c>
      <c r="M602" s="149">
        <v>0</v>
      </c>
      <c r="N602" s="149">
        <v>2</v>
      </c>
      <c r="O602" s="149">
        <v>1</v>
      </c>
      <c r="P602" s="152"/>
      <c r="Q602" s="150" t="s">
        <v>1737</v>
      </c>
      <c r="R602" s="150" t="s">
        <v>349</v>
      </c>
      <c r="S602" s="151">
        <v>43928</v>
      </c>
      <c r="T602" s="151">
        <v>43983</v>
      </c>
      <c r="U602" s="152"/>
      <c r="V602" s="150" t="s">
        <v>330</v>
      </c>
      <c r="W602" s="151"/>
      <c r="X602" s="150" t="s">
        <v>331</v>
      </c>
      <c r="Y602" s="150" t="s">
        <v>398</v>
      </c>
      <c r="Z602" s="150" t="s">
        <v>334</v>
      </c>
      <c r="AA602" s="150" t="s">
        <v>351</v>
      </c>
      <c r="AB602" s="153">
        <v>4.0000000000000001E-3</v>
      </c>
      <c r="AC602" s="151"/>
      <c r="AD602" s="150"/>
      <c r="AE602" s="151"/>
      <c r="AF602" s="150" t="s">
        <v>70</v>
      </c>
      <c r="AG602" s="152" t="s">
        <v>352</v>
      </c>
      <c r="AH602" s="150" t="s">
        <v>326</v>
      </c>
      <c r="AI602" s="99"/>
      <c r="AJ602" s="149"/>
      <c r="AK602" s="99"/>
      <c r="AL602" s="149"/>
      <c r="AM602" s="99"/>
      <c r="AN602" s="149">
        <v>0</v>
      </c>
      <c r="AO602" s="149">
        <v>1</v>
      </c>
      <c r="AP602" s="149">
        <v>-1</v>
      </c>
      <c r="AQ602" s="149">
        <v>0</v>
      </c>
      <c r="AR602" s="149">
        <v>0</v>
      </c>
      <c r="AS602" s="149">
        <v>0</v>
      </c>
      <c r="AT602" s="149">
        <v>0</v>
      </c>
      <c r="AU602" s="149">
        <v>0</v>
      </c>
      <c r="AV602" s="149">
        <v>1</v>
      </c>
      <c r="AW602" s="149">
        <v>-1</v>
      </c>
      <c r="AX602" s="149">
        <v>0</v>
      </c>
      <c r="AY602" s="149">
        <v>0</v>
      </c>
      <c r="AZ602" s="149">
        <v>0</v>
      </c>
      <c r="BA602" s="149">
        <v>0</v>
      </c>
      <c r="BB602" s="149">
        <v>0</v>
      </c>
      <c r="BC602" s="149">
        <v>0</v>
      </c>
      <c r="BD602" s="149">
        <v>0</v>
      </c>
      <c r="BE602" s="149">
        <v>0</v>
      </c>
      <c r="BF602" s="149">
        <v>0</v>
      </c>
      <c r="BG602" s="149">
        <v>0</v>
      </c>
      <c r="BH602" s="149">
        <v>0</v>
      </c>
      <c r="BI602" s="149">
        <v>0</v>
      </c>
      <c r="BJ602" s="149">
        <v>0</v>
      </c>
      <c r="BK602" s="149">
        <v>0</v>
      </c>
      <c r="BL602" s="149">
        <v>0</v>
      </c>
      <c r="BM602" s="149">
        <v>0</v>
      </c>
      <c r="BN602" s="149">
        <v>0</v>
      </c>
      <c r="BO602" s="149">
        <v>0</v>
      </c>
      <c r="BP602" s="152"/>
      <c r="BQ602" s="152"/>
      <c r="BR602" s="154" t="s">
        <v>359</v>
      </c>
      <c r="BS602" s="136">
        <v>15</v>
      </c>
      <c r="BT602" s="267"/>
      <c r="BU602" s="267">
        <f>M602/4</f>
        <v>0</v>
      </c>
      <c r="BV602" s="267">
        <f t="shared" si="59"/>
        <v>0</v>
      </c>
      <c r="BW602" s="267">
        <f t="shared" si="60"/>
        <v>0</v>
      </c>
      <c r="BX602" s="267">
        <f t="shared" si="61"/>
        <v>0</v>
      </c>
      <c r="BY602" s="267"/>
      <c r="BZ602" s="267"/>
      <c r="CA602" s="267"/>
      <c r="CB602" s="267"/>
      <c r="CC602" s="267"/>
      <c r="CD602" s="267"/>
      <c r="CE602" s="267"/>
      <c r="CF602" s="267"/>
      <c r="CG602" s="267"/>
      <c r="CH602" s="267"/>
      <c r="CI602" s="267"/>
      <c r="CJ602" s="267"/>
      <c r="CK602" s="267"/>
      <c r="CL602" s="267"/>
      <c r="CM602" s="267"/>
      <c r="CN602" s="101">
        <f t="shared" si="57"/>
        <v>0</v>
      </c>
      <c r="CO602" s="101">
        <f t="shared" si="58"/>
        <v>0</v>
      </c>
    </row>
    <row r="603" spans="1:93" ht="13.9" customHeight="1" x14ac:dyDescent="0.2">
      <c r="A603" s="149">
        <v>5044</v>
      </c>
      <c r="B603" s="150" t="s">
        <v>1216</v>
      </c>
      <c r="C603" s="150" t="s">
        <v>1738</v>
      </c>
      <c r="D603" s="150" t="s">
        <v>1739</v>
      </c>
      <c r="E603" s="150" t="s">
        <v>1740</v>
      </c>
      <c r="F603" s="149">
        <v>524136</v>
      </c>
      <c r="G603" s="149">
        <v>175435</v>
      </c>
      <c r="H603" s="150" t="s">
        <v>171</v>
      </c>
      <c r="I603" s="151">
        <v>44748</v>
      </c>
      <c r="J603" s="151"/>
      <c r="K603" s="149">
        <v>0</v>
      </c>
      <c r="L603" s="149">
        <v>33</v>
      </c>
      <c r="M603" s="149">
        <v>33</v>
      </c>
      <c r="N603" s="149">
        <v>123</v>
      </c>
      <c r="O603" s="149">
        <v>121</v>
      </c>
      <c r="P603" s="152" t="s">
        <v>327</v>
      </c>
      <c r="Q603" s="150" t="s">
        <v>1741</v>
      </c>
      <c r="R603" s="150" t="s">
        <v>381</v>
      </c>
      <c r="S603" s="151">
        <v>43962</v>
      </c>
      <c r="T603" s="151">
        <v>44131</v>
      </c>
      <c r="U603" s="152"/>
      <c r="V603" s="150" t="s">
        <v>330</v>
      </c>
      <c r="W603" s="151"/>
      <c r="X603" s="150" t="s">
        <v>331</v>
      </c>
      <c r="Y603" s="150" t="s">
        <v>343</v>
      </c>
      <c r="Z603" s="150" t="s">
        <v>343</v>
      </c>
      <c r="AA603" s="150" t="s">
        <v>334</v>
      </c>
      <c r="AB603" s="153">
        <v>8.1000000000000003E-2</v>
      </c>
      <c r="AC603" s="151"/>
      <c r="AD603" s="150"/>
      <c r="AE603" s="151"/>
      <c r="AF603" s="150" t="s">
        <v>48</v>
      </c>
      <c r="AG603" s="152" t="s">
        <v>344</v>
      </c>
      <c r="AH603" s="150" t="s">
        <v>1742</v>
      </c>
      <c r="AI603" s="99"/>
      <c r="AJ603" s="149"/>
      <c r="AK603" s="99"/>
      <c r="AL603" s="149"/>
      <c r="AM603" s="149">
        <v>4</v>
      </c>
      <c r="AN603" s="149">
        <v>0</v>
      </c>
      <c r="AO603" s="149">
        <v>13</v>
      </c>
      <c r="AP603" s="149">
        <v>20</v>
      </c>
      <c r="AQ603" s="149">
        <v>0</v>
      </c>
      <c r="AR603" s="149">
        <v>0</v>
      </c>
      <c r="AS603" s="149">
        <v>0</v>
      </c>
      <c r="AT603" s="149">
        <v>0</v>
      </c>
      <c r="AU603" s="149">
        <v>0</v>
      </c>
      <c r="AV603" s="149">
        <v>13</v>
      </c>
      <c r="AW603" s="149">
        <v>20</v>
      </c>
      <c r="AX603" s="149">
        <v>0</v>
      </c>
      <c r="AY603" s="149">
        <v>0</v>
      </c>
      <c r="AZ603" s="149">
        <v>0</v>
      </c>
      <c r="BA603" s="149">
        <v>0</v>
      </c>
      <c r="BB603" s="149">
        <v>0</v>
      </c>
      <c r="BC603" s="149">
        <v>0</v>
      </c>
      <c r="BD603" s="149">
        <v>0</v>
      </c>
      <c r="BE603" s="149">
        <v>0</v>
      </c>
      <c r="BF603" s="149">
        <v>0</v>
      </c>
      <c r="BG603" s="149">
        <v>0</v>
      </c>
      <c r="BH603" s="149">
        <v>0</v>
      </c>
      <c r="BI603" s="149">
        <v>0</v>
      </c>
      <c r="BJ603" s="149">
        <v>0</v>
      </c>
      <c r="BK603" s="149">
        <v>0</v>
      </c>
      <c r="BL603" s="149">
        <v>0</v>
      </c>
      <c r="BM603" s="149">
        <v>0</v>
      </c>
      <c r="BN603" s="149">
        <v>0</v>
      </c>
      <c r="BO603" s="149">
        <v>0</v>
      </c>
      <c r="BP603" s="152" t="s">
        <v>141</v>
      </c>
      <c r="BQ603" s="152"/>
      <c r="BR603" s="154" t="s">
        <v>141</v>
      </c>
      <c r="BS603" s="136">
        <v>10</v>
      </c>
      <c r="BT603" s="267"/>
      <c r="BU603" s="267"/>
      <c r="BV603" s="267"/>
      <c r="BW603" s="267"/>
      <c r="BX603" s="267">
        <f>M603/3</f>
        <v>11</v>
      </c>
      <c r="BY603" s="267">
        <f>M603/3</f>
        <v>11</v>
      </c>
      <c r="BZ603" s="267">
        <f>M603/3</f>
        <v>11</v>
      </c>
      <c r="CA603" s="267"/>
      <c r="CB603" s="267"/>
      <c r="CC603" s="267"/>
      <c r="CD603" s="267"/>
      <c r="CE603" s="267"/>
      <c r="CF603" s="267"/>
      <c r="CG603" s="267"/>
      <c r="CH603" s="267"/>
      <c r="CI603" s="267"/>
      <c r="CJ603" s="267"/>
      <c r="CK603" s="267"/>
      <c r="CL603" s="267"/>
      <c r="CM603" s="267"/>
      <c r="CN603" s="101">
        <f t="shared" si="57"/>
        <v>22</v>
      </c>
      <c r="CO603" s="101">
        <f t="shared" si="58"/>
        <v>33</v>
      </c>
    </row>
    <row r="604" spans="1:93" ht="13.9" customHeight="1" x14ac:dyDescent="0.2">
      <c r="A604" s="149">
        <v>5044</v>
      </c>
      <c r="B604" s="150" t="s">
        <v>1216</v>
      </c>
      <c r="C604" s="150" t="s">
        <v>1738</v>
      </c>
      <c r="D604" s="150" t="s">
        <v>1739</v>
      </c>
      <c r="E604" s="150" t="s">
        <v>1743</v>
      </c>
      <c r="F604" s="149">
        <v>524136</v>
      </c>
      <c r="G604" s="149">
        <v>175435</v>
      </c>
      <c r="H604" s="150" t="s">
        <v>171</v>
      </c>
      <c r="I604" s="151">
        <v>44748</v>
      </c>
      <c r="J604" s="151"/>
      <c r="K604" s="149">
        <v>2</v>
      </c>
      <c r="L604" s="149">
        <v>82</v>
      </c>
      <c r="M604" s="149">
        <v>80</v>
      </c>
      <c r="N604" s="149">
        <v>123</v>
      </c>
      <c r="O604" s="149">
        <v>121</v>
      </c>
      <c r="P604" s="152" t="s">
        <v>327</v>
      </c>
      <c r="Q604" s="150" t="s">
        <v>1741</v>
      </c>
      <c r="R604" s="150" t="s">
        <v>381</v>
      </c>
      <c r="S604" s="151">
        <v>43962</v>
      </c>
      <c r="T604" s="151">
        <v>44131</v>
      </c>
      <c r="U604" s="152"/>
      <c r="V604" s="150" t="s">
        <v>330</v>
      </c>
      <c r="W604" s="151"/>
      <c r="X604" s="150" t="s">
        <v>331</v>
      </c>
      <c r="Y604" s="150" t="s">
        <v>343</v>
      </c>
      <c r="Z604" s="150" t="s">
        <v>343</v>
      </c>
      <c r="AA604" s="150" t="s">
        <v>334</v>
      </c>
      <c r="AB604" s="153">
        <v>0.19600000000000001</v>
      </c>
      <c r="AC604" s="151"/>
      <c r="AD604" s="150"/>
      <c r="AE604" s="151"/>
      <c r="AF604" s="150" t="s">
        <v>70</v>
      </c>
      <c r="AG604" s="152" t="s">
        <v>352</v>
      </c>
      <c r="AH604" s="150" t="s">
        <v>1742</v>
      </c>
      <c r="AI604" s="99"/>
      <c r="AJ604" s="149"/>
      <c r="AK604" s="99"/>
      <c r="AL604" s="149"/>
      <c r="AM604" s="149">
        <v>8</v>
      </c>
      <c r="AN604" s="149">
        <v>0</v>
      </c>
      <c r="AO604" s="149">
        <v>23</v>
      </c>
      <c r="AP604" s="149">
        <v>29</v>
      </c>
      <c r="AQ604" s="149">
        <v>28</v>
      </c>
      <c r="AR604" s="149">
        <v>0</v>
      </c>
      <c r="AS604" s="149">
        <v>0</v>
      </c>
      <c r="AT604" s="149">
        <v>0</v>
      </c>
      <c r="AU604" s="149">
        <v>0</v>
      </c>
      <c r="AV604" s="149">
        <v>23</v>
      </c>
      <c r="AW604" s="149">
        <v>29</v>
      </c>
      <c r="AX604" s="149">
        <v>28</v>
      </c>
      <c r="AY604" s="149">
        <v>0</v>
      </c>
      <c r="AZ604" s="149">
        <v>0</v>
      </c>
      <c r="BA604" s="149">
        <v>0</v>
      </c>
      <c r="BB604" s="149">
        <v>0</v>
      </c>
      <c r="BC604" s="149">
        <v>0</v>
      </c>
      <c r="BD604" s="149">
        <v>0</v>
      </c>
      <c r="BE604" s="149">
        <v>0</v>
      </c>
      <c r="BF604" s="149">
        <v>0</v>
      </c>
      <c r="BG604" s="149">
        <v>0</v>
      </c>
      <c r="BH604" s="149">
        <v>0</v>
      </c>
      <c r="BI604" s="149">
        <v>0</v>
      </c>
      <c r="BJ604" s="149">
        <v>0</v>
      </c>
      <c r="BK604" s="149">
        <v>0</v>
      </c>
      <c r="BL604" s="149">
        <v>0</v>
      </c>
      <c r="BM604" s="149">
        <v>0</v>
      </c>
      <c r="BN604" s="149">
        <v>0</v>
      </c>
      <c r="BO604" s="149">
        <v>0</v>
      </c>
      <c r="BP604" s="152" t="s">
        <v>141</v>
      </c>
      <c r="BQ604" s="152"/>
      <c r="BR604" s="154" t="s">
        <v>141</v>
      </c>
      <c r="BS604" s="136">
        <v>10</v>
      </c>
      <c r="BT604" s="267"/>
      <c r="BU604" s="267"/>
      <c r="BV604" s="267"/>
      <c r="BW604" s="267"/>
      <c r="BX604" s="267">
        <f>M604/3</f>
        <v>26.666666666666668</v>
      </c>
      <c r="BY604" s="267">
        <f>M604/3</f>
        <v>26.666666666666668</v>
      </c>
      <c r="BZ604" s="267">
        <f>M604/3</f>
        <v>26.666666666666668</v>
      </c>
      <c r="CA604" s="267"/>
      <c r="CB604" s="267"/>
      <c r="CC604" s="267"/>
      <c r="CD604" s="267"/>
      <c r="CE604" s="267"/>
      <c r="CF604" s="267"/>
      <c r="CG604" s="267"/>
      <c r="CH604" s="267"/>
      <c r="CI604" s="267"/>
      <c r="CJ604" s="267"/>
      <c r="CK604" s="267"/>
      <c r="CL604" s="267"/>
      <c r="CM604" s="267"/>
      <c r="CN604" s="101">
        <f t="shared" si="57"/>
        <v>53.333333333333336</v>
      </c>
      <c r="CO604" s="101">
        <f t="shared" si="58"/>
        <v>80</v>
      </c>
    </row>
    <row r="605" spans="1:93" ht="13.9" customHeight="1" x14ac:dyDescent="0.2">
      <c r="A605" s="149">
        <v>5044</v>
      </c>
      <c r="B605" s="150" t="s">
        <v>1216</v>
      </c>
      <c r="C605" s="150" t="s">
        <v>1738</v>
      </c>
      <c r="D605" s="150" t="s">
        <v>1739</v>
      </c>
      <c r="E605" s="150" t="s">
        <v>1744</v>
      </c>
      <c r="F605" s="149">
        <v>524136</v>
      </c>
      <c r="G605" s="149">
        <v>175435</v>
      </c>
      <c r="H605" s="150" t="s">
        <v>171</v>
      </c>
      <c r="I605" s="151">
        <v>44748</v>
      </c>
      <c r="J605" s="151"/>
      <c r="K605" s="149">
        <v>0</v>
      </c>
      <c r="L605" s="149">
        <v>8</v>
      </c>
      <c r="M605" s="149">
        <v>8</v>
      </c>
      <c r="N605" s="149">
        <v>123</v>
      </c>
      <c r="O605" s="149">
        <v>121</v>
      </c>
      <c r="P605" s="152" t="s">
        <v>327</v>
      </c>
      <c r="Q605" s="150" t="s">
        <v>1741</v>
      </c>
      <c r="R605" s="150" t="s">
        <v>381</v>
      </c>
      <c r="S605" s="151">
        <v>43962</v>
      </c>
      <c r="T605" s="151">
        <v>44131</v>
      </c>
      <c r="U605" s="152"/>
      <c r="V605" s="150" t="s">
        <v>330</v>
      </c>
      <c r="W605" s="151"/>
      <c r="X605" s="150" t="s">
        <v>331</v>
      </c>
      <c r="Y605" s="150" t="s">
        <v>343</v>
      </c>
      <c r="Z605" s="150" t="s">
        <v>343</v>
      </c>
      <c r="AA605" s="150" t="s">
        <v>334</v>
      </c>
      <c r="AB605" s="153">
        <v>6.6000000000000003E-2</v>
      </c>
      <c r="AC605" s="151"/>
      <c r="AD605" s="150"/>
      <c r="AE605" s="151"/>
      <c r="AF605" s="150" t="s">
        <v>70</v>
      </c>
      <c r="AG605" s="152" t="s">
        <v>352</v>
      </c>
      <c r="AH605" s="150" t="s">
        <v>1742</v>
      </c>
      <c r="AI605" s="99"/>
      <c r="AJ605" s="149"/>
      <c r="AK605" s="99"/>
      <c r="AL605" s="149"/>
      <c r="AM605" s="99"/>
      <c r="AN605" s="149">
        <v>0</v>
      </c>
      <c r="AO605" s="149">
        <v>0</v>
      </c>
      <c r="AP605" s="149">
        <v>8</v>
      </c>
      <c r="AQ605" s="149">
        <v>0</v>
      </c>
      <c r="AR605" s="149">
        <v>0</v>
      </c>
      <c r="AS605" s="149">
        <v>0</v>
      </c>
      <c r="AT605" s="149">
        <v>0</v>
      </c>
      <c r="AU605" s="149">
        <v>0</v>
      </c>
      <c r="AV605" s="149">
        <v>0</v>
      </c>
      <c r="AW605" s="149">
        <v>0</v>
      </c>
      <c r="AX605" s="149">
        <v>0</v>
      </c>
      <c r="AY605" s="149">
        <v>0</v>
      </c>
      <c r="AZ605" s="149">
        <v>0</v>
      </c>
      <c r="BA605" s="149">
        <v>0</v>
      </c>
      <c r="BB605" s="149">
        <v>0</v>
      </c>
      <c r="BC605" s="149">
        <v>0</v>
      </c>
      <c r="BD605" s="149">
        <v>8</v>
      </c>
      <c r="BE605" s="149">
        <v>0</v>
      </c>
      <c r="BF605" s="149">
        <v>0</v>
      </c>
      <c r="BG605" s="149">
        <v>0</v>
      </c>
      <c r="BH605" s="149">
        <v>0</v>
      </c>
      <c r="BI605" s="149">
        <v>0</v>
      </c>
      <c r="BJ605" s="149">
        <v>0</v>
      </c>
      <c r="BK605" s="149">
        <v>0</v>
      </c>
      <c r="BL605" s="149">
        <v>0</v>
      </c>
      <c r="BM605" s="149">
        <v>0</v>
      </c>
      <c r="BN605" s="149">
        <v>0</v>
      </c>
      <c r="BO605" s="149">
        <v>0</v>
      </c>
      <c r="BP605" s="152" t="s">
        <v>141</v>
      </c>
      <c r="BQ605" s="152"/>
      <c r="BR605" s="154" t="s">
        <v>141</v>
      </c>
      <c r="BS605" s="136">
        <v>10</v>
      </c>
      <c r="BT605" s="267"/>
      <c r="BU605" s="267"/>
      <c r="BV605" s="267"/>
      <c r="BW605" s="267"/>
      <c r="BX605" s="267">
        <f>M605/3</f>
        <v>2.6666666666666665</v>
      </c>
      <c r="BY605" s="267">
        <f>M605/3</f>
        <v>2.6666666666666665</v>
      </c>
      <c r="BZ605" s="267">
        <f>M605/3</f>
        <v>2.6666666666666665</v>
      </c>
      <c r="CA605" s="267"/>
      <c r="CB605" s="267"/>
      <c r="CC605" s="267"/>
      <c r="CD605" s="267"/>
      <c r="CE605" s="267"/>
      <c r="CF605" s="267"/>
      <c r="CG605" s="267"/>
      <c r="CH605" s="267"/>
      <c r="CI605" s="267"/>
      <c r="CJ605" s="267"/>
      <c r="CK605" s="267"/>
      <c r="CL605" s="267"/>
      <c r="CM605" s="267"/>
      <c r="CN605" s="101">
        <f t="shared" si="57"/>
        <v>5.333333333333333</v>
      </c>
      <c r="CO605" s="101">
        <f t="shared" si="58"/>
        <v>8</v>
      </c>
    </row>
    <row r="606" spans="1:93" ht="13.9" customHeight="1" x14ac:dyDescent="0.2">
      <c r="A606" s="149">
        <v>7396</v>
      </c>
      <c r="B606" s="150" t="s">
        <v>1216</v>
      </c>
      <c r="C606" s="150" t="s">
        <v>1745</v>
      </c>
      <c r="D606" s="150" t="s">
        <v>1746</v>
      </c>
      <c r="E606" s="150" t="s">
        <v>326</v>
      </c>
      <c r="F606" s="149">
        <v>527053</v>
      </c>
      <c r="G606" s="149">
        <v>176220</v>
      </c>
      <c r="H606" s="150" t="s">
        <v>170</v>
      </c>
      <c r="I606" s="151"/>
      <c r="J606" s="151"/>
      <c r="K606" s="149">
        <v>1</v>
      </c>
      <c r="L606" s="149">
        <v>1</v>
      </c>
      <c r="M606" s="149">
        <v>0</v>
      </c>
      <c r="N606" s="149">
        <v>1</v>
      </c>
      <c r="O606" s="149">
        <v>0</v>
      </c>
      <c r="P606" s="152"/>
      <c r="Q606" s="150" t="s">
        <v>1747</v>
      </c>
      <c r="R606" s="150" t="s">
        <v>349</v>
      </c>
      <c r="S606" s="151">
        <v>43997</v>
      </c>
      <c r="T606" s="151">
        <v>44062</v>
      </c>
      <c r="U606" s="152"/>
      <c r="V606" s="150" t="s">
        <v>330</v>
      </c>
      <c r="W606" s="151"/>
      <c r="X606" s="150" t="s">
        <v>331</v>
      </c>
      <c r="Y606" s="150" t="s">
        <v>491</v>
      </c>
      <c r="Z606" s="150" t="s">
        <v>334</v>
      </c>
      <c r="AA606" s="150" t="s">
        <v>26</v>
      </c>
      <c r="AB606" s="153">
        <v>5.0000000000000001E-3</v>
      </c>
      <c r="AC606" s="151"/>
      <c r="AD606" s="150"/>
      <c r="AE606" s="151"/>
      <c r="AF606" s="150" t="s">
        <v>70</v>
      </c>
      <c r="AG606" s="152" t="s">
        <v>352</v>
      </c>
      <c r="AH606" s="150" t="s">
        <v>326</v>
      </c>
      <c r="AI606" s="99"/>
      <c r="AJ606" s="149"/>
      <c r="AK606" s="99"/>
      <c r="AL606" s="149"/>
      <c r="AM606" s="99"/>
      <c r="AN606" s="149">
        <v>0</v>
      </c>
      <c r="AO606" s="149">
        <v>0</v>
      </c>
      <c r="AP606" s="149">
        <v>-1</v>
      </c>
      <c r="AQ606" s="149">
        <v>0</v>
      </c>
      <c r="AR606" s="149">
        <v>1</v>
      </c>
      <c r="AS606" s="149">
        <v>0</v>
      </c>
      <c r="AT606" s="149">
        <v>0</v>
      </c>
      <c r="AU606" s="149">
        <v>0</v>
      </c>
      <c r="AV606" s="149">
        <v>0</v>
      </c>
      <c r="AW606" s="149">
        <v>-1</v>
      </c>
      <c r="AX606" s="149">
        <v>0</v>
      </c>
      <c r="AY606" s="149">
        <v>1</v>
      </c>
      <c r="AZ606" s="149">
        <v>0</v>
      </c>
      <c r="BA606" s="149">
        <v>0</v>
      </c>
      <c r="BB606" s="149">
        <v>0</v>
      </c>
      <c r="BC606" s="149">
        <v>0</v>
      </c>
      <c r="BD606" s="149">
        <v>0</v>
      </c>
      <c r="BE606" s="149">
        <v>0</v>
      </c>
      <c r="BF606" s="149">
        <v>0</v>
      </c>
      <c r="BG606" s="149">
        <v>0</v>
      </c>
      <c r="BH606" s="149">
        <v>0</v>
      </c>
      <c r="BI606" s="149">
        <v>0</v>
      </c>
      <c r="BJ606" s="149">
        <v>0</v>
      </c>
      <c r="BK606" s="149">
        <v>0</v>
      </c>
      <c r="BL606" s="149">
        <v>0</v>
      </c>
      <c r="BM606" s="149">
        <v>0</v>
      </c>
      <c r="BN606" s="149">
        <v>0</v>
      </c>
      <c r="BO606" s="149">
        <v>0</v>
      </c>
      <c r="BP606" s="152"/>
      <c r="BQ606" s="152"/>
      <c r="BR606" s="154" t="s">
        <v>359</v>
      </c>
      <c r="BS606" s="136">
        <v>15</v>
      </c>
      <c r="BT606" s="267"/>
      <c r="BU606" s="267">
        <f t="shared" ref="BU606:BU618" si="63">M606/4</f>
        <v>0</v>
      </c>
      <c r="BV606" s="267">
        <f t="shared" ref="BV606:BV632" si="64">M606/4</f>
        <v>0</v>
      </c>
      <c r="BW606" s="267">
        <f t="shared" ref="BW606:BW632" si="65">M606/4</f>
        <v>0</v>
      </c>
      <c r="BX606" s="267">
        <f t="shared" ref="BX606:BX632" si="66">M606/4</f>
        <v>0</v>
      </c>
      <c r="BY606" s="267"/>
      <c r="BZ606" s="267"/>
      <c r="CA606" s="267"/>
      <c r="CB606" s="267"/>
      <c r="CC606" s="267"/>
      <c r="CD606" s="267"/>
      <c r="CE606" s="267"/>
      <c r="CF606" s="267"/>
      <c r="CG606" s="267"/>
      <c r="CH606" s="267"/>
      <c r="CI606" s="267"/>
      <c r="CJ606" s="267"/>
      <c r="CK606" s="267"/>
      <c r="CL606" s="267"/>
      <c r="CM606" s="267"/>
      <c r="CN606" s="101">
        <f t="shared" si="57"/>
        <v>0</v>
      </c>
      <c r="CO606" s="101">
        <f t="shared" si="58"/>
        <v>0</v>
      </c>
    </row>
    <row r="607" spans="1:93" ht="13.9" customHeight="1" x14ac:dyDescent="0.2">
      <c r="A607" s="149">
        <v>7396</v>
      </c>
      <c r="B607" s="150" t="s">
        <v>1216</v>
      </c>
      <c r="C607" s="150" t="s">
        <v>1748</v>
      </c>
      <c r="D607" s="150" t="s">
        <v>1746</v>
      </c>
      <c r="E607" s="150" t="s">
        <v>326</v>
      </c>
      <c r="F607" s="149">
        <v>527053</v>
      </c>
      <c r="G607" s="149">
        <v>176220</v>
      </c>
      <c r="H607" s="150" t="s">
        <v>170</v>
      </c>
      <c r="I607" s="151"/>
      <c r="J607" s="151"/>
      <c r="K607" s="149">
        <v>0</v>
      </c>
      <c r="L607" s="149">
        <v>1</v>
      </c>
      <c r="M607" s="149">
        <v>1</v>
      </c>
      <c r="N607" s="149">
        <v>1</v>
      </c>
      <c r="O607" s="149">
        <v>1</v>
      </c>
      <c r="P607" s="152"/>
      <c r="Q607" s="150" t="s">
        <v>1749</v>
      </c>
      <c r="R607" s="150" t="s">
        <v>349</v>
      </c>
      <c r="S607" s="151">
        <v>43990</v>
      </c>
      <c r="T607" s="151">
        <v>44042</v>
      </c>
      <c r="U607" s="152"/>
      <c r="V607" s="150" t="s">
        <v>330</v>
      </c>
      <c r="W607" s="151"/>
      <c r="X607" s="150" t="s">
        <v>331</v>
      </c>
      <c r="Y607" s="150" t="s">
        <v>491</v>
      </c>
      <c r="Z607" s="150" t="s">
        <v>334</v>
      </c>
      <c r="AA607" s="150" t="s">
        <v>413</v>
      </c>
      <c r="AB607" s="153">
        <v>5.0000000000000001E-3</v>
      </c>
      <c r="AC607" s="151"/>
      <c r="AD607" s="150"/>
      <c r="AE607" s="151"/>
      <c r="AF607" s="150" t="s">
        <v>70</v>
      </c>
      <c r="AG607" s="152" t="s">
        <v>352</v>
      </c>
      <c r="AH607" s="150" t="s">
        <v>326</v>
      </c>
      <c r="AI607" s="99"/>
      <c r="AJ607" s="149"/>
      <c r="AK607" s="99"/>
      <c r="AL607" s="149"/>
      <c r="AM607" s="99"/>
      <c r="AN607" s="149">
        <v>0</v>
      </c>
      <c r="AO607" s="149">
        <v>1</v>
      </c>
      <c r="AP607" s="149">
        <v>0</v>
      </c>
      <c r="AQ607" s="149">
        <v>0</v>
      </c>
      <c r="AR607" s="149">
        <v>0</v>
      </c>
      <c r="AS607" s="149">
        <v>0</v>
      </c>
      <c r="AT607" s="149">
        <v>0</v>
      </c>
      <c r="AU607" s="149">
        <v>0</v>
      </c>
      <c r="AV607" s="149">
        <v>1</v>
      </c>
      <c r="AW607" s="149">
        <v>0</v>
      </c>
      <c r="AX607" s="149">
        <v>0</v>
      </c>
      <c r="AY607" s="149">
        <v>0</v>
      </c>
      <c r="AZ607" s="149">
        <v>0</v>
      </c>
      <c r="BA607" s="149">
        <v>0</v>
      </c>
      <c r="BB607" s="149">
        <v>0</v>
      </c>
      <c r="BC607" s="149">
        <v>0</v>
      </c>
      <c r="BD607" s="149">
        <v>0</v>
      </c>
      <c r="BE607" s="149">
        <v>0</v>
      </c>
      <c r="BF607" s="149">
        <v>0</v>
      </c>
      <c r="BG607" s="149">
        <v>0</v>
      </c>
      <c r="BH607" s="149">
        <v>0</v>
      </c>
      <c r="BI607" s="149">
        <v>0</v>
      </c>
      <c r="BJ607" s="149">
        <v>0</v>
      </c>
      <c r="BK607" s="149">
        <v>0</v>
      </c>
      <c r="BL607" s="149">
        <v>0</v>
      </c>
      <c r="BM607" s="149">
        <v>0</v>
      </c>
      <c r="BN607" s="149">
        <v>0</v>
      </c>
      <c r="BO607" s="149">
        <v>0</v>
      </c>
      <c r="BP607" s="152"/>
      <c r="BQ607" s="152"/>
      <c r="BR607" s="154" t="s">
        <v>359</v>
      </c>
      <c r="BS607" s="136">
        <v>15</v>
      </c>
      <c r="BT607" s="267"/>
      <c r="BU607" s="267">
        <f t="shared" si="63"/>
        <v>0.25</v>
      </c>
      <c r="BV607" s="267">
        <f t="shared" si="64"/>
        <v>0.25</v>
      </c>
      <c r="BW607" s="267">
        <f t="shared" si="65"/>
        <v>0.25</v>
      </c>
      <c r="BX607" s="267">
        <f t="shared" si="66"/>
        <v>0.25</v>
      </c>
      <c r="BY607" s="267"/>
      <c r="BZ607" s="267"/>
      <c r="CA607" s="267"/>
      <c r="CB607" s="267"/>
      <c r="CC607" s="267"/>
      <c r="CD607" s="267"/>
      <c r="CE607" s="267"/>
      <c r="CF607" s="267"/>
      <c r="CG607" s="267"/>
      <c r="CH607" s="267"/>
      <c r="CI607" s="267"/>
      <c r="CJ607" s="267"/>
      <c r="CK607" s="267"/>
      <c r="CL607" s="267"/>
      <c r="CM607" s="267"/>
      <c r="CN607" s="101">
        <f t="shared" si="57"/>
        <v>1</v>
      </c>
      <c r="CO607" s="101">
        <f t="shared" si="58"/>
        <v>1</v>
      </c>
    </row>
    <row r="608" spans="1:93" ht="13.9" customHeight="1" x14ac:dyDescent="0.2">
      <c r="A608" s="149">
        <v>7055</v>
      </c>
      <c r="B608" s="150" t="s">
        <v>1216</v>
      </c>
      <c r="C608" s="150" t="s">
        <v>1750</v>
      </c>
      <c r="D608" s="150" t="s">
        <v>1751</v>
      </c>
      <c r="E608" s="150" t="s">
        <v>326</v>
      </c>
      <c r="F608" s="149">
        <v>528371</v>
      </c>
      <c r="G608" s="149">
        <v>173680</v>
      </c>
      <c r="H608" s="150" t="s">
        <v>139</v>
      </c>
      <c r="I608" s="151"/>
      <c r="J608" s="151"/>
      <c r="K608" s="149">
        <v>5</v>
      </c>
      <c r="L608" s="149">
        <v>4</v>
      </c>
      <c r="M608" s="149">
        <v>-1</v>
      </c>
      <c r="N608" s="149">
        <v>5</v>
      </c>
      <c r="O608" s="149">
        <v>0</v>
      </c>
      <c r="P608" s="152"/>
      <c r="Q608" s="150" t="s">
        <v>1752</v>
      </c>
      <c r="R608" s="150" t="s">
        <v>349</v>
      </c>
      <c r="S608" s="151">
        <v>44064</v>
      </c>
      <c r="T608" s="151">
        <v>44120</v>
      </c>
      <c r="U608" s="152"/>
      <c r="V608" s="150" t="s">
        <v>330</v>
      </c>
      <c r="W608" s="151"/>
      <c r="X608" s="150" t="s">
        <v>331</v>
      </c>
      <c r="Y608" s="150" t="s">
        <v>398</v>
      </c>
      <c r="Z608" s="150" t="s">
        <v>334</v>
      </c>
      <c r="AA608" s="150" t="s">
        <v>399</v>
      </c>
      <c r="AB608" s="153">
        <v>3.6999999999999998E-2</v>
      </c>
      <c r="AC608" s="151"/>
      <c r="AD608" s="150"/>
      <c r="AE608" s="151"/>
      <c r="AF608" s="150" t="s">
        <v>70</v>
      </c>
      <c r="AG608" s="152" t="s">
        <v>352</v>
      </c>
      <c r="AH608" s="150" t="s">
        <v>326</v>
      </c>
      <c r="AI608" s="99"/>
      <c r="AJ608" s="149"/>
      <c r="AK608" s="99"/>
      <c r="AL608" s="149"/>
      <c r="AM608" s="99"/>
      <c r="AN608" s="149">
        <v>-2</v>
      </c>
      <c r="AO608" s="149">
        <v>-1</v>
      </c>
      <c r="AP608" s="149">
        <v>1</v>
      </c>
      <c r="AQ608" s="149">
        <v>1</v>
      </c>
      <c r="AR608" s="149">
        <v>0</v>
      </c>
      <c r="AS608" s="149">
        <v>0</v>
      </c>
      <c r="AT608" s="149">
        <v>0</v>
      </c>
      <c r="AU608" s="149">
        <v>-2</v>
      </c>
      <c r="AV608" s="149">
        <v>-1</v>
      </c>
      <c r="AW608" s="149">
        <v>1</v>
      </c>
      <c r="AX608" s="149">
        <v>1</v>
      </c>
      <c r="AY608" s="149">
        <v>0</v>
      </c>
      <c r="AZ608" s="149">
        <v>0</v>
      </c>
      <c r="BA608" s="149">
        <v>0</v>
      </c>
      <c r="BB608" s="149">
        <v>0</v>
      </c>
      <c r="BC608" s="149">
        <v>0</v>
      </c>
      <c r="BD608" s="149">
        <v>0</v>
      </c>
      <c r="BE608" s="149">
        <v>0</v>
      </c>
      <c r="BF608" s="149">
        <v>0</v>
      </c>
      <c r="BG608" s="149">
        <v>0</v>
      </c>
      <c r="BH608" s="149">
        <v>0</v>
      </c>
      <c r="BI608" s="149">
        <v>0</v>
      </c>
      <c r="BJ608" s="149">
        <v>0</v>
      </c>
      <c r="BK608" s="149">
        <v>0</v>
      </c>
      <c r="BL608" s="149">
        <v>0</v>
      </c>
      <c r="BM608" s="149">
        <v>0</v>
      </c>
      <c r="BN608" s="149">
        <v>0</v>
      </c>
      <c r="BO608" s="149">
        <v>0</v>
      </c>
      <c r="BP608" s="152"/>
      <c r="BQ608" s="152"/>
      <c r="BR608" s="154" t="s">
        <v>359</v>
      </c>
      <c r="BS608" s="136">
        <v>15</v>
      </c>
      <c r="BT608" s="267"/>
      <c r="BU608" s="267">
        <f t="shared" si="63"/>
        <v>-0.25</v>
      </c>
      <c r="BV608" s="267">
        <f t="shared" si="64"/>
        <v>-0.25</v>
      </c>
      <c r="BW608" s="267">
        <f t="shared" si="65"/>
        <v>-0.25</v>
      </c>
      <c r="BX608" s="267">
        <f t="shared" si="66"/>
        <v>-0.25</v>
      </c>
      <c r="BY608" s="267"/>
      <c r="BZ608" s="267"/>
      <c r="CA608" s="267"/>
      <c r="CB608" s="267"/>
      <c r="CC608" s="267"/>
      <c r="CD608" s="267"/>
      <c r="CE608" s="267"/>
      <c r="CF608" s="267"/>
      <c r="CG608" s="267"/>
      <c r="CH608" s="267"/>
      <c r="CI608" s="267"/>
      <c r="CJ608" s="267"/>
      <c r="CK608" s="267"/>
      <c r="CL608" s="267"/>
      <c r="CM608" s="267"/>
      <c r="CN608" s="101">
        <f t="shared" si="57"/>
        <v>-1</v>
      </c>
      <c r="CO608" s="101">
        <f t="shared" si="58"/>
        <v>-1</v>
      </c>
    </row>
    <row r="609" spans="1:93" ht="13.9" customHeight="1" x14ac:dyDescent="0.2">
      <c r="A609" s="149">
        <v>7055</v>
      </c>
      <c r="B609" s="150" t="s">
        <v>1216</v>
      </c>
      <c r="C609" s="150" t="s">
        <v>1750</v>
      </c>
      <c r="D609" s="150" t="s">
        <v>1751</v>
      </c>
      <c r="E609" s="150" t="s">
        <v>326</v>
      </c>
      <c r="F609" s="149">
        <v>528371</v>
      </c>
      <c r="G609" s="149">
        <v>173680</v>
      </c>
      <c r="H609" s="150" t="s">
        <v>139</v>
      </c>
      <c r="I609" s="151"/>
      <c r="J609" s="151"/>
      <c r="K609" s="149">
        <v>0</v>
      </c>
      <c r="L609" s="149">
        <v>1</v>
      </c>
      <c r="M609" s="149">
        <v>1</v>
      </c>
      <c r="N609" s="149">
        <v>5</v>
      </c>
      <c r="O609" s="149">
        <v>0</v>
      </c>
      <c r="P609" s="152"/>
      <c r="Q609" s="150" t="s">
        <v>1752</v>
      </c>
      <c r="R609" s="150" t="s">
        <v>349</v>
      </c>
      <c r="S609" s="151">
        <v>44064</v>
      </c>
      <c r="T609" s="151">
        <v>44120</v>
      </c>
      <c r="U609" s="152"/>
      <c r="V609" s="150" t="s">
        <v>330</v>
      </c>
      <c r="W609" s="151"/>
      <c r="X609" s="150" t="s">
        <v>331</v>
      </c>
      <c r="Y609" s="150" t="s">
        <v>398</v>
      </c>
      <c r="Z609" s="150" t="s">
        <v>334</v>
      </c>
      <c r="AA609" s="150" t="s">
        <v>413</v>
      </c>
      <c r="AB609" s="153">
        <v>4.0000000000000001E-3</v>
      </c>
      <c r="AC609" s="151"/>
      <c r="AD609" s="150"/>
      <c r="AE609" s="151"/>
      <c r="AF609" s="150" t="s">
        <v>70</v>
      </c>
      <c r="AG609" s="152" t="s">
        <v>352</v>
      </c>
      <c r="AH609" s="150" t="s">
        <v>326</v>
      </c>
      <c r="AI609" s="99"/>
      <c r="AJ609" s="149"/>
      <c r="AK609" s="99"/>
      <c r="AL609" s="149"/>
      <c r="AM609" s="99"/>
      <c r="AN609" s="149">
        <v>1</v>
      </c>
      <c r="AO609" s="149">
        <v>0</v>
      </c>
      <c r="AP609" s="149">
        <v>0</v>
      </c>
      <c r="AQ609" s="149">
        <v>0</v>
      </c>
      <c r="AR609" s="149">
        <v>0</v>
      </c>
      <c r="AS609" s="149">
        <v>0</v>
      </c>
      <c r="AT609" s="149">
        <v>0</v>
      </c>
      <c r="AU609" s="149">
        <v>1</v>
      </c>
      <c r="AV609" s="149">
        <v>0</v>
      </c>
      <c r="AW609" s="149">
        <v>0</v>
      </c>
      <c r="AX609" s="149">
        <v>0</v>
      </c>
      <c r="AY609" s="149">
        <v>0</v>
      </c>
      <c r="AZ609" s="149">
        <v>0</v>
      </c>
      <c r="BA609" s="149">
        <v>0</v>
      </c>
      <c r="BB609" s="149">
        <v>0</v>
      </c>
      <c r="BC609" s="149">
        <v>0</v>
      </c>
      <c r="BD609" s="149">
        <v>0</v>
      </c>
      <c r="BE609" s="149">
        <v>0</v>
      </c>
      <c r="BF609" s="149">
        <v>0</v>
      </c>
      <c r="BG609" s="149">
        <v>0</v>
      </c>
      <c r="BH609" s="149">
        <v>0</v>
      </c>
      <c r="BI609" s="149">
        <v>0</v>
      </c>
      <c r="BJ609" s="149">
        <v>0</v>
      </c>
      <c r="BK609" s="149">
        <v>0</v>
      </c>
      <c r="BL609" s="149">
        <v>0</v>
      </c>
      <c r="BM609" s="149">
        <v>0</v>
      </c>
      <c r="BN609" s="149">
        <v>0</v>
      </c>
      <c r="BO609" s="149">
        <v>0</v>
      </c>
      <c r="BP609" s="152"/>
      <c r="BQ609" s="152"/>
      <c r="BR609" s="154" t="s">
        <v>359</v>
      </c>
      <c r="BS609" s="136">
        <v>15</v>
      </c>
      <c r="BT609" s="267"/>
      <c r="BU609" s="267">
        <f t="shared" si="63"/>
        <v>0.25</v>
      </c>
      <c r="BV609" s="267">
        <f t="shared" si="64"/>
        <v>0.25</v>
      </c>
      <c r="BW609" s="267">
        <f t="shared" si="65"/>
        <v>0.25</v>
      </c>
      <c r="BX609" s="267">
        <f t="shared" si="66"/>
        <v>0.25</v>
      </c>
      <c r="BY609" s="267"/>
      <c r="BZ609" s="267"/>
      <c r="CA609" s="267"/>
      <c r="CB609" s="267"/>
      <c r="CC609" s="267"/>
      <c r="CD609" s="267"/>
      <c r="CE609" s="267"/>
      <c r="CF609" s="267"/>
      <c r="CG609" s="267"/>
      <c r="CH609" s="267"/>
      <c r="CI609" s="267"/>
      <c r="CJ609" s="267"/>
      <c r="CK609" s="267"/>
      <c r="CL609" s="267"/>
      <c r="CM609" s="267"/>
      <c r="CN609" s="101">
        <f t="shared" si="57"/>
        <v>1</v>
      </c>
      <c r="CO609" s="101">
        <f t="shared" si="58"/>
        <v>1</v>
      </c>
    </row>
    <row r="610" spans="1:93" ht="13.9" customHeight="1" x14ac:dyDescent="0.2">
      <c r="A610" s="149">
        <v>4386</v>
      </c>
      <c r="B610" s="150" t="s">
        <v>1216</v>
      </c>
      <c r="C610" s="150" t="s">
        <v>1753</v>
      </c>
      <c r="D610" s="150" t="s">
        <v>1754</v>
      </c>
      <c r="E610" s="150" t="s">
        <v>326</v>
      </c>
      <c r="F610" s="149">
        <v>528177</v>
      </c>
      <c r="G610" s="149">
        <v>176638</v>
      </c>
      <c r="H610" s="150" t="s">
        <v>160</v>
      </c>
      <c r="I610" s="151"/>
      <c r="J610" s="151"/>
      <c r="K610" s="149">
        <v>0</v>
      </c>
      <c r="L610" s="149">
        <v>1</v>
      </c>
      <c r="M610" s="149">
        <v>1</v>
      </c>
      <c r="N610" s="149">
        <v>1</v>
      </c>
      <c r="O610" s="149">
        <v>1</v>
      </c>
      <c r="P610" s="152"/>
      <c r="Q610" s="150" t="s">
        <v>1755</v>
      </c>
      <c r="R610" s="150" t="s">
        <v>349</v>
      </c>
      <c r="S610" s="151">
        <v>43992</v>
      </c>
      <c r="T610" s="151">
        <v>44102</v>
      </c>
      <c r="U610" s="152"/>
      <c r="V610" s="150" t="s">
        <v>330</v>
      </c>
      <c r="W610" s="151"/>
      <c r="X610" s="150" t="s">
        <v>331</v>
      </c>
      <c r="Y610" s="150" t="s">
        <v>491</v>
      </c>
      <c r="Z610" s="150" t="s">
        <v>334</v>
      </c>
      <c r="AA610" s="150" t="s">
        <v>413</v>
      </c>
      <c r="AB610" s="153">
        <v>3.0000000000000001E-3</v>
      </c>
      <c r="AC610" s="151"/>
      <c r="AD610" s="150"/>
      <c r="AE610" s="151"/>
      <c r="AF610" s="150" t="s">
        <v>70</v>
      </c>
      <c r="AG610" s="152" t="s">
        <v>352</v>
      </c>
      <c r="AH610" s="150" t="s">
        <v>326</v>
      </c>
      <c r="AI610" s="99"/>
      <c r="AJ610" s="149"/>
      <c r="AK610" s="99"/>
      <c r="AL610" s="149"/>
      <c r="AM610" s="99"/>
      <c r="AN610" s="149">
        <v>0</v>
      </c>
      <c r="AO610" s="149">
        <v>1</v>
      </c>
      <c r="AP610" s="149">
        <v>0</v>
      </c>
      <c r="AQ610" s="149">
        <v>0</v>
      </c>
      <c r="AR610" s="149">
        <v>0</v>
      </c>
      <c r="AS610" s="149">
        <v>0</v>
      </c>
      <c r="AT610" s="149">
        <v>0</v>
      </c>
      <c r="AU610" s="149">
        <v>0</v>
      </c>
      <c r="AV610" s="149">
        <v>1</v>
      </c>
      <c r="AW610" s="149">
        <v>0</v>
      </c>
      <c r="AX610" s="149">
        <v>0</v>
      </c>
      <c r="AY610" s="149">
        <v>0</v>
      </c>
      <c r="AZ610" s="149">
        <v>0</v>
      </c>
      <c r="BA610" s="149">
        <v>0</v>
      </c>
      <c r="BB610" s="149">
        <v>0</v>
      </c>
      <c r="BC610" s="149">
        <v>0</v>
      </c>
      <c r="BD610" s="149">
        <v>0</v>
      </c>
      <c r="BE610" s="149">
        <v>0</v>
      </c>
      <c r="BF610" s="149">
        <v>0</v>
      </c>
      <c r="BG610" s="149">
        <v>0</v>
      </c>
      <c r="BH610" s="149">
        <v>0</v>
      </c>
      <c r="BI610" s="149">
        <v>0</v>
      </c>
      <c r="BJ610" s="149">
        <v>0</v>
      </c>
      <c r="BK610" s="149">
        <v>0</v>
      </c>
      <c r="BL610" s="149">
        <v>0</v>
      </c>
      <c r="BM610" s="149">
        <v>0</v>
      </c>
      <c r="BN610" s="149">
        <v>0</v>
      </c>
      <c r="BO610" s="149">
        <v>0</v>
      </c>
      <c r="BP610" s="152"/>
      <c r="BQ610" s="152"/>
      <c r="BR610" s="154" t="s">
        <v>359</v>
      </c>
      <c r="BS610" s="136">
        <v>15</v>
      </c>
      <c r="BT610" s="267"/>
      <c r="BU610" s="267">
        <f t="shared" si="63"/>
        <v>0.25</v>
      </c>
      <c r="BV610" s="267">
        <f t="shared" si="64"/>
        <v>0.25</v>
      </c>
      <c r="BW610" s="267">
        <f t="shared" si="65"/>
        <v>0.25</v>
      </c>
      <c r="BX610" s="267">
        <f t="shared" si="66"/>
        <v>0.25</v>
      </c>
      <c r="BY610" s="267"/>
      <c r="BZ610" s="267"/>
      <c r="CA610" s="267"/>
      <c r="CB610" s="267"/>
      <c r="CC610" s="267"/>
      <c r="CD610" s="267"/>
      <c r="CE610" s="267"/>
      <c r="CF610" s="267"/>
      <c r="CG610" s="267"/>
      <c r="CH610" s="267"/>
      <c r="CI610" s="267"/>
      <c r="CJ610" s="267"/>
      <c r="CK610" s="267"/>
      <c r="CL610" s="267"/>
      <c r="CM610" s="267"/>
      <c r="CN610" s="101">
        <f t="shared" si="57"/>
        <v>1</v>
      </c>
      <c r="CO610" s="101">
        <f t="shared" si="58"/>
        <v>1</v>
      </c>
    </row>
    <row r="611" spans="1:93" ht="13.9" customHeight="1" x14ac:dyDescent="0.2">
      <c r="A611" s="149">
        <v>4316</v>
      </c>
      <c r="B611" s="150" t="s">
        <v>1216</v>
      </c>
      <c r="C611" s="150" t="s">
        <v>1756</v>
      </c>
      <c r="D611" s="150" t="s">
        <v>1757</v>
      </c>
      <c r="E611" s="150" t="s">
        <v>326</v>
      </c>
      <c r="F611" s="149">
        <v>527567</v>
      </c>
      <c r="G611" s="149">
        <v>171576</v>
      </c>
      <c r="H611" s="150" t="s">
        <v>173</v>
      </c>
      <c r="I611" s="151">
        <v>45382</v>
      </c>
      <c r="J611" s="151"/>
      <c r="K611" s="149">
        <v>0</v>
      </c>
      <c r="L611" s="149">
        <v>23</v>
      </c>
      <c r="M611" s="149">
        <v>23</v>
      </c>
      <c r="N611" s="149">
        <v>29</v>
      </c>
      <c r="O611" s="149">
        <v>29</v>
      </c>
      <c r="P611" s="152" t="s">
        <v>327</v>
      </c>
      <c r="Q611" s="150" t="s">
        <v>1758</v>
      </c>
      <c r="R611" s="150" t="s">
        <v>329</v>
      </c>
      <c r="S611" s="151">
        <v>43923</v>
      </c>
      <c r="T611" s="151">
        <v>44566</v>
      </c>
      <c r="U611" s="152"/>
      <c r="V611" s="150" t="s">
        <v>330</v>
      </c>
      <c r="W611" s="151"/>
      <c r="X611" s="150" t="s">
        <v>331</v>
      </c>
      <c r="Y611" s="150" t="s">
        <v>398</v>
      </c>
      <c r="Z611" s="150" t="s">
        <v>343</v>
      </c>
      <c r="AA611" s="150" t="s">
        <v>334</v>
      </c>
      <c r="AB611" s="153">
        <v>0.08</v>
      </c>
      <c r="AC611" s="151"/>
      <c r="AD611" s="150"/>
      <c r="AE611" s="151"/>
      <c r="AF611" s="150" t="s">
        <v>70</v>
      </c>
      <c r="AG611" s="152" t="s">
        <v>352</v>
      </c>
      <c r="AH611" s="150" t="s">
        <v>336</v>
      </c>
      <c r="AI611" s="99"/>
      <c r="AJ611" s="149"/>
      <c r="AK611" s="138">
        <v>2</v>
      </c>
      <c r="AL611" s="149"/>
      <c r="AM611" s="99"/>
      <c r="AN611" s="149">
        <v>0</v>
      </c>
      <c r="AO611" s="149">
        <v>10</v>
      </c>
      <c r="AP611" s="149">
        <v>8</v>
      </c>
      <c r="AQ611" s="149">
        <v>5</v>
      </c>
      <c r="AR611" s="149">
        <v>0</v>
      </c>
      <c r="AS611" s="149">
        <v>0</v>
      </c>
      <c r="AT611" s="149">
        <v>0</v>
      </c>
      <c r="AU611" s="149">
        <v>0</v>
      </c>
      <c r="AV611" s="149">
        <v>10</v>
      </c>
      <c r="AW611" s="149">
        <v>8</v>
      </c>
      <c r="AX611" s="149">
        <v>5</v>
      </c>
      <c r="AY611" s="149">
        <v>0</v>
      </c>
      <c r="AZ611" s="149">
        <v>0</v>
      </c>
      <c r="BA611" s="149">
        <v>0</v>
      </c>
      <c r="BB611" s="149">
        <v>0</v>
      </c>
      <c r="BC611" s="149">
        <v>0</v>
      </c>
      <c r="BD611" s="149">
        <v>0</v>
      </c>
      <c r="BE611" s="149">
        <v>0</v>
      </c>
      <c r="BF611" s="149">
        <v>0</v>
      </c>
      <c r="BG611" s="149">
        <v>0</v>
      </c>
      <c r="BH611" s="149">
        <v>0</v>
      </c>
      <c r="BI611" s="149">
        <v>0</v>
      </c>
      <c r="BJ611" s="149">
        <v>0</v>
      </c>
      <c r="BK611" s="149">
        <v>0</v>
      </c>
      <c r="BL611" s="149">
        <v>0</v>
      </c>
      <c r="BM611" s="149">
        <v>0</v>
      </c>
      <c r="BN611" s="149">
        <v>0</v>
      </c>
      <c r="BO611" s="149">
        <v>0</v>
      </c>
      <c r="BP611" s="152" t="s">
        <v>142</v>
      </c>
      <c r="BQ611" s="152"/>
      <c r="BR611" s="154" t="s">
        <v>142</v>
      </c>
      <c r="BS611" s="136">
        <v>16</v>
      </c>
      <c r="BT611" s="267"/>
      <c r="BU611" s="267">
        <f t="shared" si="63"/>
        <v>5.75</v>
      </c>
      <c r="BV611" s="267">
        <f t="shared" si="64"/>
        <v>5.75</v>
      </c>
      <c r="BW611" s="267">
        <f t="shared" si="65"/>
        <v>5.75</v>
      </c>
      <c r="BX611" s="267">
        <f t="shared" si="66"/>
        <v>5.75</v>
      </c>
      <c r="BY611" s="267"/>
      <c r="BZ611" s="267"/>
      <c r="CA611" s="267"/>
      <c r="CB611" s="267"/>
      <c r="CC611" s="267"/>
      <c r="CD611" s="267"/>
      <c r="CE611" s="267"/>
      <c r="CF611" s="267"/>
      <c r="CG611" s="267"/>
      <c r="CH611" s="267"/>
      <c r="CI611" s="267"/>
      <c r="CJ611" s="267"/>
      <c r="CK611" s="267"/>
      <c r="CL611" s="267"/>
      <c r="CM611" s="267"/>
      <c r="CN611" s="101">
        <f t="shared" si="57"/>
        <v>23</v>
      </c>
      <c r="CO611" s="101">
        <f t="shared" si="58"/>
        <v>23</v>
      </c>
    </row>
    <row r="612" spans="1:93" ht="13.9" customHeight="1" x14ac:dyDescent="0.2">
      <c r="A612" s="149">
        <v>3577</v>
      </c>
      <c r="B612" s="150" t="s">
        <v>1216</v>
      </c>
      <c r="C612" s="150" t="s">
        <v>1759</v>
      </c>
      <c r="D612" s="150" t="s">
        <v>1760</v>
      </c>
      <c r="E612" s="150" t="s">
        <v>326</v>
      </c>
      <c r="F612" s="149">
        <v>529035</v>
      </c>
      <c r="G612" s="149">
        <v>176328</v>
      </c>
      <c r="H612" s="150" t="s">
        <v>167</v>
      </c>
      <c r="I612" s="151"/>
      <c r="J612" s="151"/>
      <c r="K612" s="149">
        <v>0</v>
      </c>
      <c r="L612" s="149">
        <v>2</v>
      </c>
      <c r="M612" s="149">
        <v>2</v>
      </c>
      <c r="N612" s="149">
        <v>2</v>
      </c>
      <c r="O612" s="149">
        <v>2</v>
      </c>
      <c r="P612" s="152"/>
      <c r="Q612" s="150" t="s">
        <v>1761</v>
      </c>
      <c r="R612" s="150" t="s">
        <v>349</v>
      </c>
      <c r="S612" s="151">
        <v>44007</v>
      </c>
      <c r="T612" s="151">
        <v>44097</v>
      </c>
      <c r="U612" s="152"/>
      <c r="V612" s="150" t="s">
        <v>330</v>
      </c>
      <c r="W612" s="151"/>
      <c r="X612" s="150" t="s">
        <v>331</v>
      </c>
      <c r="Y612" s="150" t="s">
        <v>332</v>
      </c>
      <c r="Z612" s="150" t="s">
        <v>334</v>
      </c>
      <c r="AA612" s="150" t="s">
        <v>26</v>
      </c>
      <c r="AB612" s="153">
        <v>1.7000000000000001E-2</v>
      </c>
      <c r="AC612" s="151"/>
      <c r="AD612" s="150"/>
      <c r="AE612" s="151"/>
      <c r="AF612" s="150" t="s">
        <v>70</v>
      </c>
      <c r="AG612" s="152" t="s">
        <v>352</v>
      </c>
      <c r="AH612" s="150" t="s">
        <v>326</v>
      </c>
      <c r="AI612" s="99"/>
      <c r="AJ612" s="149"/>
      <c r="AK612" s="99"/>
      <c r="AL612" s="149"/>
      <c r="AM612" s="99"/>
      <c r="AN612" s="149">
        <v>0</v>
      </c>
      <c r="AO612" s="149">
        <v>2</v>
      </c>
      <c r="AP612" s="149">
        <v>0</v>
      </c>
      <c r="AQ612" s="149">
        <v>0</v>
      </c>
      <c r="AR612" s="149">
        <v>0</v>
      </c>
      <c r="AS612" s="149">
        <v>0</v>
      </c>
      <c r="AT612" s="149">
        <v>0</v>
      </c>
      <c r="AU612" s="149">
        <v>0</v>
      </c>
      <c r="AV612" s="149">
        <v>2</v>
      </c>
      <c r="AW612" s="149">
        <v>0</v>
      </c>
      <c r="AX612" s="149">
        <v>0</v>
      </c>
      <c r="AY612" s="149">
        <v>0</v>
      </c>
      <c r="AZ612" s="149">
        <v>0</v>
      </c>
      <c r="BA612" s="149">
        <v>0</v>
      </c>
      <c r="BB612" s="149">
        <v>0</v>
      </c>
      <c r="BC612" s="149">
        <v>0</v>
      </c>
      <c r="BD612" s="149">
        <v>0</v>
      </c>
      <c r="BE612" s="149">
        <v>0</v>
      </c>
      <c r="BF612" s="149">
        <v>0</v>
      </c>
      <c r="BG612" s="149">
        <v>0</v>
      </c>
      <c r="BH612" s="149">
        <v>0</v>
      </c>
      <c r="BI612" s="149">
        <v>0</v>
      </c>
      <c r="BJ612" s="149">
        <v>0</v>
      </c>
      <c r="BK612" s="149">
        <v>0</v>
      </c>
      <c r="BL612" s="149">
        <v>0</v>
      </c>
      <c r="BM612" s="149">
        <v>0</v>
      </c>
      <c r="BN612" s="149">
        <v>0</v>
      </c>
      <c r="BO612" s="149">
        <v>0</v>
      </c>
      <c r="BP612" s="152"/>
      <c r="BQ612" s="152" t="s">
        <v>327</v>
      </c>
      <c r="BR612" s="154" t="s">
        <v>149</v>
      </c>
      <c r="BS612" s="136">
        <v>15</v>
      </c>
      <c r="BT612" s="267"/>
      <c r="BU612" s="267">
        <f t="shared" si="63"/>
        <v>0.5</v>
      </c>
      <c r="BV612" s="267">
        <f t="shared" si="64"/>
        <v>0.5</v>
      </c>
      <c r="BW612" s="267">
        <f t="shared" si="65"/>
        <v>0.5</v>
      </c>
      <c r="BX612" s="267">
        <f t="shared" si="66"/>
        <v>0.5</v>
      </c>
      <c r="BY612" s="267"/>
      <c r="BZ612" s="267"/>
      <c r="CA612" s="267"/>
      <c r="CB612" s="267"/>
      <c r="CC612" s="267"/>
      <c r="CD612" s="267"/>
      <c r="CE612" s="267"/>
      <c r="CF612" s="267"/>
      <c r="CG612" s="267"/>
      <c r="CH612" s="267"/>
      <c r="CI612" s="267"/>
      <c r="CJ612" s="267"/>
      <c r="CK612" s="267"/>
      <c r="CL612" s="267"/>
      <c r="CM612" s="267"/>
      <c r="CN612" s="101">
        <f t="shared" si="57"/>
        <v>2</v>
      </c>
      <c r="CO612" s="101">
        <f t="shared" si="58"/>
        <v>2</v>
      </c>
    </row>
    <row r="613" spans="1:93" ht="13.9" customHeight="1" x14ac:dyDescent="0.2">
      <c r="A613" s="149">
        <v>7399</v>
      </c>
      <c r="B613" s="150" t="s">
        <v>1216</v>
      </c>
      <c r="C613" s="150" t="s">
        <v>1762</v>
      </c>
      <c r="D613" s="150" t="s">
        <v>1763</v>
      </c>
      <c r="E613" s="150" t="s">
        <v>326</v>
      </c>
      <c r="F613" s="149">
        <v>527815</v>
      </c>
      <c r="G613" s="149">
        <v>174573</v>
      </c>
      <c r="H613" s="150" t="s">
        <v>165</v>
      </c>
      <c r="I613" s="151"/>
      <c r="J613" s="151"/>
      <c r="K613" s="149">
        <v>0</v>
      </c>
      <c r="L613" s="149">
        <v>1</v>
      </c>
      <c r="M613" s="149">
        <v>1</v>
      </c>
      <c r="N613" s="149">
        <v>1</v>
      </c>
      <c r="O613" s="149">
        <v>1</v>
      </c>
      <c r="P613" s="152"/>
      <c r="Q613" s="150" t="s">
        <v>1764</v>
      </c>
      <c r="R613" s="150" t="s">
        <v>427</v>
      </c>
      <c r="S613" s="151">
        <v>44015</v>
      </c>
      <c r="T613" s="151">
        <v>44071</v>
      </c>
      <c r="U613" s="152"/>
      <c r="V613" s="150" t="s">
        <v>330</v>
      </c>
      <c r="W613" s="151"/>
      <c r="X613" s="150" t="s">
        <v>331</v>
      </c>
      <c r="Y613" s="150" t="s">
        <v>332</v>
      </c>
      <c r="Z613" s="150" t="s">
        <v>334</v>
      </c>
      <c r="AA613" s="150" t="s">
        <v>26</v>
      </c>
      <c r="AB613" s="153">
        <v>5.0000000000000001E-3</v>
      </c>
      <c r="AC613" s="151"/>
      <c r="AD613" s="150"/>
      <c r="AE613" s="151"/>
      <c r="AF613" s="150" t="s">
        <v>70</v>
      </c>
      <c r="AG613" s="152" t="s">
        <v>352</v>
      </c>
      <c r="AH613" s="150" t="s">
        <v>326</v>
      </c>
      <c r="AI613" s="99"/>
      <c r="AJ613" s="149"/>
      <c r="AK613" s="99"/>
      <c r="AL613" s="149"/>
      <c r="AM613" s="99"/>
      <c r="AN613" s="149">
        <v>0</v>
      </c>
      <c r="AO613" s="149">
        <v>1</v>
      </c>
      <c r="AP613" s="149">
        <v>0</v>
      </c>
      <c r="AQ613" s="149">
        <v>0</v>
      </c>
      <c r="AR613" s="149">
        <v>0</v>
      </c>
      <c r="AS613" s="149">
        <v>0</v>
      </c>
      <c r="AT613" s="149">
        <v>0</v>
      </c>
      <c r="AU613" s="149">
        <v>0</v>
      </c>
      <c r="AV613" s="149">
        <v>1</v>
      </c>
      <c r="AW613" s="149">
        <v>0</v>
      </c>
      <c r="AX613" s="149">
        <v>0</v>
      </c>
      <c r="AY613" s="149">
        <v>0</v>
      </c>
      <c r="AZ613" s="149">
        <v>0</v>
      </c>
      <c r="BA613" s="149">
        <v>0</v>
      </c>
      <c r="BB613" s="149">
        <v>0</v>
      </c>
      <c r="BC613" s="149">
        <v>0</v>
      </c>
      <c r="BD613" s="149">
        <v>0</v>
      </c>
      <c r="BE613" s="149">
        <v>0</v>
      </c>
      <c r="BF613" s="149">
        <v>0</v>
      </c>
      <c r="BG613" s="149">
        <v>0</v>
      </c>
      <c r="BH613" s="149">
        <v>0</v>
      </c>
      <c r="BI613" s="149">
        <v>0</v>
      </c>
      <c r="BJ613" s="149">
        <v>0</v>
      </c>
      <c r="BK613" s="149">
        <v>0</v>
      </c>
      <c r="BL613" s="149">
        <v>0</v>
      </c>
      <c r="BM613" s="149">
        <v>0</v>
      </c>
      <c r="BN613" s="149">
        <v>0</v>
      </c>
      <c r="BO613" s="149">
        <v>0</v>
      </c>
      <c r="BP613" s="152"/>
      <c r="BQ613" s="152"/>
      <c r="BR613" s="154" t="s">
        <v>359</v>
      </c>
      <c r="BS613" s="136">
        <v>15</v>
      </c>
      <c r="BT613" s="267"/>
      <c r="BU613" s="267">
        <f t="shared" si="63"/>
        <v>0.25</v>
      </c>
      <c r="BV613" s="267">
        <f t="shared" si="64"/>
        <v>0.25</v>
      </c>
      <c r="BW613" s="267">
        <f t="shared" si="65"/>
        <v>0.25</v>
      </c>
      <c r="BX613" s="267">
        <f t="shared" si="66"/>
        <v>0.25</v>
      </c>
      <c r="BY613" s="267"/>
      <c r="BZ613" s="267"/>
      <c r="CA613" s="267"/>
      <c r="CB613" s="267"/>
      <c r="CC613" s="267"/>
      <c r="CD613" s="267"/>
      <c r="CE613" s="267"/>
      <c r="CF613" s="267"/>
      <c r="CG613" s="267"/>
      <c r="CH613" s="267"/>
      <c r="CI613" s="267"/>
      <c r="CJ613" s="267"/>
      <c r="CK613" s="267"/>
      <c r="CL613" s="267"/>
      <c r="CM613" s="267"/>
      <c r="CN613" s="101">
        <f t="shared" si="57"/>
        <v>1</v>
      </c>
      <c r="CO613" s="101">
        <f t="shared" si="58"/>
        <v>1</v>
      </c>
    </row>
    <row r="614" spans="1:93" ht="13.9" customHeight="1" x14ac:dyDescent="0.2">
      <c r="A614" s="149">
        <v>7455</v>
      </c>
      <c r="B614" s="150" t="s">
        <v>1216</v>
      </c>
      <c r="C614" s="150" t="s">
        <v>1765</v>
      </c>
      <c r="D614" s="150" t="s">
        <v>1766</v>
      </c>
      <c r="E614" s="150" t="s">
        <v>326</v>
      </c>
      <c r="F614" s="149">
        <v>527895</v>
      </c>
      <c r="G614" s="149">
        <v>176598</v>
      </c>
      <c r="H614" s="150" t="s">
        <v>160</v>
      </c>
      <c r="I614" s="151"/>
      <c r="J614" s="151"/>
      <c r="K614" s="149">
        <v>1</v>
      </c>
      <c r="L614" s="149">
        <v>2</v>
      </c>
      <c r="M614" s="149">
        <v>1</v>
      </c>
      <c r="N614" s="149">
        <v>2</v>
      </c>
      <c r="O614" s="149">
        <v>1</v>
      </c>
      <c r="P614" s="152"/>
      <c r="Q614" s="150" t="s">
        <v>1767</v>
      </c>
      <c r="R614" s="150" t="s">
        <v>349</v>
      </c>
      <c r="S614" s="151">
        <v>44053</v>
      </c>
      <c r="T614" s="151">
        <v>44271</v>
      </c>
      <c r="U614" s="152"/>
      <c r="V614" s="150" t="s">
        <v>330</v>
      </c>
      <c r="W614" s="151"/>
      <c r="X614" s="150" t="s">
        <v>331</v>
      </c>
      <c r="Y614" s="150" t="s">
        <v>350</v>
      </c>
      <c r="Z614" s="150" t="s">
        <v>334</v>
      </c>
      <c r="AA614" s="150" t="s">
        <v>399</v>
      </c>
      <c r="AB614" s="153">
        <v>7.0000000000000001E-3</v>
      </c>
      <c r="AC614" s="151"/>
      <c r="AD614" s="150"/>
      <c r="AE614" s="151"/>
      <c r="AF614" s="150" t="s">
        <v>70</v>
      </c>
      <c r="AG614" s="152" t="s">
        <v>352</v>
      </c>
      <c r="AH614" s="150" t="s">
        <v>326</v>
      </c>
      <c r="AI614" s="99"/>
      <c r="AJ614" s="149"/>
      <c r="AK614" s="99"/>
      <c r="AL614" s="149"/>
      <c r="AM614" s="99"/>
      <c r="AN614" s="149">
        <v>0</v>
      </c>
      <c r="AO614" s="149">
        <v>2</v>
      </c>
      <c r="AP614" s="149">
        <v>0</v>
      </c>
      <c r="AQ614" s="149">
        <v>0</v>
      </c>
      <c r="AR614" s="149">
        <v>-1</v>
      </c>
      <c r="AS614" s="149">
        <v>0</v>
      </c>
      <c r="AT614" s="149">
        <v>0</v>
      </c>
      <c r="AU614" s="149">
        <v>0</v>
      </c>
      <c r="AV614" s="149">
        <v>2</v>
      </c>
      <c r="AW614" s="149">
        <v>0</v>
      </c>
      <c r="AX614" s="149">
        <v>0</v>
      </c>
      <c r="AY614" s="149">
        <v>-1</v>
      </c>
      <c r="AZ614" s="149">
        <v>0</v>
      </c>
      <c r="BA614" s="149">
        <v>0</v>
      </c>
      <c r="BB614" s="149">
        <v>0</v>
      </c>
      <c r="BC614" s="149">
        <v>0</v>
      </c>
      <c r="BD614" s="149">
        <v>0</v>
      </c>
      <c r="BE614" s="149">
        <v>0</v>
      </c>
      <c r="BF614" s="149">
        <v>0</v>
      </c>
      <c r="BG614" s="149">
        <v>0</v>
      </c>
      <c r="BH614" s="149">
        <v>0</v>
      </c>
      <c r="BI614" s="149">
        <v>0</v>
      </c>
      <c r="BJ614" s="149">
        <v>0</v>
      </c>
      <c r="BK614" s="149">
        <v>0</v>
      </c>
      <c r="BL614" s="149">
        <v>0</v>
      </c>
      <c r="BM614" s="149">
        <v>0</v>
      </c>
      <c r="BN614" s="149">
        <v>0</v>
      </c>
      <c r="BO614" s="149">
        <v>0</v>
      </c>
      <c r="BP614" s="152"/>
      <c r="BQ614" s="152"/>
      <c r="BR614" s="154" t="s">
        <v>359</v>
      </c>
      <c r="BS614" s="136">
        <v>15</v>
      </c>
      <c r="BT614" s="267"/>
      <c r="BU614" s="267">
        <f t="shared" si="63"/>
        <v>0.25</v>
      </c>
      <c r="BV614" s="267">
        <f t="shared" si="64"/>
        <v>0.25</v>
      </c>
      <c r="BW614" s="267">
        <f t="shared" si="65"/>
        <v>0.25</v>
      </c>
      <c r="BX614" s="267">
        <f t="shared" si="66"/>
        <v>0.25</v>
      </c>
      <c r="BY614" s="267"/>
      <c r="BZ614" s="267"/>
      <c r="CA614" s="267"/>
      <c r="CB614" s="267"/>
      <c r="CC614" s="267"/>
      <c r="CD614" s="267"/>
      <c r="CE614" s="267"/>
      <c r="CF614" s="267"/>
      <c r="CG614" s="267"/>
      <c r="CH614" s="267"/>
      <c r="CI614" s="267"/>
      <c r="CJ614" s="267"/>
      <c r="CK614" s="267"/>
      <c r="CL614" s="267"/>
      <c r="CM614" s="267"/>
      <c r="CN614" s="101">
        <f t="shared" si="57"/>
        <v>1</v>
      </c>
      <c r="CO614" s="101">
        <f t="shared" si="58"/>
        <v>1</v>
      </c>
    </row>
    <row r="615" spans="1:93" ht="13.9" customHeight="1" x14ac:dyDescent="0.2">
      <c r="A615" s="149">
        <v>7437</v>
      </c>
      <c r="B615" s="150" t="s">
        <v>1216</v>
      </c>
      <c r="C615" s="150" t="s">
        <v>1768</v>
      </c>
      <c r="D615" s="150" t="s">
        <v>1769</v>
      </c>
      <c r="E615" s="150" t="s">
        <v>326</v>
      </c>
      <c r="F615" s="149">
        <v>525471</v>
      </c>
      <c r="G615" s="149">
        <v>174681</v>
      </c>
      <c r="H615" s="150" t="s">
        <v>177</v>
      </c>
      <c r="I615" s="151"/>
      <c r="J615" s="151"/>
      <c r="K615" s="149">
        <v>0</v>
      </c>
      <c r="L615" s="149">
        <v>2</v>
      </c>
      <c r="M615" s="149">
        <v>2</v>
      </c>
      <c r="N615" s="149">
        <v>2</v>
      </c>
      <c r="O615" s="149">
        <v>2</v>
      </c>
      <c r="P615" s="152"/>
      <c r="Q615" s="150" t="s">
        <v>1770</v>
      </c>
      <c r="R615" s="150" t="s">
        <v>349</v>
      </c>
      <c r="S615" s="151">
        <v>44054</v>
      </c>
      <c r="T615" s="151">
        <v>44272</v>
      </c>
      <c r="U615" s="152"/>
      <c r="V615" s="150" t="s">
        <v>330</v>
      </c>
      <c r="W615" s="151"/>
      <c r="X615" s="150" t="s">
        <v>331</v>
      </c>
      <c r="Y615" s="150" t="s">
        <v>398</v>
      </c>
      <c r="Z615" s="150" t="s">
        <v>334</v>
      </c>
      <c r="AA615" s="150" t="s">
        <v>413</v>
      </c>
      <c r="AB615" s="153">
        <v>2E-3</v>
      </c>
      <c r="AC615" s="151"/>
      <c r="AD615" s="150"/>
      <c r="AE615" s="151"/>
      <c r="AF615" s="150" t="s">
        <v>70</v>
      </c>
      <c r="AG615" s="152" t="s">
        <v>352</v>
      </c>
      <c r="AH615" s="150" t="s">
        <v>326</v>
      </c>
      <c r="AI615" s="99"/>
      <c r="AJ615" s="149"/>
      <c r="AK615" s="99"/>
      <c r="AL615" s="149"/>
      <c r="AM615" s="99"/>
      <c r="AN615" s="149">
        <v>0</v>
      </c>
      <c r="AO615" s="149">
        <v>1</v>
      </c>
      <c r="AP615" s="149">
        <v>1</v>
      </c>
      <c r="AQ615" s="149">
        <v>0</v>
      </c>
      <c r="AR615" s="149">
        <v>0</v>
      </c>
      <c r="AS615" s="149">
        <v>0</v>
      </c>
      <c r="AT615" s="149">
        <v>0</v>
      </c>
      <c r="AU615" s="149">
        <v>0</v>
      </c>
      <c r="AV615" s="149">
        <v>1</v>
      </c>
      <c r="AW615" s="149">
        <v>1</v>
      </c>
      <c r="AX615" s="149">
        <v>0</v>
      </c>
      <c r="AY615" s="149">
        <v>0</v>
      </c>
      <c r="AZ615" s="149">
        <v>0</v>
      </c>
      <c r="BA615" s="149">
        <v>0</v>
      </c>
      <c r="BB615" s="149">
        <v>0</v>
      </c>
      <c r="BC615" s="149">
        <v>0</v>
      </c>
      <c r="BD615" s="149">
        <v>0</v>
      </c>
      <c r="BE615" s="149">
        <v>0</v>
      </c>
      <c r="BF615" s="149">
        <v>0</v>
      </c>
      <c r="BG615" s="149">
        <v>0</v>
      </c>
      <c r="BH615" s="149">
        <v>0</v>
      </c>
      <c r="BI615" s="149">
        <v>0</v>
      </c>
      <c r="BJ615" s="149">
        <v>0</v>
      </c>
      <c r="BK615" s="149">
        <v>0</v>
      </c>
      <c r="BL615" s="149">
        <v>0</v>
      </c>
      <c r="BM615" s="149">
        <v>0</v>
      </c>
      <c r="BN615" s="149">
        <v>0</v>
      </c>
      <c r="BO615" s="149">
        <v>0</v>
      </c>
      <c r="BP615" s="152" t="s">
        <v>143</v>
      </c>
      <c r="BQ615" s="152"/>
      <c r="BR615" s="154" t="s">
        <v>463</v>
      </c>
      <c r="BS615" s="136">
        <v>15</v>
      </c>
      <c r="BT615" s="267"/>
      <c r="BU615" s="267">
        <f t="shared" si="63"/>
        <v>0.5</v>
      </c>
      <c r="BV615" s="267">
        <f t="shared" si="64"/>
        <v>0.5</v>
      </c>
      <c r="BW615" s="267">
        <f t="shared" si="65"/>
        <v>0.5</v>
      </c>
      <c r="BX615" s="267">
        <f t="shared" si="66"/>
        <v>0.5</v>
      </c>
      <c r="BY615" s="267"/>
      <c r="BZ615" s="267"/>
      <c r="CA615" s="267"/>
      <c r="CB615" s="267"/>
      <c r="CC615" s="267"/>
      <c r="CD615" s="267"/>
      <c r="CE615" s="267"/>
      <c r="CF615" s="267"/>
      <c r="CG615" s="267"/>
      <c r="CH615" s="267"/>
      <c r="CI615" s="267"/>
      <c r="CJ615" s="267"/>
      <c r="CK615" s="267"/>
      <c r="CL615" s="267"/>
      <c r="CM615" s="267"/>
      <c r="CN615" s="101">
        <f t="shared" si="57"/>
        <v>2</v>
      </c>
      <c r="CO615" s="101">
        <f t="shared" si="58"/>
        <v>2</v>
      </c>
    </row>
    <row r="616" spans="1:93" ht="13.9" customHeight="1" x14ac:dyDescent="0.2">
      <c r="A616" s="149">
        <v>6634</v>
      </c>
      <c r="B616" s="150" t="s">
        <v>1216</v>
      </c>
      <c r="C616" s="150" t="s">
        <v>1771</v>
      </c>
      <c r="D616" s="150" t="s">
        <v>1772</v>
      </c>
      <c r="E616" s="150" t="s">
        <v>326</v>
      </c>
      <c r="F616" s="149">
        <v>525319</v>
      </c>
      <c r="G616" s="149">
        <v>173419</v>
      </c>
      <c r="H616" s="150" t="s">
        <v>169</v>
      </c>
      <c r="I616" s="151"/>
      <c r="J616" s="151"/>
      <c r="K616" s="149">
        <v>1</v>
      </c>
      <c r="L616" s="149">
        <v>2</v>
      </c>
      <c r="M616" s="149">
        <v>1</v>
      </c>
      <c r="N616" s="149">
        <v>2</v>
      </c>
      <c r="O616" s="149">
        <v>1</v>
      </c>
      <c r="P616" s="152"/>
      <c r="Q616" s="150" t="s">
        <v>1773</v>
      </c>
      <c r="R616" s="150" t="s">
        <v>349</v>
      </c>
      <c r="S616" s="151">
        <v>44117</v>
      </c>
      <c r="T616" s="151">
        <v>44118</v>
      </c>
      <c r="U616" s="152"/>
      <c r="V616" s="150" t="s">
        <v>330</v>
      </c>
      <c r="W616" s="151"/>
      <c r="X616" s="150" t="s">
        <v>331</v>
      </c>
      <c r="Y616" s="150" t="s">
        <v>350</v>
      </c>
      <c r="Z616" s="150" t="s">
        <v>334</v>
      </c>
      <c r="AA616" s="150" t="s">
        <v>399</v>
      </c>
      <c r="AB616" s="153">
        <v>8.0000000000000002E-3</v>
      </c>
      <c r="AC616" s="151"/>
      <c r="AD616" s="150"/>
      <c r="AE616" s="151"/>
      <c r="AF616" s="150" t="s">
        <v>70</v>
      </c>
      <c r="AG616" s="152" t="s">
        <v>352</v>
      </c>
      <c r="AH616" s="150" t="s">
        <v>326</v>
      </c>
      <c r="AI616" s="99"/>
      <c r="AJ616" s="149"/>
      <c r="AK616" s="99"/>
      <c r="AL616" s="149"/>
      <c r="AM616" s="99"/>
      <c r="AN616" s="149">
        <v>1</v>
      </c>
      <c r="AO616" s="149">
        <v>1</v>
      </c>
      <c r="AP616" s="149">
        <v>-1</v>
      </c>
      <c r="AQ616" s="149">
        <v>0</v>
      </c>
      <c r="AR616" s="149">
        <v>0</v>
      </c>
      <c r="AS616" s="149">
        <v>0</v>
      </c>
      <c r="AT616" s="149">
        <v>0</v>
      </c>
      <c r="AU616" s="149">
        <v>1</v>
      </c>
      <c r="AV616" s="149">
        <v>1</v>
      </c>
      <c r="AW616" s="149">
        <v>-1</v>
      </c>
      <c r="AX616" s="149">
        <v>0</v>
      </c>
      <c r="AY616" s="149">
        <v>0</v>
      </c>
      <c r="AZ616" s="149">
        <v>0</v>
      </c>
      <c r="BA616" s="149">
        <v>0</v>
      </c>
      <c r="BB616" s="149">
        <v>0</v>
      </c>
      <c r="BC616" s="149">
        <v>0</v>
      </c>
      <c r="BD616" s="149">
        <v>0</v>
      </c>
      <c r="BE616" s="149">
        <v>0</v>
      </c>
      <c r="BF616" s="149">
        <v>0</v>
      </c>
      <c r="BG616" s="149">
        <v>0</v>
      </c>
      <c r="BH616" s="149">
        <v>0</v>
      </c>
      <c r="BI616" s="149">
        <v>0</v>
      </c>
      <c r="BJ616" s="149">
        <v>0</v>
      </c>
      <c r="BK616" s="149">
        <v>0</v>
      </c>
      <c r="BL616" s="149">
        <v>0</v>
      </c>
      <c r="BM616" s="149">
        <v>0</v>
      </c>
      <c r="BN616" s="149">
        <v>0</v>
      </c>
      <c r="BO616" s="149">
        <v>0</v>
      </c>
      <c r="BP616" s="152"/>
      <c r="BQ616" s="152"/>
      <c r="BR616" s="154" t="s">
        <v>151</v>
      </c>
      <c r="BS616" s="136">
        <v>15</v>
      </c>
      <c r="BT616" s="267"/>
      <c r="BU616" s="267">
        <f t="shared" si="63"/>
        <v>0.25</v>
      </c>
      <c r="BV616" s="267">
        <f t="shared" si="64"/>
        <v>0.25</v>
      </c>
      <c r="BW616" s="267">
        <f t="shared" si="65"/>
        <v>0.25</v>
      </c>
      <c r="BX616" s="267">
        <f t="shared" si="66"/>
        <v>0.25</v>
      </c>
      <c r="BY616" s="267"/>
      <c r="BZ616" s="267"/>
      <c r="CA616" s="267"/>
      <c r="CB616" s="267"/>
      <c r="CC616" s="267"/>
      <c r="CD616" s="267"/>
      <c r="CE616" s="267"/>
      <c r="CF616" s="267"/>
      <c r="CG616" s="267"/>
      <c r="CH616" s="267"/>
      <c r="CI616" s="267"/>
      <c r="CJ616" s="267"/>
      <c r="CK616" s="267"/>
      <c r="CL616" s="267"/>
      <c r="CM616" s="267"/>
      <c r="CN616" s="101">
        <f t="shared" si="57"/>
        <v>1</v>
      </c>
      <c r="CO616" s="101">
        <f t="shared" si="58"/>
        <v>1</v>
      </c>
    </row>
    <row r="617" spans="1:93" ht="13.9" customHeight="1" x14ac:dyDescent="0.2">
      <c r="A617" s="149">
        <v>6277</v>
      </c>
      <c r="B617" s="150" t="s">
        <v>1216</v>
      </c>
      <c r="C617" s="150" t="s">
        <v>1774</v>
      </c>
      <c r="D617" s="150" t="s">
        <v>1775</v>
      </c>
      <c r="E617" s="150" t="s">
        <v>326</v>
      </c>
      <c r="F617" s="149">
        <v>527645</v>
      </c>
      <c r="G617" s="149">
        <v>170659</v>
      </c>
      <c r="H617" s="150" t="s">
        <v>173</v>
      </c>
      <c r="I617" s="151"/>
      <c r="J617" s="151"/>
      <c r="K617" s="149">
        <v>1</v>
      </c>
      <c r="L617" s="149">
        <v>3</v>
      </c>
      <c r="M617" s="149">
        <v>2</v>
      </c>
      <c r="N617" s="149">
        <v>4</v>
      </c>
      <c r="O617" s="149">
        <v>3</v>
      </c>
      <c r="P617" s="152"/>
      <c r="Q617" s="150" t="s">
        <v>1776</v>
      </c>
      <c r="R617" s="150" t="s">
        <v>349</v>
      </c>
      <c r="S617" s="151">
        <v>44063</v>
      </c>
      <c r="T617" s="151">
        <v>44187</v>
      </c>
      <c r="U617" s="152"/>
      <c r="V617" s="150" t="s">
        <v>330</v>
      </c>
      <c r="W617" s="151"/>
      <c r="X617" s="150" t="s">
        <v>331</v>
      </c>
      <c r="Y617" s="150" t="s">
        <v>398</v>
      </c>
      <c r="Z617" s="150" t="s">
        <v>334</v>
      </c>
      <c r="AA617" s="150" t="s">
        <v>16</v>
      </c>
      <c r="AB617" s="153">
        <v>8.9999999999999993E-3</v>
      </c>
      <c r="AC617" s="151"/>
      <c r="AD617" s="150"/>
      <c r="AE617" s="151"/>
      <c r="AF617" s="150" t="s">
        <v>70</v>
      </c>
      <c r="AG617" s="152" t="s">
        <v>352</v>
      </c>
      <c r="AH617" s="150" t="s">
        <v>326</v>
      </c>
      <c r="AI617" s="99"/>
      <c r="AJ617" s="149"/>
      <c r="AK617" s="99"/>
      <c r="AL617" s="149"/>
      <c r="AM617" s="99"/>
      <c r="AN617" s="149">
        <v>0</v>
      </c>
      <c r="AO617" s="149">
        <v>0</v>
      </c>
      <c r="AP617" s="149">
        <v>1</v>
      </c>
      <c r="AQ617" s="149">
        <v>2</v>
      </c>
      <c r="AR617" s="149">
        <v>0</v>
      </c>
      <c r="AS617" s="149">
        <v>-1</v>
      </c>
      <c r="AT617" s="149">
        <v>0</v>
      </c>
      <c r="AU617" s="149">
        <v>0</v>
      </c>
      <c r="AV617" s="149">
        <v>0</v>
      </c>
      <c r="AW617" s="149">
        <v>1</v>
      </c>
      <c r="AX617" s="149">
        <v>2</v>
      </c>
      <c r="AY617" s="149">
        <v>0</v>
      </c>
      <c r="AZ617" s="149">
        <v>0</v>
      </c>
      <c r="BA617" s="149">
        <v>0</v>
      </c>
      <c r="BB617" s="149">
        <v>0</v>
      </c>
      <c r="BC617" s="149">
        <v>0</v>
      </c>
      <c r="BD617" s="149">
        <v>0</v>
      </c>
      <c r="BE617" s="149">
        <v>0</v>
      </c>
      <c r="BF617" s="149">
        <v>0</v>
      </c>
      <c r="BG617" s="149">
        <v>-1</v>
      </c>
      <c r="BH617" s="149">
        <v>0</v>
      </c>
      <c r="BI617" s="149">
        <v>0</v>
      </c>
      <c r="BJ617" s="149">
        <v>0</v>
      </c>
      <c r="BK617" s="149">
        <v>0</v>
      </c>
      <c r="BL617" s="149">
        <v>0</v>
      </c>
      <c r="BM617" s="149">
        <v>0</v>
      </c>
      <c r="BN617" s="149">
        <v>0</v>
      </c>
      <c r="BO617" s="149">
        <v>0</v>
      </c>
      <c r="BP617" s="152"/>
      <c r="BQ617" s="152"/>
      <c r="BR617" s="154" t="s">
        <v>359</v>
      </c>
      <c r="BS617" s="136">
        <v>15</v>
      </c>
      <c r="BT617" s="267"/>
      <c r="BU617" s="267">
        <f t="shared" si="63"/>
        <v>0.5</v>
      </c>
      <c r="BV617" s="267">
        <f t="shared" si="64"/>
        <v>0.5</v>
      </c>
      <c r="BW617" s="267">
        <f t="shared" si="65"/>
        <v>0.5</v>
      </c>
      <c r="BX617" s="267">
        <f t="shared" si="66"/>
        <v>0.5</v>
      </c>
      <c r="BY617" s="267"/>
      <c r="BZ617" s="267"/>
      <c r="CA617" s="267"/>
      <c r="CB617" s="267"/>
      <c r="CC617" s="267"/>
      <c r="CD617" s="267"/>
      <c r="CE617" s="267"/>
      <c r="CF617" s="267"/>
      <c r="CG617" s="267"/>
      <c r="CH617" s="267"/>
      <c r="CI617" s="267"/>
      <c r="CJ617" s="267"/>
      <c r="CK617" s="267"/>
      <c r="CL617" s="267"/>
      <c r="CM617" s="267"/>
      <c r="CN617" s="101">
        <f t="shared" si="57"/>
        <v>2</v>
      </c>
      <c r="CO617" s="101">
        <f t="shared" si="58"/>
        <v>2</v>
      </c>
    </row>
    <row r="618" spans="1:93" ht="13.9" customHeight="1" x14ac:dyDescent="0.2">
      <c r="A618" s="149">
        <v>6277</v>
      </c>
      <c r="B618" s="150" t="s">
        <v>1216</v>
      </c>
      <c r="C618" s="150" t="s">
        <v>1774</v>
      </c>
      <c r="D618" s="150" t="s">
        <v>1775</v>
      </c>
      <c r="E618" s="150" t="s">
        <v>326</v>
      </c>
      <c r="F618" s="149">
        <v>527645</v>
      </c>
      <c r="G618" s="149">
        <v>170659</v>
      </c>
      <c r="H618" s="150" t="s">
        <v>173</v>
      </c>
      <c r="I618" s="151"/>
      <c r="J618" s="151"/>
      <c r="K618" s="149">
        <v>0</v>
      </c>
      <c r="L618" s="149">
        <v>1</v>
      </c>
      <c r="M618" s="149">
        <v>1</v>
      </c>
      <c r="N618" s="149">
        <v>4</v>
      </c>
      <c r="O618" s="149">
        <v>3</v>
      </c>
      <c r="P618" s="152"/>
      <c r="Q618" s="150" t="s">
        <v>1776</v>
      </c>
      <c r="R618" s="150" t="s">
        <v>349</v>
      </c>
      <c r="S618" s="151">
        <v>44063</v>
      </c>
      <c r="T618" s="151">
        <v>44187</v>
      </c>
      <c r="U618" s="152"/>
      <c r="V618" s="150" t="s">
        <v>330</v>
      </c>
      <c r="W618" s="151"/>
      <c r="X618" s="150" t="s">
        <v>331</v>
      </c>
      <c r="Y618" s="150" t="s">
        <v>398</v>
      </c>
      <c r="Z618" s="150" t="s">
        <v>334</v>
      </c>
      <c r="AA618" s="150" t="s">
        <v>413</v>
      </c>
      <c r="AB618" s="153">
        <v>2.7E-2</v>
      </c>
      <c r="AC618" s="151"/>
      <c r="AD618" s="150"/>
      <c r="AE618" s="151"/>
      <c r="AF618" s="150" t="s">
        <v>70</v>
      </c>
      <c r="AG618" s="152" t="s">
        <v>352</v>
      </c>
      <c r="AH618" s="150" t="s">
        <v>326</v>
      </c>
      <c r="AI618" s="99"/>
      <c r="AJ618" s="149"/>
      <c r="AK618" s="99"/>
      <c r="AL618" s="149"/>
      <c r="AM618" s="99"/>
      <c r="AN618" s="149">
        <v>1</v>
      </c>
      <c r="AO618" s="149">
        <v>0</v>
      </c>
      <c r="AP618" s="149">
        <v>0</v>
      </c>
      <c r="AQ618" s="149">
        <v>0</v>
      </c>
      <c r="AR618" s="149">
        <v>0</v>
      </c>
      <c r="AS618" s="149">
        <v>0</v>
      </c>
      <c r="AT618" s="149">
        <v>0</v>
      </c>
      <c r="AU618" s="149">
        <v>1</v>
      </c>
      <c r="AV618" s="149">
        <v>0</v>
      </c>
      <c r="AW618" s="149">
        <v>0</v>
      </c>
      <c r="AX618" s="149">
        <v>0</v>
      </c>
      <c r="AY618" s="149">
        <v>0</v>
      </c>
      <c r="AZ618" s="149">
        <v>0</v>
      </c>
      <c r="BA618" s="149">
        <v>0</v>
      </c>
      <c r="BB618" s="149">
        <v>0</v>
      </c>
      <c r="BC618" s="149">
        <v>0</v>
      </c>
      <c r="BD618" s="149">
        <v>0</v>
      </c>
      <c r="BE618" s="149">
        <v>0</v>
      </c>
      <c r="BF618" s="149">
        <v>0</v>
      </c>
      <c r="BG618" s="149">
        <v>0</v>
      </c>
      <c r="BH618" s="149">
        <v>0</v>
      </c>
      <c r="BI618" s="149">
        <v>0</v>
      </c>
      <c r="BJ618" s="149">
        <v>0</v>
      </c>
      <c r="BK618" s="149">
        <v>0</v>
      </c>
      <c r="BL618" s="149">
        <v>0</v>
      </c>
      <c r="BM618" s="149">
        <v>0</v>
      </c>
      <c r="BN618" s="149">
        <v>0</v>
      </c>
      <c r="BO618" s="149">
        <v>0</v>
      </c>
      <c r="BP618" s="152"/>
      <c r="BQ618" s="152"/>
      <c r="BR618" s="154" t="s">
        <v>359</v>
      </c>
      <c r="BS618" s="136">
        <v>15</v>
      </c>
      <c r="BT618" s="267"/>
      <c r="BU618" s="267">
        <f t="shared" si="63"/>
        <v>0.25</v>
      </c>
      <c r="BV618" s="267">
        <f t="shared" si="64"/>
        <v>0.25</v>
      </c>
      <c r="BW618" s="267">
        <f t="shared" si="65"/>
        <v>0.25</v>
      </c>
      <c r="BX618" s="267">
        <f t="shared" si="66"/>
        <v>0.25</v>
      </c>
      <c r="BY618" s="267"/>
      <c r="BZ618" s="267"/>
      <c r="CA618" s="267"/>
      <c r="CB618" s="267"/>
      <c r="CC618" s="267"/>
      <c r="CD618" s="267"/>
      <c r="CE618" s="267"/>
      <c r="CF618" s="267"/>
      <c r="CG618" s="267"/>
      <c r="CH618" s="267"/>
      <c r="CI618" s="267"/>
      <c r="CJ618" s="267"/>
      <c r="CK618" s="267"/>
      <c r="CL618" s="267"/>
      <c r="CM618" s="267"/>
      <c r="CN618" s="101">
        <f t="shared" si="57"/>
        <v>1</v>
      </c>
      <c r="CO618" s="101">
        <f t="shared" si="58"/>
        <v>1</v>
      </c>
    </row>
    <row r="619" spans="1:93" ht="13.9" customHeight="1" x14ac:dyDescent="0.2">
      <c r="A619" s="149">
        <v>7468</v>
      </c>
      <c r="B619" s="150" t="s">
        <v>1216</v>
      </c>
      <c r="C619" s="150" t="s">
        <v>1777</v>
      </c>
      <c r="D619" s="150" t="s">
        <v>1778</v>
      </c>
      <c r="E619" s="150" t="s">
        <v>326</v>
      </c>
      <c r="F619" s="149">
        <v>524935</v>
      </c>
      <c r="G619" s="149">
        <v>172719</v>
      </c>
      <c r="H619" s="150" t="s">
        <v>169</v>
      </c>
      <c r="I619" s="151">
        <v>44743</v>
      </c>
      <c r="J619" s="151"/>
      <c r="K619" s="149">
        <v>0</v>
      </c>
      <c r="L619" s="149">
        <v>1</v>
      </c>
      <c r="M619" s="149">
        <v>1</v>
      </c>
      <c r="N619" s="149">
        <v>1</v>
      </c>
      <c r="O619" s="149">
        <v>1</v>
      </c>
      <c r="P619" s="152"/>
      <c r="Q619" s="150" t="s">
        <v>1779</v>
      </c>
      <c r="R619" s="150" t="s">
        <v>349</v>
      </c>
      <c r="S619" s="151">
        <v>44083</v>
      </c>
      <c r="T619" s="151">
        <v>44181</v>
      </c>
      <c r="U619" s="152"/>
      <c r="V619" s="150" t="s">
        <v>330</v>
      </c>
      <c r="W619" s="151"/>
      <c r="X619" s="150" t="s">
        <v>331</v>
      </c>
      <c r="Y619" s="150" t="s">
        <v>343</v>
      </c>
      <c r="Z619" s="150" t="s">
        <v>334</v>
      </c>
      <c r="AA619" s="150" t="s">
        <v>363</v>
      </c>
      <c r="AB619" s="153">
        <v>1.7999999999999999E-2</v>
      </c>
      <c r="AC619" s="151"/>
      <c r="AD619" s="150"/>
      <c r="AE619" s="151"/>
      <c r="AF619" s="150" t="s">
        <v>70</v>
      </c>
      <c r="AG619" s="152" t="s">
        <v>352</v>
      </c>
      <c r="AH619" s="150" t="s">
        <v>326</v>
      </c>
      <c r="AI619" s="99"/>
      <c r="AJ619" s="149"/>
      <c r="AK619" s="99"/>
      <c r="AL619" s="149"/>
      <c r="AM619" s="99"/>
      <c r="AN619" s="149">
        <v>0</v>
      </c>
      <c r="AO619" s="149">
        <v>0</v>
      </c>
      <c r="AP619" s="149">
        <v>0</v>
      </c>
      <c r="AQ619" s="149">
        <v>0</v>
      </c>
      <c r="AR619" s="149">
        <v>0</v>
      </c>
      <c r="AS619" s="149">
        <v>1</v>
      </c>
      <c r="AT619" s="149">
        <v>0</v>
      </c>
      <c r="AU619" s="149">
        <v>0</v>
      </c>
      <c r="AV619" s="149">
        <v>0</v>
      </c>
      <c r="AW619" s="149">
        <v>0</v>
      </c>
      <c r="AX619" s="149">
        <v>0</v>
      </c>
      <c r="AY619" s="149">
        <v>0</v>
      </c>
      <c r="AZ619" s="149">
        <v>0</v>
      </c>
      <c r="BA619" s="149">
        <v>0</v>
      </c>
      <c r="BB619" s="149">
        <v>0</v>
      </c>
      <c r="BC619" s="149">
        <v>0</v>
      </c>
      <c r="BD619" s="149">
        <v>0</v>
      </c>
      <c r="BE619" s="149">
        <v>0</v>
      </c>
      <c r="BF619" s="149">
        <v>0</v>
      </c>
      <c r="BG619" s="149">
        <v>1</v>
      </c>
      <c r="BH619" s="149">
        <v>0</v>
      </c>
      <c r="BI619" s="149">
        <v>0</v>
      </c>
      <c r="BJ619" s="149">
        <v>0</v>
      </c>
      <c r="BK619" s="149">
        <v>0</v>
      </c>
      <c r="BL619" s="149">
        <v>0</v>
      </c>
      <c r="BM619" s="149">
        <v>0</v>
      </c>
      <c r="BN619" s="149">
        <v>0</v>
      </c>
      <c r="BO619" s="149">
        <v>0</v>
      </c>
      <c r="BP619" s="152"/>
      <c r="BQ619" s="152"/>
      <c r="BR619" s="154" t="s">
        <v>359</v>
      </c>
      <c r="BS619" s="136">
        <v>7</v>
      </c>
      <c r="BT619" s="267"/>
      <c r="BU619" s="267"/>
      <c r="BV619" s="267">
        <f t="shared" si="64"/>
        <v>0.25</v>
      </c>
      <c r="BW619" s="267">
        <f t="shared" si="65"/>
        <v>0.25</v>
      </c>
      <c r="BX619" s="267">
        <f t="shared" si="66"/>
        <v>0.25</v>
      </c>
      <c r="BY619" s="267">
        <f>M619/4</f>
        <v>0.25</v>
      </c>
      <c r="BZ619" s="267"/>
      <c r="CA619" s="267"/>
      <c r="CB619" s="267"/>
      <c r="CC619" s="267"/>
      <c r="CD619" s="267"/>
      <c r="CE619" s="267"/>
      <c r="CF619" s="267"/>
      <c r="CG619" s="267"/>
      <c r="CH619" s="267"/>
      <c r="CI619" s="267"/>
      <c r="CJ619" s="267"/>
      <c r="CK619" s="267"/>
      <c r="CL619" s="267"/>
      <c r="CM619" s="267"/>
      <c r="CN619" s="101">
        <f t="shared" si="57"/>
        <v>1</v>
      </c>
      <c r="CO619" s="101">
        <f t="shared" si="58"/>
        <v>1</v>
      </c>
    </row>
    <row r="620" spans="1:93" ht="13.9" customHeight="1" x14ac:dyDescent="0.2">
      <c r="A620" s="149">
        <v>7471</v>
      </c>
      <c r="B620" s="150" t="s">
        <v>1216</v>
      </c>
      <c r="C620" s="150" t="s">
        <v>1780</v>
      </c>
      <c r="D620" s="150" t="s">
        <v>1781</v>
      </c>
      <c r="E620" s="150" t="s">
        <v>326</v>
      </c>
      <c r="F620" s="149">
        <v>527285</v>
      </c>
      <c r="G620" s="149">
        <v>171122</v>
      </c>
      <c r="H620" s="150" t="s">
        <v>173</v>
      </c>
      <c r="I620" s="151"/>
      <c r="J620" s="151"/>
      <c r="K620" s="149">
        <v>0</v>
      </c>
      <c r="L620" s="149">
        <v>1</v>
      </c>
      <c r="M620" s="149">
        <v>1</v>
      </c>
      <c r="N620" s="149">
        <v>1</v>
      </c>
      <c r="O620" s="149">
        <v>1</v>
      </c>
      <c r="P620" s="152"/>
      <c r="Q620" s="150" t="s">
        <v>1782</v>
      </c>
      <c r="R620" s="150" t="s">
        <v>349</v>
      </c>
      <c r="S620" s="151">
        <v>44085</v>
      </c>
      <c r="T620" s="151">
        <v>44141</v>
      </c>
      <c r="U620" s="152"/>
      <c r="V620" s="150" t="s">
        <v>330</v>
      </c>
      <c r="W620" s="151"/>
      <c r="X620" s="150" t="s">
        <v>331</v>
      </c>
      <c r="Y620" s="150" t="s">
        <v>332</v>
      </c>
      <c r="Z620" s="150" t="s">
        <v>334</v>
      </c>
      <c r="AA620" s="150" t="s">
        <v>26</v>
      </c>
      <c r="AB620" s="153">
        <v>4.0000000000000001E-3</v>
      </c>
      <c r="AC620" s="151"/>
      <c r="AD620" s="150"/>
      <c r="AE620" s="151"/>
      <c r="AF620" s="150" t="s">
        <v>70</v>
      </c>
      <c r="AG620" s="152" t="s">
        <v>352</v>
      </c>
      <c r="AH620" s="150" t="s">
        <v>326</v>
      </c>
      <c r="AI620" s="99"/>
      <c r="AJ620" s="149"/>
      <c r="AK620" s="99"/>
      <c r="AL620" s="149"/>
      <c r="AM620" s="99"/>
      <c r="AN620" s="149">
        <v>1</v>
      </c>
      <c r="AO620" s="149">
        <v>0</v>
      </c>
      <c r="AP620" s="149">
        <v>0</v>
      </c>
      <c r="AQ620" s="149">
        <v>0</v>
      </c>
      <c r="AR620" s="149">
        <v>0</v>
      </c>
      <c r="AS620" s="149">
        <v>0</v>
      </c>
      <c r="AT620" s="149">
        <v>0</v>
      </c>
      <c r="AU620" s="149">
        <v>1</v>
      </c>
      <c r="AV620" s="149">
        <v>0</v>
      </c>
      <c r="AW620" s="149">
        <v>0</v>
      </c>
      <c r="AX620" s="149">
        <v>0</v>
      </c>
      <c r="AY620" s="149">
        <v>0</v>
      </c>
      <c r="AZ620" s="149">
        <v>0</v>
      </c>
      <c r="BA620" s="149">
        <v>0</v>
      </c>
      <c r="BB620" s="149">
        <v>0</v>
      </c>
      <c r="BC620" s="149">
        <v>0</v>
      </c>
      <c r="BD620" s="149">
        <v>0</v>
      </c>
      <c r="BE620" s="149">
        <v>0</v>
      </c>
      <c r="BF620" s="149">
        <v>0</v>
      </c>
      <c r="BG620" s="149">
        <v>0</v>
      </c>
      <c r="BH620" s="149">
        <v>0</v>
      </c>
      <c r="BI620" s="149">
        <v>0</v>
      </c>
      <c r="BJ620" s="149">
        <v>0</v>
      </c>
      <c r="BK620" s="149">
        <v>0</v>
      </c>
      <c r="BL620" s="149">
        <v>0</v>
      </c>
      <c r="BM620" s="149">
        <v>0</v>
      </c>
      <c r="BN620" s="149">
        <v>0</v>
      </c>
      <c r="BO620" s="149">
        <v>0</v>
      </c>
      <c r="BP620" s="152"/>
      <c r="BQ620" s="152"/>
      <c r="BR620" s="154" t="s">
        <v>142</v>
      </c>
      <c r="BS620" s="136">
        <v>15</v>
      </c>
      <c r="BT620" s="267"/>
      <c r="BU620" s="267">
        <f t="shared" ref="BU620:BU632" si="67">M620/4</f>
        <v>0.25</v>
      </c>
      <c r="BV620" s="267">
        <f t="shared" si="64"/>
        <v>0.25</v>
      </c>
      <c r="BW620" s="267">
        <f t="shared" si="65"/>
        <v>0.25</v>
      </c>
      <c r="BX620" s="267">
        <f t="shared" si="66"/>
        <v>0.25</v>
      </c>
      <c r="BY620" s="267"/>
      <c r="BZ620" s="267"/>
      <c r="CA620" s="267"/>
      <c r="CB620" s="267"/>
      <c r="CC620" s="267"/>
      <c r="CD620" s="267"/>
      <c r="CE620" s="267"/>
      <c r="CF620" s="267"/>
      <c r="CG620" s="267"/>
      <c r="CH620" s="267"/>
      <c r="CI620" s="267"/>
      <c r="CJ620" s="267"/>
      <c r="CK620" s="267"/>
      <c r="CL620" s="267"/>
      <c r="CM620" s="267"/>
      <c r="CN620" s="101">
        <f t="shared" si="57"/>
        <v>1</v>
      </c>
      <c r="CO620" s="101">
        <f t="shared" si="58"/>
        <v>1</v>
      </c>
    </row>
    <row r="621" spans="1:93" ht="13.9" customHeight="1" x14ac:dyDescent="0.2">
      <c r="A621" s="149">
        <v>7531</v>
      </c>
      <c r="B621" s="150" t="s">
        <v>1216</v>
      </c>
      <c r="C621" s="150" t="s">
        <v>1783</v>
      </c>
      <c r="D621" s="150" t="s">
        <v>1784</v>
      </c>
      <c r="E621" s="150" t="s">
        <v>326</v>
      </c>
      <c r="F621" s="149">
        <v>527917</v>
      </c>
      <c r="G621" s="149">
        <v>171390</v>
      </c>
      <c r="H621" s="150" t="s">
        <v>172</v>
      </c>
      <c r="I621" s="151"/>
      <c r="J621" s="151"/>
      <c r="K621" s="149">
        <v>4</v>
      </c>
      <c r="L621" s="149">
        <v>3</v>
      </c>
      <c r="M621" s="149">
        <v>-1</v>
      </c>
      <c r="N621" s="149">
        <v>3</v>
      </c>
      <c r="O621" s="149">
        <v>-1</v>
      </c>
      <c r="P621" s="152"/>
      <c r="Q621" s="150" t="s">
        <v>1785</v>
      </c>
      <c r="R621" s="150" t="s">
        <v>349</v>
      </c>
      <c r="S621" s="151">
        <v>44110</v>
      </c>
      <c r="T621" s="151">
        <v>44166</v>
      </c>
      <c r="U621" s="152"/>
      <c r="V621" s="150" t="s">
        <v>330</v>
      </c>
      <c r="W621" s="151"/>
      <c r="X621" s="150" t="s">
        <v>331</v>
      </c>
      <c r="Y621" s="150" t="s">
        <v>350</v>
      </c>
      <c r="Z621" s="150" t="s">
        <v>334</v>
      </c>
      <c r="AA621" s="150" t="s">
        <v>26</v>
      </c>
      <c r="AB621" s="153">
        <v>1.2E-2</v>
      </c>
      <c r="AC621" s="151"/>
      <c r="AD621" s="150"/>
      <c r="AE621" s="151"/>
      <c r="AF621" s="150" t="s">
        <v>70</v>
      </c>
      <c r="AG621" s="152" t="s">
        <v>352</v>
      </c>
      <c r="AH621" s="150" t="s">
        <v>326</v>
      </c>
      <c r="AI621" s="99"/>
      <c r="AJ621" s="149"/>
      <c r="AK621" s="99"/>
      <c r="AL621" s="149"/>
      <c r="AM621" s="99"/>
      <c r="AN621" s="149">
        <v>-1</v>
      </c>
      <c r="AO621" s="149">
        <v>1</v>
      </c>
      <c r="AP621" s="149">
        <v>-1</v>
      </c>
      <c r="AQ621" s="149">
        <v>0</v>
      </c>
      <c r="AR621" s="149">
        <v>0</v>
      </c>
      <c r="AS621" s="149">
        <v>0</v>
      </c>
      <c r="AT621" s="149">
        <v>0</v>
      </c>
      <c r="AU621" s="149">
        <v>-1</v>
      </c>
      <c r="AV621" s="149">
        <v>1</v>
      </c>
      <c r="AW621" s="149">
        <v>-1</v>
      </c>
      <c r="AX621" s="149">
        <v>0</v>
      </c>
      <c r="AY621" s="149">
        <v>0</v>
      </c>
      <c r="AZ621" s="149">
        <v>0</v>
      </c>
      <c r="BA621" s="149">
        <v>0</v>
      </c>
      <c r="BB621" s="149">
        <v>0</v>
      </c>
      <c r="BC621" s="149">
        <v>0</v>
      </c>
      <c r="BD621" s="149">
        <v>0</v>
      </c>
      <c r="BE621" s="149">
        <v>0</v>
      </c>
      <c r="BF621" s="149">
        <v>0</v>
      </c>
      <c r="BG621" s="149">
        <v>0</v>
      </c>
      <c r="BH621" s="149">
        <v>0</v>
      </c>
      <c r="BI621" s="149">
        <v>0</v>
      </c>
      <c r="BJ621" s="149">
        <v>0</v>
      </c>
      <c r="BK621" s="149">
        <v>0</v>
      </c>
      <c r="BL621" s="149">
        <v>0</v>
      </c>
      <c r="BM621" s="149">
        <v>0</v>
      </c>
      <c r="BN621" s="149">
        <v>0</v>
      </c>
      <c r="BO621" s="149">
        <v>0</v>
      </c>
      <c r="BP621" s="152"/>
      <c r="BQ621" s="152"/>
      <c r="BR621" s="154" t="s">
        <v>359</v>
      </c>
      <c r="BS621" s="136">
        <v>15</v>
      </c>
      <c r="BT621" s="267"/>
      <c r="BU621" s="267">
        <f t="shared" si="67"/>
        <v>-0.25</v>
      </c>
      <c r="BV621" s="267">
        <f t="shared" si="64"/>
        <v>-0.25</v>
      </c>
      <c r="BW621" s="267">
        <f t="shared" si="65"/>
        <v>-0.25</v>
      </c>
      <c r="BX621" s="267">
        <f t="shared" si="66"/>
        <v>-0.25</v>
      </c>
      <c r="BY621" s="267"/>
      <c r="BZ621" s="267"/>
      <c r="CA621" s="267"/>
      <c r="CB621" s="267"/>
      <c r="CC621" s="267"/>
      <c r="CD621" s="267"/>
      <c r="CE621" s="267"/>
      <c r="CF621" s="267"/>
      <c r="CG621" s="267"/>
      <c r="CH621" s="267"/>
      <c r="CI621" s="267"/>
      <c r="CJ621" s="267"/>
      <c r="CK621" s="267"/>
      <c r="CL621" s="267"/>
      <c r="CM621" s="267"/>
      <c r="CN621" s="101">
        <f t="shared" si="57"/>
        <v>-1</v>
      </c>
      <c r="CO621" s="101">
        <f t="shared" si="58"/>
        <v>-1</v>
      </c>
    </row>
    <row r="622" spans="1:93" ht="13.9" customHeight="1" x14ac:dyDescent="0.2">
      <c r="A622" s="149">
        <v>3722</v>
      </c>
      <c r="B622" s="150" t="s">
        <v>1216</v>
      </c>
      <c r="C622" s="150" t="s">
        <v>1786</v>
      </c>
      <c r="D622" s="150" t="s">
        <v>1787</v>
      </c>
      <c r="E622" s="150" t="s">
        <v>326</v>
      </c>
      <c r="F622" s="149">
        <v>527697</v>
      </c>
      <c r="G622" s="149">
        <v>171916</v>
      </c>
      <c r="H622" s="150" t="s">
        <v>172</v>
      </c>
      <c r="I622" s="151"/>
      <c r="J622" s="151"/>
      <c r="K622" s="149">
        <v>0</v>
      </c>
      <c r="L622" s="149">
        <v>3</v>
      </c>
      <c r="M622" s="149">
        <v>3</v>
      </c>
      <c r="N622" s="149">
        <v>3</v>
      </c>
      <c r="O622" s="149">
        <v>3</v>
      </c>
      <c r="P622" s="152"/>
      <c r="Q622" s="150" t="s">
        <v>1788</v>
      </c>
      <c r="R622" s="150" t="s">
        <v>349</v>
      </c>
      <c r="S622" s="151">
        <v>44118</v>
      </c>
      <c r="T622" s="151">
        <v>44488</v>
      </c>
      <c r="U622" s="152"/>
      <c r="V622" s="150" t="s">
        <v>330</v>
      </c>
      <c r="W622" s="151"/>
      <c r="X622" s="150" t="s">
        <v>331</v>
      </c>
      <c r="Y622" s="150" t="s">
        <v>491</v>
      </c>
      <c r="Z622" s="150" t="s">
        <v>334</v>
      </c>
      <c r="AA622" s="150" t="s">
        <v>413</v>
      </c>
      <c r="AB622" s="153">
        <v>7.0000000000000001E-3</v>
      </c>
      <c r="AC622" s="151"/>
      <c r="AD622" s="150"/>
      <c r="AE622" s="151"/>
      <c r="AF622" s="150" t="s">
        <v>70</v>
      </c>
      <c r="AG622" s="152" t="s">
        <v>352</v>
      </c>
      <c r="AH622" s="150" t="s">
        <v>326</v>
      </c>
      <c r="AI622" s="99"/>
      <c r="AJ622" s="149"/>
      <c r="AK622" s="99"/>
      <c r="AL622" s="149"/>
      <c r="AM622" s="99"/>
      <c r="AN622" s="149">
        <v>0</v>
      </c>
      <c r="AO622" s="149">
        <v>3</v>
      </c>
      <c r="AP622" s="149">
        <v>0</v>
      </c>
      <c r="AQ622" s="149">
        <v>0</v>
      </c>
      <c r="AR622" s="149">
        <v>0</v>
      </c>
      <c r="AS622" s="149">
        <v>0</v>
      </c>
      <c r="AT622" s="149">
        <v>0</v>
      </c>
      <c r="AU622" s="149">
        <v>0</v>
      </c>
      <c r="AV622" s="149">
        <v>3</v>
      </c>
      <c r="AW622" s="149">
        <v>0</v>
      </c>
      <c r="AX622" s="149">
        <v>0</v>
      </c>
      <c r="AY622" s="149">
        <v>0</v>
      </c>
      <c r="AZ622" s="149">
        <v>0</v>
      </c>
      <c r="BA622" s="149">
        <v>0</v>
      </c>
      <c r="BB622" s="149">
        <v>0</v>
      </c>
      <c r="BC622" s="149">
        <v>0</v>
      </c>
      <c r="BD622" s="149">
        <v>0</v>
      </c>
      <c r="BE622" s="149">
        <v>0</v>
      </c>
      <c r="BF622" s="149">
        <v>0</v>
      </c>
      <c r="BG622" s="149">
        <v>0</v>
      </c>
      <c r="BH622" s="149">
        <v>0</v>
      </c>
      <c r="BI622" s="149">
        <v>0</v>
      </c>
      <c r="BJ622" s="149">
        <v>0</v>
      </c>
      <c r="BK622" s="149">
        <v>0</v>
      </c>
      <c r="BL622" s="149">
        <v>0</v>
      </c>
      <c r="BM622" s="149">
        <v>0</v>
      </c>
      <c r="BN622" s="149">
        <v>0</v>
      </c>
      <c r="BO622" s="149">
        <v>0</v>
      </c>
      <c r="BP622" s="152" t="s">
        <v>142</v>
      </c>
      <c r="BQ622" s="152"/>
      <c r="BR622" s="154" t="s">
        <v>142</v>
      </c>
      <c r="BS622" s="136">
        <v>15</v>
      </c>
      <c r="BT622" s="267"/>
      <c r="BU622" s="267">
        <f t="shared" si="67"/>
        <v>0.75</v>
      </c>
      <c r="BV622" s="267">
        <f t="shared" si="64"/>
        <v>0.75</v>
      </c>
      <c r="BW622" s="267">
        <f t="shared" si="65"/>
        <v>0.75</v>
      </c>
      <c r="BX622" s="267">
        <f t="shared" si="66"/>
        <v>0.75</v>
      </c>
      <c r="BY622" s="267"/>
      <c r="BZ622" s="267"/>
      <c r="CA622" s="267"/>
      <c r="CB622" s="267"/>
      <c r="CC622" s="267"/>
      <c r="CD622" s="267"/>
      <c r="CE622" s="267"/>
      <c r="CF622" s="267"/>
      <c r="CG622" s="267"/>
      <c r="CH622" s="267"/>
      <c r="CI622" s="267"/>
      <c r="CJ622" s="267"/>
      <c r="CK622" s="267"/>
      <c r="CL622" s="267"/>
      <c r="CM622" s="267"/>
      <c r="CN622" s="101">
        <f t="shared" si="57"/>
        <v>3</v>
      </c>
      <c r="CO622" s="101">
        <f t="shared" si="58"/>
        <v>3</v>
      </c>
    </row>
    <row r="623" spans="1:93" ht="13.9" customHeight="1" x14ac:dyDescent="0.2">
      <c r="A623" s="149">
        <v>7494</v>
      </c>
      <c r="B623" s="150" t="s">
        <v>1216</v>
      </c>
      <c r="C623" s="150" t="s">
        <v>1789</v>
      </c>
      <c r="D623" s="150" t="s">
        <v>1790</v>
      </c>
      <c r="E623" s="150" t="s">
        <v>326</v>
      </c>
      <c r="F623" s="149">
        <v>523975</v>
      </c>
      <c r="G623" s="149">
        <v>175188</v>
      </c>
      <c r="H623" s="150" t="s">
        <v>171</v>
      </c>
      <c r="I623" s="151"/>
      <c r="J623" s="151"/>
      <c r="K623" s="149">
        <v>2</v>
      </c>
      <c r="L623" s="149">
        <v>6</v>
      </c>
      <c r="M623" s="149">
        <v>4</v>
      </c>
      <c r="N623" s="149">
        <v>6</v>
      </c>
      <c r="O623" s="149">
        <v>4</v>
      </c>
      <c r="P623" s="152"/>
      <c r="Q623" s="150" t="s">
        <v>1791</v>
      </c>
      <c r="R623" s="150" t="s">
        <v>349</v>
      </c>
      <c r="S623" s="151">
        <v>44158</v>
      </c>
      <c r="T623" s="151">
        <v>44308</v>
      </c>
      <c r="U623" s="152"/>
      <c r="V623" s="150" t="s">
        <v>330</v>
      </c>
      <c r="W623" s="151"/>
      <c r="X623" s="150" t="s">
        <v>331</v>
      </c>
      <c r="Y623" s="150" t="s">
        <v>398</v>
      </c>
      <c r="Z623" s="150" t="s">
        <v>334</v>
      </c>
      <c r="AA623" s="150" t="s">
        <v>413</v>
      </c>
      <c r="AB623" s="153">
        <v>8.9999999999999993E-3</v>
      </c>
      <c r="AC623" s="151"/>
      <c r="AD623" s="150"/>
      <c r="AE623" s="151"/>
      <c r="AF623" s="150" t="s">
        <v>70</v>
      </c>
      <c r="AG623" s="152" t="s">
        <v>352</v>
      </c>
      <c r="AH623" s="150" t="s">
        <v>326</v>
      </c>
      <c r="AI623" s="99"/>
      <c r="AJ623" s="149"/>
      <c r="AK623" s="99"/>
      <c r="AL623" s="149"/>
      <c r="AM623" s="99"/>
      <c r="AN623" s="149">
        <v>0</v>
      </c>
      <c r="AO623" s="149">
        <v>4</v>
      </c>
      <c r="AP623" s="149">
        <v>1</v>
      </c>
      <c r="AQ623" s="149">
        <v>-1</v>
      </c>
      <c r="AR623" s="149">
        <v>0</v>
      </c>
      <c r="AS623" s="149">
        <v>0</v>
      </c>
      <c r="AT623" s="149">
        <v>0</v>
      </c>
      <c r="AU623" s="149">
        <v>0</v>
      </c>
      <c r="AV623" s="149">
        <v>4</v>
      </c>
      <c r="AW623" s="149">
        <v>1</v>
      </c>
      <c r="AX623" s="149">
        <v>-1</v>
      </c>
      <c r="AY623" s="149">
        <v>0</v>
      </c>
      <c r="AZ623" s="149">
        <v>0</v>
      </c>
      <c r="BA623" s="149">
        <v>0</v>
      </c>
      <c r="BB623" s="149">
        <v>0</v>
      </c>
      <c r="BC623" s="149">
        <v>0</v>
      </c>
      <c r="BD623" s="149">
        <v>0</v>
      </c>
      <c r="BE623" s="149">
        <v>0</v>
      </c>
      <c r="BF623" s="149">
        <v>0</v>
      </c>
      <c r="BG623" s="149">
        <v>0</v>
      </c>
      <c r="BH623" s="149">
        <v>0</v>
      </c>
      <c r="BI623" s="149">
        <v>0</v>
      </c>
      <c r="BJ623" s="149">
        <v>0</v>
      </c>
      <c r="BK623" s="149">
        <v>0</v>
      </c>
      <c r="BL623" s="149">
        <v>0</v>
      </c>
      <c r="BM623" s="149">
        <v>0</v>
      </c>
      <c r="BN623" s="149">
        <v>0</v>
      </c>
      <c r="BO623" s="149">
        <v>0</v>
      </c>
      <c r="BP623" s="152" t="s">
        <v>141</v>
      </c>
      <c r="BQ623" s="152"/>
      <c r="BR623" s="154" t="s">
        <v>141</v>
      </c>
      <c r="BS623" s="136">
        <v>18</v>
      </c>
      <c r="BT623" s="267"/>
      <c r="BU623" s="267">
        <f t="shared" si="67"/>
        <v>1</v>
      </c>
      <c r="BV623" s="267">
        <f t="shared" si="64"/>
        <v>1</v>
      </c>
      <c r="BW623" s="267">
        <f t="shared" si="65"/>
        <v>1</v>
      </c>
      <c r="BX623" s="267">
        <f t="shared" si="66"/>
        <v>1</v>
      </c>
      <c r="BY623" s="267"/>
      <c r="BZ623" s="267"/>
      <c r="CA623" s="267"/>
      <c r="CB623" s="267"/>
      <c r="CC623" s="267"/>
      <c r="CD623" s="267"/>
      <c r="CE623" s="267"/>
      <c r="CF623" s="267"/>
      <c r="CG623" s="267"/>
      <c r="CH623" s="267"/>
      <c r="CI623" s="267"/>
      <c r="CJ623" s="267"/>
      <c r="CK623" s="267"/>
      <c r="CL623" s="267"/>
      <c r="CM623" s="267"/>
      <c r="CN623" s="101">
        <f t="shared" si="57"/>
        <v>4</v>
      </c>
      <c r="CO623" s="101">
        <f t="shared" si="58"/>
        <v>4</v>
      </c>
    </row>
    <row r="624" spans="1:93" ht="13.9" customHeight="1" x14ac:dyDescent="0.2">
      <c r="A624" s="149">
        <v>7483</v>
      </c>
      <c r="B624" s="150" t="s">
        <v>1216</v>
      </c>
      <c r="C624" s="150" t="s">
        <v>1792</v>
      </c>
      <c r="D624" s="150" t="s">
        <v>1793</v>
      </c>
      <c r="E624" s="150" t="s">
        <v>326</v>
      </c>
      <c r="F624" s="149">
        <v>525448</v>
      </c>
      <c r="G624" s="149">
        <v>172822</v>
      </c>
      <c r="H624" s="150" t="s">
        <v>169</v>
      </c>
      <c r="I624" s="151"/>
      <c r="J624" s="151"/>
      <c r="K624" s="149">
        <v>0</v>
      </c>
      <c r="L624" s="149">
        <v>1</v>
      </c>
      <c r="M624" s="149">
        <v>1</v>
      </c>
      <c r="N624" s="149">
        <v>1</v>
      </c>
      <c r="O624" s="149">
        <v>1</v>
      </c>
      <c r="P624" s="152"/>
      <c r="Q624" s="150" t="s">
        <v>1794</v>
      </c>
      <c r="R624" s="150" t="s">
        <v>349</v>
      </c>
      <c r="S624" s="151">
        <v>44131</v>
      </c>
      <c r="T624" s="151">
        <v>44183</v>
      </c>
      <c r="U624" s="152"/>
      <c r="V624" s="150" t="s">
        <v>330</v>
      </c>
      <c r="W624" s="151"/>
      <c r="X624" s="150" t="s">
        <v>331</v>
      </c>
      <c r="Y624" s="150" t="s">
        <v>491</v>
      </c>
      <c r="Z624" s="150" t="s">
        <v>334</v>
      </c>
      <c r="AA624" s="150" t="s">
        <v>413</v>
      </c>
      <c r="AB624" s="153">
        <v>3.0000000000000001E-3</v>
      </c>
      <c r="AC624" s="151"/>
      <c r="AD624" s="150"/>
      <c r="AE624" s="151"/>
      <c r="AF624" s="150" t="s">
        <v>70</v>
      </c>
      <c r="AG624" s="152" t="s">
        <v>352</v>
      </c>
      <c r="AH624" s="150" t="s">
        <v>326</v>
      </c>
      <c r="AI624" s="99"/>
      <c r="AJ624" s="149"/>
      <c r="AK624" s="99"/>
      <c r="AL624" s="149"/>
      <c r="AM624" s="99"/>
      <c r="AN624" s="149">
        <v>0</v>
      </c>
      <c r="AO624" s="149">
        <v>1</v>
      </c>
      <c r="AP624" s="149">
        <v>0</v>
      </c>
      <c r="AQ624" s="149">
        <v>0</v>
      </c>
      <c r="AR624" s="149">
        <v>0</v>
      </c>
      <c r="AS624" s="149">
        <v>0</v>
      </c>
      <c r="AT624" s="149">
        <v>0</v>
      </c>
      <c r="AU624" s="149">
        <v>0</v>
      </c>
      <c r="AV624" s="149">
        <v>1</v>
      </c>
      <c r="AW624" s="149">
        <v>0</v>
      </c>
      <c r="AX624" s="149">
        <v>0</v>
      </c>
      <c r="AY624" s="149">
        <v>0</v>
      </c>
      <c r="AZ624" s="149">
        <v>0</v>
      </c>
      <c r="BA624" s="149">
        <v>0</v>
      </c>
      <c r="BB624" s="149">
        <v>0</v>
      </c>
      <c r="BC624" s="149">
        <v>0</v>
      </c>
      <c r="BD624" s="149">
        <v>0</v>
      </c>
      <c r="BE624" s="149">
        <v>0</v>
      </c>
      <c r="BF624" s="149">
        <v>0</v>
      </c>
      <c r="BG624" s="149">
        <v>0</v>
      </c>
      <c r="BH624" s="149">
        <v>0</v>
      </c>
      <c r="BI624" s="149">
        <v>0</v>
      </c>
      <c r="BJ624" s="149">
        <v>0</v>
      </c>
      <c r="BK624" s="149">
        <v>0</v>
      </c>
      <c r="BL624" s="149">
        <v>0</v>
      </c>
      <c r="BM624" s="149">
        <v>0</v>
      </c>
      <c r="BN624" s="149">
        <v>0</v>
      </c>
      <c r="BO624" s="149">
        <v>0</v>
      </c>
      <c r="BP624" s="152"/>
      <c r="BQ624" s="152"/>
      <c r="BR624" s="154" t="s">
        <v>151</v>
      </c>
      <c r="BS624" s="136">
        <v>15</v>
      </c>
      <c r="BT624" s="267"/>
      <c r="BU624" s="267">
        <f t="shared" si="67"/>
        <v>0.25</v>
      </c>
      <c r="BV624" s="267">
        <f t="shared" si="64"/>
        <v>0.25</v>
      </c>
      <c r="BW624" s="267">
        <f t="shared" si="65"/>
        <v>0.25</v>
      </c>
      <c r="BX624" s="267">
        <f t="shared" si="66"/>
        <v>0.25</v>
      </c>
      <c r="BY624" s="267"/>
      <c r="BZ624" s="267"/>
      <c r="CA624" s="267"/>
      <c r="CB624" s="267"/>
      <c r="CC624" s="267"/>
      <c r="CD624" s="267"/>
      <c r="CE624" s="267"/>
      <c r="CF624" s="267"/>
      <c r="CG624" s="267"/>
      <c r="CH624" s="267"/>
      <c r="CI624" s="267"/>
      <c r="CJ624" s="267"/>
      <c r="CK624" s="267"/>
      <c r="CL624" s="267"/>
      <c r="CM624" s="267"/>
      <c r="CN624" s="101">
        <f t="shared" si="57"/>
        <v>1</v>
      </c>
      <c r="CO624" s="101">
        <f t="shared" si="58"/>
        <v>1</v>
      </c>
    </row>
    <row r="625" spans="1:93" ht="13.9" customHeight="1" x14ac:dyDescent="0.2">
      <c r="A625" s="149">
        <v>7484</v>
      </c>
      <c r="B625" s="150" t="s">
        <v>1216</v>
      </c>
      <c r="C625" s="150" t="s">
        <v>1795</v>
      </c>
      <c r="D625" s="150" t="s">
        <v>1796</v>
      </c>
      <c r="E625" s="150" t="s">
        <v>326</v>
      </c>
      <c r="F625" s="149">
        <v>527470</v>
      </c>
      <c r="G625" s="149">
        <v>177172</v>
      </c>
      <c r="H625" s="150" t="s">
        <v>160</v>
      </c>
      <c r="I625" s="151"/>
      <c r="J625" s="151"/>
      <c r="K625" s="149">
        <v>0</v>
      </c>
      <c r="L625" s="149">
        <v>1</v>
      </c>
      <c r="M625" s="149">
        <v>1</v>
      </c>
      <c r="N625" s="149">
        <v>1</v>
      </c>
      <c r="O625" s="149">
        <v>1</v>
      </c>
      <c r="P625" s="152"/>
      <c r="Q625" s="150" t="s">
        <v>1797</v>
      </c>
      <c r="R625" s="150" t="s">
        <v>349</v>
      </c>
      <c r="S625" s="151">
        <v>44131</v>
      </c>
      <c r="T625" s="151">
        <v>44414</v>
      </c>
      <c r="U625" s="152"/>
      <c r="V625" s="150" t="s">
        <v>330</v>
      </c>
      <c r="W625" s="151"/>
      <c r="X625" s="150" t="s">
        <v>331</v>
      </c>
      <c r="Y625" s="150" t="s">
        <v>491</v>
      </c>
      <c r="Z625" s="150" t="s">
        <v>334</v>
      </c>
      <c r="AA625" s="150" t="s">
        <v>363</v>
      </c>
      <c r="AB625" s="153">
        <v>0.02</v>
      </c>
      <c r="AC625" s="151"/>
      <c r="AD625" s="150"/>
      <c r="AE625" s="151"/>
      <c r="AF625" s="150" t="s">
        <v>70</v>
      </c>
      <c r="AG625" s="152" t="s">
        <v>352</v>
      </c>
      <c r="AH625" s="150" t="s">
        <v>326</v>
      </c>
      <c r="AI625" s="99"/>
      <c r="AJ625" s="149"/>
      <c r="AK625" s="99"/>
      <c r="AL625" s="149"/>
      <c r="AM625" s="99"/>
      <c r="AN625" s="149">
        <v>0</v>
      </c>
      <c r="AO625" s="149">
        <v>0</v>
      </c>
      <c r="AP625" s="149">
        <v>0</v>
      </c>
      <c r="AQ625" s="149">
        <v>1</v>
      </c>
      <c r="AR625" s="149">
        <v>0</v>
      </c>
      <c r="AS625" s="149">
        <v>0</v>
      </c>
      <c r="AT625" s="149">
        <v>0</v>
      </c>
      <c r="AU625" s="149">
        <v>0</v>
      </c>
      <c r="AV625" s="149">
        <v>0</v>
      </c>
      <c r="AW625" s="149">
        <v>0</v>
      </c>
      <c r="AX625" s="149">
        <v>1</v>
      </c>
      <c r="AY625" s="149">
        <v>0</v>
      </c>
      <c r="AZ625" s="149">
        <v>0</v>
      </c>
      <c r="BA625" s="149">
        <v>0</v>
      </c>
      <c r="BB625" s="149">
        <v>0</v>
      </c>
      <c r="BC625" s="149">
        <v>0</v>
      </c>
      <c r="BD625" s="149">
        <v>0</v>
      </c>
      <c r="BE625" s="149">
        <v>0</v>
      </c>
      <c r="BF625" s="149">
        <v>0</v>
      </c>
      <c r="BG625" s="149">
        <v>0</v>
      </c>
      <c r="BH625" s="149">
        <v>0</v>
      </c>
      <c r="BI625" s="149">
        <v>0</v>
      </c>
      <c r="BJ625" s="149">
        <v>0</v>
      </c>
      <c r="BK625" s="149">
        <v>0</v>
      </c>
      <c r="BL625" s="149">
        <v>0</v>
      </c>
      <c r="BM625" s="149">
        <v>0</v>
      </c>
      <c r="BN625" s="149">
        <v>0</v>
      </c>
      <c r="BO625" s="149">
        <v>0</v>
      </c>
      <c r="BP625" s="152"/>
      <c r="BQ625" s="152"/>
      <c r="BR625" s="154" t="s">
        <v>408</v>
      </c>
      <c r="BS625" s="136">
        <v>15</v>
      </c>
      <c r="BT625" s="267"/>
      <c r="BU625" s="267">
        <f t="shared" si="67"/>
        <v>0.25</v>
      </c>
      <c r="BV625" s="267">
        <f t="shared" si="64"/>
        <v>0.25</v>
      </c>
      <c r="BW625" s="267">
        <f t="shared" si="65"/>
        <v>0.25</v>
      </c>
      <c r="BX625" s="267">
        <f t="shared" si="66"/>
        <v>0.25</v>
      </c>
      <c r="BY625" s="267"/>
      <c r="BZ625" s="267"/>
      <c r="CA625" s="267"/>
      <c r="CB625" s="267"/>
      <c r="CC625" s="267"/>
      <c r="CD625" s="267"/>
      <c r="CE625" s="267"/>
      <c r="CF625" s="267"/>
      <c r="CG625" s="267"/>
      <c r="CH625" s="267"/>
      <c r="CI625" s="267"/>
      <c r="CJ625" s="267"/>
      <c r="CK625" s="267"/>
      <c r="CL625" s="267"/>
      <c r="CM625" s="267"/>
      <c r="CN625" s="101">
        <f t="shared" si="57"/>
        <v>1</v>
      </c>
      <c r="CO625" s="101">
        <f t="shared" si="58"/>
        <v>1</v>
      </c>
    </row>
    <row r="626" spans="1:93" ht="13.9" customHeight="1" x14ac:dyDescent="0.2">
      <c r="A626" s="149">
        <v>7533</v>
      </c>
      <c r="B626" s="150" t="s">
        <v>1216</v>
      </c>
      <c r="C626" s="150" t="s">
        <v>1798</v>
      </c>
      <c r="D626" s="150" t="s">
        <v>1799</v>
      </c>
      <c r="E626" s="150" t="s">
        <v>326</v>
      </c>
      <c r="F626" s="149">
        <v>522503</v>
      </c>
      <c r="G626" s="149">
        <v>175408</v>
      </c>
      <c r="H626" s="150" t="s">
        <v>179</v>
      </c>
      <c r="I626" s="151"/>
      <c r="J626" s="151"/>
      <c r="K626" s="149">
        <v>1</v>
      </c>
      <c r="L626" s="149">
        <v>1</v>
      </c>
      <c r="M626" s="149">
        <v>0</v>
      </c>
      <c r="N626" s="149">
        <v>1</v>
      </c>
      <c r="O626" s="149">
        <v>0</v>
      </c>
      <c r="P626" s="152"/>
      <c r="Q626" s="150" t="s">
        <v>1800</v>
      </c>
      <c r="R626" s="150" t="s">
        <v>349</v>
      </c>
      <c r="S626" s="151">
        <v>44145</v>
      </c>
      <c r="T626" s="151">
        <v>44200</v>
      </c>
      <c r="U626" s="152"/>
      <c r="V626" s="150" t="s">
        <v>330</v>
      </c>
      <c r="W626" s="151"/>
      <c r="X626" s="150" t="s">
        <v>331</v>
      </c>
      <c r="Y626" s="150" t="s">
        <v>491</v>
      </c>
      <c r="Z626" s="150" t="s">
        <v>334</v>
      </c>
      <c r="AA626" s="150" t="s">
        <v>23</v>
      </c>
      <c r="AB626" s="153">
        <v>3.0000000000000001E-3</v>
      </c>
      <c r="AC626" s="151"/>
      <c r="AD626" s="150"/>
      <c r="AE626" s="151"/>
      <c r="AF626" s="150" t="s">
        <v>70</v>
      </c>
      <c r="AG626" s="152" t="s">
        <v>352</v>
      </c>
      <c r="AH626" s="150" t="s">
        <v>326</v>
      </c>
      <c r="AI626" s="99"/>
      <c r="AJ626" s="149"/>
      <c r="AK626" s="99"/>
      <c r="AL626" s="149"/>
      <c r="AM626" s="99"/>
      <c r="AN626" s="149">
        <v>0</v>
      </c>
      <c r="AO626" s="149">
        <v>-1</v>
      </c>
      <c r="AP626" s="149">
        <v>0</v>
      </c>
      <c r="AQ626" s="149">
        <v>1</v>
      </c>
      <c r="AR626" s="149">
        <v>0</v>
      </c>
      <c r="AS626" s="149">
        <v>0</v>
      </c>
      <c r="AT626" s="149">
        <v>0</v>
      </c>
      <c r="AU626" s="149">
        <v>0</v>
      </c>
      <c r="AV626" s="149">
        <v>-1</v>
      </c>
      <c r="AW626" s="149">
        <v>0</v>
      </c>
      <c r="AX626" s="149">
        <v>1</v>
      </c>
      <c r="AY626" s="149">
        <v>0</v>
      </c>
      <c r="AZ626" s="149">
        <v>0</v>
      </c>
      <c r="BA626" s="149">
        <v>0</v>
      </c>
      <c r="BB626" s="149">
        <v>0</v>
      </c>
      <c r="BC626" s="149">
        <v>0</v>
      </c>
      <c r="BD626" s="149">
        <v>0</v>
      </c>
      <c r="BE626" s="149">
        <v>0</v>
      </c>
      <c r="BF626" s="149">
        <v>0</v>
      </c>
      <c r="BG626" s="149">
        <v>0</v>
      </c>
      <c r="BH626" s="149">
        <v>0</v>
      </c>
      <c r="BI626" s="149">
        <v>0</v>
      </c>
      <c r="BJ626" s="149">
        <v>0</v>
      </c>
      <c r="BK626" s="149">
        <v>0</v>
      </c>
      <c r="BL626" s="149">
        <v>0</v>
      </c>
      <c r="BM626" s="149">
        <v>0</v>
      </c>
      <c r="BN626" s="149">
        <v>0</v>
      </c>
      <c r="BO626" s="149">
        <v>0</v>
      </c>
      <c r="BP626" s="152"/>
      <c r="BQ626" s="152"/>
      <c r="BR626" s="154" t="s">
        <v>359</v>
      </c>
      <c r="BS626" s="136">
        <v>15</v>
      </c>
      <c r="BT626" s="267"/>
      <c r="BU626" s="267">
        <f t="shared" si="67"/>
        <v>0</v>
      </c>
      <c r="BV626" s="267">
        <f t="shared" si="64"/>
        <v>0</v>
      </c>
      <c r="BW626" s="267">
        <f t="shared" si="65"/>
        <v>0</v>
      </c>
      <c r="BX626" s="267">
        <f t="shared" si="66"/>
        <v>0</v>
      </c>
      <c r="BY626" s="267"/>
      <c r="BZ626" s="267"/>
      <c r="CA626" s="267"/>
      <c r="CB626" s="267"/>
      <c r="CC626" s="267"/>
      <c r="CD626" s="267"/>
      <c r="CE626" s="267"/>
      <c r="CF626" s="267"/>
      <c r="CG626" s="267"/>
      <c r="CH626" s="267"/>
      <c r="CI626" s="267"/>
      <c r="CJ626" s="267"/>
      <c r="CK626" s="267"/>
      <c r="CL626" s="267"/>
      <c r="CM626" s="267"/>
      <c r="CN626" s="101">
        <f t="shared" si="57"/>
        <v>0</v>
      </c>
      <c r="CO626" s="101">
        <f t="shared" si="58"/>
        <v>0</v>
      </c>
    </row>
    <row r="627" spans="1:93" ht="13.9" customHeight="1" x14ac:dyDescent="0.2">
      <c r="A627" s="149">
        <v>886</v>
      </c>
      <c r="B627" s="150" t="s">
        <v>1216</v>
      </c>
      <c r="C627" s="150" t="s">
        <v>1801</v>
      </c>
      <c r="D627" s="150" t="s">
        <v>1802</v>
      </c>
      <c r="E627" s="150" t="s">
        <v>326</v>
      </c>
      <c r="F627" s="149">
        <v>527401</v>
      </c>
      <c r="G627" s="149">
        <v>171675</v>
      </c>
      <c r="H627" s="150" t="s">
        <v>173</v>
      </c>
      <c r="I627" s="151"/>
      <c r="J627" s="151"/>
      <c r="K627" s="149">
        <v>2</v>
      </c>
      <c r="L627" s="149">
        <v>1</v>
      </c>
      <c r="M627" s="149">
        <v>-1</v>
      </c>
      <c r="N627" s="149">
        <v>1</v>
      </c>
      <c r="O627" s="149">
        <v>-1</v>
      </c>
      <c r="P627" s="152"/>
      <c r="Q627" s="150" t="s">
        <v>1803</v>
      </c>
      <c r="R627" s="150" t="s">
        <v>349</v>
      </c>
      <c r="S627" s="151">
        <v>44183</v>
      </c>
      <c r="T627" s="151">
        <v>44239</v>
      </c>
      <c r="U627" s="152"/>
      <c r="V627" s="150" t="s">
        <v>330</v>
      </c>
      <c r="W627" s="151"/>
      <c r="X627" s="150" t="s">
        <v>331</v>
      </c>
      <c r="Y627" s="150" t="s">
        <v>350</v>
      </c>
      <c r="Z627" s="150" t="s">
        <v>334</v>
      </c>
      <c r="AA627" s="150" t="s">
        <v>18</v>
      </c>
      <c r="AB627" s="153">
        <v>0.06</v>
      </c>
      <c r="AC627" s="151"/>
      <c r="AD627" s="150"/>
      <c r="AE627" s="151"/>
      <c r="AF627" s="150" t="s">
        <v>70</v>
      </c>
      <c r="AG627" s="152" t="s">
        <v>352</v>
      </c>
      <c r="AH627" s="150" t="s">
        <v>326</v>
      </c>
      <c r="AI627" s="99"/>
      <c r="AJ627" s="149"/>
      <c r="AK627" s="99"/>
      <c r="AL627" s="149"/>
      <c r="AM627" s="99"/>
      <c r="AN627" s="149">
        <v>0</v>
      </c>
      <c r="AO627" s="149">
        <v>0</v>
      </c>
      <c r="AP627" s="149">
        <v>-2</v>
      </c>
      <c r="AQ627" s="149">
        <v>1</v>
      </c>
      <c r="AR627" s="149">
        <v>0</v>
      </c>
      <c r="AS627" s="149">
        <v>0</v>
      </c>
      <c r="AT627" s="149">
        <v>0</v>
      </c>
      <c r="AU627" s="149">
        <v>0</v>
      </c>
      <c r="AV627" s="149">
        <v>0</v>
      </c>
      <c r="AW627" s="149">
        <v>-2</v>
      </c>
      <c r="AX627" s="149">
        <v>0</v>
      </c>
      <c r="AY627" s="149">
        <v>0</v>
      </c>
      <c r="AZ627" s="149">
        <v>0</v>
      </c>
      <c r="BA627" s="149">
        <v>0</v>
      </c>
      <c r="BB627" s="149">
        <v>0</v>
      </c>
      <c r="BC627" s="149">
        <v>0</v>
      </c>
      <c r="BD627" s="149">
        <v>0</v>
      </c>
      <c r="BE627" s="149">
        <v>1</v>
      </c>
      <c r="BF627" s="149">
        <v>0</v>
      </c>
      <c r="BG627" s="149">
        <v>0</v>
      </c>
      <c r="BH627" s="149">
        <v>0</v>
      </c>
      <c r="BI627" s="149">
        <v>0</v>
      </c>
      <c r="BJ627" s="149">
        <v>0</v>
      </c>
      <c r="BK627" s="149">
        <v>0</v>
      </c>
      <c r="BL627" s="149">
        <v>0</v>
      </c>
      <c r="BM627" s="149">
        <v>0</v>
      </c>
      <c r="BN627" s="149">
        <v>0</v>
      </c>
      <c r="BO627" s="149">
        <v>0</v>
      </c>
      <c r="BP627" s="152"/>
      <c r="BQ627" s="152"/>
      <c r="BR627" s="154" t="s">
        <v>359</v>
      </c>
      <c r="BS627" s="136">
        <v>15</v>
      </c>
      <c r="BT627" s="267"/>
      <c r="BU627" s="267">
        <f t="shared" si="67"/>
        <v>-0.25</v>
      </c>
      <c r="BV627" s="267">
        <f t="shared" si="64"/>
        <v>-0.25</v>
      </c>
      <c r="BW627" s="267">
        <f t="shared" si="65"/>
        <v>-0.25</v>
      </c>
      <c r="BX627" s="267">
        <f t="shared" si="66"/>
        <v>-0.25</v>
      </c>
      <c r="BY627" s="267"/>
      <c r="BZ627" s="267"/>
      <c r="CA627" s="267"/>
      <c r="CB627" s="267"/>
      <c r="CC627" s="267"/>
      <c r="CD627" s="267"/>
      <c r="CE627" s="267"/>
      <c r="CF627" s="267"/>
      <c r="CG627" s="267"/>
      <c r="CH627" s="267"/>
      <c r="CI627" s="267"/>
      <c r="CJ627" s="267"/>
      <c r="CK627" s="267"/>
      <c r="CL627" s="267"/>
      <c r="CM627" s="267"/>
      <c r="CN627" s="101">
        <f t="shared" si="57"/>
        <v>-1</v>
      </c>
      <c r="CO627" s="101">
        <f t="shared" si="58"/>
        <v>-1</v>
      </c>
    </row>
    <row r="628" spans="1:93" ht="13.9" customHeight="1" x14ac:dyDescent="0.2">
      <c r="A628" s="149">
        <v>7487</v>
      </c>
      <c r="B628" s="150" t="s">
        <v>1216</v>
      </c>
      <c r="C628" s="150" t="s">
        <v>1804</v>
      </c>
      <c r="D628" s="150" t="s">
        <v>1805</v>
      </c>
      <c r="E628" s="150" t="s">
        <v>326</v>
      </c>
      <c r="F628" s="149">
        <v>527564</v>
      </c>
      <c r="G628" s="149">
        <v>170910</v>
      </c>
      <c r="H628" s="150" t="s">
        <v>173</v>
      </c>
      <c r="I628" s="151"/>
      <c r="J628" s="151"/>
      <c r="K628" s="149">
        <v>0</v>
      </c>
      <c r="L628" s="149">
        <v>1</v>
      </c>
      <c r="M628" s="149">
        <v>1</v>
      </c>
      <c r="N628" s="149">
        <v>2</v>
      </c>
      <c r="O628" s="149">
        <v>1</v>
      </c>
      <c r="P628" s="152"/>
      <c r="Q628" s="150" t="s">
        <v>1806</v>
      </c>
      <c r="R628" s="150" t="s">
        <v>349</v>
      </c>
      <c r="S628" s="151">
        <v>44155</v>
      </c>
      <c r="T628" s="151">
        <v>44300</v>
      </c>
      <c r="U628" s="152"/>
      <c r="V628" s="150" t="s">
        <v>330</v>
      </c>
      <c r="W628" s="151"/>
      <c r="X628" s="150" t="s">
        <v>331</v>
      </c>
      <c r="Y628" s="150" t="s">
        <v>398</v>
      </c>
      <c r="Z628" s="150" t="s">
        <v>334</v>
      </c>
      <c r="AA628" s="150" t="s">
        <v>413</v>
      </c>
      <c r="AB628" s="153">
        <v>5.0000000000000001E-3</v>
      </c>
      <c r="AC628" s="151"/>
      <c r="AD628" s="150"/>
      <c r="AE628" s="151"/>
      <c r="AF628" s="150" t="s">
        <v>70</v>
      </c>
      <c r="AG628" s="152" t="s">
        <v>352</v>
      </c>
      <c r="AH628" s="150" t="s">
        <v>326</v>
      </c>
      <c r="AI628" s="99"/>
      <c r="AJ628" s="149"/>
      <c r="AK628" s="99"/>
      <c r="AL628" s="149"/>
      <c r="AM628" s="99"/>
      <c r="AN628" s="149">
        <v>0</v>
      </c>
      <c r="AO628" s="149">
        <v>1</v>
      </c>
      <c r="AP628" s="149">
        <v>0</v>
      </c>
      <c r="AQ628" s="149">
        <v>0</v>
      </c>
      <c r="AR628" s="149">
        <v>0</v>
      </c>
      <c r="AS628" s="149">
        <v>0</v>
      </c>
      <c r="AT628" s="149">
        <v>0</v>
      </c>
      <c r="AU628" s="149">
        <v>0</v>
      </c>
      <c r="AV628" s="149">
        <v>1</v>
      </c>
      <c r="AW628" s="149">
        <v>0</v>
      </c>
      <c r="AX628" s="149">
        <v>0</v>
      </c>
      <c r="AY628" s="149">
        <v>0</v>
      </c>
      <c r="AZ628" s="149">
        <v>0</v>
      </c>
      <c r="BA628" s="149">
        <v>0</v>
      </c>
      <c r="BB628" s="149">
        <v>0</v>
      </c>
      <c r="BC628" s="149">
        <v>0</v>
      </c>
      <c r="BD628" s="149">
        <v>0</v>
      </c>
      <c r="BE628" s="149">
        <v>0</v>
      </c>
      <c r="BF628" s="149">
        <v>0</v>
      </c>
      <c r="BG628" s="149">
        <v>0</v>
      </c>
      <c r="BH628" s="149">
        <v>0</v>
      </c>
      <c r="BI628" s="149">
        <v>0</v>
      </c>
      <c r="BJ628" s="149">
        <v>0</v>
      </c>
      <c r="BK628" s="149">
        <v>0</v>
      </c>
      <c r="BL628" s="149">
        <v>0</v>
      </c>
      <c r="BM628" s="149">
        <v>0</v>
      </c>
      <c r="BN628" s="149">
        <v>0</v>
      </c>
      <c r="BO628" s="149">
        <v>0</v>
      </c>
      <c r="BP628" s="152"/>
      <c r="BQ628" s="152"/>
      <c r="BR628" s="154" t="s">
        <v>359</v>
      </c>
      <c r="BS628" s="136">
        <v>15</v>
      </c>
      <c r="BT628" s="267"/>
      <c r="BU628" s="267">
        <f t="shared" si="67"/>
        <v>0.25</v>
      </c>
      <c r="BV628" s="267">
        <f t="shared" si="64"/>
        <v>0.25</v>
      </c>
      <c r="BW628" s="267">
        <f t="shared" si="65"/>
        <v>0.25</v>
      </c>
      <c r="BX628" s="267">
        <f t="shared" si="66"/>
        <v>0.25</v>
      </c>
      <c r="BY628" s="267"/>
      <c r="BZ628" s="267"/>
      <c r="CA628" s="267"/>
      <c r="CB628" s="267"/>
      <c r="CC628" s="267"/>
      <c r="CD628" s="267"/>
      <c r="CE628" s="267"/>
      <c r="CF628" s="267"/>
      <c r="CG628" s="267"/>
      <c r="CH628" s="267"/>
      <c r="CI628" s="267"/>
      <c r="CJ628" s="267"/>
      <c r="CK628" s="267"/>
      <c r="CL628" s="267"/>
      <c r="CM628" s="267"/>
      <c r="CN628" s="101">
        <f t="shared" si="57"/>
        <v>1</v>
      </c>
      <c r="CO628" s="101">
        <f t="shared" si="58"/>
        <v>1</v>
      </c>
    </row>
    <row r="629" spans="1:93" ht="13.9" customHeight="1" x14ac:dyDescent="0.2">
      <c r="A629" s="149">
        <v>7487</v>
      </c>
      <c r="B629" s="150" t="s">
        <v>1216</v>
      </c>
      <c r="C629" s="150" t="s">
        <v>1804</v>
      </c>
      <c r="D629" s="150" t="s">
        <v>1805</v>
      </c>
      <c r="E629" s="150" t="s">
        <v>326</v>
      </c>
      <c r="F629" s="149">
        <v>527564</v>
      </c>
      <c r="G629" s="149">
        <v>170910</v>
      </c>
      <c r="H629" s="150" t="s">
        <v>173</v>
      </c>
      <c r="I629" s="151"/>
      <c r="J629" s="151"/>
      <c r="K629" s="149">
        <v>1</v>
      </c>
      <c r="L629" s="149">
        <v>1</v>
      </c>
      <c r="M629" s="149">
        <v>0</v>
      </c>
      <c r="N629" s="149">
        <v>2</v>
      </c>
      <c r="O629" s="149">
        <v>1</v>
      </c>
      <c r="P629" s="152"/>
      <c r="Q629" s="150" t="s">
        <v>1806</v>
      </c>
      <c r="R629" s="150" t="s">
        <v>349</v>
      </c>
      <c r="S629" s="151">
        <v>44155</v>
      </c>
      <c r="T629" s="151">
        <v>44300</v>
      </c>
      <c r="U629" s="152"/>
      <c r="V629" s="150" t="s">
        <v>330</v>
      </c>
      <c r="W629" s="151"/>
      <c r="X629" s="150" t="s">
        <v>331</v>
      </c>
      <c r="Y629" s="150" t="s">
        <v>398</v>
      </c>
      <c r="Z629" s="150" t="s">
        <v>334</v>
      </c>
      <c r="AA629" s="150" t="s">
        <v>399</v>
      </c>
      <c r="AB629" s="153">
        <v>8.0000000000000002E-3</v>
      </c>
      <c r="AC629" s="151"/>
      <c r="AD629" s="150"/>
      <c r="AE629" s="151"/>
      <c r="AF629" s="150" t="s">
        <v>70</v>
      </c>
      <c r="AG629" s="152" t="s">
        <v>352</v>
      </c>
      <c r="AH629" s="150" t="s">
        <v>326</v>
      </c>
      <c r="AI629" s="99"/>
      <c r="AJ629" s="149"/>
      <c r="AK629" s="99"/>
      <c r="AL629" s="149"/>
      <c r="AM629" s="99"/>
      <c r="AN629" s="149">
        <v>0</v>
      </c>
      <c r="AO629" s="149">
        <v>0</v>
      </c>
      <c r="AP629" s="149">
        <v>1</v>
      </c>
      <c r="AQ629" s="149">
        <v>-1</v>
      </c>
      <c r="AR629" s="149">
        <v>0</v>
      </c>
      <c r="AS629" s="149">
        <v>0</v>
      </c>
      <c r="AT629" s="149">
        <v>0</v>
      </c>
      <c r="AU629" s="149">
        <v>0</v>
      </c>
      <c r="AV629" s="149">
        <v>0</v>
      </c>
      <c r="AW629" s="149">
        <v>1</v>
      </c>
      <c r="AX629" s="149">
        <v>-1</v>
      </c>
      <c r="AY629" s="149">
        <v>0</v>
      </c>
      <c r="AZ629" s="149">
        <v>0</v>
      </c>
      <c r="BA629" s="149">
        <v>0</v>
      </c>
      <c r="BB629" s="149">
        <v>0</v>
      </c>
      <c r="BC629" s="149">
        <v>0</v>
      </c>
      <c r="BD629" s="149">
        <v>0</v>
      </c>
      <c r="BE629" s="149">
        <v>0</v>
      </c>
      <c r="BF629" s="149">
        <v>0</v>
      </c>
      <c r="BG629" s="149">
        <v>0</v>
      </c>
      <c r="BH629" s="149">
        <v>0</v>
      </c>
      <c r="BI629" s="149">
        <v>0</v>
      </c>
      <c r="BJ629" s="149">
        <v>0</v>
      </c>
      <c r="BK629" s="149">
        <v>0</v>
      </c>
      <c r="BL629" s="149">
        <v>0</v>
      </c>
      <c r="BM629" s="149">
        <v>0</v>
      </c>
      <c r="BN629" s="149">
        <v>0</v>
      </c>
      <c r="BO629" s="149">
        <v>0</v>
      </c>
      <c r="BP629" s="152"/>
      <c r="BQ629" s="152"/>
      <c r="BR629" s="154" t="s">
        <v>359</v>
      </c>
      <c r="BS629" s="136">
        <v>15</v>
      </c>
      <c r="BT629" s="267"/>
      <c r="BU629" s="267">
        <f t="shared" si="67"/>
        <v>0</v>
      </c>
      <c r="BV629" s="267">
        <f t="shared" si="64"/>
        <v>0</v>
      </c>
      <c r="BW629" s="267">
        <f t="shared" si="65"/>
        <v>0</v>
      </c>
      <c r="BX629" s="267">
        <f t="shared" si="66"/>
        <v>0</v>
      </c>
      <c r="BY629" s="267"/>
      <c r="BZ629" s="267"/>
      <c r="CA629" s="267"/>
      <c r="CB629" s="267"/>
      <c r="CC629" s="267"/>
      <c r="CD629" s="267"/>
      <c r="CE629" s="267"/>
      <c r="CF629" s="267"/>
      <c r="CG629" s="267"/>
      <c r="CH629" s="267"/>
      <c r="CI629" s="267"/>
      <c r="CJ629" s="267"/>
      <c r="CK629" s="267"/>
      <c r="CL629" s="267"/>
      <c r="CM629" s="267"/>
      <c r="CN629" s="101">
        <f t="shared" si="57"/>
        <v>0</v>
      </c>
      <c r="CO629" s="101">
        <f t="shared" si="58"/>
        <v>0</v>
      </c>
    </row>
    <row r="630" spans="1:93" ht="13.9" customHeight="1" x14ac:dyDescent="0.2">
      <c r="A630" s="149">
        <v>7802</v>
      </c>
      <c r="B630" s="150" t="s">
        <v>1216</v>
      </c>
      <c r="C630" s="150" t="s">
        <v>1807</v>
      </c>
      <c r="D630" s="150" t="s">
        <v>1808</v>
      </c>
      <c r="E630" s="150" t="s">
        <v>326</v>
      </c>
      <c r="F630" s="149">
        <v>525309</v>
      </c>
      <c r="G630" s="149">
        <v>174646</v>
      </c>
      <c r="H630" s="150" t="s">
        <v>177</v>
      </c>
      <c r="I630" s="151"/>
      <c r="J630" s="151"/>
      <c r="K630" s="149">
        <v>0</v>
      </c>
      <c r="L630" s="149">
        <v>1</v>
      </c>
      <c r="M630" s="149">
        <v>1</v>
      </c>
      <c r="N630" s="149">
        <v>1</v>
      </c>
      <c r="O630" s="149">
        <v>1</v>
      </c>
      <c r="P630" s="152"/>
      <c r="Q630" s="150" t="s">
        <v>1809</v>
      </c>
      <c r="R630" s="150" t="s">
        <v>349</v>
      </c>
      <c r="S630" s="151">
        <v>44162</v>
      </c>
      <c r="T630" s="151">
        <v>44218</v>
      </c>
      <c r="U630" s="152"/>
      <c r="V630" s="150" t="s">
        <v>330</v>
      </c>
      <c r="W630" s="151"/>
      <c r="X630" s="150" t="s">
        <v>331</v>
      </c>
      <c r="Y630" s="150" t="s">
        <v>491</v>
      </c>
      <c r="Z630" s="150" t="s">
        <v>334</v>
      </c>
      <c r="AA630" s="150" t="s">
        <v>413</v>
      </c>
      <c r="AB630" s="153">
        <v>5.4000000000000003E-3</v>
      </c>
      <c r="AC630" s="151"/>
      <c r="AD630" s="150"/>
      <c r="AE630" s="151"/>
      <c r="AF630" s="150" t="s">
        <v>70</v>
      </c>
      <c r="AG630" s="152" t="s">
        <v>352</v>
      </c>
      <c r="AH630" s="150" t="s">
        <v>326</v>
      </c>
      <c r="AI630" s="99"/>
      <c r="AJ630" s="149"/>
      <c r="AK630" s="99"/>
      <c r="AL630" s="149"/>
      <c r="AM630" s="99"/>
      <c r="AN630" s="149">
        <v>0</v>
      </c>
      <c r="AO630" s="149">
        <v>1</v>
      </c>
      <c r="AP630" s="149">
        <v>0</v>
      </c>
      <c r="AQ630" s="149">
        <v>0</v>
      </c>
      <c r="AR630" s="149">
        <v>0</v>
      </c>
      <c r="AS630" s="149">
        <v>0</v>
      </c>
      <c r="AT630" s="149">
        <v>0</v>
      </c>
      <c r="AU630" s="149">
        <v>0</v>
      </c>
      <c r="AV630" s="149">
        <v>1</v>
      </c>
      <c r="AW630" s="149">
        <v>0</v>
      </c>
      <c r="AX630" s="149">
        <v>0</v>
      </c>
      <c r="AY630" s="149">
        <v>0</v>
      </c>
      <c r="AZ630" s="149">
        <v>0</v>
      </c>
      <c r="BA630" s="149">
        <v>0</v>
      </c>
      <c r="BB630" s="149">
        <v>0</v>
      </c>
      <c r="BC630" s="149">
        <v>0</v>
      </c>
      <c r="BD630" s="149">
        <v>0</v>
      </c>
      <c r="BE630" s="149">
        <v>0</v>
      </c>
      <c r="BF630" s="149">
        <v>0</v>
      </c>
      <c r="BG630" s="149">
        <v>0</v>
      </c>
      <c r="BH630" s="149">
        <v>0</v>
      </c>
      <c r="BI630" s="149">
        <v>0</v>
      </c>
      <c r="BJ630" s="149">
        <v>0</v>
      </c>
      <c r="BK630" s="149">
        <v>0</v>
      </c>
      <c r="BL630" s="149">
        <v>0</v>
      </c>
      <c r="BM630" s="149">
        <v>0</v>
      </c>
      <c r="BN630" s="149">
        <v>0</v>
      </c>
      <c r="BO630" s="149">
        <v>0</v>
      </c>
      <c r="BP630" s="152" t="s">
        <v>143</v>
      </c>
      <c r="BQ630" s="152"/>
      <c r="BR630" s="154" t="s">
        <v>463</v>
      </c>
      <c r="BS630" s="136">
        <v>15</v>
      </c>
      <c r="BT630" s="267"/>
      <c r="BU630" s="267">
        <f t="shared" si="67"/>
        <v>0.25</v>
      </c>
      <c r="BV630" s="267">
        <f t="shared" si="64"/>
        <v>0.25</v>
      </c>
      <c r="BW630" s="267">
        <f t="shared" si="65"/>
        <v>0.25</v>
      </c>
      <c r="BX630" s="267">
        <f t="shared" si="66"/>
        <v>0.25</v>
      </c>
      <c r="BY630" s="267"/>
      <c r="BZ630" s="267"/>
      <c r="CA630" s="267"/>
      <c r="CB630" s="267"/>
      <c r="CC630" s="267"/>
      <c r="CD630" s="267"/>
      <c r="CE630" s="267"/>
      <c r="CF630" s="267"/>
      <c r="CG630" s="267"/>
      <c r="CH630" s="267"/>
      <c r="CI630" s="267"/>
      <c r="CJ630" s="267"/>
      <c r="CK630" s="267"/>
      <c r="CL630" s="267"/>
      <c r="CM630" s="267"/>
      <c r="CN630" s="101">
        <f t="shared" si="57"/>
        <v>1</v>
      </c>
      <c r="CO630" s="101">
        <f t="shared" si="58"/>
        <v>1</v>
      </c>
    </row>
    <row r="631" spans="1:93" ht="13.9" customHeight="1" x14ac:dyDescent="0.2">
      <c r="A631" s="149">
        <v>7501</v>
      </c>
      <c r="B631" s="150" t="s">
        <v>1216</v>
      </c>
      <c r="C631" s="150" t="s">
        <v>1810</v>
      </c>
      <c r="D631" s="150" t="s">
        <v>1811</v>
      </c>
      <c r="E631" s="150" t="s">
        <v>326</v>
      </c>
      <c r="F631" s="149">
        <v>528574</v>
      </c>
      <c r="G631" s="149">
        <v>173102</v>
      </c>
      <c r="H631" s="150" t="s">
        <v>168</v>
      </c>
      <c r="I631" s="151"/>
      <c r="J631" s="151"/>
      <c r="K631" s="149">
        <v>0</v>
      </c>
      <c r="L631" s="149">
        <v>1</v>
      </c>
      <c r="M631" s="149">
        <v>1</v>
      </c>
      <c r="N631" s="149">
        <v>1</v>
      </c>
      <c r="O631" s="149">
        <v>1</v>
      </c>
      <c r="P631" s="152"/>
      <c r="Q631" s="150" t="s">
        <v>1812</v>
      </c>
      <c r="R631" s="150" t="s">
        <v>349</v>
      </c>
      <c r="S631" s="151">
        <v>44180</v>
      </c>
      <c r="T631" s="151">
        <v>44236</v>
      </c>
      <c r="U631" s="152"/>
      <c r="V631" s="150" t="s">
        <v>330</v>
      </c>
      <c r="W631" s="151"/>
      <c r="X631" s="150" t="s">
        <v>331</v>
      </c>
      <c r="Y631" s="150" t="s">
        <v>491</v>
      </c>
      <c r="Z631" s="150" t="s">
        <v>334</v>
      </c>
      <c r="AA631" s="150" t="s">
        <v>413</v>
      </c>
      <c r="AB631" s="153">
        <v>2E-3</v>
      </c>
      <c r="AC631" s="151"/>
      <c r="AD631" s="150"/>
      <c r="AE631" s="151"/>
      <c r="AF631" s="150" t="s">
        <v>70</v>
      </c>
      <c r="AG631" s="152" t="s">
        <v>352</v>
      </c>
      <c r="AH631" s="150" t="s">
        <v>326</v>
      </c>
      <c r="AI631" s="99"/>
      <c r="AJ631" s="149"/>
      <c r="AK631" s="99"/>
      <c r="AL631" s="149"/>
      <c r="AM631" s="99"/>
      <c r="AN631" s="149">
        <v>0</v>
      </c>
      <c r="AO631" s="149">
        <v>1</v>
      </c>
      <c r="AP631" s="149">
        <v>0</v>
      </c>
      <c r="AQ631" s="149">
        <v>0</v>
      </c>
      <c r="AR631" s="149">
        <v>0</v>
      </c>
      <c r="AS631" s="149">
        <v>0</v>
      </c>
      <c r="AT631" s="149">
        <v>0</v>
      </c>
      <c r="AU631" s="149">
        <v>0</v>
      </c>
      <c r="AV631" s="149">
        <v>1</v>
      </c>
      <c r="AW631" s="149">
        <v>0</v>
      </c>
      <c r="AX631" s="149">
        <v>0</v>
      </c>
      <c r="AY631" s="149">
        <v>0</v>
      </c>
      <c r="AZ631" s="149">
        <v>0</v>
      </c>
      <c r="BA631" s="149">
        <v>0</v>
      </c>
      <c r="BB631" s="149">
        <v>0</v>
      </c>
      <c r="BC631" s="149">
        <v>0</v>
      </c>
      <c r="BD631" s="149">
        <v>0</v>
      </c>
      <c r="BE631" s="149">
        <v>0</v>
      </c>
      <c r="BF631" s="149">
        <v>0</v>
      </c>
      <c r="BG631" s="149">
        <v>0</v>
      </c>
      <c r="BH631" s="149">
        <v>0</v>
      </c>
      <c r="BI631" s="149">
        <v>0</v>
      </c>
      <c r="BJ631" s="149">
        <v>0</v>
      </c>
      <c r="BK631" s="149">
        <v>0</v>
      </c>
      <c r="BL631" s="149">
        <v>0</v>
      </c>
      <c r="BM631" s="149">
        <v>0</v>
      </c>
      <c r="BN631" s="149">
        <v>0</v>
      </c>
      <c r="BO631" s="149">
        <v>0</v>
      </c>
      <c r="BP631" s="152"/>
      <c r="BQ631" s="152"/>
      <c r="BR631" s="154" t="s">
        <v>139</v>
      </c>
      <c r="BS631" s="136">
        <v>15</v>
      </c>
      <c r="BT631" s="267"/>
      <c r="BU631" s="267">
        <f t="shared" si="67"/>
        <v>0.25</v>
      </c>
      <c r="BV631" s="267">
        <f t="shared" si="64"/>
        <v>0.25</v>
      </c>
      <c r="BW631" s="267">
        <f t="shared" si="65"/>
        <v>0.25</v>
      </c>
      <c r="BX631" s="267">
        <f t="shared" si="66"/>
        <v>0.25</v>
      </c>
      <c r="BY631" s="267"/>
      <c r="BZ631" s="267"/>
      <c r="CA631" s="267"/>
      <c r="CB631" s="267"/>
      <c r="CC631" s="267"/>
      <c r="CD631" s="267"/>
      <c r="CE631" s="267"/>
      <c r="CF631" s="267"/>
      <c r="CG631" s="267"/>
      <c r="CH631" s="267"/>
      <c r="CI631" s="267"/>
      <c r="CJ631" s="267"/>
      <c r="CK631" s="267"/>
      <c r="CL631" s="267"/>
      <c r="CM631" s="267"/>
      <c r="CN631" s="101">
        <f t="shared" ref="CN631:CN694" si="68">SUM(BU631:BY631)</f>
        <v>1</v>
      </c>
      <c r="CO631" s="101">
        <f t="shared" ref="CO631:CO694" si="69">SUM(BU631:CD631)</f>
        <v>1</v>
      </c>
    </row>
    <row r="632" spans="1:93" ht="13.9" customHeight="1" x14ac:dyDescent="0.2">
      <c r="A632" s="149">
        <v>4316</v>
      </c>
      <c r="B632" s="150" t="s">
        <v>1216</v>
      </c>
      <c r="C632" s="150" t="s">
        <v>1756</v>
      </c>
      <c r="D632" s="150" t="s">
        <v>1757</v>
      </c>
      <c r="E632" s="150" t="s">
        <v>326</v>
      </c>
      <c r="F632" s="149">
        <v>527567</v>
      </c>
      <c r="G632" s="149">
        <v>171576</v>
      </c>
      <c r="H632" s="150" t="s">
        <v>173</v>
      </c>
      <c r="I632" s="151">
        <v>45382</v>
      </c>
      <c r="J632" s="151"/>
      <c r="K632" s="149">
        <v>0</v>
      </c>
      <c r="L632" s="149">
        <v>6</v>
      </c>
      <c r="M632" s="149">
        <v>6</v>
      </c>
      <c r="N632" s="149">
        <v>29</v>
      </c>
      <c r="O632" s="149">
        <v>29</v>
      </c>
      <c r="P632" s="152" t="s">
        <v>327</v>
      </c>
      <c r="Q632" s="150" t="s">
        <v>1758</v>
      </c>
      <c r="R632" s="150" t="s">
        <v>329</v>
      </c>
      <c r="S632" s="151">
        <v>43923</v>
      </c>
      <c r="T632" s="151">
        <v>44566</v>
      </c>
      <c r="U632" s="152"/>
      <c r="V632" s="150" t="s">
        <v>330</v>
      </c>
      <c r="W632" s="151"/>
      <c r="X632" s="150" t="s">
        <v>331</v>
      </c>
      <c r="Y632" s="150" t="s">
        <v>398</v>
      </c>
      <c r="Z632" s="150" t="s">
        <v>343</v>
      </c>
      <c r="AA632" s="150" t="s">
        <v>334</v>
      </c>
      <c r="AB632" s="153">
        <v>0.01</v>
      </c>
      <c r="AC632" s="151"/>
      <c r="AD632" s="150"/>
      <c r="AE632" s="151"/>
      <c r="AF632" s="150" t="s">
        <v>48</v>
      </c>
      <c r="AG632" s="152" t="s">
        <v>544</v>
      </c>
      <c r="AH632" s="150" t="s">
        <v>336</v>
      </c>
      <c r="AI632" s="99"/>
      <c r="AJ632" s="149"/>
      <c r="AK632" s="138">
        <v>1</v>
      </c>
      <c r="AL632" s="149"/>
      <c r="AM632" s="99"/>
      <c r="AN632" s="149">
        <v>0</v>
      </c>
      <c r="AO632" s="149">
        <v>3</v>
      </c>
      <c r="AP632" s="149">
        <v>2</v>
      </c>
      <c r="AQ632" s="149">
        <v>1</v>
      </c>
      <c r="AR632" s="149">
        <v>0</v>
      </c>
      <c r="AS632" s="149">
        <v>0</v>
      </c>
      <c r="AT632" s="149">
        <v>0</v>
      </c>
      <c r="AU632" s="149">
        <v>0</v>
      </c>
      <c r="AV632" s="149">
        <v>3</v>
      </c>
      <c r="AW632" s="149">
        <v>2</v>
      </c>
      <c r="AX632" s="149">
        <v>1</v>
      </c>
      <c r="AY632" s="149">
        <v>0</v>
      </c>
      <c r="AZ632" s="149">
        <v>0</v>
      </c>
      <c r="BA632" s="149">
        <v>0</v>
      </c>
      <c r="BB632" s="149">
        <v>0</v>
      </c>
      <c r="BC632" s="149">
        <v>0</v>
      </c>
      <c r="BD632" s="149">
        <v>0</v>
      </c>
      <c r="BE632" s="149">
        <v>0</v>
      </c>
      <c r="BF632" s="149">
        <v>0</v>
      </c>
      <c r="BG632" s="149">
        <v>0</v>
      </c>
      <c r="BH632" s="149">
        <v>0</v>
      </c>
      <c r="BI632" s="149">
        <v>0</v>
      </c>
      <c r="BJ632" s="149">
        <v>0</v>
      </c>
      <c r="BK632" s="149">
        <v>0</v>
      </c>
      <c r="BL632" s="149">
        <v>0</v>
      </c>
      <c r="BM632" s="149">
        <v>0</v>
      </c>
      <c r="BN632" s="149">
        <v>0</v>
      </c>
      <c r="BO632" s="149">
        <v>0</v>
      </c>
      <c r="BP632" s="152" t="s">
        <v>142</v>
      </c>
      <c r="BQ632" s="152"/>
      <c r="BR632" s="154" t="s">
        <v>142</v>
      </c>
      <c r="BS632" s="136">
        <v>16</v>
      </c>
      <c r="BT632" s="267"/>
      <c r="BU632" s="267">
        <f t="shared" si="67"/>
        <v>1.5</v>
      </c>
      <c r="BV632" s="267">
        <f t="shared" si="64"/>
        <v>1.5</v>
      </c>
      <c r="BW632" s="267">
        <f t="shared" si="65"/>
        <v>1.5</v>
      </c>
      <c r="BX632" s="267">
        <f t="shared" si="66"/>
        <v>1.5</v>
      </c>
      <c r="BY632" s="267"/>
      <c r="BZ632" s="267"/>
      <c r="CA632" s="267"/>
      <c r="CB632" s="267"/>
      <c r="CC632" s="267"/>
      <c r="CD632" s="267"/>
      <c r="CE632" s="267"/>
      <c r="CF632" s="267"/>
      <c r="CG632" s="267"/>
      <c r="CH632" s="267"/>
      <c r="CI632" s="267"/>
      <c r="CJ632" s="267"/>
      <c r="CK632" s="267"/>
      <c r="CL632" s="267"/>
      <c r="CM632" s="267"/>
      <c r="CN632" s="101">
        <f t="shared" si="68"/>
        <v>6</v>
      </c>
      <c r="CO632" s="101">
        <f t="shared" si="69"/>
        <v>6</v>
      </c>
    </row>
    <row r="633" spans="1:93" ht="13.9" customHeight="1" x14ac:dyDescent="0.2">
      <c r="A633" s="149">
        <v>6284</v>
      </c>
      <c r="B633" s="150" t="s">
        <v>1216</v>
      </c>
      <c r="C633" s="150" t="s">
        <v>1813</v>
      </c>
      <c r="D633" s="150" t="s">
        <v>1814</v>
      </c>
      <c r="E633" s="150" t="s">
        <v>326</v>
      </c>
      <c r="F633" s="149">
        <v>525537</v>
      </c>
      <c r="G633" s="149">
        <v>174739</v>
      </c>
      <c r="H633" s="150" t="s">
        <v>177</v>
      </c>
      <c r="I633" s="151">
        <v>45341</v>
      </c>
      <c r="J633" s="151"/>
      <c r="K633" s="149">
        <v>0</v>
      </c>
      <c r="L633" s="149">
        <v>34</v>
      </c>
      <c r="M633" s="149">
        <v>34</v>
      </c>
      <c r="N633" s="149">
        <v>50</v>
      </c>
      <c r="O633" s="149">
        <v>50</v>
      </c>
      <c r="P633" s="152" t="s">
        <v>327</v>
      </c>
      <c r="Q633" s="150" t="s">
        <v>1815</v>
      </c>
      <c r="R633" s="150" t="s">
        <v>329</v>
      </c>
      <c r="S633" s="151">
        <v>42804</v>
      </c>
      <c r="T633" s="151">
        <v>43069</v>
      </c>
      <c r="U633" s="152"/>
      <c r="V633" s="150" t="s">
        <v>330</v>
      </c>
      <c r="W633" s="151"/>
      <c r="X633" s="150" t="s">
        <v>331</v>
      </c>
      <c r="Y633" s="150" t="s">
        <v>343</v>
      </c>
      <c r="Z633" s="150" t="s">
        <v>343</v>
      </c>
      <c r="AA633" s="150" t="s">
        <v>334</v>
      </c>
      <c r="AB633" s="153">
        <v>0.17499999999999999</v>
      </c>
      <c r="AC633" s="151"/>
      <c r="AD633" s="150"/>
      <c r="AE633" s="151"/>
      <c r="AF633" s="150" t="s">
        <v>70</v>
      </c>
      <c r="AG633" s="152" t="s">
        <v>352</v>
      </c>
      <c r="AH633" s="150" t="s">
        <v>1547</v>
      </c>
      <c r="AI633" s="99"/>
      <c r="AJ633" s="149">
        <v>50</v>
      </c>
      <c r="AK633" s="138">
        <v>27</v>
      </c>
      <c r="AL633" s="149">
        <v>5</v>
      </c>
      <c r="AM633" s="138">
        <v>5</v>
      </c>
      <c r="AN633" s="149">
        <v>8</v>
      </c>
      <c r="AO633" s="149">
        <v>26</v>
      </c>
      <c r="AP633" s="149">
        <v>0</v>
      </c>
      <c r="AQ633" s="149">
        <v>0</v>
      </c>
      <c r="AR633" s="149">
        <v>0</v>
      </c>
      <c r="AS633" s="149">
        <v>0</v>
      </c>
      <c r="AT633" s="149">
        <v>0</v>
      </c>
      <c r="AU633" s="149">
        <v>6</v>
      </c>
      <c r="AV633" s="149">
        <v>26</v>
      </c>
      <c r="AW633" s="149">
        <v>0</v>
      </c>
      <c r="AX633" s="149">
        <v>0</v>
      </c>
      <c r="AY633" s="149">
        <v>0</v>
      </c>
      <c r="AZ633" s="149">
        <v>0</v>
      </c>
      <c r="BA633" s="149">
        <v>0</v>
      </c>
      <c r="BB633" s="149">
        <v>0</v>
      </c>
      <c r="BC633" s="149">
        <v>0</v>
      </c>
      <c r="BD633" s="149">
        <v>0</v>
      </c>
      <c r="BE633" s="149">
        <v>0</v>
      </c>
      <c r="BF633" s="149">
        <v>0</v>
      </c>
      <c r="BG633" s="149">
        <v>0</v>
      </c>
      <c r="BH633" s="149">
        <v>0</v>
      </c>
      <c r="BI633" s="149">
        <v>2</v>
      </c>
      <c r="BJ633" s="149">
        <v>0</v>
      </c>
      <c r="BK633" s="149">
        <v>0</v>
      </c>
      <c r="BL633" s="149">
        <v>0</v>
      </c>
      <c r="BM633" s="149">
        <v>0</v>
      </c>
      <c r="BN633" s="149">
        <v>0</v>
      </c>
      <c r="BO633" s="149">
        <v>0</v>
      </c>
      <c r="BP633" s="152" t="s">
        <v>143</v>
      </c>
      <c r="BQ633" s="152"/>
      <c r="BR633" s="154" t="s">
        <v>463</v>
      </c>
      <c r="BS633" s="136">
        <v>8</v>
      </c>
      <c r="BT633" s="267"/>
      <c r="BU633" s="267"/>
      <c r="BV633" s="267"/>
      <c r="BW633" s="267"/>
      <c r="BX633" s="267"/>
      <c r="BY633" s="267">
        <f>M633</f>
        <v>34</v>
      </c>
      <c r="BZ633" s="267"/>
      <c r="CA633" s="267"/>
      <c r="CB633" s="267"/>
      <c r="CC633" s="267"/>
      <c r="CD633" s="267"/>
      <c r="CE633" s="267"/>
      <c r="CF633" s="267"/>
      <c r="CG633" s="267"/>
      <c r="CH633" s="267"/>
      <c r="CI633" s="267"/>
      <c r="CJ633" s="267"/>
      <c r="CK633" s="267"/>
      <c r="CL633" s="267"/>
      <c r="CM633" s="267"/>
      <c r="CN633" s="101">
        <f t="shared" si="68"/>
        <v>34</v>
      </c>
      <c r="CO633" s="101">
        <f t="shared" si="69"/>
        <v>34</v>
      </c>
    </row>
    <row r="634" spans="1:93" ht="13.9" customHeight="1" x14ac:dyDescent="0.2">
      <c r="A634" s="149">
        <v>7803</v>
      </c>
      <c r="B634" s="150" t="s">
        <v>1216</v>
      </c>
      <c r="C634" s="150" t="s">
        <v>1816</v>
      </c>
      <c r="D634" s="150" t="s">
        <v>1817</v>
      </c>
      <c r="E634" s="150" t="s">
        <v>326</v>
      </c>
      <c r="F634" s="149">
        <v>523970</v>
      </c>
      <c r="G634" s="149">
        <v>175247</v>
      </c>
      <c r="H634" s="150" t="s">
        <v>171</v>
      </c>
      <c r="I634" s="151"/>
      <c r="J634" s="151"/>
      <c r="K634" s="149">
        <v>0</v>
      </c>
      <c r="L634" s="149">
        <v>1</v>
      </c>
      <c r="M634" s="149">
        <v>1</v>
      </c>
      <c r="N634" s="149">
        <v>1</v>
      </c>
      <c r="O634" s="149">
        <v>1</v>
      </c>
      <c r="P634" s="152"/>
      <c r="Q634" s="150" t="s">
        <v>1818</v>
      </c>
      <c r="R634" s="150" t="s">
        <v>349</v>
      </c>
      <c r="S634" s="151">
        <v>44676</v>
      </c>
      <c r="T634" s="151">
        <v>44732</v>
      </c>
      <c r="U634" s="152"/>
      <c r="V634" s="150" t="s">
        <v>330</v>
      </c>
      <c r="W634" s="151"/>
      <c r="X634" s="150" t="s">
        <v>331</v>
      </c>
      <c r="Y634" s="150" t="s">
        <v>343</v>
      </c>
      <c r="Z634" s="150" t="s">
        <v>334</v>
      </c>
      <c r="AA634" s="150" t="s">
        <v>32</v>
      </c>
      <c r="AB634" s="153">
        <v>5.0000000000000001E-3</v>
      </c>
      <c r="AC634" s="151"/>
      <c r="AD634" s="150"/>
      <c r="AE634" s="151"/>
      <c r="AF634" s="150" t="s">
        <v>70</v>
      </c>
      <c r="AG634" s="152" t="s">
        <v>352</v>
      </c>
      <c r="AH634" s="150" t="s">
        <v>326</v>
      </c>
      <c r="AI634" s="99"/>
      <c r="AJ634" s="149"/>
      <c r="AK634" s="99"/>
      <c r="AL634" s="149"/>
      <c r="AM634" s="99"/>
      <c r="AN634" s="149">
        <v>0</v>
      </c>
      <c r="AO634" s="149">
        <v>0</v>
      </c>
      <c r="AP634" s="149">
        <v>0</v>
      </c>
      <c r="AQ634" s="149">
        <v>1</v>
      </c>
      <c r="AR634" s="149">
        <v>0</v>
      </c>
      <c r="AS634" s="149">
        <v>0</v>
      </c>
      <c r="AT634" s="149">
        <v>0</v>
      </c>
      <c r="AU634" s="149">
        <v>0</v>
      </c>
      <c r="AV634" s="149">
        <v>0</v>
      </c>
      <c r="AW634" s="149">
        <v>0</v>
      </c>
      <c r="AX634" s="149">
        <v>0</v>
      </c>
      <c r="AY634" s="149">
        <v>0</v>
      </c>
      <c r="AZ634" s="149">
        <v>0</v>
      </c>
      <c r="BA634" s="149">
        <v>0</v>
      </c>
      <c r="BB634" s="149">
        <v>0</v>
      </c>
      <c r="BC634" s="149">
        <v>0</v>
      </c>
      <c r="BD634" s="149">
        <v>0</v>
      </c>
      <c r="BE634" s="149">
        <v>1</v>
      </c>
      <c r="BF634" s="149">
        <v>0</v>
      </c>
      <c r="BG634" s="149">
        <v>0</v>
      </c>
      <c r="BH634" s="149">
        <v>0</v>
      </c>
      <c r="BI634" s="149">
        <v>0</v>
      </c>
      <c r="BJ634" s="149">
        <v>0</v>
      </c>
      <c r="BK634" s="149">
        <v>0</v>
      </c>
      <c r="BL634" s="149">
        <v>0</v>
      </c>
      <c r="BM634" s="149">
        <v>0</v>
      </c>
      <c r="BN634" s="149">
        <v>0</v>
      </c>
      <c r="BO634" s="149">
        <v>0</v>
      </c>
      <c r="BP634" s="152" t="s">
        <v>141</v>
      </c>
      <c r="BQ634" s="152"/>
      <c r="BR634" s="154" t="s">
        <v>141</v>
      </c>
      <c r="BS634" s="136">
        <v>7</v>
      </c>
      <c r="BT634" s="267"/>
      <c r="BU634" s="267"/>
      <c r="BV634" s="267">
        <f>M634/4</f>
        <v>0.25</v>
      </c>
      <c r="BW634" s="267">
        <f>M634/4</f>
        <v>0.25</v>
      </c>
      <c r="BX634" s="267">
        <f>M634/4</f>
        <v>0.25</v>
      </c>
      <c r="BY634" s="267">
        <f>M634/4</f>
        <v>0.25</v>
      </c>
      <c r="BZ634" s="267"/>
      <c r="CA634" s="267"/>
      <c r="CB634" s="267"/>
      <c r="CC634" s="267"/>
      <c r="CD634" s="267"/>
      <c r="CE634" s="267"/>
      <c r="CF634" s="267"/>
      <c r="CG634" s="267"/>
      <c r="CH634" s="267"/>
      <c r="CI634" s="267"/>
      <c r="CJ634" s="267"/>
      <c r="CK634" s="267"/>
      <c r="CL634" s="267"/>
      <c r="CM634" s="267"/>
      <c r="CN634" s="101">
        <f t="shared" si="68"/>
        <v>1</v>
      </c>
      <c r="CO634" s="101">
        <f t="shared" si="69"/>
        <v>1</v>
      </c>
    </row>
    <row r="635" spans="1:93" ht="13.9" customHeight="1" x14ac:dyDescent="0.2">
      <c r="A635" s="149">
        <v>6284</v>
      </c>
      <c r="B635" s="150" t="s">
        <v>1216</v>
      </c>
      <c r="C635" s="150" t="s">
        <v>1813</v>
      </c>
      <c r="D635" s="150" t="s">
        <v>1814</v>
      </c>
      <c r="E635" s="150" t="s">
        <v>326</v>
      </c>
      <c r="F635" s="149">
        <v>525537</v>
      </c>
      <c r="G635" s="149">
        <v>174739</v>
      </c>
      <c r="H635" s="150" t="s">
        <v>177</v>
      </c>
      <c r="I635" s="151">
        <v>45341</v>
      </c>
      <c r="J635" s="151"/>
      <c r="K635" s="149">
        <v>0</v>
      </c>
      <c r="L635" s="149">
        <v>16</v>
      </c>
      <c r="M635" s="149">
        <v>16</v>
      </c>
      <c r="N635" s="149">
        <v>50</v>
      </c>
      <c r="O635" s="149">
        <v>50</v>
      </c>
      <c r="P635" s="152" t="s">
        <v>327</v>
      </c>
      <c r="Q635" s="150" t="s">
        <v>1815</v>
      </c>
      <c r="R635" s="150" t="s">
        <v>329</v>
      </c>
      <c r="S635" s="151">
        <v>42804</v>
      </c>
      <c r="T635" s="151">
        <v>43069</v>
      </c>
      <c r="U635" s="152"/>
      <c r="V635" s="150" t="s">
        <v>330</v>
      </c>
      <c r="W635" s="151"/>
      <c r="X635" s="150" t="s">
        <v>331</v>
      </c>
      <c r="Y635" s="150" t="s">
        <v>343</v>
      </c>
      <c r="Z635" s="150" t="s">
        <v>931</v>
      </c>
      <c r="AA635" s="150" t="s">
        <v>334</v>
      </c>
      <c r="AB635" s="153">
        <v>8.3000000000000004E-2</v>
      </c>
      <c r="AC635" s="151"/>
      <c r="AD635" s="150"/>
      <c r="AE635" s="151"/>
      <c r="AF635" s="150" t="s">
        <v>70</v>
      </c>
      <c r="AG635" s="152" t="s">
        <v>352</v>
      </c>
      <c r="AH635" s="150" t="s">
        <v>1547</v>
      </c>
      <c r="AI635" s="99"/>
      <c r="AJ635" s="149"/>
      <c r="AK635" s="138">
        <v>16</v>
      </c>
      <c r="AL635" s="149"/>
      <c r="AM635" s="99"/>
      <c r="AN635" s="149">
        <v>0</v>
      </c>
      <c r="AO635" s="149">
        <v>0</v>
      </c>
      <c r="AP635" s="149">
        <v>12</v>
      </c>
      <c r="AQ635" s="149">
        <v>4</v>
      </c>
      <c r="AR635" s="149">
        <v>0</v>
      </c>
      <c r="AS635" s="149">
        <v>0</v>
      </c>
      <c r="AT635" s="149">
        <v>0</v>
      </c>
      <c r="AU635" s="149">
        <v>0</v>
      </c>
      <c r="AV635" s="149">
        <v>0</v>
      </c>
      <c r="AW635" s="149">
        <v>12</v>
      </c>
      <c r="AX635" s="149">
        <v>3</v>
      </c>
      <c r="AY635" s="149">
        <v>0</v>
      </c>
      <c r="AZ635" s="149">
        <v>0</v>
      </c>
      <c r="BA635" s="149">
        <v>0</v>
      </c>
      <c r="BB635" s="149">
        <v>0</v>
      </c>
      <c r="BC635" s="149">
        <v>0</v>
      </c>
      <c r="BD635" s="149">
        <v>0</v>
      </c>
      <c r="BE635" s="149">
        <v>1</v>
      </c>
      <c r="BF635" s="149">
        <v>0</v>
      </c>
      <c r="BG635" s="149">
        <v>0</v>
      </c>
      <c r="BH635" s="149">
        <v>0</v>
      </c>
      <c r="BI635" s="149">
        <v>0</v>
      </c>
      <c r="BJ635" s="149">
        <v>0</v>
      </c>
      <c r="BK635" s="149">
        <v>0</v>
      </c>
      <c r="BL635" s="149">
        <v>0</v>
      </c>
      <c r="BM635" s="149">
        <v>0</v>
      </c>
      <c r="BN635" s="149">
        <v>0</v>
      </c>
      <c r="BO635" s="149">
        <v>0</v>
      </c>
      <c r="BP635" s="152" t="s">
        <v>143</v>
      </c>
      <c r="BQ635" s="152"/>
      <c r="BR635" s="154" t="s">
        <v>463</v>
      </c>
      <c r="BS635" s="136">
        <v>8</v>
      </c>
      <c r="BT635" s="267"/>
      <c r="BU635" s="267"/>
      <c r="BV635" s="267"/>
      <c r="BW635" s="267"/>
      <c r="BX635" s="267"/>
      <c r="BY635" s="267">
        <f>M635</f>
        <v>16</v>
      </c>
      <c r="BZ635" s="267"/>
      <c r="CA635" s="267"/>
      <c r="CB635" s="267"/>
      <c r="CC635" s="267"/>
      <c r="CD635" s="267"/>
      <c r="CE635" s="267"/>
      <c r="CF635" s="267"/>
      <c r="CG635" s="267"/>
      <c r="CH635" s="267"/>
      <c r="CI635" s="267"/>
      <c r="CJ635" s="267"/>
      <c r="CK635" s="267"/>
      <c r="CL635" s="267"/>
      <c r="CM635" s="267"/>
      <c r="CN635" s="101">
        <f t="shared" si="68"/>
        <v>16</v>
      </c>
      <c r="CO635" s="101">
        <f t="shared" si="69"/>
        <v>16</v>
      </c>
    </row>
    <row r="636" spans="1:93" ht="13.9" customHeight="1" x14ac:dyDescent="0.2">
      <c r="A636" s="149">
        <v>2411</v>
      </c>
      <c r="B636" s="150" t="s">
        <v>1216</v>
      </c>
      <c r="C636" s="150" t="s">
        <v>1089</v>
      </c>
      <c r="D636" s="150" t="s">
        <v>1090</v>
      </c>
      <c r="E636" s="150" t="s">
        <v>1819</v>
      </c>
      <c r="F636" s="149">
        <v>528934</v>
      </c>
      <c r="G636" s="149">
        <v>177496</v>
      </c>
      <c r="H636" s="150" t="s">
        <v>149</v>
      </c>
      <c r="I636" s="151">
        <v>42506</v>
      </c>
      <c r="J636" s="151"/>
      <c r="K636" s="149">
        <v>0</v>
      </c>
      <c r="L636" s="149">
        <v>883</v>
      </c>
      <c r="M636" s="149">
        <v>883</v>
      </c>
      <c r="N636" s="149">
        <v>2027</v>
      </c>
      <c r="O636" s="149">
        <v>2027</v>
      </c>
      <c r="P636" s="152" t="s">
        <v>327</v>
      </c>
      <c r="Q636" s="150" t="s">
        <v>1092</v>
      </c>
      <c r="R636" s="150" t="s">
        <v>342</v>
      </c>
      <c r="S636" s="151">
        <v>44210</v>
      </c>
      <c r="T636" s="151">
        <v>44264</v>
      </c>
      <c r="U636" s="152"/>
      <c r="V636" s="150" t="s">
        <v>330</v>
      </c>
      <c r="W636" s="151"/>
      <c r="X636" s="150" t="s">
        <v>331</v>
      </c>
      <c r="Y636" s="150" t="s">
        <v>343</v>
      </c>
      <c r="Z636" s="150" t="s">
        <v>343</v>
      </c>
      <c r="AA636" s="150" t="s">
        <v>334</v>
      </c>
      <c r="AB636" s="153">
        <v>0.79500000000000004</v>
      </c>
      <c r="AC636" s="151"/>
      <c r="AD636" s="150"/>
      <c r="AE636" s="151"/>
      <c r="AF636" s="150" t="s">
        <v>70</v>
      </c>
      <c r="AG636" s="152" t="s">
        <v>352</v>
      </c>
      <c r="AH636" s="150" t="s">
        <v>1093</v>
      </c>
      <c r="AI636" s="99"/>
      <c r="AJ636" s="149"/>
      <c r="AK636" s="99"/>
      <c r="AL636" s="149"/>
      <c r="AM636" s="99"/>
      <c r="AN636" s="149">
        <v>20</v>
      </c>
      <c r="AO636" s="149">
        <v>390</v>
      </c>
      <c r="AP636" s="149">
        <v>307</v>
      </c>
      <c r="AQ636" s="149">
        <v>129</v>
      </c>
      <c r="AR636" s="149">
        <v>11</v>
      </c>
      <c r="AS636" s="149">
        <v>26</v>
      </c>
      <c r="AT636" s="149">
        <v>0</v>
      </c>
      <c r="AU636" s="149">
        <v>20</v>
      </c>
      <c r="AV636" s="149">
        <v>390</v>
      </c>
      <c r="AW636" s="149">
        <v>307</v>
      </c>
      <c r="AX636" s="149">
        <v>129</v>
      </c>
      <c r="AY636" s="149">
        <v>11</v>
      </c>
      <c r="AZ636" s="149">
        <v>26</v>
      </c>
      <c r="BA636" s="149">
        <v>0</v>
      </c>
      <c r="BB636" s="149">
        <v>0</v>
      </c>
      <c r="BC636" s="149">
        <v>0</v>
      </c>
      <c r="BD636" s="149">
        <v>0</v>
      </c>
      <c r="BE636" s="149">
        <v>0</v>
      </c>
      <c r="BF636" s="149">
        <v>0</v>
      </c>
      <c r="BG636" s="149">
        <v>0</v>
      </c>
      <c r="BH636" s="149">
        <v>0</v>
      </c>
      <c r="BI636" s="149">
        <v>0</v>
      </c>
      <c r="BJ636" s="149">
        <v>0</v>
      </c>
      <c r="BK636" s="149">
        <v>0</v>
      </c>
      <c r="BL636" s="149">
        <v>0</v>
      </c>
      <c r="BM636" s="149">
        <v>0</v>
      </c>
      <c r="BN636" s="149">
        <v>0</v>
      </c>
      <c r="BO636" s="149">
        <v>0</v>
      </c>
      <c r="BP636" s="152"/>
      <c r="BQ636" s="152" t="s">
        <v>327</v>
      </c>
      <c r="BR636" s="154" t="s">
        <v>149</v>
      </c>
      <c r="BS636" s="136">
        <v>10</v>
      </c>
      <c r="BT636" s="267"/>
      <c r="BU636" s="267"/>
      <c r="BV636" s="267"/>
      <c r="BW636" s="267"/>
      <c r="BX636" s="267">
        <f>M636/3</f>
        <v>294.33333333333331</v>
      </c>
      <c r="BY636" s="267">
        <f>M636/3</f>
        <v>294.33333333333331</v>
      </c>
      <c r="BZ636" s="267">
        <f>M636/3</f>
        <v>294.33333333333331</v>
      </c>
      <c r="CA636" s="267"/>
      <c r="CB636" s="267"/>
      <c r="CC636" s="267"/>
      <c r="CD636" s="267"/>
      <c r="CE636" s="267"/>
      <c r="CF636" s="267"/>
      <c r="CG636" s="267"/>
      <c r="CH636" s="267"/>
      <c r="CI636" s="267"/>
      <c r="CJ636" s="267"/>
      <c r="CK636" s="267"/>
      <c r="CL636" s="267"/>
      <c r="CM636" s="267"/>
      <c r="CN636" s="101">
        <f t="shared" si="68"/>
        <v>588.66666666666663</v>
      </c>
      <c r="CO636" s="101">
        <f t="shared" si="69"/>
        <v>883</v>
      </c>
    </row>
    <row r="637" spans="1:93" ht="13.9" customHeight="1" x14ac:dyDescent="0.2">
      <c r="A637" s="149">
        <v>6612</v>
      </c>
      <c r="B637" s="150" t="s">
        <v>1216</v>
      </c>
      <c r="C637" s="150" t="s">
        <v>1820</v>
      </c>
      <c r="D637" s="150" t="s">
        <v>1821</v>
      </c>
      <c r="E637" s="150" t="s">
        <v>326</v>
      </c>
      <c r="F637" s="149">
        <v>524304</v>
      </c>
      <c r="G637" s="149">
        <v>174961</v>
      </c>
      <c r="H637" s="150" t="s">
        <v>161</v>
      </c>
      <c r="I637" s="151"/>
      <c r="J637" s="151"/>
      <c r="K637" s="149">
        <v>1</v>
      </c>
      <c r="L637" s="149">
        <v>2</v>
      </c>
      <c r="M637" s="149">
        <v>1</v>
      </c>
      <c r="N637" s="149">
        <v>2</v>
      </c>
      <c r="O637" s="149">
        <v>1</v>
      </c>
      <c r="P637" s="152"/>
      <c r="Q637" s="150" t="s">
        <v>1822</v>
      </c>
      <c r="R637" s="150" t="s">
        <v>349</v>
      </c>
      <c r="S637" s="151">
        <v>44221</v>
      </c>
      <c r="T637" s="151">
        <v>44277</v>
      </c>
      <c r="U637" s="152"/>
      <c r="V637" s="150" t="s">
        <v>330</v>
      </c>
      <c r="W637" s="151"/>
      <c r="X637" s="150" t="s">
        <v>331</v>
      </c>
      <c r="Y637" s="150" t="s">
        <v>350</v>
      </c>
      <c r="Z637" s="150" t="s">
        <v>334</v>
      </c>
      <c r="AA637" s="150" t="s">
        <v>399</v>
      </c>
      <c r="AB637" s="153">
        <v>1.0999999999999999E-2</v>
      </c>
      <c r="AC637" s="151"/>
      <c r="AD637" s="150"/>
      <c r="AE637" s="151"/>
      <c r="AF637" s="150" t="s">
        <v>70</v>
      </c>
      <c r="AG637" s="152" t="s">
        <v>352</v>
      </c>
      <c r="AH637" s="150" t="s">
        <v>326</v>
      </c>
      <c r="AI637" s="99"/>
      <c r="AJ637" s="149"/>
      <c r="AK637" s="99"/>
      <c r="AL637" s="149"/>
      <c r="AM637" s="99"/>
      <c r="AN637" s="149">
        <v>0</v>
      </c>
      <c r="AO637" s="149">
        <v>1</v>
      </c>
      <c r="AP637" s="149">
        <v>1</v>
      </c>
      <c r="AQ637" s="149">
        <v>0</v>
      </c>
      <c r="AR637" s="149">
        <v>-1</v>
      </c>
      <c r="AS637" s="149">
        <v>0</v>
      </c>
      <c r="AT637" s="149">
        <v>0</v>
      </c>
      <c r="AU637" s="149">
        <v>0</v>
      </c>
      <c r="AV637" s="149">
        <v>1</v>
      </c>
      <c r="AW637" s="149">
        <v>1</v>
      </c>
      <c r="AX637" s="149">
        <v>0</v>
      </c>
      <c r="AY637" s="149">
        <v>-1</v>
      </c>
      <c r="AZ637" s="149">
        <v>0</v>
      </c>
      <c r="BA637" s="149">
        <v>0</v>
      </c>
      <c r="BB637" s="149">
        <v>0</v>
      </c>
      <c r="BC637" s="149">
        <v>0</v>
      </c>
      <c r="BD637" s="149">
        <v>0</v>
      </c>
      <c r="BE637" s="149">
        <v>0</v>
      </c>
      <c r="BF637" s="149">
        <v>0</v>
      </c>
      <c r="BG637" s="149">
        <v>0</v>
      </c>
      <c r="BH637" s="149">
        <v>0</v>
      </c>
      <c r="BI637" s="149">
        <v>0</v>
      </c>
      <c r="BJ637" s="149">
        <v>0</v>
      </c>
      <c r="BK637" s="149">
        <v>0</v>
      </c>
      <c r="BL637" s="149">
        <v>0</v>
      </c>
      <c r="BM637" s="149">
        <v>0</v>
      </c>
      <c r="BN637" s="149">
        <v>0</v>
      </c>
      <c r="BO637" s="149">
        <v>0</v>
      </c>
      <c r="BP637" s="152" t="s">
        <v>141</v>
      </c>
      <c r="BQ637" s="152"/>
      <c r="BR637" s="154" t="s">
        <v>141</v>
      </c>
      <c r="BS637" s="136">
        <v>15</v>
      </c>
      <c r="BT637" s="267"/>
      <c r="BU637" s="267">
        <f>M637/4</f>
        <v>0.25</v>
      </c>
      <c r="BV637" s="267">
        <f t="shared" ref="BV637:BV650" si="70">M637/4</f>
        <v>0.25</v>
      </c>
      <c r="BW637" s="267">
        <f t="shared" ref="BW637:BW650" si="71">M637/4</f>
        <v>0.25</v>
      </c>
      <c r="BX637" s="267">
        <f t="shared" ref="BX637:BX650" si="72">M637/4</f>
        <v>0.25</v>
      </c>
      <c r="BY637" s="267"/>
      <c r="BZ637" s="267"/>
      <c r="CA637" s="267"/>
      <c r="CB637" s="267"/>
      <c r="CC637" s="267"/>
      <c r="CD637" s="267"/>
      <c r="CE637" s="267"/>
      <c r="CF637" s="267"/>
      <c r="CG637" s="267"/>
      <c r="CH637" s="267"/>
      <c r="CI637" s="267"/>
      <c r="CJ637" s="267"/>
      <c r="CK637" s="267"/>
      <c r="CL637" s="267"/>
      <c r="CM637" s="267"/>
      <c r="CN637" s="101">
        <f t="shared" si="68"/>
        <v>1</v>
      </c>
      <c r="CO637" s="101">
        <f t="shared" si="69"/>
        <v>1</v>
      </c>
    </row>
    <row r="638" spans="1:93" ht="13.9" customHeight="1" x14ac:dyDescent="0.2">
      <c r="A638" s="149">
        <v>4326</v>
      </c>
      <c r="B638" s="150" t="s">
        <v>1216</v>
      </c>
      <c r="C638" s="150" t="s">
        <v>1823</v>
      </c>
      <c r="D638" s="150" t="s">
        <v>1824</v>
      </c>
      <c r="E638" s="150" t="s">
        <v>326</v>
      </c>
      <c r="F638" s="149">
        <v>526105</v>
      </c>
      <c r="G638" s="149">
        <v>172589</v>
      </c>
      <c r="H638" s="150" t="s">
        <v>176</v>
      </c>
      <c r="I638" s="151"/>
      <c r="J638" s="151"/>
      <c r="K638" s="149">
        <v>1</v>
      </c>
      <c r="L638" s="149">
        <v>3</v>
      </c>
      <c r="M638" s="149">
        <v>2</v>
      </c>
      <c r="N638" s="149">
        <v>3</v>
      </c>
      <c r="O638" s="149">
        <v>2</v>
      </c>
      <c r="P638" s="152"/>
      <c r="Q638" s="150" t="s">
        <v>1825</v>
      </c>
      <c r="R638" s="150" t="s">
        <v>349</v>
      </c>
      <c r="S638" s="151">
        <v>44224</v>
      </c>
      <c r="T638" s="151">
        <v>44385</v>
      </c>
      <c r="U638" s="152"/>
      <c r="V638" s="150" t="s">
        <v>330</v>
      </c>
      <c r="W638" s="151"/>
      <c r="X638" s="150" t="s">
        <v>331</v>
      </c>
      <c r="Y638" s="150" t="s">
        <v>343</v>
      </c>
      <c r="Z638" s="150" t="s">
        <v>334</v>
      </c>
      <c r="AA638" s="150" t="s">
        <v>32</v>
      </c>
      <c r="AB638" s="153">
        <v>1.2999999999999999E-2</v>
      </c>
      <c r="AC638" s="151"/>
      <c r="AD638" s="150"/>
      <c r="AE638" s="151"/>
      <c r="AF638" s="150" t="s">
        <v>70</v>
      </c>
      <c r="AG638" s="152" t="s">
        <v>352</v>
      </c>
      <c r="AH638" s="150" t="s">
        <v>326</v>
      </c>
      <c r="AI638" s="99"/>
      <c r="AJ638" s="149"/>
      <c r="AK638" s="99"/>
      <c r="AL638" s="149"/>
      <c r="AM638" s="99"/>
      <c r="AN638" s="149">
        <v>0</v>
      </c>
      <c r="AO638" s="149">
        <v>0</v>
      </c>
      <c r="AP638" s="149">
        <v>2</v>
      </c>
      <c r="AQ638" s="149">
        <v>0</v>
      </c>
      <c r="AR638" s="149">
        <v>0</v>
      </c>
      <c r="AS638" s="149">
        <v>0</v>
      </c>
      <c r="AT638" s="149">
        <v>0</v>
      </c>
      <c r="AU638" s="149">
        <v>0</v>
      </c>
      <c r="AV638" s="149">
        <v>0</v>
      </c>
      <c r="AW638" s="149">
        <v>2</v>
      </c>
      <c r="AX638" s="149">
        <v>0</v>
      </c>
      <c r="AY638" s="149">
        <v>0</v>
      </c>
      <c r="AZ638" s="149">
        <v>0</v>
      </c>
      <c r="BA638" s="149">
        <v>0</v>
      </c>
      <c r="BB638" s="149">
        <v>0</v>
      </c>
      <c r="BC638" s="149">
        <v>0</v>
      </c>
      <c r="BD638" s="149">
        <v>0</v>
      </c>
      <c r="BE638" s="149">
        <v>0</v>
      </c>
      <c r="BF638" s="149">
        <v>0</v>
      </c>
      <c r="BG638" s="149">
        <v>0</v>
      </c>
      <c r="BH638" s="149">
        <v>0</v>
      </c>
      <c r="BI638" s="149">
        <v>0</v>
      </c>
      <c r="BJ638" s="149">
        <v>0</v>
      </c>
      <c r="BK638" s="149">
        <v>0</v>
      </c>
      <c r="BL638" s="149">
        <v>0</v>
      </c>
      <c r="BM638" s="149">
        <v>0</v>
      </c>
      <c r="BN638" s="149">
        <v>0</v>
      </c>
      <c r="BO638" s="149">
        <v>0</v>
      </c>
      <c r="BP638" s="152"/>
      <c r="BQ638" s="152"/>
      <c r="BR638" s="154" t="s">
        <v>151</v>
      </c>
      <c r="BS638" s="136">
        <v>7</v>
      </c>
      <c r="BT638" s="267"/>
      <c r="BU638" s="267"/>
      <c r="BV638" s="267">
        <f t="shared" si="70"/>
        <v>0.5</v>
      </c>
      <c r="BW638" s="267">
        <f t="shared" si="71"/>
        <v>0.5</v>
      </c>
      <c r="BX638" s="267">
        <f t="shared" si="72"/>
        <v>0.5</v>
      </c>
      <c r="BY638" s="267">
        <f>M638/4</f>
        <v>0.5</v>
      </c>
      <c r="BZ638" s="267"/>
      <c r="CA638" s="267"/>
      <c r="CB638" s="267"/>
      <c r="CC638" s="267"/>
      <c r="CD638" s="267"/>
      <c r="CE638" s="267"/>
      <c r="CF638" s="267"/>
      <c r="CG638" s="267"/>
      <c r="CH638" s="267"/>
      <c r="CI638" s="267"/>
      <c r="CJ638" s="267"/>
      <c r="CK638" s="267"/>
      <c r="CL638" s="267"/>
      <c r="CM638" s="267"/>
      <c r="CN638" s="101">
        <f t="shared" si="68"/>
        <v>2</v>
      </c>
      <c r="CO638" s="101">
        <f t="shared" si="69"/>
        <v>2</v>
      </c>
    </row>
    <row r="639" spans="1:93" ht="13.9" customHeight="1" x14ac:dyDescent="0.2">
      <c r="A639" s="149">
        <v>6600</v>
      </c>
      <c r="B639" s="150" t="s">
        <v>1216</v>
      </c>
      <c r="C639" s="150" t="s">
        <v>1826</v>
      </c>
      <c r="D639" s="150" t="s">
        <v>1827</v>
      </c>
      <c r="E639" s="150" t="s">
        <v>326</v>
      </c>
      <c r="F639" s="149">
        <v>525959</v>
      </c>
      <c r="G639" s="149">
        <v>174033</v>
      </c>
      <c r="H639" s="150" t="s">
        <v>175</v>
      </c>
      <c r="I639" s="151"/>
      <c r="J639" s="151"/>
      <c r="K639" s="149">
        <v>0</v>
      </c>
      <c r="L639" s="149">
        <v>2</v>
      </c>
      <c r="M639" s="149">
        <v>2</v>
      </c>
      <c r="N639" s="149">
        <v>2</v>
      </c>
      <c r="O639" s="149">
        <v>2</v>
      </c>
      <c r="P639" s="152"/>
      <c r="Q639" s="150" t="s">
        <v>1828</v>
      </c>
      <c r="R639" s="150" t="s">
        <v>407</v>
      </c>
      <c r="S639" s="151">
        <v>44222</v>
      </c>
      <c r="T639" s="151">
        <v>44280</v>
      </c>
      <c r="U639" s="152"/>
      <c r="V639" s="150" t="s">
        <v>330</v>
      </c>
      <c r="W639" s="151"/>
      <c r="X639" s="150" t="s">
        <v>331</v>
      </c>
      <c r="Y639" s="150" t="s">
        <v>332</v>
      </c>
      <c r="Z639" s="150" t="s">
        <v>334</v>
      </c>
      <c r="AA639" s="150" t="s">
        <v>26</v>
      </c>
      <c r="AB639" s="153">
        <v>6.0000000000000001E-3</v>
      </c>
      <c r="AC639" s="151"/>
      <c r="AD639" s="150"/>
      <c r="AE639" s="151"/>
      <c r="AF639" s="150" t="s">
        <v>70</v>
      </c>
      <c r="AG639" s="152" t="s">
        <v>352</v>
      </c>
      <c r="AH639" s="150" t="s">
        <v>326</v>
      </c>
      <c r="AI639" s="99"/>
      <c r="AJ639" s="149"/>
      <c r="AK639" s="99"/>
      <c r="AL639" s="149"/>
      <c r="AM639" s="99"/>
      <c r="AN639" s="149">
        <v>1</v>
      </c>
      <c r="AO639" s="149">
        <v>1</v>
      </c>
      <c r="AP639" s="149">
        <v>0</v>
      </c>
      <c r="AQ639" s="149">
        <v>0</v>
      </c>
      <c r="AR639" s="149">
        <v>0</v>
      </c>
      <c r="AS639" s="149">
        <v>0</v>
      </c>
      <c r="AT639" s="149">
        <v>0</v>
      </c>
      <c r="AU639" s="149">
        <v>1</v>
      </c>
      <c r="AV639" s="149">
        <v>1</v>
      </c>
      <c r="AW639" s="149">
        <v>0</v>
      </c>
      <c r="AX639" s="149">
        <v>0</v>
      </c>
      <c r="AY639" s="149">
        <v>0</v>
      </c>
      <c r="AZ639" s="149">
        <v>0</v>
      </c>
      <c r="BA639" s="149">
        <v>0</v>
      </c>
      <c r="BB639" s="149">
        <v>0</v>
      </c>
      <c r="BC639" s="149">
        <v>0</v>
      </c>
      <c r="BD639" s="149">
        <v>0</v>
      </c>
      <c r="BE639" s="149">
        <v>0</v>
      </c>
      <c r="BF639" s="149">
        <v>0</v>
      </c>
      <c r="BG639" s="149">
        <v>0</v>
      </c>
      <c r="BH639" s="149">
        <v>0</v>
      </c>
      <c r="BI639" s="149">
        <v>0</v>
      </c>
      <c r="BJ639" s="149">
        <v>0</v>
      </c>
      <c r="BK639" s="149">
        <v>0</v>
      </c>
      <c r="BL639" s="149">
        <v>0</v>
      </c>
      <c r="BM639" s="149">
        <v>0</v>
      </c>
      <c r="BN639" s="149">
        <v>0</v>
      </c>
      <c r="BO639" s="149">
        <v>0</v>
      </c>
      <c r="BP639" s="152"/>
      <c r="BQ639" s="152"/>
      <c r="BR639" s="154" t="s">
        <v>359</v>
      </c>
      <c r="BS639" s="136">
        <v>15</v>
      </c>
      <c r="BT639" s="267"/>
      <c r="BU639" s="267">
        <f>M639/4</f>
        <v>0.5</v>
      </c>
      <c r="BV639" s="267">
        <f t="shared" si="70"/>
        <v>0.5</v>
      </c>
      <c r="BW639" s="267">
        <f t="shared" si="71"/>
        <v>0.5</v>
      </c>
      <c r="BX639" s="267">
        <f t="shared" si="72"/>
        <v>0.5</v>
      </c>
      <c r="BY639" s="267"/>
      <c r="BZ639" s="267"/>
      <c r="CA639" s="267"/>
      <c r="CB639" s="267"/>
      <c r="CC639" s="267"/>
      <c r="CD639" s="267"/>
      <c r="CE639" s="267"/>
      <c r="CF639" s="267"/>
      <c r="CG639" s="267"/>
      <c r="CH639" s="267"/>
      <c r="CI639" s="267"/>
      <c r="CJ639" s="267"/>
      <c r="CK639" s="267"/>
      <c r="CL639" s="267"/>
      <c r="CM639" s="267"/>
      <c r="CN639" s="101">
        <f t="shared" si="68"/>
        <v>2</v>
      </c>
      <c r="CO639" s="101">
        <f t="shared" si="69"/>
        <v>2</v>
      </c>
    </row>
    <row r="640" spans="1:93" ht="13.9" customHeight="1" x14ac:dyDescent="0.2">
      <c r="A640" s="149">
        <v>5748</v>
      </c>
      <c r="B640" s="150" t="s">
        <v>1216</v>
      </c>
      <c r="C640" s="150" t="s">
        <v>1829</v>
      </c>
      <c r="D640" s="150" t="s">
        <v>1830</v>
      </c>
      <c r="E640" s="150" t="s">
        <v>326</v>
      </c>
      <c r="F640" s="149">
        <v>526622</v>
      </c>
      <c r="G640" s="149">
        <v>176212</v>
      </c>
      <c r="H640" s="150" t="s">
        <v>170</v>
      </c>
      <c r="I640" s="151"/>
      <c r="J640" s="151"/>
      <c r="K640" s="149">
        <v>0</v>
      </c>
      <c r="L640" s="149">
        <v>1</v>
      </c>
      <c r="M640" s="149">
        <v>1</v>
      </c>
      <c r="N640" s="149">
        <v>1</v>
      </c>
      <c r="O640" s="149">
        <v>1</v>
      </c>
      <c r="P640" s="152"/>
      <c r="Q640" s="150" t="s">
        <v>1831</v>
      </c>
      <c r="R640" s="150" t="s">
        <v>349</v>
      </c>
      <c r="S640" s="151">
        <v>44230</v>
      </c>
      <c r="T640" s="151">
        <v>44376</v>
      </c>
      <c r="U640" s="152"/>
      <c r="V640" s="150" t="s">
        <v>330</v>
      </c>
      <c r="W640" s="151"/>
      <c r="X640" s="150" t="s">
        <v>331</v>
      </c>
      <c r="Y640" s="150" t="s">
        <v>343</v>
      </c>
      <c r="Z640" s="150" t="s">
        <v>334</v>
      </c>
      <c r="AA640" s="150" t="s">
        <v>363</v>
      </c>
      <c r="AB640" s="153">
        <v>0.26300000000000001</v>
      </c>
      <c r="AC640" s="151"/>
      <c r="AD640" s="150"/>
      <c r="AE640" s="151"/>
      <c r="AF640" s="150" t="s">
        <v>70</v>
      </c>
      <c r="AG640" s="152" t="s">
        <v>352</v>
      </c>
      <c r="AH640" s="150" t="s">
        <v>326</v>
      </c>
      <c r="AI640" s="99"/>
      <c r="AJ640" s="149"/>
      <c r="AK640" s="99"/>
      <c r="AL640" s="149"/>
      <c r="AM640" s="99"/>
      <c r="AN640" s="149">
        <v>0</v>
      </c>
      <c r="AO640" s="149">
        <v>0</v>
      </c>
      <c r="AP640" s="149">
        <v>0</v>
      </c>
      <c r="AQ640" s="149">
        <v>1</v>
      </c>
      <c r="AR640" s="149">
        <v>0</v>
      </c>
      <c r="AS640" s="149">
        <v>0</v>
      </c>
      <c r="AT640" s="149">
        <v>0</v>
      </c>
      <c r="AU640" s="149">
        <v>0</v>
      </c>
      <c r="AV640" s="149">
        <v>0</v>
      </c>
      <c r="AW640" s="149">
        <v>0</v>
      </c>
      <c r="AX640" s="149">
        <v>0</v>
      </c>
      <c r="AY640" s="149">
        <v>0</v>
      </c>
      <c r="AZ640" s="149">
        <v>0</v>
      </c>
      <c r="BA640" s="149">
        <v>0</v>
      </c>
      <c r="BB640" s="149">
        <v>0</v>
      </c>
      <c r="BC640" s="149">
        <v>0</v>
      </c>
      <c r="BD640" s="149">
        <v>0</v>
      </c>
      <c r="BE640" s="149">
        <v>1</v>
      </c>
      <c r="BF640" s="149">
        <v>0</v>
      </c>
      <c r="BG640" s="149">
        <v>0</v>
      </c>
      <c r="BH640" s="149">
        <v>0</v>
      </c>
      <c r="BI640" s="149">
        <v>0</v>
      </c>
      <c r="BJ640" s="149">
        <v>0</v>
      </c>
      <c r="BK640" s="149">
        <v>0</v>
      </c>
      <c r="BL640" s="149">
        <v>0</v>
      </c>
      <c r="BM640" s="149">
        <v>0</v>
      </c>
      <c r="BN640" s="149">
        <v>0</v>
      </c>
      <c r="BO640" s="149">
        <v>0</v>
      </c>
      <c r="BP640" s="152"/>
      <c r="BQ640" s="152"/>
      <c r="BR640" s="154" t="s">
        <v>408</v>
      </c>
      <c r="BS640" s="136">
        <v>7</v>
      </c>
      <c r="BT640" s="267"/>
      <c r="BU640" s="267"/>
      <c r="BV640" s="267">
        <f t="shared" si="70"/>
        <v>0.25</v>
      </c>
      <c r="BW640" s="267">
        <f t="shared" si="71"/>
        <v>0.25</v>
      </c>
      <c r="BX640" s="267">
        <f t="shared" si="72"/>
        <v>0.25</v>
      </c>
      <c r="BY640" s="267">
        <f>M640/4</f>
        <v>0.25</v>
      </c>
      <c r="BZ640" s="267"/>
      <c r="CA640" s="267"/>
      <c r="CB640" s="267"/>
      <c r="CC640" s="267"/>
      <c r="CD640" s="267"/>
      <c r="CE640" s="267"/>
      <c r="CF640" s="267"/>
      <c r="CG640" s="267"/>
      <c r="CH640" s="267"/>
      <c r="CI640" s="267"/>
      <c r="CJ640" s="267"/>
      <c r="CK640" s="267"/>
      <c r="CL640" s="267"/>
      <c r="CM640" s="267"/>
      <c r="CN640" s="101">
        <f t="shared" si="68"/>
        <v>1</v>
      </c>
      <c r="CO640" s="101">
        <f t="shared" si="69"/>
        <v>1</v>
      </c>
    </row>
    <row r="641" spans="1:93" ht="13.9" customHeight="1" x14ac:dyDescent="0.2">
      <c r="A641" s="149">
        <v>6789</v>
      </c>
      <c r="B641" s="150" t="s">
        <v>1216</v>
      </c>
      <c r="C641" s="150" t="s">
        <v>1832</v>
      </c>
      <c r="D641" s="150" t="s">
        <v>1833</v>
      </c>
      <c r="E641" s="150" t="s">
        <v>326</v>
      </c>
      <c r="F641" s="149">
        <v>528385</v>
      </c>
      <c r="G641" s="149">
        <v>175721</v>
      </c>
      <c r="H641" s="150" t="s">
        <v>164</v>
      </c>
      <c r="I641" s="151"/>
      <c r="J641" s="151"/>
      <c r="K641" s="149">
        <v>0</v>
      </c>
      <c r="L641" s="149">
        <v>3</v>
      </c>
      <c r="M641" s="149">
        <v>3</v>
      </c>
      <c r="N641" s="149">
        <v>3</v>
      </c>
      <c r="O641" s="149">
        <v>3</v>
      </c>
      <c r="P641" s="152"/>
      <c r="Q641" s="150" t="s">
        <v>1834</v>
      </c>
      <c r="R641" s="150" t="s">
        <v>349</v>
      </c>
      <c r="S641" s="151">
        <v>44235</v>
      </c>
      <c r="T641" s="151">
        <v>44308</v>
      </c>
      <c r="U641" s="152"/>
      <c r="V641" s="150" t="s">
        <v>330</v>
      </c>
      <c r="W641" s="151"/>
      <c r="X641" s="150" t="s">
        <v>331</v>
      </c>
      <c r="Y641" s="150" t="s">
        <v>491</v>
      </c>
      <c r="Z641" s="150" t="s">
        <v>334</v>
      </c>
      <c r="AA641" s="150" t="s">
        <v>413</v>
      </c>
      <c r="AB641" s="153">
        <v>5.0000000000000001E-3</v>
      </c>
      <c r="AC641" s="151"/>
      <c r="AD641" s="150"/>
      <c r="AE641" s="151"/>
      <c r="AF641" s="150" t="s">
        <v>70</v>
      </c>
      <c r="AG641" s="152" t="s">
        <v>352</v>
      </c>
      <c r="AH641" s="150" t="s">
        <v>326</v>
      </c>
      <c r="AI641" s="99"/>
      <c r="AJ641" s="149"/>
      <c r="AK641" s="99"/>
      <c r="AL641" s="149"/>
      <c r="AM641" s="99"/>
      <c r="AN641" s="149">
        <v>1</v>
      </c>
      <c r="AO641" s="149">
        <v>2</v>
      </c>
      <c r="AP641" s="149">
        <v>0</v>
      </c>
      <c r="AQ641" s="149">
        <v>0</v>
      </c>
      <c r="AR641" s="149">
        <v>0</v>
      </c>
      <c r="AS641" s="149">
        <v>0</v>
      </c>
      <c r="AT641" s="149">
        <v>0</v>
      </c>
      <c r="AU641" s="149">
        <v>1</v>
      </c>
      <c r="AV641" s="149">
        <v>2</v>
      </c>
      <c r="AW641" s="149">
        <v>0</v>
      </c>
      <c r="AX641" s="149">
        <v>0</v>
      </c>
      <c r="AY641" s="149">
        <v>0</v>
      </c>
      <c r="AZ641" s="149">
        <v>0</v>
      </c>
      <c r="BA641" s="149">
        <v>0</v>
      </c>
      <c r="BB641" s="149">
        <v>0</v>
      </c>
      <c r="BC641" s="149">
        <v>0</v>
      </c>
      <c r="BD641" s="149">
        <v>0</v>
      </c>
      <c r="BE641" s="149">
        <v>0</v>
      </c>
      <c r="BF641" s="149">
        <v>0</v>
      </c>
      <c r="BG641" s="149">
        <v>0</v>
      </c>
      <c r="BH641" s="149">
        <v>0</v>
      </c>
      <c r="BI641" s="149">
        <v>0</v>
      </c>
      <c r="BJ641" s="149">
        <v>0</v>
      </c>
      <c r="BK641" s="149">
        <v>0</v>
      </c>
      <c r="BL641" s="149">
        <v>0</v>
      </c>
      <c r="BM641" s="149">
        <v>0</v>
      </c>
      <c r="BN641" s="149">
        <v>0</v>
      </c>
      <c r="BO641" s="149">
        <v>0</v>
      </c>
      <c r="BP641" s="152"/>
      <c r="BQ641" s="152"/>
      <c r="BR641" s="154" t="s">
        <v>359</v>
      </c>
      <c r="BS641" s="136">
        <v>15</v>
      </c>
      <c r="BT641" s="267"/>
      <c r="BU641" s="267">
        <f>M641/4</f>
        <v>0.75</v>
      </c>
      <c r="BV641" s="267">
        <f t="shared" si="70"/>
        <v>0.75</v>
      </c>
      <c r="BW641" s="267">
        <f t="shared" si="71"/>
        <v>0.75</v>
      </c>
      <c r="BX641" s="267">
        <f t="shared" si="72"/>
        <v>0.75</v>
      </c>
      <c r="BY641" s="267"/>
      <c r="BZ641" s="267"/>
      <c r="CA641" s="267"/>
      <c r="CB641" s="267"/>
      <c r="CC641" s="267"/>
      <c r="CD641" s="267"/>
      <c r="CE641" s="267"/>
      <c r="CF641" s="267"/>
      <c r="CG641" s="267"/>
      <c r="CH641" s="267"/>
      <c r="CI641" s="267"/>
      <c r="CJ641" s="267"/>
      <c r="CK641" s="267"/>
      <c r="CL641" s="267"/>
      <c r="CM641" s="267"/>
      <c r="CN641" s="101">
        <f t="shared" si="68"/>
        <v>3</v>
      </c>
      <c r="CO641" s="101">
        <f t="shared" si="69"/>
        <v>3</v>
      </c>
    </row>
    <row r="642" spans="1:93" ht="13.9" customHeight="1" x14ac:dyDescent="0.2">
      <c r="A642" s="149">
        <v>2032</v>
      </c>
      <c r="B642" s="150" t="s">
        <v>1216</v>
      </c>
      <c r="C642" s="150" t="s">
        <v>1835</v>
      </c>
      <c r="D642" s="150" t="s">
        <v>1836</v>
      </c>
      <c r="E642" s="150" t="s">
        <v>326</v>
      </c>
      <c r="F642" s="149">
        <v>528095</v>
      </c>
      <c r="G642" s="149">
        <v>172380</v>
      </c>
      <c r="H642" s="150" t="s">
        <v>168</v>
      </c>
      <c r="I642" s="151"/>
      <c r="J642" s="151"/>
      <c r="K642" s="149">
        <v>0</v>
      </c>
      <c r="L642" s="149">
        <v>2</v>
      </c>
      <c r="M642" s="149">
        <v>2</v>
      </c>
      <c r="N642" s="149">
        <v>2</v>
      </c>
      <c r="O642" s="149">
        <v>2</v>
      </c>
      <c r="P642" s="152"/>
      <c r="Q642" s="150" t="s">
        <v>1837</v>
      </c>
      <c r="R642" s="150" t="s">
        <v>349</v>
      </c>
      <c r="S642" s="151">
        <v>44239</v>
      </c>
      <c r="T642" s="151">
        <v>44368</v>
      </c>
      <c r="U642" s="152"/>
      <c r="V642" s="150" t="s">
        <v>330</v>
      </c>
      <c r="W642" s="151"/>
      <c r="X642" s="150" t="s">
        <v>331</v>
      </c>
      <c r="Y642" s="150" t="s">
        <v>491</v>
      </c>
      <c r="Z642" s="150" t="s">
        <v>334</v>
      </c>
      <c r="AA642" s="150" t="s">
        <v>413</v>
      </c>
      <c r="AB642" s="153">
        <v>8.9999999999999993E-3</v>
      </c>
      <c r="AC642" s="151"/>
      <c r="AD642" s="150"/>
      <c r="AE642" s="151"/>
      <c r="AF642" s="150" t="s">
        <v>70</v>
      </c>
      <c r="AG642" s="152" t="s">
        <v>352</v>
      </c>
      <c r="AH642" s="150" t="s">
        <v>326</v>
      </c>
      <c r="AI642" s="99"/>
      <c r="AJ642" s="149"/>
      <c r="AK642" s="99"/>
      <c r="AL642" s="149"/>
      <c r="AM642" s="99"/>
      <c r="AN642" s="149">
        <v>0</v>
      </c>
      <c r="AO642" s="149">
        <v>0</v>
      </c>
      <c r="AP642" s="149">
        <v>2</v>
      </c>
      <c r="AQ642" s="149">
        <v>0</v>
      </c>
      <c r="AR642" s="149">
        <v>0</v>
      </c>
      <c r="AS642" s="149">
        <v>0</v>
      </c>
      <c r="AT642" s="149">
        <v>0</v>
      </c>
      <c r="AU642" s="149">
        <v>0</v>
      </c>
      <c r="AV642" s="149">
        <v>0</v>
      </c>
      <c r="AW642" s="149">
        <v>2</v>
      </c>
      <c r="AX642" s="149">
        <v>0</v>
      </c>
      <c r="AY642" s="149">
        <v>0</v>
      </c>
      <c r="AZ642" s="149">
        <v>0</v>
      </c>
      <c r="BA642" s="149">
        <v>0</v>
      </c>
      <c r="BB642" s="149">
        <v>0</v>
      </c>
      <c r="BC642" s="149">
        <v>0</v>
      </c>
      <c r="BD642" s="149">
        <v>0</v>
      </c>
      <c r="BE642" s="149">
        <v>0</v>
      </c>
      <c r="BF642" s="149">
        <v>0</v>
      </c>
      <c r="BG642" s="149">
        <v>0</v>
      </c>
      <c r="BH642" s="149">
        <v>0</v>
      </c>
      <c r="BI642" s="149">
        <v>0</v>
      </c>
      <c r="BJ642" s="149">
        <v>0</v>
      </c>
      <c r="BK642" s="149">
        <v>0</v>
      </c>
      <c r="BL642" s="149">
        <v>0</v>
      </c>
      <c r="BM642" s="149">
        <v>0</v>
      </c>
      <c r="BN642" s="149">
        <v>0</v>
      </c>
      <c r="BO642" s="149">
        <v>0</v>
      </c>
      <c r="BP642" s="152"/>
      <c r="BQ642" s="152"/>
      <c r="BR642" s="154" t="s">
        <v>359</v>
      </c>
      <c r="BS642" s="136">
        <v>15</v>
      </c>
      <c r="BT642" s="267"/>
      <c r="BU642" s="267">
        <f>M642/4</f>
        <v>0.5</v>
      </c>
      <c r="BV642" s="267">
        <f t="shared" si="70"/>
        <v>0.5</v>
      </c>
      <c r="BW642" s="267">
        <f t="shared" si="71"/>
        <v>0.5</v>
      </c>
      <c r="BX642" s="267">
        <f t="shared" si="72"/>
        <v>0.5</v>
      </c>
      <c r="BY642" s="267"/>
      <c r="BZ642" s="267"/>
      <c r="CA642" s="267"/>
      <c r="CB642" s="267"/>
      <c r="CC642" s="267"/>
      <c r="CD642" s="267"/>
      <c r="CE642" s="267"/>
      <c r="CF642" s="267"/>
      <c r="CG642" s="267"/>
      <c r="CH642" s="267"/>
      <c r="CI642" s="267"/>
      <c r="CJ642" s="267"/>
      <c r="CK642" s="267"/>
      <c r="CL642" s="267"/>
      <c r="CM642" s="267"/>
      <c r="CN642" s="101">
        <f t="shared" si="68"/>
        <v>2</v>
      </c>
      <c r="CO642" s="101">
        <f t="shared" si="69"/>
        <v>2</v>
      </c>
    </row>
    <row r="643" spans="1:93" ht="13.9" customHeight="1" x14ac:dyDescent="0.2">
      <c r="A643" s="149">
        <v>7511</v>
      </c>
      <c r="B643" s="150" t="s">
        <v>1216</v>
      </c>
      <c r="C643" s="150" t="s">
        <v>1838</v>
      </c>
      <c r="D643" s="150" t="s">
        <v>1839</v>
      </c>
      <c r="E643" s="150" t="s">
        <v>326</v>
      </c>
      <c r="F643" s="149">
        <v>522721</v>
      </c>
      <c r="G643" s="149">
        <v>175237</v>
      </c>
      <c r="H643" s="150" t="s">
        <v>179</v>
      </c>
      <c r="I643" s="151"/>
      <c r="J643" s="151"/>
      <c r="K643" s="149">
        <v>0</v>
      </c>
      <c r="L643" s="149">
        <v>1</v>
      </c>
      <c r="M643" s="149">
        <v>1</v>
      </c>
      <c r="N643" s="149">
        <v>1</v>
      </c>
      <c r="O643" s="149">
        <v>1</v>
      </c>
      <c r="P643" s="152"/>
      <c r="Q643" s="150" t="s">
        <v>1840</v>
      </c>
      <c r="R643" s="150" t="s">
        <v>349</v>
      </c>
      <c r="S643" s="151">
        <v>44239</v>
      </c>
      <c r="T643" s="151">
        <v>44391</v>
      </c>
      <c r="U643" s="152"/>
      <c r="V643" s="150" t="s">
        <v>330</v>
      </c>
      <c r="W643" s="151"/>
      <c r="X643" s="150" t="s">
        <v>331</v>
      </c>
      <c r="Y643" s="150" t="s">
        <v>343</v>
      </c>
      <c r="Z643" s="150" t="s">
        <v>334</v>
      </c>
      <c r="AA643" s="150" t="s">
        <v>363</v>
      </c>
      <c r="AB643" s="153">
        <v>5.3350000000000003E-3</v>
      </c>
      <c r="AC643" s="151"/>
      <c r="AD643" s="150"/>
      <c r="AE643" s="151"/>
      <c r="AF643" s="150" t="s">
        <v>70</v>
      </c>
      <c r="AG643" s="152" t="s">
        <v>352</v>
      </c>
      <c r="AH643" s="150" t="s">
        <v>326</v>
      </c>
      <c r="AI643" s="99"/>
      <c r="AJ643" s="149"/>
      <c r="AK643" s="99"/>
      <c r="AL643" s="149"/>
      <c r="AM643" s="99"/>
      <c r="AN643" s="149">
        <v>0</v>
      </c>
      <c r="AO643" s="149">
        <v>0</v>
      </c>
      <c r="AP643" s="149">
        <v>1</v>
      </c>
      <c r="AQ643" s="149">
        <v>0</v>
      </c>
      <c r="AR643" s="149">
        <v>0</v>
      </c>
      <c r="AS643" s="149">
        <v>0</v>
      </c>
      <c r="AT643" s="149">
        <v>0</v>
      </c>
      <c r="AU643" s="149">
        <v>0</v>
      </c>
      <c r="AV643" s="149">
        <v>0</v>
      </c>
      <c r="AW643" s="149">
        <v>0</v>
      </c>
      <c r="AX643" s="149">
        <v>0</v>
      </c>
      <c r="AY643" s="149">
        <v>0</v>
      </c>
      <c r="AZ643" s="149">
        <v>0</v>
      </c>
      <c r="BA643" s="149">
        <v>0</v>
      </c>
      <c r="BB643" s="149">
        <v>0</v>
      </c>
      <c r="BC643" s="149">
        <v>0</v>
      </c>
      <c r="BD643" s="149">
        <v>1</v>
      </c>
      <c r="BE643" s="149">
        <v>0</v>
      </c>
      <c r="BF643" s="149">
        <v>0</v>
      </c>
      <c r="BG643" s="149">
        <v>0</v>
      </c>
      <c r="BH643" s="149">
        <v>0</v>
      </c>
      <c r="BI643" s="149">
        <v>0</v>
      </c>
      <c r="BJ643" s="149">
        <v>0</v>
      </c>
      <c r="BK643" s="149">
        <v>0</v>
      </c>
      <c r="BL643" s="149">
        <v>0</v>
      </c>
      <c r="BM643" s="149">
        <v>0</v>
      </c>
      <c r="BN643" s="149">
        <v>0</v>
      </c>
      <c r="BO643" s="149">
        <v>0</v>
      </c>
      <c r="BP643" s="152"/>
      <c r="BQ643" s="152"/>
      <c r="BR643" s="154" t="s">
        <v>359</v>
      </c>
      <c r="BS643" s="136">
        <v>7</v>
      </c>
      <c r="BT643" s="267"/>
      <c r="BU643" s="267"/>
      <c r="BV643" s="267">
        <f t="shared" si="70"/>
        <v>0.25</v>
      </c>
      <c r="BW643" s="267">
        <f t="shared" si="71"/>
        <v>0.25</v>
      </c>
      <c r="BX643" s="267">
        <f t="shared" si="72"/>
        <v>0.25</v>
      </c>
      <c r="BY643" s="267">
        <f>M643/4</f>
        <v>0.25</v>
      </c>
      <c r="BZ643" s="267"/>
      <c r="CA643" s="267"/>
      <c r="CB643" s="267"/>
      <c r="CC643" s="267"/>
      <c r="CD643" s="267"/>
      <c r="CE643" s="267"/>
      <c r="CF643" s="267"/>
      <c r="CG643" s="267"/>
      <c r="CH643" s="267"/>
      <c r="CI643" s="267"/>
      <c r="CJ643" s="267"/>
      <c r="CK643" s="267"/>
      <c r="CL643" s="267"/>
      <c r="CM643" s="267"/>
      <c r="CN643" s="101">
        <f t="shared" si="68"/>
        <v>1</v>
      </c>
      <c r="CO643" s="101">
        <f t="shared" si="69"/>
        <v>1</v>
      </c>
    </row>
    <row r="644" spans="1:93" ht="13.9" customHeight="1" x14ac:dyDescent="0.2">
      <c r="A644" s="149">
        <v>6499</v>
      </c>
      <c r="B644" s="150" t="s">
        <v>1216</v>
      </c>
      <c r="C644" s="150" t="s">
        <v>1841</v>
      </c>
      <c r="D644" s="150" t="s">
        <v>1842</v>
      </c>
      <c r="E644" s="150" t="s">
        <v>326</v>
      </c>
      <c r="F644" s="149">
        <v>529152</v>
      </c>
      <c r="G644" s="149">
        <v>176426</v>
      </c>
      <c r="H644" s="150" t="s">
        <v>167</v>
      </c>
      <c r="I644" s="151"/>
      <c r="J644" s="151"/>
      <c r="K644" s="149">
        <v>2</v>
      </c>
      <c r="L644" s="149">
        <v>1</v>
      </c>
      <c r="M644" s="149">
        <v>-1</v>
      </c>
      <c r="N644" s="149">
        <v>1</v>
      </c>
      <c r="O644" s="149">
        <v>-1</v>
      </c>
      <c r="P644" s="152"/>
      <c r="Q644" s="150" t="s">
        <v>1843</v>
      </c>
      <c r="R644" s="150" t="s">
        <v>1844</v>
      </c>
      <c r="S644" s="151">
        <v>44302</v>
      </c>
      <c r="T644" s="151">
        <v>44432</v>
      </c>
      <c r="U644" s="152"/>
      <c r="V644" s="150" t="s">
        <v>330</v>
      </c>
      <c r="W644" s="151"/>
      <c r="X644" s="150" t="s">
        <v>331</v>
      </c>
      <c r="Y644" s="150" t="s">
        <v>343</v>
      </c>
      <c r="Z644" s="150" t="s">
        <v>334</v>
      </c>
      <c r="AA644" s="150" t="s">
        <v>363</v>
      </c>
      <c r="AB644" s="153">
        <v>2E-3</v>
      </c>
      <c r="AC644" s="151"/>
      <c r="AD644" s="150"/>
      <c r="AE644" s="151"/>
      <c r="AF644" s="150" t="s">
        <v>70</v>
      </c>
      <c r="AG644" s="152" t="s">
        <v>352</v>
      </c>
      <c r="AH644" s="150" t="s">
        <v>326</v>
      </c>
      <c r="AI644" s="99"/>
      <c r="AJ644" s="149"/>
      <c r="AK644" s="99"/>
      <c r="AL644" s="149"/>
      <c r="AM644" s="99"/>
      <c r="AN644" s="149">
        <v>-1</v>
      </c>
      <c r="AO644" s="149">
        <v>-1</v>
      </c>
      <c r="AP644" s="149">
        <v>0</v>
      </c>
      <c r="AQ644" s="149">
        <v>1</v>
      </c>
      <c r="AR644" s="149">
        <v>0</v>
      </c>
      <c r="AS644" s="149">
        <v>0</v>
      </c>
      <c r="AT644" s="149">
        <v>0</v>
      </c>
      <c r="AU644" s="149">
        <v>-1</v>
      </c>
      <c r="AV644" s="149">
        <v>-1</v>
      </c>
      <c r="AW644" s="149">
        <v>0</v>
      </c>
      <c r="AX644" s="149">
        <v>1</v>
      </c>
      <c r="AY644" s="149">
        <v>0</v>
      </c>
      <c r="AZ644" s="149">
        <v>0</v>
      </c>
      <c r="BA644" s="149">
        <v>0</v>
      </c>
      <c r="BB644" s="149">
        <v>0</v>
      </c>
      <c r="BC644" s="149">
        <v>0</v>
      </c>
      <c r="BD644" s="149">
        <v>0</v>
      </c>
      <c r="BE644" s="149">
        <v>0</v>
      </c>
      <c r="BF644" s="149">
        <v>0</v>
      </c>
      <c r="BG644" s="149">
        <v>0</v>
      </c>
      <c r="BH644" s="149">
        <v>0</v>
      </c>
      <c r="BI644" s="149">
        <v>0</v>
      </c>
      <c r="BJ644" s="149">
        <v>0</v>
      </c>
      <c r="BK644" s="149">
        <v>0</v>
      </c>
      <c r="BL644" s="149">
        <v>0</v>
      </c>
      <c r="BM644" s="149">
        <v>0</v>
      </c>
      <c r="BN644" s="149">
        <v>0</v>
      </c>
      <c r="BO644" s="149">
        <v>0</v>
      </c>
      <c r="BP644" s="152"/>
      <c r="BQ644" s="152" t="s">
        <v>327</v>
      </c>
      <c r="BR644" s="154" t="s">
        <v>149</v>
      </c>
      <c r="BS644" s="136">
        <v>7</v>
      </c>
      <c r="BT644" s="267"/>
      <c r="BU644" s="267"/>
      <c r="BV644" s="267">
        <f t="shared" si="70"/>
        <v>-0.25</v>
      </c>
      <c r="BW644" s="267">
        <f t="shared" si="71"/>
        <v>-0.25</v>
      </c>
      <c r="BX644" s="267">
        <f t="shared" si="72"/>
        <v>-0.25</v>
      </c>
      <c r="BY644" s="267">
        <f>M644/4</f>
        <v>-0.25</v>
      </c>
      <c r="BZ644" s="267"/>
      <c r="CA644" s="267"/>
      <c r="CB644" s="267"/>
      <c r="CC644" s="267"/>
      <c r="CD644" s="267"/>
      <c r="CE644" s="267"/>
      <c r="CF644" s="267"/>
      <c r="CG644" s="267"/>
      <c r="CH644" s="267"/>
      <c r="CI644" s="267"/>
      <c r="CJ644" s="267"/>
      <c r="CK644" s="267"/>
      <c r="CL644" s="267"/>
      <c r="CM644" s="267"/>
      <c r="CN644" s="101">
        <f t="shared" si="68"/>
        <v>-1</v>
      </c>
      <c r="CO644" s="101">
        <f t="shared" si="69"/>
        <v>-1</v>
      </c>
    </row>
    <row r="645" spans="1:93" ht="13.9" customHeight="1" x14ac:dyDescent="0.2">
      <c r="A645" s="149">
        <v>4750</v>
      </c>
      <c r="B645" s="150" t="s">
        <v>1216</v>
      </c>
      <c r="C645" s="150" t="s">
        <v>1845</v>
      </c>
      <c r="D645" s="150" t="s">
        <v>1846</v>
      </c>
      <c r="E645" s="150" t="s">
        <v>326</v>
      </c>
      <c r="F645" s="149">
        <v>525522</v>
      </c>
      <c r="G645" s="149">
        <v>174660</v>
      </c>
      <c r="H645" s="150" t="s">
        <v>177</v>
      </c>
      <c r="I645" s="151"/>
      <c r="J645" s="151"/>
      <c r="K645" s="149">
        <v>0</v>
      </c>
      <c r="L645" s="149">
        <v>6</v>
      </c>
      <c r="M645" s="149">
        <v>6</v>
      </c>
      <c r="N645" s="149">
        <v>6</v>
      </c>
      <c r="O645" s="149">
        <v>6</v>
      </c>
      <c r="P645" s="152"/>
      <c r="Q645" s="150" t="s">
        <v>1847</v>
      </c>
      <c r="R645" s="150" t="s">
        <v>349</v>
      </c>
      <c r="S645" s="151">
        <v>44253</v>
      </c>
      <c r="T645" s="151">
        <v>44404</v>
      </c>
      <c r="U645" s="152"/>
      <c r="V645" s="150" t="s">
        <v>330</v>
      </c>
      <c r="W645" s="151"/>
      <c r="X645" s="150" t="s">
        <v>331</v>
      </c>
      <c r="Y645" s="150" t="s">
        <v>398</v>
      </c>
      <c r="Z645" s="150" t="s">
        <v>334</v>
      </c>
      <c r="AA645" s="150" t="s">
        <v>32</v>
      </c>
      <c r="AB645" s="153">
        <v>2.9000000000000001E-2</v>
      </c>
      <c r="AC645" s="151"/>
      <c r="AD645" s="150"/>
      <c r="AE645" s="151"/>
      <c r="AF645" s="150" t="s">
        <v>70</v>
      </c>
      <c r="AG645" s="152" t="s">
        <v>352</v>
      </c>
      <c r="AH645" s="150" t="s">
        <v>326</v>
      </c>
      <c r="AI645" s="99"/>
      <c r="AJ645" s="149"/>
      <c r="AK645" s="99"/>
      <c r="AL645" s="149"/>
      <c r="AM645" s="99"/>
      <c r="AN645" s="149">
        <v>1</v>
      </c>
      <c r="AO645" s="149">
        <v>1</v>
      </c>
      <c r="AP645" s="149">
        <v>4</v>
      </c>
      <c r="AQ645" s="149">
        <v>0</v>
      </c>
      <c r="AR645" s="149">
        <v>0</v>
      </c>
      <c r="AS645" s="149">
        <v>0</v>
      </c>
      <c r="AT645" s="149">
        <v>0</v>
      </c>
      <c r="AU645" s="149">
        <v>1</v>
      </c>
      <c r="AV645" s="149">
        <v>1</v>
      </c>
      <c r="AW645" s="149">
        <v>4</v>
      </c>
      <c r="AX645" s="149">
        <v>0</v>
      </c>
      <c r="AY645" s="149">
        <v>0</v>
      </c>
      <c r="AZ645" s="149">
        <v>0</v>
      </c>
      <c r="BA645" s="149">
        <v>0</v>
      </c>
      <c r="BB645" s="149">
        <v>0</v>
      </c>
      <c r="BC645" s="149">
        <v>0</v>
      </c>
      <c r="BD645" s="149">
        <v>0</v>
      </c>
      <c r="BE645" s="149">
        <v>0</v>
      </c>
      <c r="BF645" s="149">
        <v>0</v>
      </c>
      <c r="BG645" s="149">
        <v>0</v>
      </c>
      <c r="BH645" s="149">
        <v>0</v>
      </c>
      <c r="BI645" s="149">
        <v>0</v>
      </c>
      <c r="BJ645" s="149">
        <v>0</v>
      </c>
      <c r="BK645" s="149">
        <v>0</v>
      </c>
      <c r="BL645" s="149">
        <v>0</v>
      </c>
      <c r="BM645" s="149">
        <v>0</v>
      </c>
      <c r="BN645" s="149">
        <v>0</v>
      </c>
      <c r="BO645" s="149">
        <v>0</v>
      </c>
      <c r="BP645" s="152" t="s">
        <v>143</v>
      </c>
      <c r="BQ645" s="152"/>
      <c r="BR645" s="154" t="s">
        <v>463</v>
      </c>
      <c r="BS645" s="136">
        <v>18</v>
      </c>
      <c r="BT645" s="267"/>
      <c r="BU645" s="267">
        <f>M645/4</f>
        <v>1.5</v>
      </c>
      <c r="BV645" s="267">
        <f t="shared" si="70"/>
        <v>1.5</v>
      </c>
      <c r="BW645" s="267">
        <f t="shared" si="71"/>
        <v>1.5</v>
      </c>
      <c r="BX645" s="267">
        <f t="shared" si="72"/>
        <v>1.5</v>
      </c>
      <c r="BY645" s="267"/>
      <c r="BZ645" s="267"/>
      <c r="CA645" s="267"/>
      <c r="CB645" s="267"/>
      <c r="CC645" s="267"/>
      <c r="CD645" s="267"/>
      <c r="CE645" s="267"/>
      <c r="CF645" s="267"/>
      <c r="CG645" s="267"/>
      <c r="CH645" s="267"/>
      <c r="CI645" s="267"/>
      <c r="CJ645" s="267"/>
      <c r="CK645" s="267"/>
      <c r="CL645" s="267"/>
      <c r="CM645" s="267"/>
      <c r="CN645" s="101">
        <f t="shared" si="68"/>
        <v>6</v>
      </c>
      <c r="CO645" s="101">
        <f t="shared" si="69"/>
        <v>6</v>
      </c>
    </row>
    <row r="646" spans="1:93" ht="13.9" customHeight="1" x14ac:dyDescent="0.2">
      <c r="A646" s="149">
        <v>7518</v>
      </c>
      <c r="B646" s="150" t="s">
        <v>1216</v>
      </c>
      <c r="C646" s="150" t="s">
        <v>1848</v>
      </c>
      <c r="D646" s="150" t="s">
        <v>1849</v>
      </c>
      <c r="E646" s="150" t="s">
        <v>326</v>
      </c>
      <c r="F646" s="149">
        <v>527807</v>
      </c>
      <c r="G646" s="149">
        <v>175455</v>
      </c>
      <c r="H646" s="150" t="s">
        <v>164</v>
      </c>
      <c r="I646" s="151"/>
      <c r="J646" s="151"/>
      <c r="K646" s="149">
        <v>1</v>
      </c>
      <c r="L646" s="149">
        <v>0</v>
      </c>
      <c r="M646" s="149">
        <v>-1</v>
      </c>
      <c r="N646" s="149">
        <v>0</v>
      </c>
      <c r="O646" s="149">
        <v>-1</v>
      </c>
      <c r="P646" s="152"/>
      <c r="Q646" s="150" t="s">
        <v>1850</v>
      </c>
      <c r="R646" s="150" t="s">
        <v>349</v>
      </c>
      <c r="S646" s="151">
        <v>44273</v>
      </c>
      <c r="T646" s="151">
        <v>44739</v>
      </c>
      <c r="U646" s="152"/>
      <c r="V646" s="150" t="s">
        <v>330</v>
      </c>
      <c r="W646" s="151"/>
      <c r="X646" s="150" t="s">
        <v>331</v>
      </c>
      <c r="Y646" s="150" t="s">
        <v>332</v>
      </c>
      <c r="Z646" s="150" t="s">
        <v>334</v>
      </c>
      <c r="AA646" s="150" t="s">
        <v>1851</v>
      </c>
      <c r="AB646" s="153">
        <v>0</v>
      </c>
      <c r="AC646" s="151"/>
      <c r="AD646" s="150"/>
      <c r="AE646" s="151"/>
      <c r="AF646" s="150" t="s">
        <v>70</v>
      </c>
      <c r="AG646" s="152" t="s">
        <v>337</v>
      </c>
      <c r="AH646" s="150" t="s">
        <v>326</v>
      </c>
      <c r="AI646" s="99"/>
      <c r="AJ646" s="149"/>
      <c r="AK646" s="99"/>
      <c r="AL646" s="149"/>
      <c r="AM646" s="99"/>
      <c r="AN646" s="149">
        <v>0</v>
      </c>
      <c r="AO646" s="149">
        <v>0</v>
      </c>
      <c r="AP646" s="149">
        <v>0</v>
      </c>
      <c r="AQ646" s="149">
        <v>0</v>
      </c>
      <c r="AR646" s="149">
        <v>0</v>
      </c>
      <c r="AS646" s="149">
        <v>-1</v>
      </c>
      <c r="AT646" s="149">
        <v>0</v>
      </c>
      <c r="AU646" s="149">
        <v>0</v>
      </c>
      <c r="AV646" s="149">
        <v>0</v>
      </c>
      <c r="AW646" s="149">
        <v>0</v>
      </c>
      <c r="AX646" s="149">
        <v>0</v>
      </c>
      <c r="AY646" s="149">
        <v>0</v>
      </c>
      <c r="AZ646" s="149">
        <v>0</v>
      </c>
      <c r="BA646" s="149">
        <v>0</v>
      </c>
      <c r="BB646" s="149">
        <v>0</v>
      </c>
      <c r="BC646" s="149">
        <v>0</v>
      </c>
      <c r="BD646" s="149">
        <v>0</v>
      </c>
      <c r="BE646" s="149">
        <v>0</v>
      </c>
      <c r="BF646" s="149">
        <v>0</v>
      </c>
      <c r="BG646" s="149">
        <v>-1</v>
      </c>
      <c r="BH646" s="149">
        <v>0</v>
      </c>
      <c r="BI646" s="149">
        <v>0</v>
      </c>
      <c r="BJ646" s="149">
        <v>0</v>
      </c>
      <c r="BK646" s="149">
        <v>0</v>
      </c>
      <c r="BL646" s="149">
        <v>0</v>
      </c>
      <c r="BM646" s="149">
        <v>0</v>
      </c>
      <c r="BN646" s="149">
        <v>0</v>
      </c>
      <c r="BO646" s="149">
        <v>0</v>
      </c>
      <c r="BP646" s="152"/>
      <c r="BQ646" s="152"/>
      <c r="BR646" s="154" t="s">
        <v>148</v>
      </c>
      <c r="BS646" s="136">
        <v>15</v>
      </c>
      <c r="BT646" s="267"/>
      <c r="BU646" s="267">
        <f>M646/4</f>
        <v>-0.25</v>
      </c>
      <c r="BV646" s="267">
        <f t="shared" si="70"/>
        <v>-0.25</v>
      </c>
      <c r="BW646" s="267">
        <f t="shared" si="71"/>
        <v>-0.25</v>
      </c>
      <c r="BX646" s="267">
        <f t="shared" si="72"/>
        <v>-0.25</v>
      </c>
      <c r="BY646" s="267"/>
      <c r="BZ646" s="267"/>
      <c r="CA646" s="267"/>
      <c r="CB646" s="267"/>
      <c r="CC646" s="267"/>
      <c r="CD646" s="267"/>
      <c r="CE646" s="267"/>
      <c r="CF646" s="267"/>
      <c r="CG646" s="267"/>
      <c r="CH646" s="267"/>
      <c r="CI646" s="267"/>
      <c r="CJ646" s="267"/>
      <c r="CK646" s="267"/>
      <c r="CL646" s="267"/>
      <c r="CM646" s="267"/>
      <c r="CN646" s="101">
        <f t="shared" si="68"/>
        <v>-1</v>
      </c>
      <c r="CO646" s="101">
        <f t="shared" si="69"/>
        <v>-1</v>
      </c>
    </row>
    <row r="647" spans="1:93" ht="13.9" customHeight="1" x14ac:dyDescent="0.2">
      <c r="A647" s="149">
        <v>7519</v>
      </c>
      <c r="B647" s="150" t="s">
        <v>1216</v>
      </c>
      <c r="C647" s="150" t="s">
        <v>1852</v>
      </c>
      <c r="D647" s="150" t="s">
        <v>1853</v>
      </c>
      <c r="E647" s="150" t="s">
        <v>326</v>
      </c>
      <c r="F647" s="149">
        <v>527864</v>
      </c>
      <c r="G647" s="149">
        <v>175385</v>
      </c>
      <c r="H647" s="150" t="s">
        <v>164</v>
      </c>
      <c r="I647" s="151"/>
      <c r="J647" s="151"/>
      <c r="K647" s="149">
        <v>1</v>
      </c>
      <c r="L647" s="149">
        <v>0</v>
      </c>
      <c r="M647" s="149">
        <v>-1</v>
      </c>
      <c r="N647" s="149">
        <v>0</v>
      </c>
      <c r="O647" s="149">
        <v>-1</v>
      </c>
      <c r="P647" s="152"/>
      <c r="Q647" s="150" t="s">
        <v>1850</v>
      </c>
      <c r="R647" s="150" t="s">
        <v>349</v>
      </c>
      <c r="S647" s="151">
        <v>44273</v>
      </c>
      <c r="T647" s="151">
        <v>44739</v>
      </c>
      <c r="U647" s="152"/>
      <c r="V647" s="150" t="s">
        <v>330</v>
      </c>
      <c r="W647" s="151"/>
      <c r="X647" s="150" t="s">
        <v>331</v>
      </c>
      <c r="Y647" s="150" t="s">
        <v>332</v>
      </c>
      <c r="Z647" s="150" t="s">
        <v>334</v>
      </c>
      <c r="AA647" s="150" t="s">
        <v>1851</v>
      </c>
      <c r="AB647" s="153">
        <v>0</v>
      </c>
      <c r="AC647" s="151"/>
      <c r="AD647" s="150"/>
      <c r="AE647" s="151"/>
      <c r="AF647" s="150" t="s">
        <v>70</v>
      </c>
      <c r="AG647" s="152" t="s">
        <v>337</v>
      </c>
      <c r="AH647" s="150" t="s">
        <v>326</v>
      </c>
      <c r="AI647" s="99"/>
      <c r="AJ647" s="149"/>
      <c r="AK647" s="99"/>
      <c r="AL647" s="149"/>
      <c r="AM647" s="99"/>
      <c r="AN647" s="149">
        <v>0</v>
      </c>
      <c r="AO647" s="149">
        <v>0</v>
      </c>
      <c r="AP647" s="149">
        <v>0</v>
      </c>
      <c r="AQ647" s="149">
        <v>0</v>
      </c>
      <c r="AR647" s="149">
        <v>0</v>
      </c>
      <c r="AS647" s="149">
        <v>-1</v>
      </c>
      <c r="AT647" s="149">
        <v>0</v>
      </c>
      <c r="AU647" s="149">
        <v>0</v>
      </c>
      <c r="AV647" s="149">
        <v>0</v>
      </c>
      <c r="AW647" s="149">
        <v>0</v>
      </c>
      <c r="AX647" s="149">
        <v>0</v>
      </c>
      <c r="AY647" s="149">
        <v>0</v>
      </c>
      <c r="AZ647" s="149">
        <v>0</v>
      </c>
      <c r="BA647" s="149">
        <v>0</v>
      </c>
      <c r="BB647" s="149">
        <v>0</v>
      </c>
      <c r="BC647" s="149">
        <v>0</v>
      </c>
      <c r="BD647" s="149">
        <v>0</v>
      </c>
      <c r="BE647" s="149">
        <v>0</v>
      </c>
      <c r="BF647" s="149">
        <v>0</v>
      </c>
      <c r="BG647" s="149">
        <v>-1</v>
      </c>
      <c r="BH647" s="149">
        <v>0</v>
      </c>
      <c r="BI647" s="149">
        <v>0</v>
      </c>
      <c r="BJ647" s="149">
        <v>0</v>
      </c>
      <c r="BK647" s="149">
        <v>0</v>
      </c>
      <c r="BL647" s="149">
        <v>0</v>
      </c>
      <c r="BM647" s="149">
        <v>0</v>
      </c>
      <c r="BN647" s="149">
        <v>0</v>
      </c>
      <c r="BO647" s="149">
        <v>0</v>
      </c>
      <c r="BP647" s="152"/>
      <c r="BQ647" s="152"/>
      <c r="BR647" s="154" t="s">
        <v>148</v>
      </c>
      <c r="BS647" s="136">
        <v>15</v>
      </c>
      <c r="BT647" s="267"/>
      <c r="BU647" s="267">
        <f>M647/4</f>
        <v>-0.25</v>
      </c>
      <c r="BV647" s="267">
        <f t="shared" si="70"/>
        <v>-0.25</v>
      </c>
      <c r="BW647" s="267">
        <f t="shared" si="71"/>
        <v>-0.25</v>
      </c>
      <c r="BX647" s="267">
        <f t="shared" si="72"/>
        <v>-0.25</v>
      </c>
      <c r="BY647" s="267"/>
      <c r="BZ647" s="267"/>
      <c r="CA647" s="267"/>
      <c r="CB647" s="267"/>
      <c r="CC647" s="267"/>
      <c r="CD647" s="267"/>
      <c r="CE647" s="267"/>
      <c r="CF647" s="267"/>
      <c r="CG647" s="267"/>
      <c r="CH647" s="267"/>
      <c r="CI647" s="267"/>
      <c r="CJ647" s="267"/>
      <c r="CK647" s="267"/>
      <c r="CL647" s="267"/>
      <c r="CM647" s="267"/>
      <c r="CN647" s="101">
        <f t="shared" si="68"/>
        <v>-1</v>
      </c>
      <c r="CO647" s="101">
        <f t="shared" si="69"/>
        <v>-1</v>
      </c>
    </row>
    <row r="648" spans="1:93" ht="13.9" customHeight="1" x14ac:dyDescent="0.2">
      <c r="A648" s="149">
        <v>5479</v>
      </c>
      <c r="B648" s="150" t="s">
        <v>1216</v>
      </c>
      <c r="C648" s="150" t="s">
        <v>1854</v>
      </c>
      <c r="D648" s="150" t="s">
        <v>1855</v>
      </c>
      <c r="E648" s="150" t="s">
        <v>1856</v>
      </c>
      <c r="F648" s="149">
        <v>528475</v>
      </c>
      <c r="G648" s="149">
        <v>176217</v>
      </c>
      <c r="H648" s="150" t="s">
        <v>167</v>
      </c>
      <c r="I648" s="151"/>
      <c r="J648" s="151"/>
      <c r="K648" s="149">
        <v>0</v>
      </c>
      <c r="L648" s="149">
        <v>1</v>
      </c>
      <c r="M648" s="149">
        <v>1</v>
      </c>
      <c r="N648" s="149">
        <v>2</v>
      </c>
      <c r="O648" s="149">
        <v>2</v>
      </c>
      <c r="P648" s="152"/>
      <c r="Q648" s="150" t="s">
        <v>1857</v>
      </c>
      <c r="R648" s="150" t="s">
        <v>349</v>
      </c>
      <c r="S648" s="151">
        <v>44258</v>
      </c>
      <c r="T648" s="151">
        <v>44369</v>
      </c>
      <c r="U648" s="152"/>
      <c r="V648" s="150" t="s">
        <v>330</v>
      </c>
      <c r="W648" s="151"/>
      <c r="X648" s="150" t="s">
        <v>331</v>
      </c>
      <c r="Y648" s="150" t="s">
        <v>343</v>
      </c>
      <c r="Z648" s="150" t="s">
        <v>334</v>
      </c>
      <c r="AA648" s="150" t="s">
        <v>363</v>
      </c>
      <c r="AB648" s="153">
        <v>0.02</v>
      </c>
      <c r="AC648" s="151"/>
      <c r="AD648" s="150"/>
      <c r="AE648" s="151"/>
      <c r="AF648" s="150" t="s">
        <v>70</v>
      </c>
      <c r="AG648" s="152" t="s">
        <v>352</v>
      </c>
      <c r="AH648" s="150" t="s">
        <v>326</v>
      </c>
      <c r="AI648" s="99"/>
      <c r="AJ648" s="149"/>
      <c r="AK648" s="99"/>
      <c r="AL648" s="149"/>
      <c r="AM648" s="99"/>
      <c r="AN648" s="149">
        <v>0</v>
      </c>
      <c r="AO648" s="149">
        <v>0</v>
      </c>
      <c r="AP648" s="149">
        <v>0</v>
      </c>
      <c r="AQ648" s="149">
        <v>0</v>
      </c>
      <c r="AR648" s="149">
        <v>1</v>
      </c>
      <c r="AS648" s="149">
        <v>0</v>
      </c>
      <c r="AT648" s="149">
        <v>0</v>
      </c>
      <c r="AU648" s="149">
        <v>0</v>
      </c>
      <c r="AV648" s="149">
        <v>0</v>
      </c>
      <c r="AW648" s="149">
        <v>0</v>
      </c>
      <c r="AX648" s="149">
        <v>0</v>
      </c>
      <c r="AY648" s="149">
        <v>0</v>
      </c>
      <c r="AZ648" s="149">
        <v>0</v>
      </c>
      <c r="BA648" s="149">
        <v>0</v>
      </c>
      <c r="BB648" s="149">
        <v>0</v>
      </c>
      <c r="BC648" s="149">
        <v>0</v>
      </c>
      <c r="BD648" s="149">
        <v>0</v>
      </c>
      <c r="BE648" s="149">
        <v>0</v>
      </c>
      <c r="BF648" s="149">
        <v>1</v>
      </c>
      <c r="BG648" s="149">
        <v>0</v>
      </c>
      <c r="BH648" s="149">
        <v>0</v>
      </c>
      <c r="BI648" s="149">
        <v>0</v>
      </c>
      <c r="BJ648" s="149">
        <v>0</v>
      </c>
      <c r="BK648" s="149">
        <v>0</v>
      </c>
      <c r="BL648" s="149">
        <v>0</v>
      </c>
      <c r="BM648" s="149">
        <v>0</v>
      </c>
      <c r="BN648" s="149">
        <v>0</v>
      </c>
      <c r="BO648" s="149">
        <v>0</v>
      </c>
      <c r="BP648" s="152"/>
      <c r="BQ648" s="152"/>
      <c r="BR648" s="154" t="s">
        <v>359</v>
      </c>
      <c r="BS648" s="136">
        <v>7</v>
      </c>
      <c r="BT648" s="267"/>
      <c r="BU648" s="267"/>
      <c r="BV648" s="267">
        <f t="shared" si="70"/>
        <v>0.25</v>
      </c>
      <c r="BW648" s="267">
        <f t="shared" si="71"/>
        <v>0.25</v>
      </c>
      <c r="BX648" s="267">
        <f t="shared" si="72"/>
        <v>0.25</v>
      </c>
      <c r="BY648" s="267">
        <f>M648/4</f>
        <v>0.25</v>
      </c>
      <c r="BZ648" s="267"/>
      <c r="CA648" s="267"/>
      <c r="CB648" s="267"/>
      <c r="CC648" s="267"/>
      <c r="CD648" s="267"/>
      <c r="CE648" s="267"/>
      <c r="CF648" s="267"/>
      <c r="CG648" s="267"/>
      <c r="CH648" s="267"/>
      <c r="CI648" s="267"/>
      <c r="CJ648" s="267"/>
      <c r="CK648" s="267"/>
      <c r="CL648" s="267"/>
      <c r="CM648" s="267"/>
      <c r="CN648" s="101">
        <f t="shared" si="68"/>
        <v>1</v>
      </c>
      <c r="CO648" s="101">
        <f t="shared" si="69"/>
        <v>1</v>
      </c>
    </row>
    <row r="649" spans="1:93" ht="13.9" customHeight="1" x14ac:dyDescent="0.2">
      <c r="A649" s="149">
        <v>5479</v>
      </c>
      <c r="B649" s="150" t="s">
        <v>1216</v>
      </c>
      <c r="C649" s="150" t="s">
        <v>1854</v>
      </c>
      <c r="D649" s="150" t="s">
        <v>1855</v>
      </c>
      <c r="E649" s="150" t="s">
        <v>1858</v>
      </c>
      <c r="F649" s="149">
        <v>528475</v>
      </c>
      <c r="G649" s="149">
        <v>176217</v>
      </c>
      <c r="H649" s="150" t="s">
        <v>167</v>
      </c>
      <c r="I649" s="151"/>
      <c r="J649" s="151"/>
      <c r="K649" s="149">
        <v>0</v>
      </c>
      <c r="L649" s="149">
        <v>1</v>
      </c>
      <c r="M649" s="149">
        <v>1</v>
      </c>
      <c r="N649" s="149">
        <v>2</v>
      </c>
      <c r="O649" s="149">
        <v>2</v>
      </c>
      <c r="P649" s="152"/>
      <c r="Q649" s="150" t="s">
        <v>1857</v>
      </c>
      <c r="R649" s="150" t="s">
        <v>349</v>
      </c>
      <c r="S649" s="151">
        <v>44258</v>
      </c>
      <c r="T649" s="151">
        <v>44369</v>
      </c>
      <c r="U649" s="152"/>
      <c r="V649" s="150" t="s">
        <v>330</v>
      </c>
      <c r="W649" s="151"/>
      <c r="X649" s="150" t="s">
        <v>331</v>
      </c>
      <c r="Y649" s="150" t="s">
        <v>343</v>
      </c>
      <c r="Z649" s="150" t="s">
        <v>334</v>
      </c>
      <c r="AA649" s="150" t="s">
        <v>363</v>
      </c>
      <c r="AB649" s="153">
        <v>1.2999999999999999E-2</v>
      </c>
      <c r="AC649" s="151"/>
      <c r="AD649" s="150"/>
      <c r="AE649" s="151"/>
      <c r="AF649" s="150" t="s">
        <v>70</v>
      </c>
      <c r="AG649" s="152" t="s">
        <v>352</v>
      </c>
      <c r="AH649" s="150" t="s">
        <v>326</v>
      </c>
      <c r="AI649" s="99"/>
      <c r="AJ649" s="149"/>
      <c r="AK649" s="99"/>
      <c r="AL649" s="149"/>
      <c r="AM649" s="99"/>
      <c r="AN649" s="149">
        <v>0</v>
      </c>
      <c r="AO649" s="149">
        <v>0</v>
      </c>
      <c r="AP649" s="149">
        <v>0</v>
      </c>
      <c r="AQ649" s="149">
        <v>1</v>
      </c>
      <c r="AR649" s="149">
        <v>0</v>
      </c>
      <c r="AS649" s="149">
        <v>0</v>
      </c>
      <c r="AT649" s="149">
        <v>0</v>
      </c>
      <c r="AU649" s="149">
        <v>0</v>
      </c>
      <c r="AV649" s="149">
        <v>0</v>
      </c>
      <c r="AW649" s="149">
        <v>0</v>
      </c>
      <c r="AX649" s="149">
        <v>0</v>
      </c>
      <c r="AY649" s="149">
        <v>0</v>
      </c>
      <c r="AZ649" s="149">
        <v>0</v>
      </c>
      <c r="BA649" s="149">
        <v>0</v>
      </c>
      <c r="BB649" s="149">
        <v>0</v>
      </c>
      <c r="BC649" s="149">
        <v>0</v>
      </c>
      <c r="BD649" s="149">
        <v>0</v>
      </c>
      <c r="BE649" s="149">
        <v>1</v>
      </c>
      <c r="BF649" s="149">
        <v>0</v>
      </c>
      <c r="BG649" s="149">
        <v>0</v>
      </c>
      <c r="BH649" s="149">
        <v>0</v>
      </c>
      <c r="BI649" s="149">
        <v>0</v>
      </c>
      <c r="BJ649" s="149">
        <v>0</v>
      </c>
      <c r="BK649" s="149">
        <v>0</v>
      </c>
      <c r="BL649" s="149">
        <v>0</v>
      </c>
      <c r="BM649" s="149">
        <v>0</v>
      </c>
      <c r="BN649" s="149">
        <v>0</v>
      </c>
      <c r="BO649" s="149">
        <v>0</v>
      </c>
      <c r="BP649" s="152"/>
      <c r="BQ649" s="152"/>
      <c r="BR649" s="154" t="s">
        <v>359</v>
      </c>
      <c r="BS649" s="136">
        <v>7</v>
      </c>
      <c r="BT649" s="267"/>
      <c r="BU649" s="267"/>
      <c r="BV649" s="267">
        <f t="shared" si="70"/>
        <v>0.25</v>
      </c>
      <c r="BW649" s="267">
        <f t="shared" si="71"/>
        <v>0.25</v>
      </c>
      <c r="BX649" s="267">
        <f t="shared" si="72"/>
        <v>0.25</v>
      </c>
      <c r="BY649" s="267">
        <f>M649/4</f>
        <v>0.25</v>
      </c>
      <c r="BZ649" s="267"/>
      <c r="CA649" s="267"/>
      <c r="CB649" s="267"/>
      <c r="CC649" s="267"/>
      <c r="CD649" s="267"/>
      <c r="CE649" s="267"/>
      <c r="CF649" s="267"/>
      <c r="CG649" s="267"/>
      <c r="CH649" s="267"/>
      <c r="CI649" s="267"/>
      <c r="CJ649" s="267"/>
      <c r="CK649" s="267"/>
      <c r="CL649" s="267"/>
      <c r="CM649" s="267"/>
      <c r="CN649" s="101">
        <f t="shared" si="68"/>
        <v>1</v>
      </c>
      <c r="CO649" s="101">
        <f t="shared" si="69"/>
        <v>1</v>
      </c>
    </row>
    <row r="650" spans="1:93" ht="13.9" customHeight="1" x14ac:dyDescent="0.2">
      <c r="A650" s="149">
        <v>5333</v>
      </c>
      <c r="B650" s="150" t="s">
        <v>1216</v>
      </c>
      <c r="C650" s="150" t="s">
        <v>1859</v>
      </c>
      <c r="D650" s="150" t="s">
        <v>1860</v>
      </c>
      <c r="E650" s="150" t="s">
        <v>326</v>
      </c>
      <c r="F650" s="149">
        <v>527255</v>
      </c>
      <c r="G650" s="149">
        <v>171509</v>
      </c>
      <c r="H650" s="150" t="s">
        <v>173</v>
      </c>
      <c r="I650" s="151"/>
      <c r="J650" s="151"/>
      <c r="K650" s="149">
        <v>2</v>
      </c>
      <c r="L650" s="149">
        <v>4</v>
      </c>
      <c r="M650" s="149">
        <v>2</v>
      </c>
      <c r="N650" s="149">
        <v>4</v>
      </c>
      <c r="O650" s="149">
        <v>2</v>
      </c>
      <c r="P650" s="152"/>
      <c r="Q650" s="150" t="s">
        <v>1861</v>
      </c>
      <c r="R650" s="150" t="s">
        <v>349</v>
      </c>
      <c r="S650" s="151">
        <v>44266</v>
      </c>
      <c r="T650" s="151">
        <v>44357</v>
      </c>
      <c r="U650" s="152"/>
      <c r="V650" s="150" t="s">
        <v>330</v>
      </c>
      <c r="W650" s="151"/>
      <c r="X650" s="150" t="s">
        <v>331</v>
      </c>
      <c r="Y650" s="150" t="s">
        <v>350</v>
      </c>
      <c r="Z650" s="150" t="s">
        <v>334</v>
      </c>
      <c r="AA650" s="150" t="s">
        <v>399</v>
      </c>
      <c r="AB650" s="153">
        <v>1.4E-2</v>
      </c>
      <c r="AC650" s="151"/>
      <c r="AD650" s="150"/>
      <c r="AE650" s="151"/>
      <c r="AF650" s="150" t="s">
        <v>70</v>
      </c>
      <c r="AG650" s="152" t="s">
        <v>352</v>
      </c>
      <c r="AH650" s="150" t="s">
        <v>326</v>
      </c>
      <c r="AI650" s="99"/>
      <c r="AJ650" s="149"/>
      <c r="AK650" s="99"/>
      <c r="AL650" s="149"/>
      <c r="AM650" s="99"/>
      <c r="AN650" s="149">
        <v>0</v>
      </c>
      <c r="AO650" s="149">
        <v>2</v>
      </c>
      <c r="AP650" s="149">
        <v>0</v>
      </c>
      <c r="AQ650" s="149">
        <v>0</v>
      </c>
      <c r="AR650" s="149">
        <v>0</v>
      </c>
      <c r="AS650" s="149">
        <v>0</v>
      </c>
      <c r="AT650" s="149">
        <v>0</v>
      </c>
      <c r="AU650" s="149">
        <v>0</v>
      </c>
      <c r="AV650" s="149">
        <v>2</v>
      </c>
      <c r="AW650" s="149">
        <v>0</v>
      </c>
      <c r="AX650" s="149">
        <v>0</v>
      </c>
      <c r="AY650" s="149">
        <v>0</v>
      </c>
      <c r="AZ650" s="149">
        <v>0</v>
      </c>
      <c r="BA650" s="149">
        <v>0</v>
      </c>
      <c r="BB650" s="149">
        <v>0</v>
      </c>
      <c r="BC650" s="149">
        <v>0</v>
      </c>
      <c r="BD650" s="149">
        <v>0</v>
      </c>
      <c r="BE650" s="149">
        <v>0</v>
      </c>
      <c r="BF650" s="149">
        <v>0</v>
      </c>
      <c r="BG650" s="149">
        <v>0</v>
      </c>
      <c r="BH650" s="149">
        <v>0</v>
      </c>
      <c r="BI650" s="149">
        <v>0</v>
      </c>
      <c r="BJ650" s="149">
        <v>0</v>
      </c>
      <c r="BK650" s="149">
        <v>0</v>
      </c>
      <c r="BL650" s="149">
        <v>0</v>
      </c>
      <c r="BM650" s="149">
        <v>0</v>
      </c>
      <c r="BN650" s="149">
        <v>0</v>
      </c>
      <c r="BO650" s="149">
        <v>0</v>
      </c>
      <c r="BP650" s="152"/>
      <c r="BQ650" s="152"/>
      <c r="BR650" s="154" t="s">
        <v>142</v>
      </c>
      <c r="BS650" s="136">
        <v>15</v>
      </c>
      <c r="BT650" s="267"/>
      <c r="BU650" s="267">
        <f>M650/4</f>
        <v>0.5</v>
      </c>
      <c r="BV650" s="267">
        <f t="shared" si="70"/>
        <v>0.5</v>
      </c>
      <c r="BW650" s="267">
        <f t="shared" si="71"/>
        <v>0.5</v>
      </c>
      <c r="BX650" s="267">
        <f t="shared" si="72"/>
        <v>0.5</v>
      </c>
      <c r="BY650" s="267"/>
      <c r="BZ650" s="267"/>
      <c r="CA650" s="267"/>
      <c r="CB650" s="267"/>
      <c r="CC650" s="267"/>
      <c r="CD650" s="267"/>
      <c r="CE650" s="267"/>
      <c r="CF650" s="267"/>
      <c r="CG650" s="267"/>
      <c r="CH650" s="267"/>
      <c r="CI650" s="267"/>
      <c r="CJ650" s="267"/>
      <c r="CK650" s="267"/>
      <c r="CL650" s="267"/>
      <c r="CM650" s="267"/>
      <c r="CN650" s="101">
        <f t="shared" si="68"/>
        <v>2</v>
      </c>
      <c r="CO650" s="101">
        <f t="shared" si="69"/>
        <v>2</v>
      </c>
    </row>
    <row r="651" spans="1:93" ht="13.9" customHeight="1" x14ac:dyDescent="0.2">
      <c r="A651" s="149">
        <v>7703</v>
      </c>
      <c r="B651" s="150" t="s">
        <v>1216</v>
      </c>
      <c r="C651" s="150" t="s">
        <v>1862</v>
      </c>
      <c r="D651" s="150" t="s">
        <v>1863</v>
      </c>
      <c r="E651" s="150" t="s">
        <v>326</v>
      </c>
      <c r="F651" s="149">
        <v>527214</v>
      </c>
      <c r="G651" s="149">
        <v>170983</v>
      </c>
      <c r="H651" s="150" t="s">
        <v>173</v>
      </c>
      <c r="I651" s="151"/>
      <c r="J651" s="151"/>
      <c r="K651" s="149">
        <v>0</v>
      </c>
      <c r="L651" s="149">
        <v>8</v>
      </c>
      <c r="M651" s="149">
        <v>8</v>
      </c>
      <c r="N651" s="149">
        <v>8</v>
      </c>
      <c r="O651" s="149">
        <v>8</v>
      </c>
      <c r="P651" s="152"/>
      <c r="Q651" s="150" t="s">
        <v>1864</v>
      </c>
      <c r="R651" s="150" t="s">
        <v>349</v>
      </c>
      <c r="S651" s="151">
        <v>44480</v>
      </c>
      <c r="T651" s="151">
        <v>45096</v>
      </c>
      <c r="U651" s="152" t="s">
        <v>327</v>
      </c>
      <c r="V651" s="150" t="s">
        <v>330</v>
      </c>
      <c r="W651" s="151"/>
      <c r="X651" s="150" t="s">
        <v>331</v>
      </c>
      <c r="Y651" s="150" t="s">
        <v>343</v>
      </c>
      <c r="Z651" s="150" t="s">
        <v>334</v>
      </c>
      <c r="AA651" s="150" t="s">
        <v>363</v>
      </c>
      <c r="AB651" s="153">
        <v>1.7999999999999999E-2</v>
      </c>
      <c r="AC651" s="151"/>
      <c r="AD651" s="150"/>
      <c r="AE651" s="151"/>
      <c r="AF651" s="150" t="s">
        <v>70</v>
      </c>
      <c r="AG651" s="152" t="s">
        <v>352</v>
      </c>
      <c r="AH651" s="150" t="s">
        <v>326</v>
      </c>
      <c r="AI651" s="99"/>
      <c r="AJ651" s="149"/>
      <c r="AK651" s="99"/>
      <c r="AL651" s="149"/>
      <c r="AM651" s="99"/>
      <c r="AN651" s="149">
        <v>1</v>
      </c>
      <c r="AO651" s="149">
        <v>2</v>
      </c>
      <c r="AP651" s="149">
        <v>4</v>
      </c>
      <c r="AQ651" s="149">
        <v>1</v>
      </c>
      <c r="AR651" s="149">
        <v>0</v>
      </c>
      <c r="AS651" s="149">
        <v>0</v>
      </c>
      <c r="AT651" s="149">
        <v>0</v>
      </c>
      <c r="AU651" s="149">
        <v>1</v>
      </c>
      <c r="AV651" s="149">
        <v>2</v>
      </c>
      <c r="AW651" s="149">
        <v>4</v>
      </c>
      <c r="AX651" s="149">
        <v>1</v>
      </c>
      <c r="AY651" s="149">
        <v>0</v>
      </c>
      <c r="AZ651" s="149">
        <v>0</v>
      </c>
      <c r="BA651" s="149">
        <v>0</v>
      </c>
      <c r="BB651" s="149">
        <v>0</v>
      </c>
      <c r="BC651" s="149">
        <v>0</v>
      </c>
      <c r="BD651" s="149">
        <v>0</v>
      </c>
      <c r="BE651" s="149">
        <v>0</v>
      </c>
      <c r="BF651" s="149">
        <v>0</v>
      </c>
      <c r="BG651" s="149">
        <v>0</v>
      </c>
      <c r="BH651" s="149">
        <v>0</v>
      </c>
      <c r="BI651" s="149">
        <v>0</v>
      </c>
      <c r="BJ651" s="149">
        <v>0</v>
      </c>
      <c r="BK651" s="149">
        <v>0</v>
      </c>
      <c r="BL651" s="149">
        <v>0</v>
      </c>
      <c r="BM651" s="149">
        <v>0</v>
      </c>
      <c r="BN651" s="149">
        <v>0</v>
      </c>
      <c r="BO651" s="149">
        <v>0</v>
      </c>
      <c r="BP651" s="152"/>
      <c r="BQ651" s="152"/>
      <c r="BR651" s="154" t="s">
        <v>142</v>
      </c>
      <c r="BS651" s="136">
        <v>10</v>
      </c>
      <c r="BT651" s="267"/>
      <c r="BU651" s="267"/>
      <c r="BV651" s="267"/>
      <c r="BW651" s="267"/>
      <c r="BX651" s="267">
        <f>M651/3</f>
        <v>2.6666666666666665</v>
      </c>
      <c r="BY651" s="267">
        <f>M651/3</f>
        <v>2.6666666666666665</v>
      </c>
      <c r="BZ651" s="267">
        <f>M651/3</f>
        <v>2.6666666666666665</v>
      </c>
      <c r="CA651" s="267"/>
      <c r="CB651" s="267"/>
      <c r="CC651" s="267"/>
      <c r="CD651" s="267"/>
      <c r="CE651" s="267"/>
      <c r="CF651" s="267"/>
      <c r="CG651" s="267"/>
      <c r="CH651" s="267"/>
      <c r="CI651" s="267"/>
      <c r="CJ651" s="267"/>
      <c r="CK651" s="267"/>
      <c r="CL651" s="267"/>
      <c r="CM651" s="267"/>
      <c r="CN651" s="101">
        <f t="shared" si="68"/>
        <v>5.333333333333333</v>
      </c>
      <c r="CO651" s="101">
        <f t="shared" si="69"/>
        <v>8</v>
      </c>
    </row>
    <row r="652" spans="1:93" ht="13.9" customHeight="1" x14ac:dyDescent="0.2">
      <c r="A652" s="149">
        <v>5832</v>
      </c>
      <c r="B652" s="150" t="s">
        <v>1216</v>
      </c>
      <c r="C652" s="150" t="s">
        <v>1865</v>
      </c>
      <c r="D652" s="150" t="s">
        <v>1866</v>
      </c>
      <c r="E652" s="150" t="s">
        <v>326</v>
      </c>
      <c r="F652" s="149">
        <v>527798</v>
      </c>
      <c r="G652" s="149">
        <v>175779</v>
      </c>
      <c r="H652" s="150" t="s">
        <v>167</v>
      </c>
      <c r="I652" s="151"/>
      <c r="J652" s="151"/>
      <c r="K652" s="149">
        <v>0</v>
      </c>
      <c r="L652" s="149">
        <v>1</v>
      </c>
      <c r="M652" s="149">
        <v>1</v>
      </c>
      <c r="N652" s="149">
        <v>1</v>
      </c>
      <c r="O652" s="149">
        <v>1</v>
      </c>
      <c r="P652" s="152"/>
      <c r="Q652" s="150" t="s">
        <v>1867</v>
      </c>
      <c r="R652" s="150" t="s">
        <v>349</v>
      </c>
      <c r="S652" s="151">
        <v>44271</v>
      </c>
      <c r="T652" s="151">
        <v>44771</v>
      </c>
      <c r="U652" s="152"/>
      <c r="V652" s="150" t="s">
        <v>330</v>
      </c>
      <c r="W652" s="151"/>
      <c r="X652" s="150" t="s">
        <v>331</v>
      </c>
      <c r="Y652" s="150" t="s">
        <v>343</v>
      </c>
      <c r="Z652" s="150" t="s">
        <v>334</v>
      </c>
      <c r="AA652" s="150" t="s">
        <v>363</v>
      </c>
      <c r="AB652" s="153">
        <v>1.0999999999999999E-2</v>
      </c>
      <c r="AC652" s="151"/>
      <c r="AD652" s="150"/>
      <c r="AE652" s="151"/>
      <c r="AF652" s="150" t="s">
        <v>70</v>
      </c>
      <c r="AG652" s="152" t="s">
        <v>352</v>
      </c>
      <c r="AH652" s="150" t="s">
        <v>326</v>
      </c>
      <c r="AI652" s="99"/>
      <c r="AJ652" s="149"/>
      <c r="AK652" s="99"/>
      <c r="AL652" s="149"/>
      <c r="AM652" s="99"/>
      <c r="AN652" s="149">
        <v>0</v>
      </c>
      <c r="AO652" s="149">
        <v>0</v>
      </c>
      <c r="AP652" s="149">
        <v>1</v>
      </c>
      <c r="AQ652" s="149">
        <v>0</v>
      </c>
      <c r="AR652" s="149">
        <v>0</v>
      </c>
      <c r="AS652" s="149">
        <v>0</v>
      </c>
      <c r="AT652" s="149">
        <v>0</v>
      </c>
      <c r="AU652" s="149">
        <v>0</v>
      </c>
      <c r="AV652" s="149">
        <v>0</v>
      </c>
      <c r="AW652" s="149">
        <v>0</v>
      </c>
      <c r="AX652" s="149">
        <v>0</v>
      </c>
      <c r="AY652" s="149">
        <v>0</v>
      </c>
      <c r="AZ652" s="149">
        <v>0</v>
      </c>
      <c r="BA652" s="149">
        <v>0</v>
      </c>
      <c r="BB652" s="149">
        <v>0</v>
      </c>
      <c r="BC652" s="149">
        <v>0</v>
      </c>
      <c r="BD652" s="149">
        <v>1</v>
      </c>
      <c r="BE652" s="149">
        <v>0</v>
      </c>
      <c r="BF652" s="149">
        <v>0</v>
      </c>
      <c r="BG652" s="149">
        <v>0</v>
      </c>
      <c r="BH652" s="149">
        <v>0</v>
      </c>
      <c r="BI652" s="149">
        <v>0</v>
      </c>
      <c r="BJ652" s="149">
        <v>0</v>
      </c>
      <c r="BK652" s="149">
        <v>0</v>
      </c>
      <c r="BL652" s="149">
        <v>0</v>
      </c>
      <c r="BM652" s="149">
        <v>0</v>
      </c>
      <c r="BN652" s="149">
        <v>0</v>
      </c>
      <c r="BO652" s="149">
        <v>0</v>
      </c>
      <c r="BP652" s="152"/>
      <c r="BQ652" s="152"/>
      <c r="BR652" s="154" t="s">
        <v>359</v>
      </c>
      <c r="BS652" s="136">
        <v>7</v>
      </c>
      <c r="BT652" s="267"/>
      <c r="BU652" s="267"/>
      <c r="BV652" s="267">
        <f t="shared" ref="BV652:BV659" si="73">M652/4</f>
        <v>0.25</v>
      </c>
      <c r="BW652" s="267">
        <f t="shared" ref="BW652:BW659" si="74">M652/4</f>
        <v>0.25</v>
      </c>
      <c r="BX652" s="267">
        <f t="shared" ref="BX652:BX659" si="75">M652/4</f>
        <v>0.25</v>
      </c>
      <c r="BY652" s="267">
        <f>M652/4</f>
        <v>0.25</v>
      </c>
      <c r="BZ652" s="267"/>
      <c r="CA652" s="267"/>
      <c r="CB652" s="267"/>
      <c r="CC652" s="267"/>
      <c r="CD652" s="267"/>
      <c r="CE652" s="267"/>
      <c r="CF652" s="267"/>
      <c r="CG652" s="267"/>
      <c r="CH652" s="267"/>
      <c r="CI652" s="267"/>
      <c r="CJ652" s="267"/>
      <c r="CK652" s="267"/>
      <c r="CL652" s="267"/>
      <c r="CM652" s="267"/>
      <c r="CN652" s="101">
        <f t="shared" si="68"/>
        <v>1</v>
      </c>
      <c r="CO652" s="101">
        <f t="shared" si="69"/>
        <v>1</v>
      </c>
    </row>
    <row r="653" spans="1:93" ht="13.9" customHeight="1" x14ac:dyDescent="0.2">
      <c r="A653" s="149">
        <v>7637</v>
      </c>
      <c r="B653" s="150" t="s">
        <v>1216</v>
      </c>
      <c r="C653" s="150" t="s">
        <v>1868</v>
      </c>
      <c r="D653" s="150" t="s">
        <v>1869</v>
      </c>
      <c r="E653" s="150" t="s">
        <v>326</v>
      </c>
      <c r="F653" s="149">
        <v>527560</v>
      </c>
      <c r="G653" s="149">
        <v>174587</v>
      </c>
      <c r="H653" s="150" t="s">
        <v>165</v>
      </c>
      <c r="I653" s="151"/>
      <c r="J653" s="151"/>
      <c r="K653" s="149">
        <v>1</v>
      </c>
      <c r="L653" s="149">
        <v>2</v>
      </c>
      <c r="M653" s="149">
        <v>1</v>
      </c>
      <c r="N653" s="149">
        <v>2</v>
      </c>
      <c r="O653" s="149">
        <v>1</v>
      </c>
      <c r="P653" s="152"/>
      <c r="Q653" s="150" t="s">
        <v>1870</v>
      </c>
      <c r="R653" s="150" t="s">
        <v>349</v>
      </c>
      <c r="S653" s="151">
        <v>44272</v>
      </c>
      <c r="T653" s="151">
        <v>44379</v>
      </c>
      <c r="U653" s="152"/>
      <c r="V653" s="150" t="s">
        <v>330</v>
      </c>
      <c r="W653" s="151"/>
      <c r="X653" s="150" t="s">
        <v>331</v>
      </c>
      <c r="Y653" s="150" t="s">
        <v>398</v>
      </c>
      <c r="Z653" s="150" t="s">
        <v>334</v>
      </c>
      <c r="AA653" s="150" t="s">
        <v>16</v>
      </c>
      <c r="AB653" s="153">
        <v>5.0000000000000001E-3</v>
      </c>
      <c r="AC653" s="151"/>
      <c r="AD653" s="150"/>
      <c r="AE653" s="151"/>
      <c r="AF653" s="150" t="s">
        <v>70</v>
      </c>
      <c r="AG653" s="152" t="s">
        <v>352</v>
      </c>
      <c r="AH653" s="150" t="s">
        <v>326</v>
      </c>
      <c r="AI653" s="99"/>
      <c r="AJ653" s="149"/>
      <c r="AK653" s="99"/>
      <c r="AL653" s="149"/>
      <c r="AM653" s="99"/>
      <c r="AN653" s="149">
        <v>0</v>
      </c>
      <c r="AO653" s="149">
        <v>1</v>
      </c>
      <c r="AP653" s="149">
        <v>1</v>
      </c>
      <c r="AQ653" s="149">
        <v>0</v>
      </c>
      <c r="AR653" s="149">
        <v>-1</v>
      </c>
      <c r="AS653" s="149">
        <v>0</v>
      </c>
      <c r="AT653" s="149">
        <v>0</v>
      </c>
      <c r="AU653" s="149">
        <v>0</v>
      </c>
      <c r="AV653" s="149">
        <v>1</v>
      </c>
      <c r="AW653" s="149">
        <v>1</v>
      </c>
      <c r="AX653" s="149">
        <v>0</v>
      </c>
      <c r="AY653" s="149">
        <v>0</v>
      </c>
      <c r="AZ653" s="149">
        <v>0</v>
      </c>
      <c r="BA653" s="149">
        <v>0</v>
      </c>
      <c r="BB653" s="149">
        <v>0</v>
      </c>
      <c r="BC653" s="149">
        <v>0</v>
      </c>
      <c r="BD653" s="149">
        <v>0</v>
      </c>
      <c r="BE653" s="149">
        <v>0</v>
      </c>
      <c r="BF653" s="149">
        <v>-1</v>
      </c>
      <c r="BG653" s="149">
        <v>0</v>
      </c>
      <c r="BH653" s="149">
        <v>0</v>
      </c>
      <c r="BI653" s="149">
        <v>0</v>
      </c>
      <c r="BJ653" s="149">
        <v>0</v>
      </c>
      <c r="BK653" s="149">
        <v>0</v>
      </c>
      <c r="BL653" s="149">
        <v>0</v>
      </c>
      <c r="BM653" s="149">
        <v>0</v>
      </c>
      <c r="BN653" s="149">
        <v>0</v>
      </c>
      <c r="BO653" s="149">
        <v>0</v>
      </c>
      <c r="BP653" s="152"/>
      <c r="BQ653" s="152"/>
      <c r="BR653" s="154" t="s">
        <v>359</v>
      </c>
      <c r="BS653" s="136">
        <v>15</v>
      </c>
      <c r="BT653" s="267"/>
      <c r="BU653" s="267">
        <f t="shared" ref="BU653:BU659" si="76">M653/4</f>
        <v>0.25</v>
      </c>
      <c r="BV653" s="267">
        <f t="shared" si="73"/>
        <v>0.25</v>
      </c>
      <c r="BW653" s="267">
        <f t="shared" si="74"/>
        <v>0.25</v>
      </c>
      <c r="BX653" s="267">
        <f t="shared" si="75"/>
        <v>0.25</v>
      </c>
      <c r="BY653" s="267"/>
      <c r="BZ653" s="267"/>
      <c r="CA653" s="267"/>
      <c r="CB653" s="267"/>
      <c r="CC653" s="267"/>
      <c r="CD653" s="267"/>
      <c r="CE653" s="267"/>
      <c r="CF653" s="267"/>
      <c r="CG653" s="267"/>
      <c r="CH653" s="267"/>
      <c r="CI653" s="267"/>
      <c r="CJ653" s="267"/>
      <c r="CK653" s="267"/>
      <c r="CL653" s="267"/>
      <c r="CM653" s="267"/>
      <c r="CN653" s="101">
        <f t="shared" si="68"/>
        <v>1</v>
      </c>
      <c r="CO653" s="101">
        <f t="shared" si="69"/>
        <v>1</v>
      </c>
    </row>
    <row r="654" spans="1:93" ht="13.9" customHeight="1" x14ac:dyDescent="0.2">
      <c r="A654" s="149">
        <v>7704</v>
      </c>
      <c r="B654" s="150" t="s">
        <v>1216</v>
      </c>
      <c r="C654" s="150" t="s">
        <v>1871</v>
      </c>
      <c r="D654" s="150" t="s">
        <v>1872</v>
      </c>
      <c r="E654" s="150" t="s">
        <v>326</v>
      </c>
      <c r="F654" s="149">
        <v>527741</v>
      </c>
      <c r="G654" s="149">
        <v>171921</v>
      </c>
      <c r="H654" s="150" t="s">
        <v>172</v>
      </c>
      <c r="I654" s="151"/>
      <c r="J654" s="151"/>
      <c r="K654" s="149">
        <v>1</v>
      </c>
      <c r="L654" s="149">
        <v>3</v>
      </c>
      <c r="M654" s="149">
        <v>2</v>
      </c>
      <c r="N654" s="149">
        <v>3</v>
      </c>
      <c r="O654" s="149">
        <v>2</v>
      </c>
      <c r="P654" s="152"/>
      <c r="Q654" s="150" t="s">
        <v>1873</v>
      </c>
      <c r="R654" s="150" t="s">
        <v>349</v>
      </c>
      <c r="S654" s="151">
        <v>44225</v>
      </c>
      <c r="T654" s="151">
        <v>44629</v>
      </c>
      <c r="U654" s="152"/>
      <c r="V654" s="150" t="s">
        <v>330</v>
      </c>
      <c r="W654" s="151"/>
      <c r="X654" s="150" t="s">
        <v>331</v>
      </c>
      <c r="Y654" s="150" t="s">
        <v>398</v>
      </c>
      <c r="Z654" s="150" t="s">
        <v>334</v>
      </c>
      <c r="AA654" s="150" t="s">
        <v>413</v>
      </c>
      <c r="AB654" s="153">
        <v>6.0000000000000001E-3</v>
      </c>
      <c r="AC654" s="151"/>
      <c r="AD654" s="150"/>
      <c r="AE654" s="151"/>
      <c r="AF654" s="150" t="s">
        <v>70</v>
      </c>
      <c r="AG654" s="152" t="s">
        <v>352</v>
      </c>
      <c r="AH654" s="150" t="s">
        <v>326</v>
      </c>
      <c r="AI654" s="99"/>
      <c r="AJ654" s="149"/>
      <c r="AK654" s="99"/>
      <c r="AL654" s="149"/>
      <c r="AM654" s="99"/>
      <c r="AN654" s="149">
        <v>1</v>
      </c>
      <c r="AO654" s="149">
        <v>1</v>
      </c>
      <c r="AP654" s="149">
        <v>1</v>
      </c>
      <c r="AQ654" s="149">
        <v>0</v>
      </c>
      <c r="AR654" s="149">
        <v>0</v>
      </c>
      <c r="AS654" s="149">
        <v>-1</v>
      </c>
      <c r="AT654" s="149">
        <v>0</v>
      </c>
      <c r="AU654" s="149">
        <v>1</v>
      </c>
      <c r="AV654" s="149">
        <v>1</v>
      </c>
      <c r="AW654" s="149">
        <v>1</v>
      </c>
      <c r="AX654" s="149">
        <v>0</v>
      </c>
      <c r="AY654" s="149">
        <v>0</v>
      </c>
      <c r="AZ654" s="149">
        <v>-1</v>
      </c>
      <c r="BA654" s="149">
        <v>0</v>
      </c>
      <c r="BB654" s="149">
        <v>0</v>
      </c>
      <c r="BC654" s="149">
        <v>0</v>
      </c>
      <c r="BD654" s="149">
        <v>0</v>
      </c>
      <c r="BE654" s="149">
        <v>0</v>
      </c>
      <c r="BF654" s="149">
        <v>0</v>
      </c>
      <c r="BG654" s="149">
        <v>0</v>
      </c>
      <c r="BH654" s="149">
        <v>0</v>
      </c>
      <c r="BI654" s="149">
        <v>0</v>
      </c>
      <c r="BJ654" s="149">
        <v>0</v>
      </c>
      <c r="BK654" s="149">
        <v>0</v>
      </c>
      <c r="BL654" s="149">
        <v>0</v>
      </c>
      <c r="BM654" s="149">
        <v>0</v>
      </c>
      <c r="BN654" s="149">
        <v>0</v>
      </c>
      <c r="BO654" s="149">
        <v>0</v>
      </c>
      <c r="BP654" s="152" t="s">
        <v>142</v>
      </c>
      <c r="BQ654" s="152"/>
      <c r="BR654" s="154" t="s">
        <v>142</v>
      </c>
      <c r="BS654" s="136">
        <v>15</v>
      </c>
      <c r="BT654" s="267"/>
      <c r="BU654" s="267">
        <f t="shared" si="76"/>
        <v>0.5</v>
      </c>
      <c r="BV654" s="267">
        <f t="shared" si="73"/>
        <v>0.5</v>
      </c>
      <c r="BW654" s="267">
        <f t="shared" si="74"/>
        <v>0.5</v>
      </c>
      <c r="BX654" s="267">
        <f t="shared" si="75"/>
        <v>0.5</v>
      </c>
      <c r="BY654" s="267"/>
      <c r="BZ654" s="267"/>
      <c r="CA654" s="267"/>
      <c r="CB654" s="267"/>
      <c r="CC654" s="267"/>
      <c r="CD654" s="267"/>
      <c r="CE654" s="267"/>
      <c r="CF654" s="267"/>
      <c r="CG654" s="267"/>
      <c r="CH654" s="267"/>
      <c r="CI654" s="267"/>
      <c r="CJ654" s="267"/>
      <c r="CK654" s="267"/>
      <c r="CL654" s="267"/>
      <c r="CM654" s="267"/>
      <c r="CN654" s="101">
        <f t="shared" si="68"/>
        <v>2</v>
      </c>
      <c r="CO654" s="101">
        <f t="shared" si="69"/>
        <v>2</v>
      </c>
    </row>
    <row r="655" spans="1:93" ht="13.9" customHeight="1" x14ac:dyDescent="0.2">
      <c r="A655" s="149">
        <v>7377</v>
      </c>
      <c r="B655" s="150" t="s">
        <v>1216</v>
      </c>
      <c r="C655" s="150" t="s">
        <v>1874</v>
      </c>
      <c r="D655" s="150" t="s">
        <v>1875</v>
      </c>
      <c r="E655" s="150" t="s">
        <v>326</v>
      </c>
      <c r="F655" s="149">
        <v>527306</v>
      </c>
      <c r="G655" s="149">
        <v>171495</v>
      </c>
      <c r="H655" s="150" t="s">
        <v>173</v>
      </c>
      <c r="I655" s="151"/>
      <c r="J655" s="151"/>
      <c r="K655" s="149">
        <v>1</v>
      </c>
      <c r="L655" s="149">
        <v>4</v>
      </c>
      <c r="M655" s="149">
        <v>3</v>
      </c>
      <c r="N655" s="149">
        <v>4</v>
      </c>
      <c r="O655" s="149">
        <v>3</v>
      </c>
      <c r="P655" s="152"/>
      <c r="Q655" s="150" t="s">
        <v>1876</v>
      </c>
      <c r="R655" s="150" t="s">
        <v>349</v>
      </c>
      <c r="S655" s="151">
        <v>44274</v>
      </c>
      <c r="T655" s="151">
        <v>44328</v>
      </c>
      <c r="U655" s="152"/>
      <c r="V655" s="150" t="s">
        <v>330</v>
      </c>
      <c r="W655" s="151"/>
      <c r="X655" s="150" t="s">
        <v>331</v>
      </c>
      <c r="Y655" s="150" t="s">
        <v>398</v>
      </c>
      <c r="Z655" s="150" t="s">
        <v>334</v>
      </c>
      <c r="AA655" s="150" t="s">
        <v>16</v>
      </c>
      <c r="AB655" s="153">
        <v>6.1749999999999999E-3</v>
      </c>
      <c r="AC655" s="151"/>
      <c r="AD655" s="150"/>
      <c r="AE655" s="151"/>
      <c r="AF655" s="150" t="s">
        <v>70</v>
      </c>
      <c r="AG655" s="152" t="s">
        <v>352</v>
      </c>
      <c r="AH655" s="150" t="s">
        <v>326</v>
      </c>
      <c r="AI655" s="99"/>
      <c r="AJ655" s="149"/>
      <c r="AK655" s="99"/>
      <c r="AL655" s="149"/>
      <c r="AM655" s="99"/>
      <c r="AN655" s="149">
        <v>0</v>
      </c>
      <c r="AO655" s="149">
        <v>2</v>
      </c>
      <c r="AP655" s="149">
        <v>1</v>
      </c>
      <c r="AQ655" s="149">
        <v>1</v>
      </c>
      <c r="AR655" s="149">
        <v>0</v>
      </c>
      <c r="AS655" s="149">
        <v>-1</v>
      </c>
      <c r="AT655" s="149">
        <v>0</v>
      </c>
      <c r="AU655" s="149">
        <v>0</v>
      </c>
      <c r="AV655" s="149">
        <v>2</v>
      </c>
      <c r="AW655" s="149">
        <v>1</v>
      </c>
      <c r="AX655" s="149">
        <v>1</v>
      </c>
      <c r="AY655" s="149">
        <v>0</v>
      </c>
      <c r="AZ655" s="149">
        <v>0</v>
      </c>
      <c r="BA655" s="149">
        <v>0</v>
      </c>
      <c r="BB655" s="149">
        <v>0</v>
      </c>
      <c r="BC655" s="149">
        <v>0</v>
      </c>
      <c r="BD655" s="149">
        <v>0</v>
      </c>
      <c r="BE655" s="149">
        <v>0</v>
      </c>
      <c r="BF655" s="149">
        <v>0</v>
      </c>
      <c r="BG655" s="149">
        <v>-1</v>
      </c>
      <c r="BH655" s="149">
        <v>0</v>
      </c>
      <c r="BI655" s="149">
        <v>0</v>
      </c>
      <c r="BJ655" s="149">
        <v>0</v>
      </c>
      <c r="BK655" s="149">
        <v>0</v>
      </c>
      <c r="BL655" s="149">
        <v>0</v>
      </c>
      <c r="BM655" s="149">
        <v>0</v>
      </c>
      <c r="BN655" s="149">
        <v>0</v>
      </c>
      <c r="BO655" s="149">
        <v>0</v>
      </c>
      <c r="BP655" s="152"/>
      <c r="BQ655" s="152"/>
      <c r="BR655" s="154" t="s">
        <v>142</v>
      </c>
      <c r="BS655" s="136">
        <v>15</v>
      </c>
      <c r="BT655" s="267"/>
      <c r="BU655" s="267">
        <f t="shared" si="76"/>
        <v>0.75</v>
      </c>
      <c r="BV655" s="267">
        <f t="shared" si="73"/>
        <v>0.75</v>
      </c>
      <c r="BW655" s="267">
        <f t="shared" si="74"/>
        <v>0.75</v>
      </c>
      <c r="BX655" s="267">
        <f t="shared" si="75"/>
        <v>0.75</v>
      </c>
      <c r="BY655" s="267"/>
      <c r="BZ655" s="267"/>
      <c r="CA655" s="267"/>
      <c r="CB655" s="267"/>
      <c r="CC655" s="267"/>
      <c r="CD655" s="267"/>
      <c r="CE655" s="267"/>
      <c r="CF655" s="267"/>
      <c r="CG655" s="267"/>
      <c r="CH655" s="267"/>
      <c r="CI655" s="267"/>
      <c r="CJ655" s="267"/>
      <c r="CK655" s="267"/>
      <c r="CL655" s="267"/>
      <c r="CM655" s="267"/>
      <c r="CN655" s="101">
        <f t="shared" si="68"/>
        <v>3</v>
      </c>
      <c r="CO655" s="101">
        <f t="shared" si="69"/>
        <v>3</v>
      </c>
    </row>
    <row r="656" spans="1:93" ht="13.9" customHeight="1" x14ac:dyDescent="0.2">
      <c r="A656" s="149">
        <v>7638</v>
      </c>
      <c r="B656" s="150" t="s">
        <v>1216</v>
      </c>
      <c r="C656" s="150" t="s">
        <v>1877</v>
      </c>
      <c r="D656" s="150" t="s">
        <v>1878</v>
      </c>
      <c r="E656" s="150" t="s">
        <v>326</v>
      </c>
      <c r="F656" s="149">
        <v>523723</v>
      </c>
      <c r="G656" s="149">
        <v>174036</v>
      </c>
      <c r="H656" s="150" t="s">
        <v>161</v>
      </c>
      <c r="I656" s="151"/>
      <c r="J656" s="151"/>
      <c r="K656" s="149">
        <v>0</v>
      </c>
      <c r="L656" s="149">
        <v>1</v>
      </c>
      <c r="M656" s="149">
        <v>1</v>
      </c>
      <c r="N656" s="149">
        <v>1</v>
      </c>
      <c r="O656" s="149">
        <v>1</v>
      </c>
      <c r="P656" s="152"/>
      <c r="Q656" s="150" t="s">
        <v>1879</v>
      </c>
      <c r="R656" s="150" t="s">
        <v>349</v>
      </c>
      <c r="S656" s="151">
        <v>44278</v>
      </c>
      <c r="T656" s="151">
        <v>44488</v>
      </c>
      <c r="U656" s="152"/>
      <c r="V656" s="150" t="s">
        <v>330</v>
      </c>
      <c r="W656" s="151"/>
      <c r="X656" s="150" t="s">
        <v>331</v>
      </c>
      <c r="Y656" s="150" t="s">
        <v>332</v>
      </c>
      <c r="Z656" s="150" t="s">
        <v>334</v>
      </c>
      <c r="AA656" s="150" t="s">
        <v>32</v>
      </c>
      <c r="AB656" s="153">
        <v>1E-3</v>
      </c>
      <c r="AC656" s="151"/>
      <c r="AD656" s="150"/>
      <c r="AE656" s="151"/>
      <c r="AF656" s="150" t="s">
        <v>70</v>
      </c>
      <c r="AG656" s="152" t="s">
        <v>352</v>
      </c>
      <c r="AH656" s="150" t="s">
        <v>326</v>
      </c>
      <c r="AI656" s="99"/>
      <c r="AJ656" s="149"/>
      <c r="AK656" s="99"/>
      <c r="AL656" s="149"/>
      <c r="AM656" s="99"/>
      <c r="AN656" s="149">
        <v>0</v>
      </c>
      <c r="AO656" s="149">
        <v>1</v>
      </c>
      <c r="AP656" s="149">
        <v>0</v>
      </c>
      <c r="AQ656" s="149">
        <v>0</v>
      </c>
      <c r="AR656" s="149">
        <v>0</v>
      </c>
      <c r="AS656" s="149">
        <v>0</v>
      </c>
      <c r="AT656" s="149">
        <v>0</v>
      </c>
      <c r="AU656" s="149">
        <v>0</v>
      </c>
      <c r="AV656" s="149">
        <v>1</v>
      </c>
      <c r="AW656" s="149">
        <v>0</v>
      </c>
      <c r="AX656" s="149">
        <v>0</v>
      </c>
      <c r="AY656" s="149">
        <v>0</v>
      </c>
      <c r="AZ656" s="149">
        <v>0</v>
      </c>
      <c r="BA656" s="149">
        <v>0</v>
      </c>
      <c r="BB656" s="149">
        <v>0</v>
      </c>
      <c r="BC656" s="149">
        <v>0</v>
      </c>
      <c r="BD656" s="149">
        <v>0</v>
      </c>
      <c r="BE656" s="149">
        <v>0</v>
      </c>
      <c r="BF656" s="149">
        <v>0</v>
      </c>
      <c r="BG656" s="149">
        <v>0</v>
      </c>
      <c r="BH656" s="149">
        <v>0</v>
      </c>
      <c r="BI656" s="149">
        <v>0</v>
      </c>
      <c r="BJ656" s="149">
        <v>0</v>
      </c>
      <c r="BK656" s="149">
        <v>0</v>
      </c>
      <c r="BL656" s="149">
        <v>0</v>
      </c>
      <c r="BM656" s="149">
        <v>0</v>
      </c>
      <c r="BN656" s="149">
        <v>0</v>
      </c>
      <c r="BO656" s="149">
        <v>0</v>
      </c>
      <c r="BP656" s="152"/>
      <c r="BQ656" s="152"/>
      <c r="BR656" s="154" t="s">
        <v>359</v>
      </c>
      <c r="BS656" s="136">
        <v>15</v>
      </c>
      <c r="BT656" s="267"/>
      <c r="BU656" s="267">
        <f t="shared" si="76"/>
        <v>0.25</v>
      </c>
      <c r="BV656" s="267">
        <f t="shared" si="73"/>
        <v>0.25</v>
      </c>
      <c r="BW656" s="267">
        <f t="shared" si="74"/>
        <v>0.25</v>
      </c>
      <c r="BX656" s="267">
        <f t="shared" si="75"/>
        <v>0.25</v>
      </c>
      <c r="BY656" s="267"/>
      <c r="BZ656" s="267"/>
      <c r="CA656" s="267"/>
      <c r="CB656" s="267"/>
      <c r="CC656" s="267"/>
      <c r="CD656" s="267"/>
      <c r="CE656" s="267"/>
      <c r="CF656" s="267"/>
      <c r="CG656" s="267"/>
      <c r="CH656" s="267"/>
      <c r="CI656" s="267"/>
      <c r="CJ656" s="267"/>
      <c r="CK656" s="267"/>
      <c r="CL656" s="267"/>
      <c r="CM656" s="267"/>
      <c r="CN656" s="101">
        <f t="shared" si="68"/>
        <v>1</v>
      </c>
      <c r="CO656" s="101">
        <f t="shared" si="69"/>
        <v>1</v>
      </c>
    </row>
    <row r="657" spans="1:93" ht="13.9" customHeight="1" x14ac:dyDescent="0.2">
      <c r="A657" s="149">
        <v>7610</v>
      </c>
      <c r="B657" s="150" t="s">
        <v>1216</v>
      </c>
      <c r="C657" s="150" t="s">
        <v>1880</v>
      </c>
      <c r="D657" s="150" t="s">
        <v>1881</v>
      </c>
      <c r="E657" s="150" t="s">
        <v>326</v>
      </c>
      <c r="F657" s="149">
        <v>524107</v>
      </c>
      <c r="G657" s="149">
        <v>175023</v>
      </c>
      <c r="H657" s="150" t="s">
        <v>161</v>
      </c>
      <c r="I657" s="151"/>
      <c r="J657" s="151"/>
      <c r="K657" s="149">
        <v>0</v>
      </c>
      <c r="L657" s="149">
        <v>8</v>
      </c>
      <c r="M657" s="149">
        <v>8</v>
      </c>
      <c r="N657" s="149">
        <v>8</v>
      </c>
      <c r="O657" s="149">
        <v>8</v>
      </c>
      <c r="P657" s="152"/>
      <c r="Q657" s="150" t="s">
        <v>1882</v>
      </c>
      <c r="R657" s="150" t="s">
        <v>349</v>
      </c>
      <c r="S657" s="151">
        <v>44305</v>
      </c>
      <c r="T657" s="151">
        <v>44586</v>
      </c>
      <c r="U657" s="152"/>
      <c r="V657" s="150" t="s">
        <v>330</v>
      </c>
      <c r="W657" s="151"/>
      <c r="X657" s="150" t="s">
        <v>331</v>
      </c>
      <c r="Y657" s="150" t="s">
        <v>491</v>
      </c>
      <c r="Z657" s="150" t="s">
        <v>334</v>
      </c>
      <c r="AA657" s="150" t="s">
        <v>413</v>
      </c>
      <c r="AB657" s="153">
        <v>8.9999999999999993E-3</v>
      </c>
      <c r="AC657" s="151"/>
      <c r="AD657" s="150"/>
      <c r="AE657" s="151"/>
      <c r="AF657" s="150" t="s">
        <v>70</v>
      </c>
      <c r="AG657" s="152" t="s">
        <v>352</v>
      </c>
      <c r="AH657" s="150" t="s">
        <v>326</v>
      </c>
      <c r="AI657" s="99"/>
      <c r="AJ657" s="149"/>
      <c r="AK657" s="99"/>
      <c r="AL657" s="149"/>
      <c r="AM657" s="99"/>
      <c r="AN657" s="149">
        <v>0</v>
      </c>
      <c r="AO657" s="149">
        <v>1</v>
      </c>
      <c r="AP657" s="149">
        <v>7</v>
      </c>
      <c r="AQ657" s="149">
        <v>0</v>
      </c>
      <c r="AR657" s="149">
        <v>0</v>
      </c>
      <c r="AS657" s="149">
        <v>0</v>
      </c>
      <c r="AT657" s="149">
        <v>0</v>
      </c>
      <c r="AU657" s="149">
        <v>0</v>
      </c>
      <c r="AV657" s="149">
        <v>1</v>
      </c>
      <c r="AW657" s="149">
        <v>7</v>
      </c>
      <c r="AX657" s="149">
        <v>0</v>
      </c>
      <c r="AY657" s="149">
        <v>0</v>
      </c>
      <c r="AZ657" s="149">
        <v>0</v>
      </c>
      <c r="BA657" s="149">
        <v>0</v>
      </c>
      <c r="BB657" s="149">
        <v>0</v>
      </c>
      <c r="BC657" s="149">
        <v>0</v>
      </c>
      <c r="BD657" s="149">
        <v>0</v>
      </c>
      <c r="BE657" s="149">
        <v>0</v>
      </c>
      <c r="BF657" s="149">
        <v>0</v>
      </c>
      <c r="BG657" s="149">
        <v>0</v>
      </c>
      <c r="BH657" s="149">
        <v>0</v>
      </c>
      <c r="BI657" s="149">
        <v>0</v>
      </c>
      <c r="BJ657" s="149">
        <v>0</v>
      </c>
      <c r="BK657" s="149">
        <v>0</v>
      </c>
      <c r="BL657" s="149">
        <v>0</v>
      </c>
      <c r="BM657" s="149">
        <v>0</v>
      </c>
      <c r="BN657" s="149">
        <v>0</v>
      </c>
      <c r="BO657" s="149">
        <v>0</v>
      </c>
      <c r="BP657" s="152" t="s">
        <v>141</v>
      </c>
      <c r="BQ657" s="152"/>
      <c r="BR657" s="154" t="s">
        <v>141</v>
      </c>
      <c r="BS657" s="136">
        <v>18</v>
      </c>
      <c r="BT657" s="267"/>
      <c r="BU657" s="267">
        <f t="shared" si="76"/>
        <v>2</v>
      </c>
      <c r="BV657" s="267">
        <f t="shared" si="73"/>
        <v>2</v>
      </c>
      <c r="BW657" s="267">
        <f t="shared" si="74"/>
        <v>2</v>
      </c>
      <c r="BX657" s="267">
        <f t="shared" si="75"/>
        <v>2</v>
      </c>
      <c r="BY657" s="267"/>
      <c r="BZ657" s="267"/>
      <c r="CA657" s="267"/>
      <c r="CB657" s="267"/>
      <c r="CC657" s="267"/>
      <c r="CD657" s="267"/>
      <c r="CE657" s="267"/>
      <c r="CF657" s="267"/>
      <c r="CG657" s="267"/>
      <c r="CH657" s="267"/>
      <c r="CI657" s="267"/>
      <c r="CJ657" s="267"/>
      <c r="CK657" s="267"/>
      <c r="CL657" s="267"/>
      <c r="CM657" s="267"/>
      <c r="CN657" s="101">
        <f t="shared" si="68"/>
        <v>8</v>
      </c>
      <c r="CO657" s="101">
        <f t="shared" si="69"/>
        <v>8</v>
      </c>
    </row>
    <row r="658" spans="1:93" ht="13.9" customHeight="1" x14ac:dyDescent="0.2">
      <c r="A658" s="149">
        <v>7633</v>
      </c>
      <c r="B658" s="150" t="s">
        <v>1216</v>
      </c>
      <c r="C658" s="150" t="s">
        <v>1883</v>
      </c>
      <c r="D658" s="150" t="s">
        <v>1884</v>
      </c>
      <c r="E658" s="150" t="s">
        <v>326</v>
      </c>
      <c r="F658" s="149">
        <v>523910</v>
      </c>
      <c r="G658" s="149">
        <v>174891</v>
      </c>
      <c r="H658" s="150" t="s">
        <v>179</v>
      </c>
      <c r="I658" s="151"/>
      <c r="J658" s="151"/>
      <c r="K658" s="149">
        <v>2</v>
      </c>
      <c r="L658" s="149">
        <v>6</v>
      </c>
      <c r="M658" s="149">
        <v>4</v>
      </c>
      <c r="N658" s="149">
        <v>6</v>
      </c>
      <c r="O658" s="149">
        <v>4</v>
      </c>
      <c r="P658" s="152"/>
      <c r="Q658" s="150" t="s">
        <v>1885</v>
      </c>
      <c r="R658" s="150" t="s">
        <v>349</v>
      </c>
      <c r="S658" s="151">
        <v>44336</v>
      </c>
      <c r="T658" s="151">
        <v>44405</v>
      </c>
      <c r="U658" s="152"/>
      <c r="V658" s="150" t="s">
        <v>330</v>
      </c>
      <c r="W658" s="151"/>
      <c r="X658" s="150" t="s">
        <v>331</v>
      </c>
      <c r="Y658" s="150" t="s">
        <v>398</v>
      </c>
      <c r="Z658" s="150" t="s">
        <v>334</v>
      </c>
      <c r="AA658" s="150" t="s">
        <v>399</v>
      </c>
      <c r="AB658" s="153">
        <v>9.7000000000000003E-3</v>
      </c>
      <c r="AC658" s="151"/>
      <c r="AD658" s="150"/>
      <c r="AE658" s="151"/>
      <c r="AF658" s="150" t="s">
        <v>70</v>
      </c>
      <c r="AG658" s="152" t="s">
        <v>352</v>
      </c>
      <c r="AH658" s="150" t="s">
        <v>326</v>
      </c>
      <c r="AI658" s="99"/>
      <c r="AJ658" s="149"/>
      <c r="AK658" s="99"/>
      <c r="AL658" s="149"/>
      <c r="AM658" s="99"/>
      <c r="AN658" s="149">
        <v>0</v>
      </c>
      <c r="AO658" s="149">
        <v>1</v>
      </c>
      <c r="AP658" s="149">
        <v>2</v>
      </c>
      <c r="AQ658" s="149">
        <v>2</v>
      </c>
      <c r="AR658" s="149">
        <v>0</v>
      </c>
      <c r="AS658" s="149">
        <v>-1</v>
      </c>
      <c r="AT658" s="149">
        <v>0</v>
      </c>
      <c r="AU658" s="149">
        <v>0</v>
      </c>
      <c r="AV658" s="149">
        <v>1</v>
      </c>
      <c r="AW658" s="149">
        <v>2</v>
      </c>
      <c r="AX658" s="149">
        <v>2</v>
      </c>
      <c r="AY658" s="149">
        <v>0</v>
      </c>
      <c r="AZ658" s="149">
        <v>-1</v>
      </c>
      <c r="BA658" s="149">
        <v>0</v>
      </c>
      <c r="BB658" s="149">
        <v>0</v>
      </c>
      <c r="BC658" s="149">
        <v>0</v>
      </c>
      <c r="BD658" s="149">
        <v>0</v>
      </c>
      <c r="BE658" s="149">
        <v>0</v>
      </c>
      <c r="BF658" s="149">
        <v>0</v>
      </c>
      <c r="BG658" s="149">
        <v>0</v>
      </c>
      <c r="BH658" s="149">
        <v>0</v>
      </c>
      <c r="BI658" s="149">
        <v>0</v>
      </c>
      <c r="BJ658" s="149">
        <v>0</v>
      </c>
      <c r="BK658" s="149">
        <v>0</v>
      </c>
      <c r="BL658" s="149">
        <v>0</v>
      </c>
      <c r="BM658" s="149">
        <v>0</v>
      </c>
      <c r="BN658" s="149">
        <v>0</v>
      </c>
      <c r="BO658" s="149">
        <v>0</v>
      </c>
      <c r="BP658" s="152"/>
      <c r="BQ658" s="152"/>
      <c r="BR658" s="154" t="s">
        <v>359</v>
      </c>
      <c r="BS658" s="136">
        <v>18</v>
      </c>
      <c r="BT658" s="267"/>
      <c r="BU658" s="267">
        <f t="shared" si="76"/>
        <v>1</v>
      </c>
      <c r="BV658" s="267">
        <f t="shared" si="73"/>
        <v>1</v>
      </c>
      <c r="BW658" s="267">
        <f t="shared" si="74"/>
        <v>1</v>
      </c>
      <c r="BX658" s="267">
        <f t="shared" si="75"/>
        <v>1</v>
      </c>
      <c r="BY658" s="267"/>
      <c r="BZ658" s="267"/>
      <c r="CA658" s="267"/>
      <c r="CB658" s="267"/>
      <c r="CC658" s="267"/>
      <c r="CD658" s="267"/>
      <c r="CE658" s="267"/>
      <c r="CF658" s="267"/>
      <c r="CG658" s="267"/>
      <c r="CH658" s="267"/>
      <c r="CI658" s="267"/>
      <c r="CJ658" s="267"/>
      <c r="CK658" s="267"/>
      <c r="CL658" s="267"/>
      <c r="CM658" s="267"/>
      <c r="CN658" s="101">
        <f t="shared" si="68"/>
        <v>4</v>
      </c>
      <c r="CO658" s="101">
        <f t="shared" si="69"/>
        <v>4</v>
      </c>
    </row>
    <row r="659" spans="1:93" ht="13.9" customHeight="1" x14ac:dyDescent="0.2">
      <c r="A659" s="149">
        <v>7612</v>
      </c>
      <c r="B659" s="150" t="s">
        <v>1216</v>
      </c>
      <c r="C659" s="150" t="s">
        <v>1886</v>
      </c>
      <c r="D659" s="150" t="s">
        <v>1887</v>
      </c>
      <c r="E659" s="150" t="s">
        <v>326</v>
      </c>
      <c r="F659" s="149">
        <v>527126</v>
      </c>
      <c r="G659" s="149">
        <v>171628</v>
      </c>
      <c r="H659" s="150" t="s">
        <v>173</v>
      </c>
      <c r="I659" s="151"/>
      <c r="J659" s="151"/>
      <c r="K659" s="149">
        <v>2</v>
      </c>
      <c r="L659" s="149">
        <v>3</v>
      </c>
      <c r="M659" s="149">
        <v>1</v>
      </c>
      <c r="N659" s="149">
        <v>3</v>
      </c>
      <c r="O659" s="149">
        <v>1</v>
      </c>
      <c r="P659" s="152"/>
      <c r="Q659" s="150" t="s">
        <v>1888</v>
      </c>
      <c r="R659" s="150" t="s">
        <v>349</v>
      </c>
      <c r="S659" s="151">
        <v>44333</v>
      </c>
      <c r="T659" s="151">
        <v>44389</v>
      </c>
      <c r="U659" s="152"/>
      <c r="V659" s="150" t="s">
        <v>330</v>
      </c>
      <c r="W659" s="151"/>
      <c r="X659" s="150" t="s">
        <v>331</v>
      </c>
      <c r="Y659" s="150" t="s">
        <v>491</v>
      </c>
      <c r="Z659" s="150" t="s">
        <v>334</v>
      </c>
      <c r="AA659" s="150" t="s">
        <v>413</v>
      </c>
      <c r="AB659" s="153">
        <v>5.2166599999999997E-3</v>
      </c>
      <c r="AC659" s="151"/>
      <c r="AD659" s="150"/>
      <c r="AE659" s="151"/>
      <c r="AF659" s="150" t="s">
        <v>70</v>
      </c>
      <c r="AG659" s="152" t="s">
        <v>337</v>
      </c>
      <c r="AH659" s="150" t="s">
        <v>326</v>
      </c>
      <c r="AI659" s="99"/>
      <c r="AJ659" s="149"/>
      <c r="AK659" s="99"/>
      <c r="AL659" s="149"/>
      <c r="AM659" s="99"/>
      <c r="AN659" s="149">
        <v>1</v>
      </c>
      <c r="AO659" s="149">
        <v>0</v>
      </c>
      <c r="AP659" s="149">
        <v>0</v>
      </c>
      <c r="AQ659" s="149">
        <v>0</v>
      </c>
      <c r="AR659" s="149">
        <v>0</v>
      </c>
      <c r="AS659" s="149">
        <v>0</v>
      </c>
      <c r="AT659" s="149">
        <v>0</v>
      </c>
      <c r="AU659" s="149">
        <v>1</v>
      </c>
      <c r="AV659" s="149">
        <v>0</v>
      </c>
      <c r="AW659" s="149">
        <v>0</v>
      </c>
      <c r="AX659" s="149">
        <v>0</v>
      </c>
      <c r="AY659" s="149">
        <v>0</v>
      </c>
      <c r="AZ659" s="149">
        <v>0</v>
      </c>
      <c r="BA659" s="149">
        <v>0</v>
      </c>
      <c r="BB659" s="149">
        <v>0</v>
      </c>
      <c r="BC659" s="149">
        <v>0</v>
      </c>
      <c r="BD659" s="149">
        <v>0</v>
      </c>
      <c r="BE659" s="149">
        <v>0</v>
      </c>
      <c r="BF659" s="149">
        <v>0</v>
      </c>
      <c r="BG659" s="149">
        <v>0</v>
      </c>
      <c r="BH659" s="149">
        <v>0</v>
      </c>
      <c r="BI659" s="149">
        <v>0</v>
      </c>
      <c r="BJ659" s="149">
        <v>0</v>
      </c>
      <c r="BK659" s="149">
        <v>0</v>
      </c>
      <c r="BL659" s="149">
        <v>0</v>
      </c>
      <c r="BM659" s="149">
        <v>0</v>
      </c>
      <c r="BN659" s="149">
        <v>0</v>
      </c>
      <c r="BO659" s="149">
        <v>0</v>
      </c>
      <c r="BP659" s="152"/>
      <c r="BQ659" s="152"/>
      <c r="BR659" s="154" t="s">
        <v>359</v>
      </c>
      <c r="BS659" s="136">
        <v>15</v>
      </c>
      <c r="BT659" s="267"/>
      <c r="BU659" s="267">
        <f t="shared" si="76"/>
        <v>0.25</v>
      </c>
      <c r="BV659" s="267">
        <f t="shared" si="73"/>
        <v>0.25</v>
      </c>
      <c r="BW659" s="267">
        <f t="shared" si="74"/>
        <v>0.25</v>
      </c>
      <c r="BX659" s="267">
        <f t="shared" si="75"/>
        <v>0.25</v>
      </c>
      <c r="BY659" s="267"/>
      <c r="BZ659" s="267"/>
      <c r="CA659" s="267"/>
      <c r="CB659" s="267"/>
      <c r="CC659" s="267"/>
      <c r="CD659" s="267"/>
      <c r="CE659" s="267"/>
      <c r="CF659" s="267"/>
      <c r="CG659" s="267"/>
      <c r="CH659" s="267"/>
      <c r="CI659" s="267"/>
      <c r="CJ659" s="267"/>
      <c r="CK659" s="267"/>
      <c r="CL659" s="267"/>
      <c r="CM659" s="267"/>
      <c r="CN659" s="101">
        <f t="shared" si="68"/>
        <v>1</v>
      </c>
      <c r="CO659" s="101">
        <f t="shared" si="69"/>
        <v>1</v>
      </c>
    </row>
    <row r="660" spans="1:93" ht="13.9" customHeight="1" x14ac:dyDescent="0.2">
      <c r="A660" s="149">
        <v>7101</v>
      </c>
      <c r="B660" s="150" t="s">
        <v>854</v>
      </c>
      <c r="C660" s="150" t="s">
        <v>1382</v>
      </c>
      <c r="D660" s="150" t="s">
        <v>1383</v>
      </c>
      <c r="E660" s="150" t="s">
        <v>1384</v>
      </c>
      <c r="F660" s="149">
        <v>526922</v>
      </c>
      <c r="G660" s="149">
        <v>175807</v>
      </c>
      <c r="H660" s="150" t="s">
        <v>162</v>
      </c>
      <c r="I660" s="151">
        <v>44609</v>
      </c>
      <c r="J660" s="151"/>
      <c r="K660" s="149">
        <v>0</v>
      </c>
      <c r="L660" s="149">
        <v>8</v>
      </c>
      <c r="M660" s="149">
        <v>8</v>
      </c>
      <c r="N660" s="149">
        <v>126</v>
      </c>
      <c r="O660" s="149">
        <v>126</v>
      </c>
      <c r="P660" s="152" t="s">
        <v>327</v>
      </c>
      <c r="Q660" s="150" t="s">
        <v>1385</v>
      </c>
      <c r="R660" s="150" t="s">
        <v>342</v>
      </c>
      <c r="S660" s="151">
        <v>44592</v>
      </c>
      <c r="T660" s="151">
        <v>44673</v>
      </c>
      <c r="U660" s="152"/>
      <c r="V660" s="150" t="s">
        <v>330</v>
      </c>
      <c r="W660" s="151"/>
      <c r="X660" s="150" t="s">
        <v>331</v>
      </c>
      <c r="Y660" s="150" t="s">
        <v>343</v>
      </c>
      <c r="Z660" s="150" t="s">
        <v>343</v>
      </c>
      <c r="AA660" s="150" t="s">
        <v>334</v>
      </c>
      <c r="AB660" s="153">
        <v>0</v>
      </c>
      <c r="AC660" s="151">
        <v>44609</v>
      </c>
      <c r="AD660" s="150"/>
      <c r="AE660" s="151"/>
      <c r="AF660" s="150" t="s">
        <v>48</v>
      </c>
      <c r="AG660" s="152" t="s">
        <v>785</v>
      </c>
      <c r="AH660" s="150" t="s">
        <v>326</v>
      </c>
      <c r="AI660" s="99"/>
      <c r="AJ660" s="149"/>
      <c r="AK660" s="99"/>
      <c r="AL660" s="149"/>
      <c r="AM660" s="99"/>
      <c r="AN660" s="149">
        <v>0</v>
      </c>
      <c r="AO660" s="149">
        <v>1</v>
      </c>
      <c r="AP660" s="149">
        <v>7</v>
      </c>
      <c r="AQ660" s="149">
        <v>0</v>
      </c>
      <c r="AR660" s="149">
        <v>0</v>
      </c>
      <c r="AS660" s="149">
        <v>0</v>
      </c>
      <c r="AT660" s="149">
        <v>0</v>
      </c>
      <c r="AU660" s="149">
        <v>0</v>
      </c>
      <c r="AV660" s="149">
        <v>1</v>
      </c>
      <c r="AW660" s="149">
        <v>7</v>
      </c>
      <c r="AX660" s="149">
        <v>0</v>
      </c>
      <c r="AY660" s="149">
        <v>0</v>
      </c>
      <c r="AZ660" s="149">
        <v>0</v>
      </c>
      <c r="BA660" s="149">
        <v>0</v>
      </c>
      <c r="BB660" s="149">
        <v>0</v>
      </c>
      <c r="BC660" s="149">
        <v>0</v>
      </c>
      <c r="BD660" s="149">
        <v>0</v>
      </c>
      <c r="BE660" s="149">
        <v>0</v>
      </c>
      <c r="BF660" s="149">
        <v>0</v>
      </c>
      <c r="BG660" s="149">
        <v>0</v>
      </c>
      <c r="BH660" s="149">
        <v>0</v>
      </c>
      <c r="BI660" s="149">
        <v>0</v>
      </c>
      <c r="BJ660" s="149">
        <v>0</v>
      </c>
      <c r="BK660" s="149">
        <v>0</v>
      </c>
      <c r="BL660" s="149">
        <v>0</v>
      </c>
      <c r="BM660" s="149">
        <v>0</v>
      </c>
      <c r="BN660" s="149">
        <v>0</v>
      </c>
      <c r="BO660" s="149">
        <v>0</v>
      </c>
      <c r="BP660" s="152"/>
      <c r="BQ660" s="152"/>
      <c r="BR660" s="154" t="s">
        <v>148</v>
      </c>
      <c r="BS660" s="136">
        <v>5</v>
      </c>
      <c r="BT660" s="267"/>
      <c r="BU660" s="267">
        <f>M660</f>
        <v>8</v>
      </c>
      <c r="BV660" s="267"/>
      <c r="BW660" s="267"/>
      <c r="BX660" s="267"/>
      <c r="BY660" s="267"/>
      <c r="BZ660" s="267"/>
      <c r="CA660" s="267"/>
      <c r="CB660" s="267"/>
      <c r="CC660" s="267"/>
      <c r="CD660" s="267"/>
      <c r="CE660" s="267"/>
      <c r="CF660" s="267"/>
      <c r="CG660" s="267"/>
      <c r="CH660" s="267"/>
      <c r="CI660" s="267"/>
      <c r="CJ660" s="267"/>
      <c r="CK660" s="267"/>
      <c r="CL660" s="267"/>
      <c r="CM660" s="267"/>
      <c r="CN660" s="101">
        <f t="shared" si="68"/>
        <v>8</v>
      </c>
      <c r="CO660" s="101">
        <f t="shared" si="69"/>
        <v>8</v>
      </c>
    </row>
    <row r="661" spans="1:93" ht="13.9" customHeight="1" x14ac:dyDescent="0.2">
      <c r="A661" s="149">
        <v>7101</v>
      </c>
      <c r="B661" s="150" t="s">
        <v>854</v>
      </c>
      <c r="C661" s="150" t="s">
        <v>1382</v>
      </c>
      <c r="D661" s="150" t="s">
        <v>1383</v>
      </c>
      <c r="E661" s="150" t="s">
        <v>1396</v>
      </c>
      <c r="F661" s="149">
        <v>526922</v>
      </c>
      <c r="G661" s="149">
        <v>175807</v>
      </c>
      <c r="H661" s="150" t="s">
        <v>162</v>
      </c>
      <c r="I661" s="151">
        <v>44609</v>
      </c>
      <c r="J661" s="151"/>
      <c r="K661" s="149">
        <v>0</v>
      </c>
      <c r="L661" s="149">
        <v>6</v>
      </c>
      <c r="M661" s="149">
        <v>6</v>
      </c>
      <c r="N661" s="149">
        <v>126</v>
      </c>
      <c r="O661" s="149">
        <v>126</v>
      </c>
      <c r="P661" s="152" t="s">
        <v>327</v>
      </c>
      <c r="Q661" s="150" t="s">
        <v>1385</v>
      </c>
      <c r="R661" s="150" t="s">
        <v>342</v>
      </c>
      <c r="S661" s="151">
        <v>44592</v>
      </c>
      <c r="T661" s="151">
        <v>44673</v>
      </c>
      <c r="U661" s="152"/>
      <c r="V661" s="150" t="s">
        <v>330</v>
      </c>
      <c r="W661" s="151"/>
      <c r="X661" s="150" t="s">
        <v>331</v>
      </c>
      <c r="Y661" s="150" t="s">
        <v>343</v>
      </c>
      <c r="Z661" s="150" t="s">
        <v>343</v>
      </c>
      <c r="AA661" s="150" t="s">
        <v>334</v>
      </c>
      <c r="AB661" s="153">
        <v>0</v>
      </c>
      <c r="AC661" s="151">
        <v>44609</v>
      </c>
      <c r="AD661" s="150"/>
      <c r="AE661" s="151"/>
      <c r="AF661" s="150" t="s">
        <v>48</v>
      </c>
      <c r="AG661" s="152" t="s">
        <v>785</v>
      </c>
      <c r="AH661" s="150" t="s">
        <v>326</v>
      </c>
      <c r="AI661" s="99"/>
      <c r="AJ661" s="149"/>
      <c r="AK661" s="99"/>
      <c r="AL661" s="149"/>
      <c r="AM661" s="99"/>
      <c r="AN661" s="149">
        <v>0</v>
      </c>
      <c r="AO661" s="149">
        <v>0</v>
      </c>
      <c r="AP661" s="149">
        <v>2</v>
      </c>
      <c r="AQ661" s="149">
        <v>0</v>
      </c>
      <c r="AR661" s="149">
        <v>4</v>
      </c>
      <c r="AS661" s="149">
        <v>0</v>
      </c>
      <c r="AT661" s="149">
        <v>0</v>
      </c>
      <c r="AU661" s="149">
        <v>0</v>
      </c>
      <c r="AV661" s="149">
        <v>0</v>
      </c>
      <c r="AW661" s="149">
        <v>2</v>
      </c>
      <c r="AX661" s="149">
        <v>0</v>
      </c>
      <c r="AY661" s="149">
        <v>4</v>
      </c>
      <c r="AZ661" s="149">
        <v>0</v>
      </c>
      <c r="BA661" s="149">
        <v>0</v>
      </c>
      <c r="BB661" s="149">
        <v>0</v>
      </c>
      <c r="BC661" s="149">
        <v>0</v>
      </c>
      <c r="BD661" s="149">
        <v>0</v>
      </c>
      <c r="BE661" s="149">
        <v>0</v>
      </c>
      <c r="BF661" s="149">
        <v>0</v>
      </c>
      <c r="BG661" s="149">
        <v>0</v>
      </c>
      <c r="BH661" s="149">
        <v>0</v>
      </c>
      <c r="BI661" s="149">
        <v>0</v>
      </c>
      <c r="BJ661" s="149">
        <v>0</v>
      </c>
      <c r="BK661" s="149">
        <v>0</v>
      </c>
      <c r="BL661" s="149">
        <v>0</v>
      </c>
      <c r="BM661" s="149">
        <v>0</v>
      </c>
      <c r="BN661" s="149">
        <v>0</v>
      </c>
      <c r="BO661" s="149">
        <v>0</v>
      </c>
      <c r="BP661" s="152"/>
      <c r="BQ661" s="152"/>
      <c r="BR661" s="154" t="s">
        <v>148</v>
      </c>
      <c r="BS661" s="136">
        <v>5</v>
      </c>
      <c r="BT661" s="267"/>
      <c r="BU661" s="267">
        <f>M661</f>
        <v>6</v>
      </c>
      <c r="BV661" s="267"/>
      <c r="BW661" s="267"/>
      <c r="BX661" s="267"/>
      <c r="BY661" s="267"/>
      <c r="BZ661" s="267"/>
      <c r="CA661" s="267"/>
      <c r="CB661" s="267"/>
      <c r="CC661" s="267"/>
      <c r="CD661" s="267"/>
      <c r="CE661" s="267"/>
      <c r="CF661" s="267"/>
      <c r="CG661" s="267"/>
      <c r="CH661" s="267"/>
      <c r="CI661" s="267"/>
      <c r="CJ661" s="267"/>
      <c r="CK661" s="267"/>
      <c r="CL661" s="267"/>
      <c r="CM661" s="267"/>
      <c r="CN661" s="101">
        <f t="shared" si="68"/>
        <v>6</v>
      </c>
      <c r="CO661" s="101">
        <f t="shared" si="69"/>
        <v>6</v>
      </c>
    </row>
    <row r="662" spans="1:93" ht="13.9" customHeight="1" x14ac:dyDescent="0.2">
      <c r="A662" s="149">
        <v>3307</v>
      </c>
      <c r="B662" s="150" t="s">
        <v>1216</v>
      </c>
      <c r="C662" s="150" t="s">
        <v>1889</v>
      </c>
      <c r="D662" s="150" t="s">
        <v>1890</v>
      </c>
      <c r="E662" s="150" t="s">
        <v>326</v>
      </c>
      <c r="F662" s="149">
        <v>527098</v>
      </c>
      <c r="G662" s="149">
        <v>171727</v>
      </c>
      <c r="H662" s="150" t="s">
        <v>173</v>
      </c>
      <c r="I662" s="151"/>
      <c r="J662" s="151"/>
      <c r="K662" s="149">
        <v>1</v>
      </c>
      <c r="L662" s="149">
        <v>0</v>
      </c>
      <c r="M662" s="149">
        <v>-1</v>
      </c>
      <c r="N662" s="149">
        <v>0</v>
      </c>
      <c r="O662" s="149">
        <v>-1</v>
      </c>
      <c r="P662" s="152"/>
      <c r="Q662" s="150" t="s">
        <v>1891</v>
      </c>
      <c r="R662" s="150" t="s">
        <v>349</v>
      </c>
      <c r="S662" s="151">
        <v>44361</v>
      </c>
      <c r="T662" s="151">
        <v>44671</v>
      </c>
      <c r="U662" s="152"/>
      <c r="V662" s="150" t="s">
        <v>330</v>
      </c>
      <c r="W662" s="151"/>
      <c r="X662" s="150" t="s">
        <v>331</v>
      </c>
      <c r="Y662" s="150" t="s">
        <v>332</v>
      </c>
      <c r="Z662" s="150" t="s">
        <v>334</v>
      </c>
      <c r="AA662" s="150" t="s">
        <v>399</v>
      </c>
      <c r="AB662" s="153">
        <v>0</v>
      </c>
      <c r="AC662" s="151"/>
      <c r="AD662" s="150"/>
      <c r="AE662" s="151"/>
      <c r="AF662" s="150" t="s">
        <v>70</v>
      </c>
      <c r="AG662" s="152" t="s">
        <v>337</v>
      </c>
      <c r="AH662" s="150" t="s">
        <v>326</v>
      </c>
      <c r="AI662" s="99"/>
      <c r="AJ662" s="149"/>
      <c r="AK662" s="99"/>
      <c r="AL662" s="149"/>
      <c r="AM662" s="99"/>
      <c r="AN662" s="149">
        <v>0</v>
      </c>
      <c r="AO662" s="149">
        <v>0</v>
      </c>
      <c r="AP662" s="149">
        <v>0</v>
      </c>
      <c r="AQ662" s="149">
        <v>0</v>
      </c>
      <c r="AR662" s="149">
        <v>0</v>
      </c>
      <c r="AS662" s="149">
        <v>-1</v>
      </c>
      <c r="AT662" s="149">
        <v>0</v>
      </c>
      <c r="AU662" s="149">
        <v>0</v>
      </c>
      <c r="AV662" s="149">
        <v>0</v>
      </c>
      <c r="AW662" s="149">
        <v>0</v>
      </c>
      <c r="AX662" s="149">
        <v>0</v>
      </c>
      <c r="AY662" s="149">
        <v>0</v>
      </c>
      <c r="AZ662" s="149">
        <v>0</v>
      </c>
      <c r="BA662" s="149">
        <v>0</v>
      </c>
      <c r="BB662" s="149">
        <v>0</v>
      </c>
      <c r="BC662" s="149">
        <v>0</v>
      </c>
      <c r="BD662" s="149">
        <v>0</v>
      </c>
      <c r="BE662" s="149">
        <v>0</v>
      </c>
      <c r="BF662" s="149">
        <v>0</v>
      </c>
      <c r="BG662" s="149">
        <v>-1</v>
      </c>
      <c r="BH662" s="149">
        <v>0</v>
      </c>
      <c r="BI662" s="149">
        <v>0</v>
      </c>
      <c r="BJ662" s="149">
        <v>0</v>
      </c>
      <c r="BK662" s="149">
        <v>0</v>
      </c>
      <c r="BL662" s="149">
        <v>0</v>
      </c>
      <c r="BM662" s="149">
        <v>0</v>
      </c>
      <c r="BN662" s="149">
        <v>0</v>
      </c>
      <c r="BO662" s="149">
        <v>0</v>
      </c>
      <c r="BP662" s="152"/>
      <c r="BQ662" s="152"/>
      <c r="BR662" s="154" t="s">
        <v>359</v>
      </c>
      <c r="BS662" s="136">
        <v>15</v>
      </c>
      <c r="BT662" s="267"/>
      <c r="BU662" s="267">
        <f>M662/4</f>
        <v>-0.25</v>
      </c>
      <c r="BV662" s="267">
        <f t="shared" ref="BV662:BV676" si="77">M662/4</f>
        <v>-0.25</v>
      </c>
      <c r="BW662" s="267">
        <f t="shared" ref="BW662:BW676" si="78">M662/4</f>
        <v>-0.25</v>
      </c>
      <c r="BX662" s="267">
        <f t="shared" ref="BX662:BX676" si="79">M662/4</f>
        <v>-0.25</v>
      </c>
      <c r="BY662" s="267"/>
      <c r="BZ662" s="267"/>
      <c r="CA662" s="267"/>
      <c r="CB662" s="267"/>
      <c r="CC662" s="267"/>
      <c r="CD662" s="267"/>
      <c r="CE662" s="267"/>
      <c r="CF662" s="267"/>
      <c r="CG662" s="267"/>
      <c r="CH662" s="267"/>
      <c r="CI662" s="267"/>
      <c r="CJ662" s="267"/>
      <c r="CK662" s="267"/>
      <c r="CL662" s="267"/>
      <c r="CM662" s="267"/>
      <c r="CN662" s="101">
        <f t="shared" si="68"/>
        <v>-1</v>
      </c>
      <c r="CO662" s="101">
        <f t="shared" si="69"/>
        <v>-1</v>
      </c>
    </row>
    <row r="663" spans="1:93" ht="13.9" customHeight="1" x14ac:dyDescent="0.2">
      <c r="A663" s="149">
        <v>5903</v>
      </c>
      <c r="B663" s="150" t="s">
        <v>1216</v>
      </c>
      <c r="C663" s="150" t="s">
        <v>1892</v>
      </c>
      <c r="D663" s="150" t="s">
        <v>1893</v>
      </c>
      <c r="E663" s="150" t="s">
        <v>326</v>
      </c>
      <c r="F663" s="149">
        <v>525997</v>
      </c>
      <c r="G663" s="149">
        <v>173088</v>
      </c>
      <c r="H663" s="150" t="s">
        <v>175</v>
      </c>
      <c r="I663" s="151"/>
      <c r="J663" s="151"/>
      <c r="K663" s="149">
        <v>1</v>
      </c>
      <c r="L663" s="149">
        <v>1</v>
      </c>
      <c r="M663" s="149">
        <v>0</v>
      </c>
      <c r="N663" s="149">
        <v>1</v>
      </c>
      <c r="O663" s="149">
        <v>0</v>
      </c>
      <c r="P663" s="152"/>
      <c r="Q663" s="150" t="s">
        <v>1894</v>
      </c>
      <c r="R663" s="150" t="s">
        <v>358</v>
      </c>
      <c r="S663" s="151">
        <v>44337</v>
      </c>
      <c r="T663" s="151">
        <v>44390</v>
      </c>
      <c r="U663" s="152"/>
      <c r="V663" s="150" t="s">
        <v>330</v>
      </c>
      <c r="W663" s="151"/>
      <c r="X663" s="150" t="s">
        <v>331</v>
      </c>
      <c r="Y663" s="150" t="s">
        <v>332</v>
      </c>
      <c r="Z663" s="150" t="s">
        <v>334</v>
      </c>
      <c r="AA663" s="150" t="s">
        <v>399</v>
      </c>
      <c r="AB663" s="153">
        <v>1.03E-2</v>
      </c>
      <c r="AC663" s="151"/>
      <c r="AD663" s="150"/>
      <c r="AE663" s="151"/>
      <c r="AF663" s="150" t="s">
        <v>70</v>
      </c>
      <c r="AG663" s="152" t="s">
        <v>337</v>
      </c>
      <c r="AH663" s="150" t="s">
        <v>326</v>
      </c>
      <c r="AI663" s="99"/>
      <c r="AJ663" s="149"/>
      <c r="AK663" s="99"/>
      <c r="AL663" s="149"/>
      <c r="AM663" s="99"/>
      <c r="AN663" s="149">
        <v>0</v>
      </c>
      <c r="AO663" s="149">
        <v>0</v>
      </c>
      <c r="AP663" s="149">
        <v>0</v>
      </c>
      <c r="AQ663" s="149">
        <v>-1</v>
      </c>
      <c r="AR663" s="149">
        <v>1</v>
      </c>
      <c r="AS663" s="149">
        <v>0</v>
      </c>
      <c r="AT663" s="149">
        <v>0</v>
      </c>
      <c r="AU663" s="149">
        <v>0</v>
      </c>
      <c r="AV663" s="149">
        <v>0</v>
      </c>
      <c r="AW663" s="149">
        <v>0</v>
      </c>
      <c r="AX663" s="149">
        <v>-1</v>
      </c>
      <c r="AY663" s="149">
        <v>1</v>
      </c>
      <c r="AZ663" s="149">
        <v>0</v>
      </c>
      <c r="BA663" s="149">
        <v>0</v>
      </c>
      <c r="BB663" s="149">
        <v>0</v>
      </c>
      <c r="BC663" s="149">
        <v>0</v>
      </c>
      <c r="BD663" s="149">
        <v>0</v>
      </c>
      <c r="BE663" s="149">
        <v>0</v>
      </c>
      <c r="BF663" s="149">
        <v>0</v>
      </c>
      <c r="BG663" s="149">
        <v>0</v>
      </c>
      <c r="BH663" s="149">
        <v>0</v>
      </c>
      <c r="BI663" s="149">
        <v>0</v>
      </c>
      <c r="BJ663" s="149">
        <v>0</v>
      </c>
      <c r="BK663" s="149">
        <v>0</v>
      </c>
      <c r="BL663" s="149">
        <v>0</v>
      </c>
      <c r="BM663" s="149">
        <v>0</v>
      </c>
      <c r="BN663" s="149">
        <v>0</v>
      </c>
      <c r="BO663" s="149">
        <v>0</v>
      </c>
      <c r="BP663" s="152"/>
      <c r="BQ663" s="152"/>
      <c r="BR663" s="154" t="s">
        <v>151</v>
      </c>
      <c r="BS663" s="136">
        <v>15</v>
      </c>
      <c r="BT663" s="267"/>
      <c r="BU663" s="267">
        <f>M663/4</f>
        <v>0</v>
      </c>
      <c r="BV663" s="267">
        <f t="shared" si="77"/>
        <v>0</v>
      </c>
      <c r="BW663" s="267">
        <f t="shared" si="78"/>
        <v>0</v>
      </c>
      <c r="BX663" s="267">
        <f t="shared" si="79"/>
        <v>0</v>
      </c>
      <c r="BY663" s="267"/>
      <c r="BZ663" s="267"/>
      <c r="CA663" s="267"/>
      <c r="CB663" s="267"/>
      <c r="CC663" s="267"/>
      <c r="CD663" s="267"/>
      <c r="CE663" s="267"/>
      <c r="CF663" s="267"/>
      <c r="CG663" s="267"/>
      <c r="CH663" s="267"/>
      <c r="CI663" s="267"/>
      <c r="CJ663" s="267"/>
      <c r="CK663" s="267"/>
      <c r="CL663" s="267"/>
      <c r="CM663" s="267"/>
      <c r="CN663" s="101">
        <f t="shared" si="68"/>
        <v>0</v>
      </c>
      <c r="CO663" s="101">
        <f t="shared" si="69"/>
        <v>0</v>
      </c>
    </row>
    <row r="664" spans="1:93" ht="13.9" customHeight="1" x14ac:dyDescent="0.2">
      <c r="A664" s="149">
        <v>2482</v>
      </c>
      <c r="B664" s="150" t="s">
        <v>1216</v>
      </c>
      <c r="C664" s="150" t="s">
        <v>1895</v>
      </c>
      <c r="D664" s="150" t="s">
        <v>1896</v>
      </c>
      <c r="E664" s="150" t="s">
        <v>326</v>
      </c>
      <c r="F664" s="149">
        <v>524517</v>
      </c>
      <c r="G664" s="149">
        <v>175256</v>
      </c>
      <c r="H664" s="150" t="s">
        <v>171</v>
      </c>
      <c r="I664" s="151"/>
      <c r="J664" s="151"/>
      <c r="K664" s="149">
        <v>2</v>
      </c>
      <c r="L664" s="149">
        <v>5</v>
      </c>
      <c r="M664" s="149">
        <v>3</v>
      </c>
      <c r="N664" s="149">
        <v>5</v>
      </c>
      <c r="O664" s="149">
        <v>3</v>
      </c>
      <c r="P664" s="152"/>
      <c r="Q664" s="150" t="s">
        <v>1897</v>
      </c>
      <c r="R664" s="150" t="s">
        <v>349</v>
      </c>
      <c r="S664" s="151">
        <v>44343</v>
      </c>
      <c r="T664" s="151">
        <v>44445</v>
      </c>
      <c r="U664" s="152"/>
      <c r="V664" s="150" t="s">
        <v>330</v>
      </c>
      <c r="W664" s="151"/>
      <c r="X664" s="150" t="s">
        <v>331</v>
      </c>
      <c r="Y664" s="150" t="s">
        <v>398</v>
      </c>
      <c r="Z664" s="150" t="s">
        <v>334</v>
      </c>
      <c r="AA664" s="150" t="s">
        <v>26</v>
      </c>
      <c r="AB664" s="153">
        <v>7.7999999999999996E-3</v>
      </c>
      <c r="AC664" s="151"/>
      <c r="AD664" s="150"/>
      <c r="AE664" s="151"/>
      <c r="AF664" s="150" t="s">
        <v>70</v>
      </c>
      <c r="AG664" s="152" t="s">
        <v>337</v>
      </c>
      <c r="AH664" s="150" t="s">
        <v>326</v>
      </c>
      <c r="AI664" s="99"/>
      <c r="AJ664" s="149"/>
      <c r="AK664" s="99"/>
      <c r="AL664" s="149"/>
      <c r="AM664" s="99"/>
      <c r="AN664" s="149">
        <v>1</v>
      </c>
      <c r="AO664" s="149">
        <v>3</v>
      </c>
      <c r="AP664" s="149">
        <v>-1</v>
      </c>
      <c r="AQ664" s="149">
        <v>0</v>
      </c>
      <c r="AR664" s="149">
        <v>0</v>
      </c>
      <c r="AS664" s="149">
        <v>0</v>
      </c>
      <c r="AT664" s="149">
        <v>0</v>
      </c>
      <c r="AU664" s="149">
        <v>1</v>
      </c>
      <c r="AV664" s="149">
        <v>3</v>
      </c>
      <c r="AW664" s="149">
        <v>-1</v>
      </c>
      <c r="AX664" s="149">
        <v>0</v>
      </c>
      <c r="AY664" s="149">
        <v>0</v>
      </c>
      <c r="AZ664" s="149">
        <v>0</v>
      </c>
      <c r="BA664" s="149">
        <v>0</v>
      </c>
      <c r="BB664" s="149">
        <v>0</v>
      </c>
      <c r="BC664" s="149">
        <v>0</v>
      </c>
      <c r="BD664" s="149">
        <v>0</v>
      </c>
      <c r="BE664" s="149">
        <v>0</v>
      </c>
      <c r="BF664" s="149">
        <v>0</v>
      </c>
      <c r="BG664" s="149">
        <v>0</v>
      </c>
      <c r="BH664" s="149">
        <v>0</v>
      </c>
      <c r="BI664" s="149">
        <v>0</v>
      </c>
      <c r="BJ664" s="149">
        <v>0</v>
      </c>
      <c r="BK664" s="149">
        <v>0</v>
      </c>
      <c r="BL664" s="149">
        <v>0</v>
      </c>
      <c r="BM664" s="149">
        <v>0</v>
      </c>
      <c r="BN664" s="149">
        <v>0</v>
      </c>
      <c r="BO664" s="149">
        <v>0</v>
      </c>
      <c r="BP664" s="152"/>
      <c r="BQ664" s="152"/>
      <c r="BR664" s="154" t="s">
        <v>359</v>
      </c>
      <c r="BS664" s="136">
        <v>15</v>
      </c>
      <c r="BT664" s="267"/>
      <c r="BU664" s="267">
        <f>M664/4</f>
        <v>0.75</v>
      </c>
      <c r="BV664" s="267">
        <f t="shared" si="77"/>
        <v>0.75</v>
      </c>
      <c r="BW664" s="267">
        <f t="shared" si="78"/>
        <v>0.75</v>
      </c>
      <c r="BX664" s="267">
        <f t="shared" si="79"/>
        <v>0.75</v>
      </c>
      <c r="BY664" s="267"/>
      <c r="BZ664" s="267"/>
      <c r="CA664" s="267"/>
      <c r="CB664" s="267"/>
      <c r="CC664" s="267"/>
      <c r="CD664" s="267"/>
      <c r="CE664" s="267"/>
      <c r="CF664" s="267"/>
      <c r="CG664" s="267"/>
      <c r="CH664" s="267"/>
      <c r="CI664" s="267"/>
      <c r="CJ664" s="267"/>
      <c r="CK664" s="267"/>
      <c r="CL664" s="267"/>
      <c r="CM664" s="267"/>
      <c r="CN664" s="101">
        <f t="shared" si="68"/>
        <v>3</v>
      </c>
      <c r="CO664" s="101">
        <f t="shared" si="69"/>
        <v>3</v>
      </c>
    </row>
    <row r="665" spans="1:93" ht="13.9" customHeight="1" x14ac:dyDescent="0.2">
      <c r="A665" s="149">
        <v>1242</v>
      </c>
      <c r="B665" s="150" t="s">
        <v>1216</v>
      </c>
      <c r="C665" s="150" t="s">
        <v>1898</v>
      </c>
      <c r="D665" s="150" t="s">
        <v>1899</v>
      </c>
      <c r="E665" s="150" t="s">
        <v>326</v>
      </c>
      <c r="F665" s="149">
        <v>526084</v>
      </c>
      <c r="G665" s="149">
        <v>173269</v>
      </c>
      <c r="H665" s="150" t="s">
        <v>175</v>
      </c>
      <c r="I665" s="151"/>
      <c r="J665" s="151"/>
      <c r="K665" s="149">
        <v>1</v>
      </c>
      <c r="L665" s="149">
        <v>2</v>
      </c>
      <c r="M665" s="149">
        <v>1</v>
      </c>
      <c r="N665" s="149">
        <v>2</v>
      </c>
      <c r="O665" s="149">
        <v>1</v>
      </c>
      <c r="P665" s="152"/>
      <c r="Q665" s="150" t="s">
        <v>1900</v>
      </c>
      <c r="R665" s="150" t="s">
        <v>427</v>
      </c>
      <c r="S665" s="151">
        <v>44382</v>
      </c>
      <c r="T665" s="151">
        <v>44431</v>
      </c>
      <c r="U665" s="152"/>
      <c r="V665" s="150" t="s">
        <v>330</v>
      </c>
      <c r="W665" s="151"/>
      <c r="X665" s="150" t="s">
        <v>331</v>
      </c>
      <c r="Y665" s="150" t="s">
        <v>332</v>
      </c>
      <c r="Z665" s="150" t="s">
        <v>334</v>
      </c>
      <c r="AA665" s="150" t="s">
        <v>26</v>
      </c>
      <c r="AB665" s="153">
        <v>9.8665999999999997E-3</v>
      </c>
      <c r="AC665" s="151"/>
      <c r="AD665" s="150"/>
      <c r="AE665" s="151"/>
      <c r="AF665" s="150" t="s">
        <v>70</v>
      </c>
      <c r="AG665" s="152" t="s">
        <v>352</v>
      </c>
      <c r="AH665" s="150" t="s">
        <v>326</v>
      </c>
      <c r="AI665" s="99"/>
      <c r="AJ665" s="149"/>
      <c r="AK665" s="99"/>
      <c r="AL665" s="149"/>
      <c r="AM665" s="99"/>
      <c r="AN665" s="149">
        <v>0</v>
      </c>
      <c r="AO665" s="149">
        <v>1</v>
      </c>
      <c r="AP665" s="149">
        <v>0</v>
      </c>
      <c r="AQ665" s="149">
        <v>0</v>
      </c>
      <c r="AR665" s="149">
        <v>0</v>
      </c>
      <c r="AS665" s="149">
        <v>0</v>
      </c>
      <c r="AT665" s="149">
        <v>0</v>
      </c>
      <c r="AU665" s="149">
        <v>0</v>
      </c>
      <c r="AV665" s="149">
        <v>1</v>
      </c>
      <c r="AW665" s="149">
        <v>0</v>
      </c>
      <c r="AX665" s="149">
        <v>0</v>
      </c>
      <c r="AY665" s="149">
        <v>0</v>
      </c>
      <c r="AZ665" s="149">
        <v>0</v>
      </c>
      <c r="BA665" s="149">
        <v>0</v>
      </c>
      <c r="BB665" s="149">
        <v>0</v>
      </c>
      <c r="BC665" s="149">
        <v>0</v>
      </c>
      <c r="BD665" s="149">
        <v>0</v>
      </c>
      <c r="BE665" s="149">
        <v>0</v>
      </c>
      <c r="BF665" s="149">
        <v>0</v>
      </c>
      <c r="BG665" s="149">
        <v>0</v>
      </c>
      <c r="BH665" s="149">
        <v>0</v>
      </c>
      <c r="BI665" s="149">
        <v>0</v>
      </c>
      <c r="BJ665" s="149">
        <v>0</v>
      </c>
      <c r="BK665" s="149">
        <v>0</v>
      </c>
      <c r="BL665" s="149">
        <v>0</v>
      </c>
      <c r="BM665" s="149">
        <v>0</v>
      </c>
      <c r="BN665" s="149">
        <v>0</v>
      </c>
      <c r="BO665" s="149">
        <v>0</v>
      </c>
      <c r="BP665" s="152"/>
      <c r="BQ665" s="152"/>
      <c r="BR665" s="154" t="s">
        <v>359</v>
      </c>
      <c r="BS665" s="136">
        <v>15</v>
      </c>
      <c r="BT665" s="267"/>
      <c r="BU665" s="267">
        <f>M665/4</f>
        <v>0.25</v>
      </c>
      <c r="BV665" s="267">
        <f t="shared" si="77"/>
        <v>0.25</v>
      </c>
      <c r="BW665" s="267">
        <f t="shared" si="78"/>
        <v>0.25</v>
      </c>
      <c r="BX665" s="267">
        <f t="shared" si="79"/>
        <v>0.25</v>
      </c>
      <c r="BY665" s="267"/>
      <c r="BZ665" s="267"/>
      <c r="CA665" s="267"/>
      <c r="CB665" s="267"/>
      <c r="CC665" s="267"/>
      <c r="CD665" s="267"/>
      <c r="CE665" s="267"/>
      <c r="CF665" s="267"/>
      <c r="CG665" s="267"/>
      <c r="CH665" s="267"/>
      <c r="CI665" s="267"/>
      <c r="CJ665" s="267"/>
      <c r="CK665" s="267"/>
      <c r="CL665" s="267"/>
      <c r="CM665" s="267"/>
      <c r="CN665" s="101">
        <f t="shared" si="68"/>
        <v>1</v>
      </c>
      <c r="CO665" s="101">
        <f t="shared" si="69"/>
        <v>1</v>
      </c>
    </row>
    <row r="666" spans="1:93" ht="13.9" customHeight="1" x14ac:dyDescent="0.2">
      <c r="A666" s="149">
        <v>6995</v>
      </c>
      <c r="B666" s="150" t="s">
        <v>1216</v>
      </c>
      <c r="C666" s="150" t="s">
        <v>1901</v>
      </c>
      <c r="D666" s="150" t="s">
        <v>1902</v>
      </c>
      <c r="E666" s="150" t="s">
        <v>326</v>
      </c>
      <c r="F666" s="149">
        <v>527398</v>
      </c>
      <c r="G666" s="149">
        <v>171432</v>
      </c>
      <c r="H666" s="150" t="s">
        <v>173</v>
      </c>
      <c r="I666" s="151"/>
      <c r="J666" s="151"/>
      <c r="K666" s="149">
        <v>1</v>
      </c>
      <c r="L666" s="149">
        <v>4</v>
      </c>
      <c r="M666" s="149">
        <v>3</v>
      </c>
      <c r="N666" s="149">
        <v>4</v>
      </c>
      <c r="O666" s="149">
        <v>3</v>
      </c>
      <c r="P666" s="152"/>
      <c r="Q666" s="150" t="s">
        <v>1903</v>
      </c>
      <c r="R666" s="150" t="s">
        <v>349</v>
      </c>
      <c r="S666" s="151">
        <v>44354</v>
      </c>
      <c r="T666" s="151">
        <v>44463</v>
      </c>
      <c r="U666" s="152"/>
      <c r="V666" s="150" t="s">
        <v>330</v>
      </c>
      <c r="W666" s="151"/>
      <c r="X666" s="150" t="s">
        <v>331</v>
      </c>
      <c r="Y666" s="150" t="s">
        <v>398</v>
      </c>
      <c r="Z666" s="150" t="s">
        <v>334</v>
      </c>
      <c r="AA666" s="150" t="s">
        <v>26</v>
      </c>
      <c r="AB666" s="153">
        <v>5.2750000000000002E-3</v>
      </c>
      <c r="AC666" s="151"/>
      <c r="AD666" s="150"/>
      <c r="AE666" s="151"/>
      <c r="AF666" s="150" t="s">
        <v>70</v>
      </c>
      <c r="AG666" s="152" t="s">
        <v>352</v>
      </c>
      <c r="AH666" s="150" t="s">
        <v>326</v>
      </c>
      <c r="AI666" s="99"/>
      <c r="AJ666" s="149"/>
      <c r="AK666" s="99"/>
      <c r="AL666" s="149"/>
      <c r="AM666" s="99"/>
      <c r="AN666" s="149">
        <v>1</v>
      </c>
      <c r="AO666" s="149">
        <v>1</v>
      </c>
      <c r="AP666" s="149">
        <v>1</v>
      </c>
      <c r="AQ666" s="149">
        <v>0</v>
      </c>
      <c r="AR666" s="149">
        <v>0</v>
      </c>
      <c r="AS666" s="149">
        <v>0</v>
      </c>
      <c r="AT666" s="149">
        <v>0</v>
      </c>
      <c r="AU666" s="149">
        <v>1</v>
      </c>
      <c r="AV666" s="149">
        <v>1</v>
      </c>
      <c r="AW666" s="149">
        <v>1</v>
      </c>
      <c r="AX666" s="149">
        <v>0</v>
      </c>
      <c r="AY666" s="149">
        <v>0</v>
      </c>
      <c r="AZ666" s="149">
        <v>0</v>
      </c>
      <c r="BA666" s="149">
        <v>0</v>
      </c>
      <c r="BB666" s="149">
        <v>0</v>
      </c>
      <c r="BC666" s="149">
        <v>0</v>
      </c>
      <c r="BD666" s="149">
        <v>0</v>
      </c>
      <c r="BE666" s="149">
        <v>0</v>
      </c>
      <c r="BF666" s="149">
        <v>0</v>
      </c>
      <c r="BG666" s="149">
        <v>0</v>
      </c>
      <c r="BH666" s="149">
        <v>0</v>
      </c>
      <c r="BI666" s="149">
        <v>0</v>
      </c>
      <c r="BJ666" s="149">
        <v>0</v>
      </c>
      <c r="BK666" s="149">
        <v>0</v>
      </c>
      <c r="BL666" s="149">
        <v>0</v>
      </c>
      <c r="BM666" s="149">
        <v>0</v>
      </c>
      <c r="BN666" s="149">
        <v>0</v>
      </c>
      <c r="BO666" s="149">
        <v>0</v>
      </c>
      <c r="BP666" s="152" t="s">
        <v>142</v>
      </c>
      <c r="BQ666" s="152"/>
      <c r="BR666" s="154" t="s">
        <v>142</v>
      </c>
      <c r="BS666" s="136">
        <v>15</v>
      </c>
      <c r="BT666" s="267"/>
      <c r="BU666" s="267">
        <f>M666/4</f>
        <v>0.75</v>
      </c>
      <c r="BV666" s="267">
        <f t="shared" si="77"/>
        <v>0.75</v>
      </c>
      <c r="BW666" s="267">
        <f t="shared" si="78"/>
        <v>0.75</v>
      </c>
      <c r="BX666" s="267">
        <f t="shared" si="79"/>
        <v>0.75</v>
      </c>
      <c r="BY666" s="267"/>
      <c r="BZ666" s="267"/>
      <c r="CA666" s="267"/>
      <c r="CB666" s="267"/>
      <c r="CC666" s="267"/>
      <c r="CD666" s="267"/>
      <c r="CE666" s="267"/>
      <c r="CF666" s="267"/>
      <c r="CG666" s="267"/>
      <c r="CH666" s="267"/>
      <c r="CI666" s="267"/>
      <c r="CJ666" s="267"/>
      <c r="CK666" s="267"/>
      <c r="CL666" s="267"/>
      <c r="CM666" s="267"/>
      <c r="CN666" s="101">
        <f t="shared" si="68"/>
        <v>3</v>
      </c>
      <c r="CO666" s="101">
        <f t="shared" si="69"/>
        <v>3</v>
      </c>
    </row>
    <row r="667" spans="1:93" ht="13.9" customHeight="1" x14ac:dyDescent="0.2">
      <c r="A667" s="149">
        <v>7233</v>
      </c>
      <c r="B667" s="150" t="s">
        <v>1216</v>
      </c>
      <c r="C667" s="150" t="s">
        <v>1904</v>
      </c>
      <c r="D667" s="150" t="s">
        <v>987</v>
      </c>
      <c r="E667" s="150" t="s">
        <v>326</v>
      </c>
      <c r="F667" s="149">
        <v>527787</v>
      </c>
      <c r="G667" s="149">
        <v>174343</v>
      </c>
      <c r="H667" s="150" t="s">
        <v>165</v>
      </c>
      <c r="I667" s="151"/>
      <c r="J667" s="151"/>
      <c r="K667" s="149">
        <v>0</v>
      </c>
      <c r="L667" s="149">
        <v>1</v>
      </c>
      <c r="M667" s="149">
        <v>1</v>
      </c>
      <c r="N667" s="149">
        <v>1</v>
      </c>
      <c r="O667" s="149">
        <v>1</v>
      </c>
      <c r="P667" s="152"/>
      <c r="Q667" s="150" t="s">
        <v>1905</v>
      </c>
      <c r="R667" s="150" t="s">
        <v>349</v>
      </c>
      <c r="S667" s="151">
        <v>44350</v>
      </c>
      <c r="T667" s="151">
        <v>44434</v>
      </c>
      <c r="U667" s="152"/>
      <c r="V667" s="150" t="s">
        <v>330</v>
      </c>
      <c r="W667" s="151"/>
      <c r="X667" s="150" t="s">
        <v>331</v>
      </c>
      <c r="Y667" s="150" t="s">
        <v>343</v>
      </c>
      <c r="Z667" s="150" t="s">
        <v>334</v>
      </c>
      <c r="AA667" s="150" t="s">
        <v>363</v>
      </c>
      <c r="AB667" s="153">
        <v>3.0000000000000001E-3</v>
      </c>
      <c r="AC667" s="151"/>
      <c r="AD667" s="150"/>
      <c r="AE667" s="151"/>
      <c r="AF667" s="150" t="s">
        <v>70</v>
      </c>
      <c r="AG667" s="152" t="s">
        <v>352</v>
      </c>
      <c r="AH667" s="150" t="s">
        <v>326</v>
      </c>
      <c r="AI667" s="99"/>
      <c r="AJ667" s="149"/>
      <c r="AK667" s="99"/>
      <c r="AL667" s="149"/>
      <c r="AM667" s="99"/>
      <c r="AN667" s="149">
        <v>0</v>
      </c>
      <c r="AO667" s="149">
        <v>0</v>
      </c>
      <c r="AP667" s="149">
        <v>0</v>
      </c>
      <c r="AQ667" s="149">
        <v>1</v>
      </c>
      <c r="AR667" s="149">
        <v>0</v>
      </c>
      <c r="AS667" s="149">
        <v>0</v>
      </c>
      <c r="AT667" s="149">
        <v>0</v>
      </c>
      <c r="AU667" s="149">
        <v>0</v>
      </c>
      <c r="AV667" s="149">
        <v>0</v>
      </c>
      <c r="AW667" s="149">
        <v>0</v>
      </c>
      <c r="AX667" s="149">
        <v>0</v>
      </c>
      <c r="AY667" s="149">
        <v>0</v>
      </c>
      <c r="AZ667" s="149">
        <v>0</v>
      </c>
      <c r="BA667" s="149">
        <v>0</v>
      </c>
      <c r="BB667" s="149">
        <v>0</v>
      </c>
      <c r="BC667" s="149">
        <v>0</v>
      </c>
      <c r="BD667" s="149">
        <v>0</v>
      </c>
      <c r="BE667" s="149">
        <v>1</v>
      </c>
      <c r="BF667" s="149">
        <v>0</v>
      </c>
      <c r="BG667" s="149">
        <v>0</v>
      </c>
      <c r="BH667" s="149">
        <v>0</v>
      </c>
      <c r="BI667" s="149">
        <v>0</v>
      </c>
      <c r="BJ667" s="149">
        <v>0</v>
      </c>
      <c r="BK667" s="149">
        <v>0</v>
      </c>
      <c r="BL667" s="149">
        <v>0</v>
      </c>
      <c r="BM667" s="149">
        <v>0</v>
      </c>
      <c r="BN667" s="149">
        <v>0</v>
      </c>
      <c r="BO667" s="149">
        <v>0</v>
      </c>
      <c r="BP667" s="152"/>
      <c r="BQ667" s="152"/>
      <c r="BR667" s="154" t="s">
        <v>359</v>
      </c>
      <c r="BS667" s="136">
        <v>7</v>
      </c>
      <c r="BT667" s="267"/>
      <c r="BU667" s="267"/>
      <c r="BV667" s="267">
        <f t="shared" si="77"/>
        <v>0.25</v>
      </c>
      <c r="BW667" s="267">
        <f t="shared" si="78"/>
        <v>0.25</v>
      </c>
      <c r="BX667" s="267">
        <f t="shared" si="79"/>
        <v>0.25</v>
      </c>
      <c r="BY667" s="267">
        <f>M667/4</f>
        <v>0.25</v>
      </c>
      <c r="BZ667" s="267"/>
      <c r="CA667" s="267"/>
      <c r="CB667" s="267"/>
      <c r="CC667" s="267"/>
      <c r="CD667" s="267"/>
      <c r="CE667" s="267"/>
      <c r="CF667" s="267"/>
      <c r="CG667" s="267"/>
      <c r="CH667" s="267"/>
      <c r="CI667" s="267"/>
      <c r="CJ667" s="267"/>
      <c r="CK667" s="267"/>
      <c r="CL667" s="267"/>
      <c r="CM667" s="267"/>
      <c r="CN667" s="101">
        <f t="shared" si="68"/>
        <v>1</v>
      </c>
      <c r="CO667" s="101">
        <f t="shared" si="69"/>
        <v>1</v>
      </c>
    </row>
    <row r="668" spans="1:93" ht="13.9" customHeight="1" x14ac:dyDescent="0.2">
      <c r="A668" s="149">
        <v>7514</v>
      </c>
      <c r="B668" s="150" t="s">
        <v>1216</v>
      </c>
      <c r="C668" s="150" t="s">
        <v>1906</v>
      </c>
      <c r="D668" s="150" t="s">
        <v>1907</v>
      </c>
      <c r="E668" s="150" t="s">
        <v>326</v>
      </c>
      <c r="F668" s="149">
        <v>526762</v>
      </c>
      <c r="G668" s="149">
        <v>175172</v>
      </c>
      <c r="H668" s="150" t="s">
        <v>177</v>
      </c>
      <c r="I668" s="151"/>
      <c r="J668" s="151"/>
      <c r="K668" s="149">
        <v>0</v>
      </c>
      <c r="L668" s="149">
        <v>1</v>
      </c>
      <c r="M668" s="149">
        <v>1</v>
      </c>
      <c r="N668" s="149">
        <v>1</v>
      </c>
      <c r="O668" s="149">
        <v>1</v>
      </c>
      <c r="P668" s="152"/>
      <c r="Q668" s="150" t="s">
        <v>1908</v>
      </c>
      <c r="R668" s="150" t="s">
        <v>349</v>
      </c>
      <c r="S668" s="151">
        <v>44351</v>
      </c>
      <c r="T668" s="151">
        <v>44411</v>
      </c>
      <c r="U668" s="152"/>
      <c r="V668" s="150" t="s">
        <v>330</v>
      </c>
      <c r="W668" s="151"/>
      <c r="X668" s="150" t="s">
        <v>331</v>
      </c>
      <c r="Y668" s="150" t="s">
        <v>491</v>
      </c>
      <c r="Z668" s="150" t="s">
        <v>334</v>
      </c>
      <c r="AA668" s="150" t="s">
        <v>413</v>
      </c>
      <c r="AB668" s="153">
        <v>6.0000000000000001E-3</v>
      </c>
      <c r="AC668" s="151"/>
      <c r="AD668" s="150"/>
      <c r="AE668" s="151"/>
      <c r="AF668" s="150" t="s">
        <v>70</v>
      </c>
      <c r="AG668" s="152" t="s">
        <v>352</v>
      </c>
      <c r="AH668" s="150" t="s">
        <v>326</v>
      </c>
      <c r="AI668" s="99"/>
      <c r="AJ668" s="149"/>
      <c r="AK668" s="99"/>
      <c r="AL668" s="149"/>
      <c r="AM668" s="99"/>
      <c r="AN668" s="149">
        <v>0</v>
      </c>
      <c r="AO668" s="149">
        <v>1</v>
      </c>
      <c r="AP668" s="149">
        <v>0</v>
      </c>
      <c r="AQ668" s="149">
        <v>0</v>
      </c>
      <c r="AR668" s="149">
        <v>0</v>
      </c>
      <c r="AS668" s="149">
        <v>0</v>
      </c>
      <c r="AT668" s="149">
        <v>0</v>
      </c>
      <c r="AU668" s="149">
        <v>0</v>
      </c>
      <c r="AV668" s="149">
        <v>1</v>
      </c>
      <c r="AW668" s="149">
        <v>0</v>
      </c>
      <c r="AX668" s="149">
        <v>0</v>
      </c>
      <c r="AY668" s="149">
        <v>0</v>
      </c>
      <c r="AZ668" s="149">
        <v>0</v>
      </c>
      <c r="BA668" s="149">
        <v>0</v>
      </c>
      <c r="BB668" s="149">
        <v>0</v>
      </c>
      <c r="BC668" s="149">
        <v>0</v>
      </c>
      <c r="BD668" s="149">
        <v>0</v>
      </c>
      <c r="BE668" s="149">
        <v>0</v>
      </c>
      <c r="BF668" s="149">
        <v>0</v>
      </c>
      <c r="BG668" s="149">
        <v>0</v>
      </c>
      <c r="BH668" s="149">
        <v>0</v>
      </c>
      <c r="BI668" s="149">
        <v>0</v>
      </c>
      <c r="BJ668" s="149">
        <v>0</v>
      </c>
      <c r="BK668" s="149">
        <v>0</v>
      </c>
      <c r="BL668" s="149">
        <v>0</v>
      </c>
      <c r="BM668" s="149">
        <v>0</v>
      </c>
      <c r="BN668" s="149">
        <v>0</v>
      </c>
      <c r="BO668" s="149">
        <v>0</v>
      </c>
      <c r="BP668" s="152"/>
      <c r="BQ668" s="152"/>
      <c r="BR668" s="154" t="s">
        <v>359</v>
      </c>
      <c r="BS668" s="136">
        <v>15</v>
      </c>
      <c r="BT668" s="267"/>
      <c r="BU668" s="267">
        <f t="shared" ref="BU668:BU676" si="80">M668/4</f>
        <v>0.25</v>
      </c>
      <c r="BV668" s="267">
        <f t="shared" si="77"/>
        <v>0.25</v>
      </c>
      <c r="BW668" s="267">
        <f t="shared" si="78"/>
        <v>0.25</v>
      </c>
      <c r="BX668" s="267">
        <f t="shared" si="79"/>
        <v>0.25</v>
      </c>
      <c r="BY668" s="267"/>
      <c r="BZ668" s="267"/>
      <c r="CA668" s="267"/>
      <c r="CB668" s="267"/>
      <c r="CC668" s="267"/>
      <c r="CD668" s="267"/>
      <c r="CE668" s="267"/>
      <c r="CF668" s="267"/>
      <c r="CG668" s="267"/>
      <c r="CH668" s="267"/>
      <c r="CI668" s="267"/>
      <c r="CJ668" s="267"/>
      <c r="CK668" s="267"/>
      <c r="CL668" s="267"/>
      <c r="CM668" s="267"/>
      <c r="CN668" s="101">
        <f t="shared" si="68"/>
        <v>1</v>
      </c>
      <c r="CO668" s="101">
        <f t="shared" si="69"/>
        <v>1</v>
      </c>
    </row>
    <row r="669" spans="1:93" ht="13.9" customHeight="1" x14ac:dyDescent="0.2">
      <c r="A669" s="149">
        <v>7641</v>
      </c>
      <c r="B669" s="150" t="s">
        <v>1216</v>
      </c>
      <c r="C669" s="150" t="s">
        <v>1909</v>
      </c>
      <c r="D669" s="150" t="s">
        <v>1910</v>
      </c>
      <c r="E669" s="150" t="s">
        <v>326</v>
      </c>
      <c r="F669" s="149">
        <v>524772</v>
      </c>
      <c r="G669" s="149">
        <v>173253</v>
      </c>
      <c r="H669" s="150" t="s">
        <v>169</v>
      </c>
      <c r="I669" s="151"/>
      <c r="J669" s="151"/>
      <c r="K669" s="149">
        <v>0</v>
      </c>
      <c r="L669" s="149">
        <v>1</v>
      </c>
      <c r="M669" s="149">
        <v>1</v>
      </c>
      <c r="N669" s="149">
        <v>1</v>
      </c>
      <c r="O669" s="149">
        <v>1</v>
      </c>
      <c r="P669" s="152"/>
      <c r="Q669" s="150" t="s">
        <v>1911</v>
      </c>
      <c r="R669" s="150" t="s">
        <v>427</v>
      </c>
      <c r="S669" s="151">
        <v>44341</v>
      </c>
      <c r="T669" s="151">
        <v>44392</v>
      </c>
      <c r="U669" s="152"/>
      <c r="V669" s="150" t="s">
        <v>330</v>
      </c>
      <c r="W669" s="151"/>
      <c r="X669" s="150" t="s">
        <v>331</v>
      </c>
      <c r="Y669" s="150" t="s">
        <v>332</v>
      </c>
      <c r="Z669" s="150" t="s">
        <v>334</v>
      </c>
      <c r="AA669" s="150" t="s">
        <v>29</v>
      </c>
      <c r="AB669" s="153">
        <v>5.0000000000000001E-3</v>
      </c>
      <c r="AC669" s="151"/>
      <c r="AD669" s="150"/>
      <c r="AE669" s="151"/>
      <c r="AF669" s="150" t="s">
        <v>70</v>
      </c>
      <c r="AG669" s="152" t="s">
        <v>352</v>
      </c>
      <c r="AH669" s="150" t="s">
        <v>326</v>
      </c>
      <c r="AI669" s="99"/>
      <c r="AJ669" s="149"/>
      <c r="AK669" s="99"/>
      <c r="AL669" s="149"/>
      <c r="AM669" s="99"/>
      <c r="AN669" s="149">
        <v>0</v>
      </c>
      <c r="AO669" s="149">
        <v>0</v>
      </c>
      <c r="AP669" s="149">
        <v>0</v>
      </c>
      <c r="AQ669" s="149">
        <v>1</v>
      </c>
      <c r="AR669" s="149">
        <v>0</v>
      </c>
      <c r="AS669" s="149">
        <v>0</v>
      </c>
      <c r="AT669" s="149">
        <v>0</v>
      </c>
      <c r="AU669" s="149">
        <v>0</v>
      </c>
      <c r="AV669" s="149">
        <v>0</v>
      </c>
      <c r="AW669" s="149">
        <v>0</v>
      </c>
      <c r="AX669" s="149">
        <v>0</v>
      </c>
      <c r="AY669" s="149">
        <v>0</v>
      </c>
      <c r="AZ669" s="149">
        <v>0</v>
      </c>
      <c r="BA669" s="149">
        <v>0</v>
      </c>
      <c r="BB669" s="149">
        <v>0</v>
      </c>
      <c r="BC669" s="149">
        <v>0</v>
      </c>
      <c r="BD669" s="149">
        <v>0</v>
      </c>
      <c r="BE669" s="149">
        <v>1</v>
      </c>
      <c r="BF669" s="149">
        <v>0</v>
      </c>
      <c r="BG669" s="149">
        <v>0</v>
      </c>
      <c r="BH669" s="149">
        <v>0</v>
      </c>
      <c r="BI669" s="149">
        <v>0</v>
      </c>
      <c r="BJ669" s="149">
        <v>0</v>
      </c>
      <c r="BK669" s="149">
        <v>0</v>
      </c>
      <c r="BL669" s="149">
        <v>0</v>
      </c>
      <c r="BM669" s="149">
        <v>0</v>
      </c>
      <c r="BN669" s="149">
        <v>0</v>
      </c>
      <c r="BO669" s="149">
        <v>0</v>
      </c>
      <c r="BP669" s="152"/>
      <c r="BQ669" s="152"/>
      <c r="BR669" s="154" t="s">
        <v>359</v>
      </c>
      <c r="BS669" s="136">
        <v>15</v>
      </c>
      <c r="BT669" s="267"/>
      <c r="BU669" s="267">
        <f t="shared" si="80"/>
        <v>0.25</v>
      </c>
      <c r="BV669" s="267">
        <f t="shared" si="77"/>
        <v>0.25</v>
      </c>
      <c r="BW669" s="267">
        <f t="shared" si="78"/>
        <v>0.25</v>
      </c>
      <c r="BX669" s="267">
        <f t="shared" si="79"/>
        <v>0.25</v>
      </c>
      <c r="BY669" s="267"/>
      <c r="BZ669" s="267"/>
      <c r="CA669" s="267"/>
      <c r="CB669" s="267"/>
      <c r="CC669" s="267"/>
      <c r="CD669" s="267"/>
      <c r="CE669" s="267"/>
      <c r="CF669" s="267"/>
      <c r="CG669" s="267"/>
      <c r="CH669" s="267"/>
      <c r="CI669" s="267"/>
      <c r="CJ669" s="267"/>
      <c r="CK669" s="267"/>
      <c r="CL669" s="267"/>
      <c r="CM669" s="267"/>
      <c r="CN669" s="101">
        <f t="shared" si="68"/>
        <v>1</v>
      </c>
      <c r="CO669" s="101">
        <f t="shared" si="69"/>
        <v>1</v>
      </c>
    </row>
    <row r="670" spans="1:93" ht="13.9" customHeight="1" x14ac:dyDescent="0.2">
      <c r="A670" s="149">
        <v>7399</v>
      </c>
      <c r="B670" s="150" t="s">
        <v>1216</v>
      </c>
      <c r="C670" s="150" t="s">
        <v>1912</v>
      </c>
      <c r="D670" s="150" t="s">
        <v>1763</v>
      </c>
      <c r="E670" s="150" t="s">
        <v>326</v>
      </c>
      <c r="F670" s="149">
        <v>527815</v>
      </c>
      <c r="G670" s="149">
        <v>174573</v>
      </c>
      <c r="H670" s="150" t="s">
        <v>165</v>
      </c>
      <c r="I670" s="151"/>
      <c r="J670" s="151"/>
      <c r="K670" s="149">
        <v>1</v>
      </c>
      <c r="L670" s="149">
        <v>2</v>
      </c>
      <c r="M670" s="149">
        <v>1</v>
      </c>
      <c r="N670" s="149">
        <v>2</v>
      </c>
      <c r="O670" s="149">
        <v>1</v>
      </c>
      <c r="P670" s="152"/>
      <c r="Q670" s="150" t="s">
        <v>1913</v>
      </c>
      <c r="R670" s="150" t="s">
        <v>349</v>
      </c>
      <c r="S670" s="151">
        <v>44370</v>
      </c>
      <c r="T670" s="151">
        <v>44424</v>
      </c>
      <c r="U670" s="152"/>
      <c r="V670" s="150" t="s">
        <v>330</v>
      </c>
      <c r="W670" s="151"/>
      <c r="X670" s="150" t="s">
        <v>331</v>
      </c>
      <c r="Y670" s="150" t="s">
        <v>398</v>
      </c>
      <c r="Z670" s="150" t="s">
        <v>334</v>
      </c>
      <c r="AA670" s="150" t="s">
        <v>413</v>
      </c>
      <c r="AB670" s="153">
        <v>4.0000000000000001E-3</v>
      </c>
      <c r="AC670" s="151"/>
      <c r="AD670" s="150"/>
      <c r="AE670" s="151"/>
      <c r="AF670" s="150" t="s">
        <v>70</v>
      </c>
      <c r="AG670" s="152" t="s">
        <v>352</v>
      </c>
      <c r="AH670" s="150" t="s">
        <v>326</v>
      </c>
      <c r="AI670" s="99"/>
      <c r="AJ670" s="149"/>
      <c r="AK670" s="99"/>
      <c r="AL670" s="149"/>
      <c r="AM670" s="99"/>
      <c r="AN670" s="149">
        <v>0</v>
      </c>
      <c r="AO670" s="149">
        <v>0</v>
      </c>
      <c r="AP670" s="149">
        <v>1</v>
      </c>
      <c r="AQ670" s="149">
        <v>0</v>
      </c>
      <c r="AR670" s="149">
        <v>0</v>
      </c>
      <c r="AS670" s="149">
        <v>0</v>
      </c>
      <c r="AT670" s="149">
        <v>0</v>
      </c>
      <c r="AU670" s="149">
        <v>0</v>
      </c>
      <c r="AV670" s="149">
        <v>0</v>
      </c>
      <c r="AW670" s="149">
        <v>1</v>
      </c>
      <c r="AX670" s="149">
        <v>0</v>
      </c>
      <c r="AY670" s="149">
        <v>0</v>
      </c>
      <c r="AZ670" s="149">
        <v>0</v>
      </c>
      <c r="BA670" s="149">
        <v>0</v>
      </c>
      <c r="BB670" s="149">
        <v>0</v>
      </c>
      <c r="BC670" s="149">
        <v>0</v>
      </c>
      <c r="BD670" s="149">
        <v>0</v>
      </c>
      <c r="BE670" s="149">
        <v>0</v>
      </c>
      <c r="BF670" s="149">
        <v>0</v>
      </c>
      <c r="BG670" s="149">
        <v>0</v>
      </c>
      <c r="BH670" s="149">
        <v>0</v>
      </c>
      <c r="BI670" s="149">
        <v>0</v>
      </c>
      <c r="BJ670" s="149">
        <v>0</v>
      </c>
      <c r="BK670" s="149">
        <v>0</v>
      </c>
      <c r="BL670" s="149">
        <v>0</v>
      </c>
      <c r="BM670" s="149">
        <v>0</v>
      </c>
      <c r="BN670" s="149">
        <v>0</v>
      </c>
      <c r="BO670" s="149">
        <v>0</v>
      </c>
      <c r="BP670" s="152"/>
      <c r="BQ670" s="152"/>
      <c r="BR670" s="154" t="s">
        <v>359</v>
      </c>
      <c r="BS670" s="136">
        <v>15</v>
      </c>
      <c r="BT670" s="267"/>
      <c r="BU670" s="267">
        <f t="shared" si="80"/>
        <v>0.25</v>
      </c>
      <c r="BV670" s="267">
        <f t="shared" si="77"/>
        <v>0.25</v>
      </c>
      <c r="BW670" s="267">
        <f t="shared" si="78"/>
        <v>0.25</v>
      </c>
      <c r="BX670" s="267">
        <f t="shared" si="79"/>
        <v>0.25</v>
      </c>
      <c r="BY670" s="267"/>
      <c r="BZ670" s="267"/>
      <c r="CA670" s="267"/>
      <c r="CB670" s="267"/>
      <c r="CC670" s="267"/>
      <c r="CD670" s="267"/>
      <c r="CE670" s="267"/>
      <c r="CF670" s="267"/>
      <c r="CG670" s="267"/>
      <c r="CH670" s="267"/>
      <c r="CI670" s="267"/>
      <c r="CJ670" s="267"/>
      <c r="CK670" s="267"/>
      <c r="CL670" s="267"/>
      <c r="CM670" s="267"/>
      <c r="CN670" s="101">
        <f t="shared" si="68"/>
        <v>1</v>
      </c>
      <c r="CO670" s="101">
        <f t="shared" si="69"/>
        <v>1</v>
      </c>
    </row>
    <row r="671" spans="1:93" ht="13.9" customHeight="1" x14ac:dyDescent="0.2">
      <c r="A671" s="149">
        <v>4944</v>
      </c>
      <c r="B671" s="150" t="s">
        <v>1216</v>
      </c>
      <c r="C671" s="150" t="s">
        <v>1914</v>
      </c>
      <c r="D671" s="150" t="s">
        <v>1915</v>
      </c>
      <c r="E671" s="150" t="s">
        <v>326</v>
      </c>
      <c r="F671" s="149">
        <v>528817</v>
      </c>
      <c r="G671" s="149">
        <v>173818</v>
      </c>
      <c r="H671" s="150" t="s">
        <v>139</v>
      </c>
      <c r="I671" s="151"/>
      <c r="J671" s="151"/>
      <c r="K671" s="149">
        <v>1</v>
      </c>
      <c r="L671" s="149">
        <v>1</v>
      </c>
      <c r="M671" s="149">
        <v>0</v>
      </c>
      <c r="N671" s="149">
        <v>1</v>
      </c>
      <c r="O671" s="149">
        <v>0</v>
      </c>
      <c r="P671" s="152"/>
      <c r="Q671" s="150" t="s">
        <v>1916</v>
      </c>
      <c r="R671" s="150" t="s">
        <v>349</v>
      </c>
      <c r="S671" s="151">
        <v>44368</v>
      </c>
      <c r="T671" s="151">
        <v>44424</v>
      </c>
      <c r="U671" s="152"/>
      <c r="V671" s="150" t="s">
        <v>330</v>
      </c>
      <c r="W671" s="151"/>
      <c r="X671" s="150" t="s">
        <v>331</v>
      </c>
      <c r="Y671" s="150" t="s">
        <v>398</v>
      </c>
      <c r="Z671" s="150" t="s">
        <v>334</v>
      </c>
      <c r="AA671" s="150" t="s">
        <v>26</v>
      </c>
      <c r="AB671" s="153">
        <v>3.0000000000000001E-3</v>
      </c>
      <c r="AC671" s="151"/>
      <c r="AD671" s="150"/>
      <c r="AE671" s="151"/>
      <c r="AF671" s="150" t="s">
        <v>70</v>
      </c>
      <c r="AG671" s="152" t="s">
        <v>352</v>
      </c>
      <c r="AH671" s="150" t="s">
        <v>326</v>
      </c>
      <c r="AI671" s="99"/>
      <c r="AJ671" s="149"/>
      <c r="AK671" s="99"/>
      <c r="AL671" s="149"/>
      <c r="AM671" s="99"/>
      <c r="AN671" s="149">
        <v>0</v>
      </c>
      <c r="AO671" s="149">
        <v>-1</v>
      </c>
      <c r="AP671" s="149">
        <v>1</v>
      </c>
      <c r="AQ671" s="149">
        <v>0</v>
      </c>
      <c r="AR671" s="149">
        <v>0</v>
      </c>
      <c r="AS671" s="149">
        <v>0</v>
      </c>
      <c r="AT671" s="149">
        <v>0</v>
      </c>
      <c r="AU671" s="149">
        <v>0</v>
      </c>
      <c r="AV671" s="149">
        <v>-1</v>
      </c>
      <c r="AW671" s="149">
        <v>1</v>
      </c>
      <c r="AX671" s="149">
        <v>0</v>
      </c>
      <c r="AY671" s="149">
        <v>0</v>
      </c>
      <c r="AZ671" s="149">
        <v>0</v>
      </c>
      <c r="BA671" s="149">
        <v>0</v>
      </c>
      <c r="BB671" s="149">
        <v>0</v>
      </c>
      <c r="BC671" s="149">
        <v>0</v>
      </c>
      <c r="BD671" s="149">
        <v>0</v>
      </c>
      <c r="BE671" s="149">
        <v>0</v>
      </c>
      <c r="BF671" s="149">
        <v>0</v>
      </c>
      <c r="BG671" s="149">
        <v>0</v>
      </c>
      <c r="BH671" s="149">
        <v>0</v>
      </c>
      <c r="BI671" s="149">
        <v>0</v>
      </c>
      <c r="BJ671" s="149">
        <v>0</v>
      </c>
      <c r="BK671" s="149">
        <v>0</v>
      </c>
      <c r="BL671" s="149">
        <v>0</v>
      </c>
      <c r="BM671" s="149">
        <v>0</v>
      </c>
      <c r="BN671" s="149">
        <v>0</v>
      </c>
      <c r="BO671" s="149">
        <v>0</v>
      </c>
      <c r="BP671" s="152"/>
      <c r="BQ671" s="152"/>
      <c r="BR671" s="154" t="s">
        <v>359</v>
      </c>
      <c r="BS671" s="136">
        <v>15</v>
      </c>
      <c r="BT671" s="267"/>
      <c r="BU671" s="267">
        <f t="shared" si="80"/>
        <v>0</v>
      </c>
      <c r="BV671" s="267">
        <f t="shared" si="77"/>
        <v>0</v>
      </c>
      <c r="BW671" s="267">
        <f t="shared" si="78"/>
        <v>0</v>
      </c>
      <c r="BX671" s="267">
        <f t="shared" si="79"/>
        <v>0</v>
      </c>
      <c r="BY671" s="267"/>
      <c r="BZ671" s="267"/>
      <c r="CA671" s="267"/>
      <c r="CB671" s="267"/>
      <c r="CC671" s="267"/>
      <c r="CD671" s="267"/>
      <c r="CE671" s="267"/>
      <c r="CF671" s="267"/>
      <c r="CG671" s="267"/>
      <c r="CH671" s="267"/>
      <c r="CI671" s="267"/>
      <c r="CJ671" s="267"/>
      <c r="CK671" s="267"/>
      <c r="CL671" s="267"/>
      <c r="CM671" s="267"/>
      <c r="CN671" s="101">
        <f t="shared" si="68"/>
        <v>0</v>
      </c>
      <c r="CO671" s="101">
        <f t="shared" si="69"/>
        <v>0</v>
      </c>
    </row>
    <row r="672" spans="1:93" ht="13.9" customHeight="1" x14ac:dyDescent="0.2">
      <c r="A672" s="149">
        <v>7661</v>
      </c>
      <c r="B672" s="150" t="s">
        <v>1216</v>
      </c>
      <c r="C672" s="150" t="s">
        <v>1917</v>
      </c>
      <c r="D672" s="150" t="s">
        <v>1918</v>
      </c>
      <c r="E672" s="150" t="s">
        <v>326</v>
      </c>
      <c r="F672" s="149">
        <v>528399</v>
      </c>
      <c r="G672" s="149">
        <v>171433</v>
      </c>
      <c r="H672" s="150" t="s">
        <v>172</v>
      </c>
      <c r="I672" s="151"/>
      <c r="J672" s="151"/>
      <c r="K672" s="149">
        <v>1</v>
      </c>
      <c r="L672" s="149">
        <v>2</v>
      </c>
      <c r="M672" s="149">
        <v>1</v>
      </c>
      <c r="N672" s="149">
        <v>2</v>
      </c>
      <c r="O672" s="149">
        <v>1</v>
      </c>
      <c r="P672" s="152"/>
      <c r="Q672" s="150" t="s">
        <v>1919</v>
      </c>
      <c r="R672" s="150" t="s">
        <v>349</v>
      </c>
      <c r="S672" s="151">
        <v>44382</v>
      </c>
      <c r="T672" s="151">
        <v>44442</v>
      </c>
      <c r="U672" s="152"/>
      <c r="V672" s="150" t="s">
        <v>330</v>
      </c>
      <c r="W672" s="151"/>
      <c r="X672" s="150" t="s">
        <v>331</v>
      </c>
      <c r="Y672" s="150" t="s">
        <v>491</v>
      </c>
      <c r="Z672" s="150" t="s">
        <v>334</v>
      </c>
      <c r="AA672" s="150" t="s">
        <v>413</v>
      </c>
      <c r="AB672" s="153">
        <v>3.8333E-3</v>
      </c>
      <c r="AC672" s="151"/>
      <c r="AD672" s="150"/>
      <c r="AE672" s="151"/>
      <c r="AF672" s="150" t="s">
        <v>70</v>
      </c>
      <c r="AG672" s="152" t="s">
        <v>352</v>
      </c>
      <c r="AH672" s="150" t="s">
        <v>326</v>
      </c>
      <c r="AI672" s="99"/>
      <c r="AJ672" s="149"/>
      <c r="AK672" s="99"/>
      <c r="AL672" s="149"/>
      <c r="AM672" s="99"/>
      <c r="AN672" s="149">
        <v>0</v>
      </c>
      <c r="AO672" s="149">
        <v>1</v>
      </c>
      <c r="AP672" s="149">
        <v>0</v>
      </c>
      <c r="AQ672" s="149">
        <v>0</v>
      </c>
      <c r="AR672" s="149">
        <v>0</v>
      </c>
      <c r="AS672" s="149">
        <v>0</v>
      </c>
      <c r="AT672" s="149">
        <v>0</v>
      </c>
      <c r="AU672" s="149">
        <v>0</v>
      </c>
      <c r="AV672" s="149">
        <v>1</v>
      </c>
      <c r="AW672" s="149">
        <v>0</v>
      </c>
      <c r="AX672" s="149">
        <v>0</v>
      </c>
      <c r="AY672" s="149">
        <v>0</v>
      </c>
      <c r="AZ672" s="149">
        <v>0</v>
      </c>
      <c r="BA672" s="149">
        <v>0</v>
      </c>
      <c r="BB672" s="149">
        <v>0</v>
      </c>
      <c r="BC672" s="149">
        <v>0</v>
      </c>
      <c r="BD672" s="149">
        <v>0</v>
      </c>
      <c r="BE672" s="149">
        <v>0</v>
      </c>
      <c r="BF672" s="149">
        <v>0</v>
      </c>
      <c r="BG672" s="149">
        <v>0</v>
      </c>
      <c r="BH672" s="149">
        <v>0</v>
      </c>
      <c r="BI672" s="149">
        <v>0</v>
      </c>
      <c r="BJ672" s="149">
        <v>0</v>
      </c>
      <c r="BK672" s="149">
        <v>0</v>
      </c>
      <c r="BL672" s="149">
        <v>0</v>
      </c>
      <c r="BM672" s="149">
        <v>0</v>
      </c>
      <c r="BN672" s="149">
        <v>0</v>
      </c>
      <c r="BO672" s="149">
        <v>0</v>
      </c>
      <c r="BP672" s="152"/>
      <c r="BQ672" s="152"/>
      <c r="BR672" s="154" t="s">
        <v>359</v>
      </c>
      <c r="BS672" s="136">
        <v>15</v>
      </c>
      <c r="BT672" s="267"/>
      <c r="BU672" s="267">
        <f t="shared" si="80"/>
        <v>0.25</v>
      </c>
      <c r="BV672" s="267">
        <f t="shared" si="77"/>
        <v>0.25</v>
      </c>
      <c r="BW672" s="267">
        <f t="shared" si="78"/>
        <v>0.25</v>
      </c>
      <c r="BX672" s="267">
        <f t="shared" si="79"/>
        <v>0.25</v>
      </c>
      <c r="BY672" s="267"/>
      <c r="BZ672" s="267"/>
      <c r="CA672" s="267"/>
      <c r="CB672" s="267"/>
      <c r="CC672" s="267"/>
      <c r="CD672" s="267"/>
      <c r="CE672" s="267"/>
      <c r="CF672" s="267"/>
      <c r="CG672" s="267"/>
      <c r="CH672" s="267"/>
      <c r="CI672" s="267"/>
      <c r="CJ672" s="267"/>
      <c r="CK672" s="267"/>
      <c r="CL672" s="267"/>
      <c r="CM672" s="267"/>
      <c r="CN672" s="101">
        <f t="shared" si="68"/>
        <v>1</v>
      </c>
      <c r="CO672" s="101">
        <f t="shared" si="69"/>
        <v>1</v>
      </c>
    </row>
    <row r="673" spans="1:93" ht="13.9" customHeight="1" x14ac:dyDescent="0.2">
      <c r="A673" s="149">
        <v>7664</v>
      </c>
      <c r="B673" s="150" t="s">
        <v>1216</v>
      </c>
      <c r="C673" s="150" t="s">
        <v>1920</v>
      </c>
      <c r="D673" s="150" t="s">
        <v>1921</v>
      </c>
      <c r="E673" s="150" t="s">
        <v>326</v>
      </c>
      <c r="F673" s="149">
        <v>527706</v>
      </c>
      <c r="G673" s="149">
        <v>174318</v>
      </c>
      <c r="H673" s="150" t="s">
        <v>165</v>
      </c>
      <c r="I673" s="151"/>
      <c r="J673" s="151"/>
      <c r="K673" s="149">
        <v>0</v>
      </c>
      <c r="L673" s="149">
        <v>1</v>
      </c>
      <c r="M673" s="149">
        <v>1</v>
      </c>
      <c r="N673" s="149">
        <v>1</v>
      </c>
      <c r="O673" s="149">
        <v>1</v>
      </c>
      <c r="P673" s="152"/>
      <c r="Q673" s="150" t="s">
        <v>1922</v>
      </c>
      <c r="R673" s="150" t="s">
        <v>349</v>
      </c>
      <c r="S673" s="151">
        <v>44385</v>
      </c>
      <c r="T673" s="151">
        <v>44523</v>
      </c>
      <c r="U673" s="152"/>
      <c r="V673" s="150" t="s">
        <v>330</v>
      </c>
      <c r="W673" s="151"/>
      <c r="X673" s="150" t="s">
        <v>331</v>
      </c>
      <c r="Y673" s="150" t="s">
        <v>398</v>
      </c>
      <c r="Z673" s="150" t="s">
        <v>334</v>
      </c>
      <c r="AA673" s="150" t="s">
        <v>26</v>
      </c>
      <c r="AB673" s="153">
        <v>5.1999999999999998E-3</v>
      </c>
      <c r="AC673" s="151"/>
      <c r="AD673" s="150"/>
      <c r="AE673" s="151"/>
      <c r="AF673" s="150" t="s">
        <v>70</v>
      </c>
      <c r="AG673" s="152" t="s">
        <v>352</v>
      </c>
      <c r="AH673" s="150" t="s">
        <v>326</v>
      </c>
      <c r="AI673" s="99"/>
      <c r="AJ673" s="149"/>
      <c r="AK673" s="99"/>
      <c r="AL673" s="149"/>
      <c r="AM673" s="99"/>
      <c r="AN673" s="149">
        <v>0</v>
      </c>
      <c r="AO673" s="149">
        <v>1</v>
      </c>
      <c r="AP673" s="149">
        <v>0</v>
      </c>
      <c r="AQ673" s="149">
        <v>0</v>
      </c>
      <c r="AR673" s="149">
        <v>0</v>
      </c>
      <c r="AS673" s="149">
        <v>0</v>
      </c>
      <c r="AT673" s="149">
        <v>0</v>
      </c>
      <c r="AU673" s="149">
        <v>0</v>
      </c>
      <c r="AV673" s="149">
        <v>1</v>
      </c>
      <c r="AW673" s="149">
        <v>0</v>
      </c>
      <c r="AX673" s="149">
        <v>0</v>
      </c>
      <c r="AY673" s="149">
        <v>0</v>
      </c>
      <c r="AZ673" s="149">
        <v>0</v>
      </c>
      <c r="BA673" s="149">
        <v>0</v>
      </c>
      <c r="BB673" s="149">
        <v>0</v>
      </c>
      <c r="BC673" s="149">
        <v>0</v>
      </c>
      <c r="BD673" s="149">
        <v>0</v>
      </c>
      <c r="BE673" s="149">
        <v>0</v>
      </c>
      <c r="BF673" s="149">
        <v>0</v>
      </c>
      <c r="BG673" s="149">
        <v>0</v>
      </c>
      <c r="BH673" s="149">
        <v>0</v>
      </c>
      <c r="BI673" s="149">
        <v>0</v>
      </c>
      <c r="BJ673" s="149">
        <v>0</v>
      </c>
      <c r="BK673" s="149">
        <v>0</v>
      </c>
      <c r="BL673" s="149">
        <v>0</v>
      </c>
      <c r="BM673" s="149">
        <v>0</v>
      </c>
      <c r="BN673" s="149">
        <v>0</v>
      </c>
      <c r="BO673" s="149">
        <v>0</v>
      </c>
      <c r="BP673" s="152"/>
      <c r="BQ673" s="152"/>
      <c r="BR673" s="154" t="s">
        <v>359</v>
      </c>
      <c r="BS673" s="136">
        <v>15</v>
      </c>
      <c r="BT673" s="267"/>
      <c r="BU673" s="267">
        <f t="shared" si="80"/>
        <v>0.25</v>
      </c>
      <c r="BV673" s="267">
        <f t="shared" si="77"/>
        <v>0.25</v>
      </c>
      <c r="BW673" s="267">
        <f t="shared" si="78"/>
        <v>0.25</v>
      </c>
      <c r="BX673" s="267">
        <f t="shared" si="79"/>
        <v>0.25</v>
      </c>
      <c r="BY673" s="267"/>
      <c r="BZ673" s="267"/>
      <c r="CA673" s="267"/>
      <c r="CB673" s="267"/>
      <c r="CC673" s="267"/>
      <c r="CD673" s="267"/>
      <c r="CE673" s="267"/>
      <c r="CF673" s="267"/>
      <c r="CG673" s="267"/>
      <c r="CH673" s="267"/>
      <c r="CI673" s="267"/>
      <c r="CJ673" s="267"/>
      <c r="CK673" s="267"/>
      <c r="CL673" s="267"/>
      <c r="CM673" s="267"/>
      <c r="CN673" s="101">
        <f t="shared" si="68"/>
        <v>1</v>
      </c>
      <c r="CO673" s="101">
        <f t="shared" si="69"/>
        <v>1</v>
      </c>
    </row>
    <row r="674" spans="1:93" ht="13.9" customHeight="1" x14ac:dyDescent="0.2">
      <c r="A674" s="149">
        <v>1183</v>
      </c>
      <c r="B674" s="150" t="s">
        <v>1216</v>
      </c>
      <c r="C674" s="150" t="s">
        <v>1923</v>
      </c>
      <c r="D674" s="150" t="s">
        <v>1924</v>
      </c>
      <c r="E674" s="150" t="s">
        <v>326</v>
      </c>
      <c r="F674" s="149">
        <v>524979</v>
      </c>
      <c r="G674" s="149">
        <v>174628</v>
      </c>
      <c r="H674" s="150" t="s">
        <v>161</v>
      </c>
      <c r="I674" s="151"/>
      <c r="J674" s="151"/>
      <c r="K674" s="149">
        <v>0</v>
      </c>
      <c r="L674" s="149">
        <v>1</v>
      </c>
      <c r="M674" s="149">
        <v>1</v>
      </c>
      <c r="N674" s="149">
        <v>1</v>
      </c>
      <c r="O674" s="149">
        <v>1</v>
      </c>
      <c r="P674" s="152"/>
      <c r="Q674" s="150" t="s">
        <v>1925</v>
      </c>
      <c r="R674" s="150" t="s">
        <v>427</v>
      </c>
      <c r="S674" s="151">
        <v>44390</v>
      </c>
      <c r="T674" s="151">
        <v>44439</v>
      </c>
      <c r="U674" s="152"/>
      <c r="V674" s="150" t="s">
        <v>330</v>
      </c>
      <c r="W674" s="151"/>
      <c r="X674" s="150" t="s">
        <v>331</v>
      </c>
      <c r="Y674" s="150" t="s">
        <v>332</v>
      </c>
      <c r="Z674" s="150" t="s">
        <v>334</v>
      </c>
      <c r="AA674" s="150" t="s">
        <v>26</v>
      </c>
      <c r="AB674" s="153">
        <v>4.1999999999999997E-3</v>
      </c>
      <c r="AC674" s="151"/>
      <c r="AD674" s="150"/>
      <c r="AE674" s="151"/>
      <c r="AF674" s="150" t="s">
        <v>70</v>
      </c>
      <c r="AG674" s="152" t="s">
        <v>337</v>
      </c>
      <c r="AH674" s="150" t="s">
        <v>326</v>
      </c>
      <c r="AI674" s="99"/>
      <c r="AJ674" s="149"/>
      <c r="AK674" s="99"/>
      <c r="AL674" s="149"/>
      <c r="AM674" s="99"/>
      <c r="AN674" s="149">
        <v>1</v>
      </c>
      <c r="AO674" s="149">
        <v>0</v>
      </c>
      <c r="AP674" s="149">
        <v>0</v>
      </c>
      <c r="AQ674" s="149">
        <v>0</v>
      </c>
      <c r="AR674" s="149">
        <v>0</v>
      </c>
      <c r="AS674" s="149">
        <v>0</v>
      </c>
      <c r="AT674" s="149">
        <v>0</v>
      </c>
      <c r="AU674" s="149">
        <v>1</v>
      </c>
      <c r="AV674" s="149">
        <v>0</v>
      </c>
      <c r="AW674" s="149">
        <v>0</v>
      </c>
      <c r="AX674" s="149">
        <v>0</v>
      </c>
      <c r="AY674" s="149">
        <v>0</v>
      </c>
      <c r="AZ674" s="149">
        <v>0</v>
      </c>
      <c r="BA674" s="149">
        <v>0</v>
      </c>
      <c r="BB674" s="149">
        <v>0</v>
      </c>
      <c r="BC674" s="149">
        <v>0</v>
      </c>
      <c r="BD674" s="149">
        <v>0</v>
      </c>
      <c r="BE674" s="149">
        <v>0</v>
      </c>
      <c r="BF674" s="149">
        <v>0</v>
      </c>
      <c r="BG674" s="149">
        <v>0</v>
      </c>
      <c r="BH674" s="149">
        <v>0</v>
      </c>
      <c r="BI674" s="149">
        <v>0</v>
      </c>
      <c r="BJ674" s="149">
        <v>0</v>
      </c>
      <c r="BK674" s="149">
        <v>0</v>
      </c>
      <c r="BL674" s="149">
        <v>0</v>
      </c>
      <c r="BM674" s="149">
        <v>0</v>
      </c>
      <c r="BN674" s="149">
        <v>0</v>
      </c>
      <c r="BO674" s="149">
        <v>0</v>
      </c>
      <c r="BP674" s="152"/>
      <c r="BQ674" s="152"/>
      <c r="BR674" s="154" t="s">
        <v>359</v>
      </c>
      <c r="BS674" s="136">
        <v>15</v>
      </c>
      <c r="BT674" s="267"/>
      <c r="BU674" s="267">
        <f t="shared" si="80"/>
        <v>0.25</v>
      </c>
      <c r="BV674" s="267">
        <f t="shared" si="77"/>
        <v>0.25</v>
      </c>
      <c r="BW674" s="267">
        <f t="shared" si="78"/>
        <v>0.25</v>
      </c>
      <c r="BX674" s="267">
        <f t="shared" si="79"/>
        <v>0.25</v>
      </c>
      <c r="BY674" s="267"/>
      <c r="BZ674" s="267"/>
      <c r="CA674" s="267"/>
      <c r="CB674" s="267"/>
      <c r="CC674" s="267"/>
      <c r="CD674" s="267"/>
      <c r="CE674" s="267"/>
      <c r="CF674" s="267"/>
      <c r="CG674" s="267"/>
      <c r="CH674" s="267"/>
      <c r="CI674" s="267"/>
      <c r="CJ674" s="267"/>
      <c r="CK674" s="267"/>
      <c r="CL674" s="267"/>
      <c r="CM674" s="267"/>
      <c r="CN674" s="101">
        <f t="shared" si="68"/>
        <v>1</v>
      </c>
      <c r="CO674" s="101">
        <f t="shared" si="69"/>
        <v>1</v>
      </c>
    </row>
    <row r="675" spans="1:93" ht="13.9" customHeight="1" x14ac:dyDescent="0.2">
      <c r="A675" s="149">
        <v>7776</v>
      </c>
      <c r="B675" s="150" t="s">
        <v>1216</v>
      </c>
      <c r="C675" s="150" t="s">
        <v>1926</v>
      </c>
      <c r="D675" s="150" t="s">
        <v>1927</v>
      </c>
      <c r="E675" s="150" t="s">
        <v>326</v>
      </c>
      <c r="F675" s="149">
        <v>528980</v>
      </c>
      <c r="G675" s="149">
        <v>171084</v>
      </c>
      <c r="H675" s="150" t="s">
        <v>163</v>
      </c>
      <c r="I675" s="151"/>
      <c r="J675" s="151"/>
      <c r="K675" s="149">
        <v>0</v>
      </c>
      <c r="L675" s="149">
        <v>1</v>
      </c>
      <c r="M675" s="149">
        <v>1</v>
      </c>
      <c r="N675" s="149">
        <v>1</v>
      </c>
      <c r="O675" s="149">
        <v>1</v>
      </c>
      <c r="P675" s="152"/>
      <c r="Q675" s="150" t="s">
        <v>1928</v>
      </c>
      <c r="R675" s="150" t="s">
        <v>349</v>
      </c>
      <c r="S675" s="151">
        <v>44414</v>
      </c>
      <c r="T675" s="151">
        <v>44510</v>
      </c>
      <c r="U675" s="152"/>
      <c r="V675" s="150" t="s">
        <v>330</v>
      </c>
      <c r="W675" s="151"/>
      <c r="X675" s="150" t="s">
        <v>331</v>
      </c>
      <c r="Y675" s="150" t="s">
        <v>350</v>
      </c>
      <c r="Z675" s="150" t="s">
        <v>334</v>
      </c>
      <c r="AA675" s="150" t="s">
        <v>32</v>
      </c>
      <c r="AB675" s="153">
        <v>3.0000000000000001E-3</v>
      </c>
      <c r="AC675" s="151"/>
      <c r="AD675" s="150"/>
      <c r="AE675" s="151"/>
      <c r="AF675" s="150" t="s">
        <v>49</v>
      </c>
      <c r="AG675" s="152" t="s">
        <v>470</v>
      </c>
      <c r="AH675" s="150" t="s">
        <v>326</v>
      </c>
      <c r="AI675" s="99"/>
      <c r="AJ675" s="149"/>
      <c r="AK675" s="99"/>
      <c r="AL675" s="149"/>
      <c r="AM675" s="99"/>
      <c r="AN675" s="149">
        <v>0</v>
      </c>
      <c r="AO675" s="149">
        <v>1</v>
      </c>
      <c r="AP675" s="149">
        <v>0</v>
      </c>
      <c r="AQ675" s="149">
        <v>0</v>
      </c>
      <c r="AR675" s="149">
        <v>0</v>
      </c>
      <c r="AS675" s="149">
        <v>0</v>
      </c>
      <c r="AT675" s="149">
        <v>0</v>
      </c>
      <c r="AU675" s="149">
        <v>0</v>
      </c>
      <c r="AV675" s="149">
        <v>1</v>
      </c>
      <c r="AW675" s="149">
        <v>0</v>
      </c>
      <c r="AX675" s="149">
        <v>0</v>
      </c>
      <c r="AY675" s="149">
        <v>0</v>
      </c>
      <c r="AZ675" s="149">
        <v>0</v>
      </c>
      <c r="BA675" s="149">
        <v>0</v>
      </c>
      <c r="BB675" s="149">
        <v>0</v>
      </c>
      <c r="BC675" s="149">
        <v>0</v>
      </c>
      <c r="BD675" s="149">
        <v>0</v>
      </c>
      <c r="BE675" s="149">
        <v>0</v>
      </c>
      <c r="BF675" s="149">
        <v>0</v>
      </c>
      <c r="BG675" s="149">
        <v>0</v>
      </c>
      <c r="BH675" s="149">
        <v>0</v>
      </c>
      <c r="BI675" s="149">
        <v>0</v>
      </c>
      <c r="BJ675" s="149">
        <v>0</v>
      </c>
      <c r="BK675" s="149">
        <v>0</v>
      </c>
      <c r="BL675" s="149">
        <v>0</v>
      </c>
      <c r="BM675" s="149">
        <v>0</v>
      </c>
      <c r="BN675" s="149">
        <v>0</v>
      </c>
      <c r="BO675" s="149">
        <v>0</v>
      </c>
      <c r="BP675" s="152"/>
      <c r="BQ675" s="152"/>
      <c r="BR675" s="154" t="s">
        <v>359</v>
      </c>
      <c r="BS675" s="136">
        <v>15</v>
      </c>
      <c r="BT675" s="267"/>
      <c r="BU675" s="267">
        <f t="shared" si="80"/>
        <v>0.25</v>
      </c>
      <c r="BV675" s="267">
        <f t="shared" si="77"/>
        <v>0.25</v>
      </c>
      <c r="BW675" s="267">
        <f t="shared" si="78"/>
        <v>0.25</v>
      </c>
      <c r="BX675" s="267">
        <f t="shared" si="79"/>
        <v>0.25</v>
      </c>
      <c r="BY675" s="267"/>
      <c r="BZ675" s="267"/>
      <c r="CA675" s="267"/>
      <c r="CB675" s="267"/>
      <c r="CC675" s="267"/>
      <c r="CD675" s="267"/>
      <c r="CE675" s="267"/>
      <c r="CF675" s="267"/>
      <c r="CG675" s="267"/>
      <c r="CH675" s="267"/>
      <c r="CI675" s="267"/>
      <c r="CJ675" s="267"/>
      <c r="CK675" s="267"/>
      <c r="CL675" s="267"/>
      <c r="CM675" s="267"/>
      <c r="CN675" s="101">
        <f t="shared" si="68"/>
        <v>1</v>
      </c>
      <c r="CO675" s="101">
        <f t="shared" si="69"/>
        <v>1</v>
      </c>
    </row>
    <row r="676" spans="1:93" ht="13.9" customHeight="1" x14ac:dyDescent="0.2">
      <c r="A676" s="149">
        <v>7682</v>
      </c>
      <c r="B676" s="150" t="s">
        <v>1216</v>
      </c>
      <c r="C676" s="150" t="s">
        <v>1929</v>
      </c>
      <c r="D676" s="150" t="s">
        <v>1930</v>
      </c>
      <c r="E676" s="150" t="s">
        <v>326</v>
      </c>
      <c r="F676" s="149">
        <v>528225</v>
      </c>
      <c r="G676" s="149">
        <v>171618</v>
      </c>
      <c r="H676" s="150" t="s">
        <v>172</v>
      </c>
      <c r="I676" s="151"/>
      <c r="J676" s="151"/>
      <c r="K676" s="149">
        <v>2</v>
      </c>
      <c r="L676" s="149">
        <v>3</v>
      </c>
      <c r="M676" s="149">
        <v>1</v>
      </c>
      <c r="N676" s="149">
        <v>3</v>
      </c>
      <c r="O676" s="149">
        <v>1</v>
      </c>
      <c r="P676" s="152"/>
      <c r="Q676" s="150" t="s">
        <v>1931</v>
      </c>
      <c r="R676" s="150" t="s">
        <v>349</v>
      </c>
      <c r="S676" s="151">
        <v>44459</v>
      </c>
      <c r="T676" s="151">
        <v>44515</v>
      </c>
      <c r="U676" s="152"/>
      <c r="V676" s="150" t="s">
        <v>330</v>
      </c>
      <c r="W676" s="151"/>
      <c r="X676" s="150" t="s">
        <v>331</v>
      </c>
      <c r="Y676" s="150" t="s">
        <v>491</v>
      </c>
      <c r="Z676" s="150" t="s">
        <v>334</v>
      </c>
      <c r="AA676" s="150" t="s">
        <v>413</v>
      </c>
      <c r="AB676" s="153">
        <v>8.0000000000000002E-3</v>
      </c>
      <c r="AC676" s="151"/>
      <c r="AD676" s="150"/>
      <c r="AE676" s="151"/>
      <c r="AF676" s="150" t="s">
        <v>70</v>
      </c>
      <c r="AG676" s="152" t="s">
        <v>352</v>
      </c>
      <c r="AH676" s="150" t="s">
        <v>326</v>
      </c>
      <c r="AI676" s="99"/>
      <c r="AJ676" s="149"/>
      <c r="AK676" s="99"/>
      <c r="AL676" s="149"/>
      <c r="AM676" s="99"/>
      <c r="AN676" s="149">
        <v>1</v>
      </c>
      <c r="AO676" s="149">
        <v>0</v>
      </c>
      <c r="AP676" s="149">
        <v>0</v>
      </c>
      <c r="AQ676" s="149">
        <v>0</v>
      </c>
      <c r="AR676" s="149">
        <v>0</v>
      </c>
      <c r="AS676" s="149">
        <v>0</v>
      </c>
      <c r="AT676" s="149">
        <v>0</v>
      </c>
      <c r="AU676" s="149">
        <v>1</v>
      </c>
      <c r="AV676" s="149">
        <v>0</v>
      </c>
      <c r="AW676" s="149">
        <v>0</v>
      </c>
      <c r="AX676" s="149">
        <v>0</v>
      </c>
      <c r="AY676" s="149">
        <v>0</v>
      </c>
      <c r="AZ676" s="149">
        <v>0</v>
      </c>
      <c r="BA676" s="149">
        <v>0</v>
      </c>
      <c r="BB676" s="149">
        <v>0</v>
      </c>
      <c r="BC676" s="149">
        <v>0</v>
      </c>
      <c r="BD676" s="149">
        <v>0</v>
      </c>
      <c r="BE676" s="149">
        <v>0</v>
      </c>
      <c r="BF676" s="149">
        <v>0</v>
      </c>
      <c r="BG676" s="149">
        <v>0</v>
      </c>
      <c r="BH676" s="149">
        <v>0</v>
      </c>
      <c r="BI676" s="149">
        <v>0</v>
      </c>
      <c r="BJ676" s="149">
        <v>0</v>
      </c>
      <c r="BK676" s="149">
        <v>0</v>
      </c>
      <c r="BL676" s="149">
        <v>0</v>
      </c>
      <c r="BM676" s="149">
        <v>0</v>
      </c>
      <c r="BN676" s="149">
        <v>0</v>
      </c>
      <c r="BO676" s="149">
        <v>0</v>
      </c>
      <c r="BP676" s="152"/>
      <c r="BQ676" s="152"/>
      <c r="BR676" s="154" t="s">
        <v>359</v>
      </c>
      <c r="BS676" s="136">
        <v>15</v>
      </c>
      <c r="BT676" s="267"/>
      <c r="BU676" s="267">
        <f t="shared" si="80"/>
        <v>0.25</v>
      </c>
      <c r="BV676" s="267">
        <f t="shared" si="77"/>
        <v>0.25</v>
      </c>
      <c r="BW676" s="267">
        <f t="shared" si="78"/>
        <v>0.25</v>
      </c>
      <c r="BX676" s="267">
        <f t="shared" si="79"/>
        <v>0.25</v>
      </c>
      <c r="BY676" s="267"/>
      <c r="BZ676" s="267"/>
      <c r="CA676" s="267"/>
      <c r="CB676" s="267"/>
      <c r="CC676" s="267"/>
      <c r="CD676" s="267"/>
      <c r="CE676" s="267"/>
      <c r="CF676" s="267"/>
      <c r="CG676" s="267"/>
      <c r="CH676" s="267"/>
      <c r="CI676" s="267"/>
      <c r="CJ676" s="267"/>
      <c r="CK676" s="267"/>
      <c r="CL676" s="267"/>
      <c r="CM676" s="267"/>
      <c r="CN676" s="101">
        <f t="shared" si="68"/>
        <v>1</v>
      </c>
      <c r="CO676" s="101">
        <f t="shared" si="69"/>
        <v>1</v>
      </c>
    </row>
    <row r="677" spans="1:93" ht="13.9" customHeight="1" x14ac:dyDescent="0.2">
      <c r="A677" s="149">
        <v>6908</v>
      </c>
      <c r="B677" s="150" t="s">
        <v>1216</v>
      </c>
      <c r="C677" s="150" t="s">
        <v>1932</v>
      </c>
      <c r="D677" s="150" t="s">
        <v>1933</v>
      </c>
      <c r="E677" s="150" t="s">
        <v>1934</v>
      </c>
      <c r="F677" s="149">
        <v>525716</v>
      </c>
      <c r="G677" s="149">
        <v>173464</v>
      </c>
      <c r="H677" s="150" t="s">
        <v>175</v>
      </c>
      <c r="I677" s="151">
        <v>45382</v>
      </c>
      <c r="J677" s="151"/>
      <c r="K677" s="149">
        <v>0</v>
      </c>
      <c r="L677" s="149">
        <v>33</v>
      </c>
      <c r="M677" s="149">
        <v>33</v>
      </c>
      <c r="N677" s="149">
        <v>433</v>
      </c>
      <c r="O677" s="149">
        <v>433</v>
      </c>
      <c r="P677" s="152" t="s">
        <v>327</v>
      </c>
      <c r="Q677" s="150" t="s">
        <v>1935</v>
      </c>
      <c r="R677" s="150" t="s">
        <v>381</v>
      </c>
      <c r="S677" s="151">
        <v>44441</v>
      </c>
      <c r="T677" s="151">
        <v>44817</v>
      </c>
      <c r="U677" s="152"/>
      <c r="V677" s="150" t="s">
        <v>330</v>
      </c>
      <c r="W677" s="151"/>
      <c r="X677" s="150" t="s">
        <v>331</v>
      </c>
      <c r="Y677" s="150" t="s">
        <v>343</v>
      </c>
      <c r="Z677" s="150" t="s">
        <v>343</v>
      </c>
      <c r="AA677" s="150" t="s">
        <v>334</v>
      </c>
      <c r="AB677" s="153">
        <v>0</v>
      </c>
      <c r="AC677" s="151"/>
      <c r="AD677" s="150"/>
      <c r="AE677" s="151"/>
      <c r="AF677" s="150" t="s">
        <v>48</v>
      </c>
      <c r="AG677" s="152" t="s">
        <v>544</v>
      </c>
      <c r="AH677" s="150" t="s">
        <v>326</v>
      </c>
      <c r="AI677" s="138">
        <v>17320085</v>
      </c>
      <c r="AJ677" s="149"/>
      <c r="AK677" s="99"/>
      <c r="AL677" s="149"/>
      <c r="AM677" s="138">
        <v>4</v>
      </c>
      <c r="AN677" s="149">
        <v>0</v>
      </c>
      <c r="AO677" s="149">
        <v>13</v>
      </c>
      <c r="AP677" s="149">
        <v>14</v>
      </c>
      <c r="AQ677" s="149">
        <v>6</v>
      </c>
      <c r="AR677" s="149">
        <v>0</v>
      </c>
      <c r="AS677" s="149">
        <v>0</v>
      </c>
      <c r="AT677" s="149">
        <v>0</v>
      </c>
      <c r="AU677" s="149">
        <v>0</v>
      </c>
      <c r="AV677" s="149">
        <v>13</v>
      </c>
      <c r="AW677" s="149">
        <v>14</v>
      </c>
      <c r="AX677" s="149">
        <v>6</v>
      </c>
      <c r="AY677" s="149">
        <v>0</v>
      </c>
      <c r="AZ677" s="149">
        <v>0</v>
      </c>
      <c r="BA677" s="149">
        <v>0</v>
      </c>
      <c r="BB677" s="149">
        <v>0</v>
      </c>
      <c r="BC677" s="149">
        <v>0</v>
      </c>
      <c r="BD677" s="149">
        <v>0</v>
      </c>
      <c r="BE677" s="149">
        <v>0</v>
      </c>
      <c r="BF677" s="149">
        <v>0</v>
      </c>
      <c r="BG677" s="149">
        <v>0</v>
      </c>
      <c r="BH677" s="149">
        <v>0</v>
      </c>
      <c r="BI677" s="149">
        <v>0</v>
      </c>
      <c r="BJ677" s="149">
        <v>0</v>
      </c>
      <c r="BK677" s="149">
        <v>0</v>
      </c>
      <c r="BL677" s="149">
        <v>0</v>
      </c>
      <c r="BM677" s="149">
        <v>0</v>
      </c>
      <c r="BN677" s="149">
        <v>0</v>
      </c>
      <c r="BO677" s="149">
        <v>0</v>
      </c>
      <c r="BP677" s="152"/>
      <c r="BQ677" s="152"/>
      <c r="BR677" s="154" t="s">
        <v>151</v>
      </c>
      <c r="BS677" s="136">
        <v>10</v>
      </c>
      <c r="BT677" s="267"/>
      <c r="BU677" s="267"/>
      <c r="BV677" s="267"/>
      <c r="BW677" s="267"/>
      <c r="BX677" s="267">
        <f t="shared" ref="BX677:BX684" si="81">M677/3</f>
        <v>11</v>
      </c>
      <c r="BY677" s="267">
        <f t="shared" ref="BY677:BY684" si="82">M677/3</f>
        <v>11</v>
      </c>
      <c r="BZ677" s="267">
        <f t="shared" ref="BZ677:BZ684" si="83">M677/3</f>
        <v>11</v>
      </c>
      <c r="CA677" s="267"/>
      <c r="CB677" s="267"/>
      <c r="CC677" s="267"/>
      <c r="CD677" s="267"/>
      <c r="CE677" s="267"/>
      <c r="CF677" s="267"/>
      <c r="CG677" s="267"/>
      <c r="CH677" s="267"/>
      <c r="CI677" s="267"/>
      <c r="CJ677" s="267"/>
      <c r="CK677" s="267"/>
      <c r="CL677" s="267"/>
      <c r="CM677" s="267"/>
      <c r="CN677" s="101">
        <f t="shared" si="68"/>
        <v>22</v>
      </c>
      <c r="CO677" s="101">
        <f t="shared" si="69"/>
        <v>33</v>
      </c>
    </row>
    <row r="678" spans="1:93" ht="13.9" customHeight="1" x14ac:dyDescent="0.2">
      <c r="A678" s="149">
        <v>6908</v>
      </c>
      <c r="B678" s="150" t="s">
        <v>1216</v>
      </c>
      <c r="C678" s="150" t="s">
        <v>1932</v>
      </c>
      <c r="D678" s="150" t="s">
        <v>1933</v>
      </c>
      <c r="E678" s="150" t="s">
        <v>1936</v>
      </c>
      <c r="F678" s="149">
        <v>525716</v>
      </c>
      <c r="G678" s="149">
        <v>173464</v>
      </c>
      <c r="H678" s="150" t="s">
        <v>175</v>
      </c>
      <c r="I678" s="151">
        <v>45382</v>
      </c>
      <c r="J678" s="151"/>
      <c r="K678" s="149">
        <v>0</v>
      </c>
      <c r="L678" s="149">
        <v>33</v>
      </c>
      <c r="M678" s="149">
        <v>33</v>
      </c>
      <c r="N678" s="149">
        <v>433</v>
      </c>
      <c r="O678" s="149">
        <v>433</v>
      </c>
      <c r="P678" s="152" t="s">
        <v>327</v>
      </c>
      <c r="Q678" s="150" t="s">
        <v>1935</v>
      </c>
      <c r="R678" s="150" t="s">
        <v>381</v>
      </c>
      <c r="S678" s="151">
        <v>44441</v>
      </c>
      <c r="T678" s="151">
        <v>44817</v>
      </c>
      <c r="U678" s="152"/>
      <c r="V678" s="150" t="s">
        <v>330</v>
      </c>
      <c r="W678" s="151"/>
      <c r="X678" s="150" t="s">
        <v>331</v>
      </c>
      <c r="Y678" s="150" t="s">
        <v>343</v>
      </c>
      <c r="Z678" s="150" t="s">
        <v>343</v>
      </c>
      <c r="AA678" s="150" t="s">
        <v>334</v>
      </c>
      <c r="AB678" s="153">
        <v>0</v>
      </c>
      <c r="AC678" s="151"/>
      <c r="AD678" s="150"/>
      <c r="AE678" s="151"/>
      <c r="AF678" s="150" t="s">
        <v>48</v>
      </c>
      <c r="AG678" s="152" t="s">
        <v>544</v>
      </c>
      <c r="AH678" s="150" t="s">
        <v>326</v>
      </c>
      <c r="AI678" s="149">
        <v>17320085</v>
      </c>
      <c r="AJ678" s="149"/>
      <c r="AK678" s="99"/>
      <c r="AL678" s="149"/>
      <c r="AM678" s="149">
        <v>4</v>
      </c>
      <c r="AN678" s="149">
        <v>0</v>
      </c>
      <c r="AO678" s="149">
        <v>14</v>
      </c>
      <c r="AP678" s="149">
        <v>19</v>
      </c>
      <c r="AQ678" s="149">
        <v>0</v>
      </c>
      <c r="AR678" s="149">
        <v>0</v>
      </c>
      <c r="AS678" s="149">
        <v>0</v>
      </c>
      <c r="AT678" s="149">
        <v>0</v>
      </c>
      <c r="AU678" s="149">
        <v>0</v>
      </c>
      <c r="AV678" s="149">
        <v>14</v>
      </c>
      <c r="AW678" s="149">
        <v>19</v>
      </c>
      <c r="AX678" s="149">
        <v>0</v>
      </c>
      <c r="AY678" s="149">
        <v>0</v>
      </c>
      <c r="AZ678" s="149">
        <v>0</v>
      </c>
      <c r="BA678" s="149">
        <v>0</v>
      </c>
      <c r="BB678" s="149">
        <v>0</v>
      </c>
      <c r="BC678" s="149">
        <v>0</v>
      </c>
      <c r="BD678" s="149">
        <v>0</v>
      </c>
      <c r="BE678" s="149">
        <v>0</v>
      </c>
      <c r="BF678" s="149">
        <v>0</v>
      </c>
      <c r="BG678" s="149">
        <v>0</v>
      </c>
      <c r="BH678" s="149">
        <v>0</v>
      </c>
      <c r="BI678" s="149">
        <v>0</v>
      </c>
      <c r="BJ678" s="149">
        <v>0</v>
      </c>
      <c r="BK678" s="149">
        <v>0</v>
      </c>
      <c r="BL678" s="149">
        <v>0</v>
      </c>
      <c r="BM678" s="149">
        <v>0</v>
      </c>
      <c r="BN678" s="149">
        <v>0</v>
      </c>
      <c r="BO678" s="149">
        <v>0</v>
      </c>
      <c r="BP678" s="152"/>
      <c r="BQ678" s="152"/>
      <c r="BR678" s="154" t="s">
        <v>151</v>
      </c>
      <c r="BS678" s="136">
        <v>10</v>
      </c>
      <c r="BT678" s="267"/>
      <c r="BU678" s="267"/>
      <c r="BV678" s="267"/>
      <c r="BW678" s="267"/>
      <c r="BX678" s="267">
        <f t="shared" si="81"/>
        <v>11</v>
      </c>
      <c r="BY678" s="267">
        <f t="shared" si="82"/>
        <v>11</v>
      </c>
      <c r="BZ678" s="267">
        <f t="shared" si="83"/>
        <v>11</v>
      </c>
      <c r="CA678" s="267"/>
      <c r="CB678" s="267"/>
      <c r="CC678" s="267"/>
      <c r="CD678" s="267"/>
      <c r="CE678" s="267"/>
      <c r="CF678" s="267"/>
      <c r="CG678" s="267"/>
      <c r="CH678" s="267"/>
      <c r="CI678" s="267"/>
      <c r="CJ678" s="267"/>
      <c r="CK678" s="267"/>
      <c r="CL678" s="267"/>
      <c r="CM678" s="267"/>
      <c r="CN678" s="101">
        <f t="shared" si="68"/>
        <v>22</v>
      </c>
      <c r="CO678" s="101">
        <f t="shared" si="69"/>
        <v>33</v>
      </c>
    </row>
    <row r="679" spans="1:93" ht="13.9" customHeight="1" x14ac:dyDescent="0.2">
      <c r="A679" s="149">
        <v>6908</v>
      </c>
      <c r="B679" s="150" t="s">
        <v>1216</v>
      </c>
      <c r="C679" s="150" t="s">
        <v>1932</v>
      </c>
      <c r="D679" s="150" t="s">
        <v>1933</v>
      </c>
      <c r="E679" s="150" t="s">
        <v>1937</v>
      </c>
      <c r="F679" s="149">
        <v>525716</v>
      </c>
      <c r="G679" s="149">
        <v>173464</v>
      </c>
      <c r="H679" s="150" t="s">
        <v>175</v>
      </c>
      <c r="I679" s="151">
        <v>45382</v>
      </c>
      <c r="J679" s="151"/>
      <c r="K679" s="149">
        <v>0</v>
      </c>
      <c r="L679" s="149">
        <v>66</v>
      </c>
      <c r="M679" s="149">
        <v>66</v>
      </c>
      <c r="N679" s="149">
        <v>433</v>
      </c>
      <c r="O679" s="149">
        <v>433</v>
      </c>
      <c r="P679" s="152" t="s">
        <v>327</v>
      </c>
      <c r="Q679" s="150" t="s">
        <v>1935</v>
      </c>
      <c r="R679" s="150" t="s">
        <v>381</v>
      </c>
      <c r="S679" s="151">
        <v>44441</v>
      </c>
      <c r="T679" s="151">
        <v>44817</v>
      </c>
      <c r="U679" s="152"/>
      <c r="V679" s="150" t="s">
        <v>330</v>
      </c>
      <c r="W679" s="151"/>
      <c r="X679" s="150" t="s">
        <v>331</v>
      </c>
      <c r="Y679" s="150" t="s">
        <v>343</v>
      </c>
      <c r="Z679" s="150" t="s">
        <v>343</v>
      </c>
      <c r="AA679" s="150" t="s">
        <v>334</v>
      </c>
      <c r="AB679" s="153">
        <v>0</v>
      </c>
      <c r="AC679" s="151"/>
      <c r="AD679" s="150"/>
      <c r="AE679" s="151"/>
      <c r="AF679" s="150" t="s">
        <v>49</v>
      </c>
      <c r="AG679" s="152" t="s">
        <v>481</v>
      </c>
      <c r="AH679" s="150" t="s">
        <v>326</v>
      </c>
      <c r="AI679" s="149">
        <v>17320085</v>
      </c>
      <c r="AJ679" s="149"/>
      <c r="AK679" s="99"/>
      <c r="AL679" s="149"/>
      <c r="AM679" s="149">
        <v>8</v>
      </c>
      <c r="AN679" s="149">
        <v>0</v>
      </c>
      <c r="AO679" s="149">
        <v>8</v>
      </c>
      <c r="AP679" s="149">
        <v>27</v>
      </c>
      <c r="AQ679" s="149">
        <v>25</v>
      </c>
      <c r="AR679" s="149">
        <v>6</v>
      </c>
      <c r="AS679" s="149">
        <v>0</v>
      </c>
      <c r="AT679" s="149">
        <v>0</v>
      </c>
      <c r="AU679" s="149">
        <v>0</v>
      </c>
      <c r="AV679" s="149">
        <v>8</v>
      </c>
      <c r="AW679" s="149">
        <v>27</v>
      </c>
      <c r="AX679" s="149">
        <v>25</v>
      </c>
      <c r="AY679" s="149">
        <v>6</v>
      </c>
      <c r="AZ679" s="149">
        <v>0</v>
      </c>
      <c r="BA679" s="149">
        <v>0</v>
      </c>
      <c r="BB679" s="149">
        <v>0</v>
      </c>
      <c r="BC679" s="149">
        <v>0</v>
      </c>
      <c r="BD679" s="149">
        <v>0</v>
      </c>
      <c r="BE679" s="149">
        <v>0</v>
      </c>
      <c r="BF679" s="149">
        <v>0</v>
      </c>
      <c r="BG679" s="149">
        <v>0</v>
      </c>
      <c r="BH679" s="149">
        <v>0</v>
      </c>
      <c r="BI679" s="149">
        <v>0</v>
      </c>
      <c r="BJ679" s="149">
        <v>0</v>
      </c>
      <c r="BK679" s="149">
        <v>0</v>
      </c>
      <c r="BL679" s="149">
        <v>0</v>
      </c>
      <c r="BM679" s="149">
        <v>0</v>
      </c>
      <c r="BN679" s="149">
        <v>0</v>
      </c>
      <c r="BO679" s="149">
        <v>0</v>
      </c>
      <c r="BP679" s="152"/>
      <c r="BQ679" s="152"/>
      <c r="BR679" s="154" t="s">
        <v>151</v>
      </c>
      <c r="BS679" s="136">
        <v>10</v>
      </c>
      <c r="BT679" s="267"/>
      <c r="BU679" s="267"/>
      <c r="BV679" s="267"/>
      <c r="BW679" s="267"/>
      <c r="BX679" s="267">
        <f t="shared" si="81"/>
        <v>22</v>
      </c>
      <c r="BY679" s="267">
        <f t="shared" si="82"/>
        <v>22</v>
      </c>
      <c r="BZ679" s="267">
        <f t="shared" si="83"/>
        <v>22</v>
      </c>
      <c r="CA679" s="267"/>
      <c r="CB679" s="267"/>
      <c r="CC679" s="267"/>
      <c r="CD679" s="267"/>
      <c r="CE679" s="267"/>
      <c r="CF679" s="267"/>
      <c r="CG679" s="267"/>
      <c r="CH679" s="267"/>
      <c r="CI679" s="267"/>
      <c r="CJ679" s="267"/>
      <c r="CK679" s="267"/>
      <c r="CL679" s="267"/>
      <c r="CM679" s="267"/>
      <c r="CN679" s="101">
        <f t="shared" si="68"/>
        <v>44</v>
      </c>
      <c r="CO679" s="101">
        <f t="shared" si="69"/>
        <v>66</v>
      </c>
    </row>
    <row r="680" spans="1:93" ht="13.9" customHeight="1" x14ac:dyDescent="0.2">
      <c r="A680" s="149">
        <v>6908</v>
      </c>
      <c r="B680" s="150" t="s">
        <v>1216</v>
      </c>
      <c r="C680" s="150" t="s">
        <v>1932</v>
      </c>
      <c r="D680" s="150" t="s">
        <v>1933</v>
      </c>
      <c r="E680" s="150" t="s">
        <v>1938</v>
      </c>
      <c r="F680" s="149">
        <v>525716</v>
      </c>
      <c r="G680" s="149">
        <v>173464</v>
      </c>
      <c r="H680" s="150" t="s">
        <v>175</v>
      </c>
      <c r="I680" s="151">
        <v>45382</v>
      </c>
      <c r="J680" s="151"/>
      <c r="K680" s="149">
        <v>0</v>
      </c>
      <c r="L680" s="149">
        <v>55</v>
      </c>
      <c r="M680" s="149">
        <v>55</v>
      </c>
      <c r="N680" s="149">
        <v>433</v>
      </c>
      <c r="O680" s="149">
        <v>433</v>
      </c>
      <c r="P680" s="152" t="s">
        <v>327</v>
      </c>
      <c r="Q680" s="150" t="s">
        <v>1935</v>
      </c>
      <c r="R680" s="150" t="s">
        <v>381</v>
      </c>
      <c r="S680" s="151">
        <v>44441</v>
      </c>
      <c r="T680" s="151">
        <v>44817</v>
      </c>
      <c r="U680" s="152"/>
      <c r="V680" s="150" t="s">
        <v>330</v>
      </c>
      <c r="W680" s="151"/>
      <c r="X680" s="150" t="s">
        <v>331</v>
      </c>
      <c r="Y680" s="150" t="s">
        <v>343</v>
      </c>
      <c r="Z680" s="150" t="s">
        <v>343</v>
      </c>
      <c r="AA680" s="150" t="s">
        <v>334</v>
      </c>
      <c r="AB680" s="153">
        <v>0</v>
      </c>
      <c r="AC680" s="151"/>
      <c r="AD680" s="150"/>
      <c r="AE680" s="151"/>
      <c r="AF680" s="150" t="s">
        <v>70</v>
      </c>
      <c r="AG680" s="152" t="s">
        <v>352</v>
      </c>
      <c r="AH680" s="150" t="s">
        <v>326</v>
      </c>
      <c r="AI680" s="149">
        <v>17320085</v>
      </c>
      <c r="AJ680" s="149"/>
      <c r="AK680" s="99"/>
      <c r="AL680" s="149"/>
      <c r="AM680" s="102"/>
      <c r="AN680" s="149">
        <v>0</v>
      </c>
      <c r="AO680" s="149">
        <v>14</v>
      </c>
      <c r="AP680" s="149">
        <v>35</v>
      </c>
      <c r="AQ680" s="149">
        <v>6</v>
      </c>
      <c r="AR680" s="149">
        <v>0</v>
      </c>
      <c r="AS680" s="149">
        <v>0</v>
      </c>
      <c r="AT680" s="149">
        <v>0</v>
      </c>
      <c r="AU680" s="149">
        <v>0</v>
      </c>
      <c r="AV680" s="149">
        <v>14</v>
      </c>
      <c r="AW680" s="149">
        <v>35</v>
      </c>
      <c r="AX680" s="149">
        <v>6</v>
      </c>
      <c r="AY680" s="149">
        <v>0</v>
      </c>
      <c r="AZ680" s="149">
        <v>0</v>
      </c>
      <c r="BA680" s="149">
        <v>0</v>
      </c>
      <c r="BB680" s="149">
        <v>0</v>
      </c>
      <c r="BC680" s="149">
        <v>0</v>
      </c>
      <c r="BD680" s="149">
        <v>0</v>
      </c>
      <c r="BE680" s="149">
        <v>0</v>
      </c>
      <c r="BF680" s="149">
        <v>0</v>
      </c>
      <c r="BG680" s="149">
        <v>0</v>
      </c>
      <c r="BH680" s="149">
        <v>0</v>
      </c>
      <c r="BI680" s="149">
        <v>0</v>
      </c>
      <c r="BJ680" s="149">
        <v>0</v>
      </c>
      <c r="BK680" s="149">
        <v>0</v>
      </c>
      <c r="BL680" s="149">
        <v>0</v>
      </c>
      <c r="BM680" s="149">
        <v>0</v>
      </c>
      <c r="BN680" s="149">
        <v>0</v>
      </c>
      <c r="BO680" s="149">
        <v>0</v>
      </c>
      <c r="BP680" s="152"/>
      <c r="BQ680" s="152"/>
      <c r="BR680" s="154" t="s">
        <v>151</v>
      </c>
      <c r="BS680" s="136">
        <v>10</v>
      </c>
      <c r="BT680" s="267"/>
      <c r="BU680" s="267"/>
      <c r="BV680" s="267"/>
      <c r="BW680" s="267"/>
      <c r="BX680" s="267">
        <f t="shared" si="81"/>
        <v>18.333333333333332</v>
      </c>
      <c r="BY680" s="267">
        <f t="shared" si="82"/>
        <v>18.333333333333332</v>
      </c>
      <c r="BZ680" s="267">
        <f t="shared" si="83"/>
        <v>18.333333333333332</v>
      </c>
      <c r="CA680" s="267"/>
      <c r="CB680" s="267"/>
      <c r="CC680" s="267"/>
      <c r="CD680" s="267"/>
      <c r="CE680" s="267"/>
      <c r="CF680" s="267"/>
      <c r="CG680" s="267"/>
      <c r="CH680" s="267"/>
      <c r="CI680" s="267"/>
      <c r="CJ680" s="267"/>
      <c r="CK680" s="267"/>
      <c r="CL680" s="267"/>
      <c r="CM680" s="267"/>
      <c r="CN680" s="101">
        <f t="shared" si="68"/>
        <v>36.666666666666664</v>
      </c>
      <c r="CO680" s="101">
        <f t="shared" si="69"/>
        <v>55</v>
      </c>
    </row>
    <row r="681" spans="1:93" ht="13.9" customHeight="1" x14ac:dyDescent="0.2">
      <c r="A681" s="149">
        <v>6908</v>
      </c>
      <c r="B681" s="150" t="s">
        <v>1216</v>
      </c>
      <c r="C681" s="150" t="s">
        <v>1932</v>
      </c>
      <c r="D681" s="150" t="s">
        <v>1933</v>
      </c>
      <c r="E681" s="150" t="s">
        <v>1939</v>
      </c>
      <c r="F681" s="149">
        <v>525716</v>
      </c>
      <c r="G681" s="149">
        <v>173464</v>
      </c>
      <c r="H681" s="150" t="s">
        <v>175</v>
      </c>
      <c r="I681" s="151">
        <v>45382</v>
      </c>
      <c r="J681" s="151"/>
      <c r="K681" s="149">
        <v>0</v>
      </c>
      <c r="L681" s="149">
        <v>75</v>
      </c>
      <c r="M681" s="149">
        <v>75</v>
      </c>
      <c r="N681" s="149">
        <v>433</v>
      </c>
      <c r="O681" s="149">
        <v>433</v>
      </c>
      <c r="P681" s="152" t="s">
        <v>327</v>
      </c>
      <c r="Q681" s="150" t="s">
        <v>1935</v>
      </c>
      <c r="R681" s="150" t="s">
        <v>381</v>
      </c>
      <c r="S681" s="151">
        <v>44441</v>
      </c>
      <c r="T681" s="151">
        <v>44817</v>
      </c>
      <c r="U681" s="152"/>
      <c r="V681" s="150" t="s">
        <v>330</v>
      </c>
      <c r="W681" s="151"/>
      <c r="X681" s="150" t="s">
        <v>331</v>
      </c>
      <c r="Y681" s="150" t="s">
        <v>343</v>
      </c>
      <c r="Z681" s="150" t="s">
        <v>343</v>
      </c>
      <c r="AA681" s="150" t="s">
        <v>334</v>
      </c>
      <c r="AB681" s="153">
        <v>0</v>
      </c>
      <c r="AC681" s="151"/>
      <c r="AD681" s="150"/>
      <c r="AE681" s="151"/>
      <c r="AF681" s="150" t="s">
        <v>70</v>
      </c>
      <c r="AG681" s="152" t="s">
        <v>352</v>
      </c>
      <c r="AH681" s="150" t="s">
        <v>326</v>
      </c>
      <c r="AI681" s="149">
        <v>17320085</v>
      </c>
      <c r="AJ681" s="149"/>
      <c r="AK681" s="99"/>
      <c r="AL681" s="149"/>
      <c r="AM681" s="99"/>
      <c r="AN681" s="149">
        <v>5</v>
      </c>
      <c r="AO681" s="149">
        <v>47</v>
      </c>
      <c r="AP681" s="149">
        <v>23</v>
      </c>
      <c r="AQ681" s="149">
        <v>0</v>
      </c>
      <c r="AR681" s="149">
        <v>0</v>
      </c>
      <c r="AS681" s="149">
        <v>0</v>
      </c>
      <c r="AT681" s="149">
        <v>0</v>
      </c>
      <c r="AU681" s="149">
        <v>5</v>
      </c>
      <c r="AV681" s="149">
        <v>47</v>
      </c>
      <c r="AW681" s="149">
        <v>23</v>
      </c>
      <c r="AX681" s="149">
        <v>0</v>
      </c>
      <c r="AY681" s="149">
        <v>0</v>
      </c>
      <c r="AZ681" s="149">
        <v>0</v>
      </c>
      <c r="BA681" s="149">
        <v>0</v>
      </c>
      <c r="BB681" s="149">
        <v>0</v>
      </c>
      <c r="BC681" s="149">
        <v>0</v>
      </c>
      <c r="BD681" s="149">
        <v>0</v>
      </c>
      <c r="BE681" s="149">
        <v>0</v>
      </c>
      <c r="BF681" s="149">
        <v>0</v>
      </c>
      <c r="BG681" s="149">
        <v>0</v>
      </c>
      <c r="BH681" s="149">
        <v>0</v>
      </c>
      <c r="BI681" s="149">
        <v>0</v>
      </c>
      <c r="BJ681" s="149">
        <v>0</v>
      </c>
      <c r="BK681" s="149">
        <v>0</v>
      </c>
      <c r="BL681" s="149">
        <v>0</v>
      </c>
      <c r="BM681" s="149">
        <v>0</v>
      </c>
      <c r="BN681" s="149">
        <v>0</v>
      </c>
      <c r="BO681" s="149">
        <v>0</v>
      </c>
      <c r="BP681" s="152"/>
      <c r="BQ681" s="152"/>
      <c r="BR681" s="154" t="s">
        <v>151</v>
      </c>
      <c r="BS681" s="136">
        <v>10</v>
      </c>
      <c r="BT681" s="267"/>
      <c r="BU681" s="267"/>
      <c r="BV681" s="267"/>
      <c r="BW681" s="267"/>
      <c r="BX681" s="267">
        <f t="shared" si="81"/>
        <v>25</v>
      </c>
      <c r="BY681" s="267">
        <f t="shared" si="82"/>
        <v>25</v>
      </c>
      <c r="BZ681" s="267">
        <f t="shared" si="83"/>
        <v>25</v>
      </c>
      <c r="CA681" s="267"/>
      <c r="CB681" s="267"/>
      <c r="CC681" s="267"/>
      <c r="CD681" s="267"/>
      <c r="CE681" s="267"/>
      <c r="CF681" s="267"/>
      <c r="CG681" s="267"/>
      <c r="CH681" s="267"/>
      <c r="CI681" s="267"/>
      <c r="CJ681" s="267"/>
      <c r="CK681" s="267"/>
      <c r="CL681" s="267"/>
      <c r="CM681" s="267"/>
      <c r="CN681" s="101">
        <f t="shared" si="68"/>
        <v>50</v>
      </c>
      <c r="CO681" s="101">
        <f t="shared" si="69"/>
        <v>75</v>
      </c>
    </row>
    <row r="682" spans="1:93" ht="13.9" customHeight="1" x14ac:dyDescent="0.2">
      <c r="A682" s="149">
        <v>6908</v>
      </c>
      <c r="B682" s="150" t="s">
        <v>1216</v>
      </c>
      <c r="C682" s="150" t="s">
        <v>1932</v>
      </c>
      <c r="D682" s="150" t="s">
        <v>1933</v>
      </c>
      <c r="E682" s="150" t="s">
        <v>1940</v>
      </c>
      <c r="F682" s="149">
        <v>525716</v>
      </c>
      <c r="G682" s="149">
        <v>173464</v>
      </c>
      <c r="H682" s="150" t="s">
        <v>175</v>
      </c>
      <c r="I682" s="151">
        <v>45382</v>
      </c>
      <c r="J682" s="151"/>
      <c r="K682" s="149">
        <v>0</v>
      </c>
      <c r="L682" s="149">
        <v>41</v>
      </c>
      <c r="M682" s="149">
        <v>41</v>
      </c>
      <c r="N682" s="149">
        <v>433</v>
      </c>
      <c r="O682" s="149">
        <v>433</v>
      </c>
      <c r="P682" s="152" t="s">
        <v>327</v>
      </c>
      <c r="Q682" s="150" t="s">
        <v>1935</v>
      </c>
      <c r="R682" s="150" t="s">
        <v>381</v>
      </c>
      <c r="S682" s="151">
        <v>44441</v>
      </c>
      <c r="T682" s="151">
        <v>44817</v>
      </c>
      <c r="U682" s="152"/>
      <c r="V682" s="150" t="s">
        <v>330</v>
      </c>
      <c r="W682" s="151"/>
      <c r="X682" s="150" t="s">
        <v>331</v>
      </c>
      <c r="Y682" s="150" t="s">
        <v>343</v>
      </c>
      <c r="Z682" s="150" t="s">
        <v>343</v>
      </c>
      <c r="AA682" s="150" t="s">
        <v>334</v>
      </c>
      <c r="AB682" s="153">
        <v>0</v>
      </c>
      <c r="AC682" s="151"/>
      <c r="AD682" s="150"/>
      <c r="AE682" s="151"/>
      <c r="AF682" s="150" t="s">
        <v>70</v>
      </c>
      <c r="AG682" s="152" t="s">
        <v>352</v>
      </c>
      <c r="AH682" s="150" t="s">
        <v>326</v>
      </c>
      <c r="AI682" s="149">
        <v>17320085</v>
      </c>
      <c r="AJ682" s="149"/>
      <c r="AK682" s="99"/>
      <c r="AL682" s="149"/>
      <c r="AM682" s="99"/>
      <c r="AN682" s="149">
        <v>0</v>
      </c>
      <c r="AO682" s="149">
        <v>18</v>
      </c>
      <c r="AP682" s="149">
        <v>13</v>
      </c>
      <c r="AQ682" s="149">
        <v>10</v>
      </c>
      <c r="AR682" s="149">
        <v>0</v>
      </c>
      <c r="AS682" s="149">
        <v>0</v>
      </c>
      <c r="AT682" s="149">
        <v>0</v>
      </c>
      <c r="AU682" s="149">
        <v>0</v>
      </c>
      <c r="AV682" s="149">
        <v>18</v>
      </c>
      <c r="AW682" s="149">
        <v>13</v>
      </c>
      <c r="AX682" s="149">
        <v>10</v>
      </c>
      <c r="AY682" s="149">
        <v>0</v>
      </c>
      <c r="AZ682" s="149">
        <v>0</v>
      </c>
      <c r="BA682" s="149">
        <v>0</v>
      </c>
      <c r="BB682" s="149">
        <v>0</v>
      </c>
      <c r="BC682" s="149">
        <v>0</v>
      </c>
      <c r="BD682" s="149">
        <v>0</v>
      </c>
      <c r="BE682" s="149">
        <v>0</v>
      </c>
      <c r="BF682" s="149">
        <v>0</v>
      </c>
      <c r="BG682" s="149">
        <v>0</v>
      </c>
      <c r="BH682" s="149">
        <v>0</v>
      </c>
      <c r="BI682" s="149">
        <v>0</v>
      </c>
      <c r="BJ682" s="149">
        <v>0</v>
      </c>
      <c r="BK682" s="149">
        <v>0</v>
      </c>
      <c r="BL682" s="149">
        <v>0</v>
      </c>
      <c r="BM682" s="149">
        <v>0</v>
      </c>
      <c r="BN682" s="149">
        <v>0</v>
      </c>
      <c r="BO682" s="149">
        <v>0</v>
      </c>
      <c r="BP682" s="152"/>
      <c r="BQ682" s="152"/>
      <c r="BR682" s="154" t="s">
        <v>151</v>
      </c>
      <c r="BS682" s="136">
        <v>10</v>
      </c>
      <c r="BT682" s="267"/>
      <c r="BU682" s="267"/>
      <c r="BV682" s="267"/>
      <c r="BW682" s="267"/>
      <c r="BX682" s="267">
        <f t="shared" si="81"/>
        <v>13.666666666666666</v>
      </c>
      <c r="BY682" s="267">
        <f t="shared" si="82"/>
        <v>13.666666666666666</v>
      </c>
      <c r="BZ682" s="267">
        <f t="shared" si="83"/>
        <v>13.666666666666666</v>
      </c>
      <c r="CA682" s="267"/>
      <c r="CB682" s="267"/>
      <c r="CC682" s="267"/>
      <c r="CD682" s="267"/>
      <c r="CE682" s="267"/>
      <c r="CF682" s="267"/>
      <c r="CG682" s="267"/>
      <c r="CH682" s="267"/>
      <c r="CI682" s="267"/>
      <c r="CJ682" s="267"/>
      <c r="CK682" s="267"/>
      <c r="CL682" s="267"/>
      <c r="CM682" s="267"/>
      <c r="CN682" s="101">
        <f t="shared" si="68"/>
        <v>27.333333333333332</v>
      </c>
      <c r="CO682" s="101">
        <f t="shared" si="69"/>
        <v>41</v>
      </c>
    </row>
    <row r="683" spans="1:93" ht="13.9" customHeight="1" x14ac:dyDescent="0.2">
      <c r="A683" s="149">
        <v>6908</v>
      </c>
      <c r="B683" s="150" t="s">
        <v>1216</v>
      </c>
      <c r="C683" s="150" t="s">
        <v>1932</v>
      </c>
      <c r="D683" s="150" t="s">
        <v>1933</v>
      </c>
      <c r="E683" s="150" t="s">
        <v>1941</v>
      </c>
      <c r="F683" s="149">
        <v>525716</v>
      </c>
      <c r="G683" s="149">
        <v>173464</v>
      </c>
      <c r="H683" s="150" t="s">
        <v>175</v>
      </c>
      <c r="I683" s="151">
        <v>45382</v>
      </c>
      <c r="J683" s="151"/>
      <c r="K683" s="149">
        <v>0</v>
      </c>
      <c r="L683" s="149">
        <v>79</v>
      </c>
      <c r="M683" s="149">
        <v>79</v>
      </c>
      <c r="N683" s="149">
        <v>433</v>
      </c>
      <c r="O683" s="149">
        <v>433</v>
      </c>
      <c r="P683" s="152" t="s">
        <v>327</v>
      </c>
      <c r="Q683" s="150" t="s">
        <v>1935</v>
      </c>
      <c r="R683" s="150" t="s">
        <v>381</v>
      </c>
      <c r="S683" s="151">
        <v>44441</v>
      </c>
      <c r="T683" s="151">
        <v>44817</v>
      </c>
      <c r="U683" s="152"/>
      <c r="V683" s="150" t="s">
        <v>330</v>
      </c>
      <c r="W683" s="151"/>
      <c r="X683" s="150" t="s">
        <v>331</v>
      </c>
      <c r="Y683" s="150" t="s">
        <v>343</v>
      </c>
      <c r="Z683" s="150" t="s">
        <v>343</v>
      </c>
      <c r="AA683" s="150" t="s">
        <v>334</v>
      </c>
      <c r="AB683" s="153">
        <v>0</v>
      </c>
      <c r="AC683" s="151"/>
      <c r="AD683" s="150"/>
      <c r="AE683" s="151"/>
      <c r="AF683" s="150" t="s">
        <v>70</v>
      </c>
      <c r="AG683" s="152" t="s">
        <v>352</v>
      </c>
      <c r="AH683" s="150" t="s">
        <v>326</v>
      </c>
      <c r="AI683" s="149">
        <v>17320085</v>
      </c>
      <c r="AJ683" s="149"/>
      <c r="AK683" s="99"/>
      <c r="AL683" s="149"/>
      <c r="AM683" s="99"/>
      <c r="AN683" s="149">
        <v>7</v>
      </c>
      <c r="AO683" s="149">
        <v>39</v>
      </c>
      <c r="AP683" s="149">
        <v>31</v>
      </c>
      <c r="AQ683" s="149">
        <v>2</v>
      </c>
      <c r="AR683" s="149">
        <v>0</v>
      </c>
      <c r="AS683" s="149">
        <v>0</v>
      </c>
      <c r="AT683" s="149">
        <v>0</v>
      </c>
      <c r="AU683" s="149">
        <v>7</v>
      </c>
      <c r="AV683" s="149">
        <v>39</v>
      </c>
      <c r="AW683" s="149">
        <v>31</v>
      </c>
      <c r="AX683" s="149">
        <v>2</v>
      </c>
      <c r="AY683" s="149">
        <v>0</v>
      </c>
      <c r="AZ683" s="149">
        <v>0</v>
      </c>
      <c r="BA683" s="149">
        <v>0</v>
      </c>
      <c r="BB683" s="149">
        <v>0</v>
      </c>
      <c r="BC683" s="149">
        <v>0</v>
      </c>
      <c r="BD683" s="149">
        <v>0</v>
      </c>
      <c r="BE683" s="149">
        <v>0</v>
      </c>
      <c r="BF683" s="149">
        <v>0</v>
      </c>
      <c r="BG683" s="149">
        <v>0</v>
      </c>
      <c r="BH683" s="149">
        <v>0</v>
      </c>
      <c r="BI683" s="149">
        <v>0</v>
      </c>
      <c r="BJ683" s="149">
        <v>0</v>
      </c>
      <c r="BK683" s="149">
        <v>0</v>
      </c>
      <c r="BL683" s="149">
        <v>0</v>
      </c>
      <c r="BM683" s="149">
        <v>0</v>
      </c>
      <c r="BN683" s="149">
        <v>0</v>
      </c>
      <c r="BO683" s="149">
        <v>0</v>
      </c>
      <c r="BP683" s="152"/>
      <c r="BQ683" s="152"/>
      <c r="BR683" s="154" t="s">
        <v>151</v>
      </c>
      <c r="BS683" s="136">
        <v>10</v>
      </c>
      <c r="BT683" s="267"/>
      <c r="BU683" s="267"/>
      <c r="BV683" s="267"/>
      <c r="BW683" s="267"/>
      <c r="BX683" s="267">
        <f t="shared" si="81"/>
        <v>26.333333333333332</v>
      </c>
      <c r="BY683" s="267">
        <f t="shared" si="82"/>
        <v>26.333333333333332</v>
      </c>
      <c r="BZ683" s="267">
        <f t="shared" si="83"/>
        <v>26.333333333333332</v>
      </c>
      <c r="CA683" s="267"/>
      <c r="CB683" s="267"/>
      <c r="CC683" s="267"/>
      <c r="CD683" s="267"/>
      <c r="CE683" s="267"/>
      <c r="CF683" s="267"/>
      <c r="CG683" s="267"/>
      <c r="CH683" s="267"/>
      <c r="CI683" s="267"/>
      <c r="CJ683" s="267"/>
      <c r="CK683" s="267"/>
      <c r="CL683" s="267"/>
      <c r="CM683" s="267"/>
      <c r="CN683" s="101">
        <f t="shared" si="68"/>
        <v>52.666666666666664</v>
      </c>
      <c r="CO683" s="101">
        <f t="shared" si="69"/>
        <v>79</v>
      </c>
    </row>
    <row r="684" spans="1:93" ht="13.9" customHeight="1" x14ac:dyDescent="0.2">
      <c r="A684" s="149">
        <v>6908</v>
      </c>
      <c r="B684" s="150" t="s">
        <v>1216</v>
      </c>
      <c r="C684" s="150" t="s">
        <v>1932</v>
      </c>
      <c r="D684" s="150" t="s">
        <v>1933</v>
      </c>
      <c r="E684" s="150" t="s">
        <v>1942</v>
      </c>
      <c r="F684" s="149">
        <v>525716</v>
      </c>
      <c r="G684" s="149">
        <v>173464</v>
      </c>
      <c r="H684" s="150" t="s">
        <v>175</v>
      </c>
      <c r="I684" s="151">
        <v>45382</v>
      </c>
      <c r="J684" s="151"/>
      <c r="K684" s="149">
        <v>0</v>
      </c>
      <c r="L684" s="149">
        <v>51</v>
      </c>
      <c r="M684" s="149">
        <v>51</v>
      </c>
      <c r="N684" s="149">
        <v>433</v>
      </c>
      <c r="O684" s="149">
        <v>433</v>
      </c>
      <c r="P684" s="152" t="s">
        <v>327</v>
      </c>
      <c r="Q684" s="150" t="s">
        <v>1935</v>
      </c>
      <c r="R684" s="150" t="s">
        <v>381</v>
      </c>
      <c r="S684" s="151">
        <v>44441</v>
      </c>
      <c r="T684" s="151">
        <v>44817</v>
      </c>
      <c r="U684" s="152"/>
      <c r="V684" s="150" t="s">
        <v>330</v>
      </c>
      <c r="W684" s="151"/>
      <c r="X684" s="150" t="s">
        <v>331</v>
      </c>
      <c r="Y684" s="150" t="s">
        <v>343</v>
      </c>
      <c r="Z684" s="150" t="s">
        <v>343</v>
      </c>
      <c r="AA684" s="150" t="s">
        <v>334</v>
      </c>
      <c r="AB684" s="153">
        <v>0</v>
      </c>
      <c r="AC684" s="151"/>
      <c r="AD684" s="150"/>
      <c r="AE684" s="151"/>
      <c r="AF684" s="150" t="s">
        <v>70</v>
      </c>
      <c r="AG684" s="152" t="s">
        <v>352</v>
      </c>
      <c r="AH684" s="150" t="s">
        <v>326</v>
      </c>
      <c r="AI684" s="149">
        <v>17320085</v>
      </c>
      <c r="AJ684" s="149"/>
      <c r="AK684" s="99"/>
      <c r="AL684" s="149"/>
      <c r="AM684" s="99"/>
      <c r="AN684" s="149">
        <v>0</v>
      </c>
      <c r="AO684" s="149">
        <v>33</v>
      </c>
      <c r="AP684" s="149">
        <v>17</v>
      </c>
      <c r="AQ684" s="149">
        <v>1</v>
      </c>
      <c r="AR684" s="149">
        <v>0</v>
      </c>
      <c r="AS684" s="149">
        <v>0</v>
      </c>
      <c r="AT684" s="149">
        <v>0</v>
      </c>
      <c r="AU684" s="149">
        <v>0</v>
      </c>
      <c r="AV684" s="149">
        <v>33</v>
      </c>
      <c r="AW684" s="149">
        <v>17</v>
      </c>
      <c r="AX684" s="149">
        <v>1</v>
      </c>
      <c r="AY684" s="149">
        <v>0</v>
      </c>
      <c r="AZ684" s="149">
        <v>0</v>
      </c>
      <c r="BA684" s="149">
        <v>0</v>
      </c>
      <c r="BB684" s="149">
        <v>0</v>
      </c>
      <c r="BC684" s="149">
        <v>0</v>
      </c>
      <c r="BD684" s="149">
        <v>0</v>
      </c>
      <c r="BE684" s="149">
        <v>0</v>
      </c>
      <c r="BF684" s="149">
        <v>0</v>
      </c>
      <c r="BG684" s="149">
        <v>0</v>
      </c>
      <c r="BH684" s="149">
        <v>0</v>
      </c>
      <c r="BI684" s="149">
        <v>0</v>
      </c>
      <c r="BJ684" s="149">
        <v>0</v>
      </c>
      <c r="BK684" s="149">
        <v>0</v>
      </c>
      <c r="BL684" s="149">
        <v>0</v>
      </c>
      <c r="BM684" s="149">
        <v>0</v>
      </c>
      <c r="BN684" s="149">
        <v>0</v>
      </c>
      <c r="BO684" s="149">
        <v>0</v>
      </c>
      <c r="BP684" s="152"/>
      <c r="BQ684" s="152"/>
      <c r="BR684" s="154" t="s">
        <v>151</v>
      </c>
      <c r="BS684" s="136">
        <v>10</v>
      </c>
      <c r="BT684" s="267"/>
      <c r="BU684" s="267"/>
      <c r="BV684" s="267"/>
      <c r="BW684" s="267"/>
      <c r="BX684" s="267">
        <f t="shared" si="81"/>
        <v>17</v>
      </c>
      <c r="BY684" s="267">
        <f t="shared" si="82"/>
        <v>17</v>
      </c>
      <c r="BZ684" s="267">
        <f t="shared" si="83"/>
        <v>17</v>
      </c>
      <c r="CA684" s="267"/>
      <c r="CB684" s="267"/>
      <c r="CC684" s="267"/>
      <c r="CD684" s="267"/>
      <c r="CE684" s="267"/>
      <c r="CF684" s="267"/>
      <c r="CG684" s="267"/>
      <c r="CH684" s="267"/>
      <c r="CI684" s="267"/>
      <c r="CJ684" s="267"/>
      <c r="CK684" s="267"/>
      <c r="CL684" s="267"/>
      <c r="CM684" s="267"/>
      <c r="CN684" s="101">
        <f t="shared" si="68"/>
        <v>34</v>
      </c>
      <c r="CO684" s="101">
        <f t="shared" si="69"/>
        <v>51</v>
      </c>
    </row>
    <row r="685" spans="1:93" ht="13.9" customHeight="1" x14ac:dyDescent="0.2">
      <c r="A685" s="149">
        <v>6374</v>
      </c>
      <c r="B685" s="150" t="s">
        <v>1216</v>
      </c>
      <c r="C685" s="150" t="s">
        <v>1943</v>
      </c>
      <c r="D685" s="150" t="s">
        <v>1944</v>
      </c>
      <c r="E685" s="150" t="s">
        <v>326</v>
      </c>
      <c r="F685" s="149">
        <v>526468</v>
      </c>
      <c r="G685" s="149">
        <v>175853</v>
      </c>
      <c r="H685" s="150" t="s">
        <v>170</v>
      </c>
      <c r="I685" s="151"/>
      <c r="J685" s="151"/>
      <c r="K685" s="149">
        <v>0</v>
      </c>
      <c r="L685" s="149">
        <v>4</v>
      </c>
      <c r="M685" s="149">
        <v>4</v>
      </c>
      <c r="N685" s="149">
        <v>4</v>
      </c>
      <c r="O685" s="149">
        <v>4</v>
      </c>
      <c r="P685" s="152"/>
      <c r="Q685" s="150" t="s">
        <v>1945</v>
      </c>
      <c r="R685" s="150" t="s">
        <v>427</v>
      </c>
      <c r="S685" s="151">
        <v>44424</v>
      </c>
      <c r="T685" s="151">
        <v>44482</v>
      </c>
      <c r="U685" s="152"/>
      <c r="V685" s="150" t="s">
        <v>330</v>
      </c>
      <c r="W685" s="151"/>
      <c r="X685" s="150" t="s">
        <v>331</v>
      </c>
      <c r="Y685" s="150" t="s">
        <v>332</v>
      </c>
      <c r="Z685" s="150" t="s">
        <v>334</v>
      </c>
      <c r="AA685" s="150" t="s">
        <v>32</v>
      </c>
      <c r="AB685" s="153">
        <v>6.0000000000000001E-3</v>
      </c>
      <c r="AC685" s="151"/>
      <c r="AD685" s="150"/>
      <c r="AE685" s="151"/>
      <c r="AF685" s="150" t="s">
        <v>70</v>
      </c>
      <c r="AG685" s="152" t="s">
        <v>352</v>
      </c>
      <c r="AH685" s="150" t="s">
        <v>792</v>
      </c>
      <c r="AI685" s="102"/>
      <c r="AJ685" s="149"/>
      <c r="AK685" s="99"/>
      <c r="AL685" s="149"/>
      <c r="AM685" s="99"/>
      <c r="AN685" s="149">
        <v>0</v>
      </c>
      <c r="AO685" s="149">
        <v>4</v>
      </c>
      <c r="AP685" s="149">
        <v>0</v>
      </c>
      <c r="AQ685" s="149">
        <v>0</v>
      </c>
      <c r="AR685" s="149">
        <v>0</v>
      </c>
      <c r="AS685" s="149">
        <v>0</v>
      </c>
      <c r="AT685" s="149">
        <v>0</v>
      </c>
      <c r="AU685" s="149">
        <v>0</v>
      </c>
      <c r="AV685" s="149">
        <v>4</v>
      </c>
      <c r="AW685" s="149">
        <v>0</v>
      </c>
      <c r="AX685" s="149">
        <v>0</v>
      </c>
      <c r="AY685" s="149">
        <v>0</v>
      </c>
      <c r="AZ685" s="149">
        <v>0</v>
      </c>
      <c r="BA685" s="149">
        <v>0</v>
      </c>
      <c r="BB685" s="149">
        <v>0</v>
      </c>
      <c r="BC685" s="149">
        <v>0</v>
      </c>
      <c r="BD685" s="149">
        <v>0</v>
      </c>
      <c r="BE685" s="149">
        <v>0</v>
      </c>
      <c r="BF685" s="149">
        <v>0</v>
      </c>
      <c r="BG685" s="149">
        <v>0</v>
      </c>
      <c r="BH685" s="149">
        <v>0</v>
      </c>
      <c r="BI685" s="149">
        <v>0</v>
      </c>
      <c r="BJ685" s="149">
        <v>0</v>
      </c>
      <c r="BK685" s="149">
        <v>0</v>
      </c>
      <c r="BL685" s="149">
        <v>0</v>
      </c>
      <c r="BM685" s="149">
        <v>0</v>
      </c>
      <c r="BN685" s="149">
        <v>0</v>
      </c>
      <c r="BO685" s="149">
        <v>0</v>
      </c>
      <c r="BP685" s="152"/>
      <c r="BQ685" s="152"/>
      <c r="BR685" s="154" t="s">
        <v>408</v>
      </c>
      <c r="BS685" s="136">
        <v>15</v>
      </c>
      <c r="BT685" s="267"/>
      <c r="BU685" s="267">
        <f>M685/4</f>
        <v>1</v>
      </c>
      <c r="BV685" s="267">
        <f t="shared" ref="BV685:BV691" si="84">M685/4</f>
        <v>1</v>
      </c>
      <c r="BW685" s="267">
        <f t="shared" ref="BW685:BW691" si="85">M685/4</f>
        <v>1</v>
      </c>
      <c r="BX685" s="267">
        <f t="shared" ref="BX685:BX691" si="86">M685/4</f>
        <v>1</v>
      </c>
      <c r="BY685" s="267"/>
      <c r="BZ685" s="267"/>
      <c r="CA685" s="267"/>
      <c r="CB685" s="267"/>
      <c r="CC685" s="267"/>
      <c r="CD685" s="267"/>
      <c r="CE685" s="267"/>
      <c r="CF685" s="267"/>
      <c r="CG685" s="267"/>
      <c r="CH685" s="267"/>
      <c r="CI685" s="267"/>
      <c r="CJ685" s="267"/>
      <c r="CK685" s="267"/>
      <c r="CL685" s="267"/>
      <c r="CM685" s="267"/>
      <c r="CN685" s="101">
        <f t="shared" si="68"/>
        <v>4</v>
      </c>
      <c r="CO685" s="101">
        <f t="shared" si="69"/>
        <v>4</v>
      </c>
    </row>
    <row r="686" spans="1:93" ht="13.9" customHeight="1" x14ac:dyDescent="0.2">
      <c r="A686" s="149">
        <v>7753</v>
      </c>
      <c r="B686" s="150" t="s">
        <v>1216</v>
      </c>
      <c r="C686" s="150" t="s">
        <v>1946</v>
      </c>
      <c r="D686" s="150" t="s">
        <v>1947</v>
      </c>
      <c r="E686" s="150" t="s">
        <v>326</v>
      </c>
      <c r="F686" s="149">
        <v>527778</v>
      </c>
      <c r="G686" s="149">
        <v>170719</v>
      </c>
      <c r="H686" s="150" t="s">
        <v>173</v>
      </c>
      <c r="I686" s="151"/>
      <c r="J686" s="151"/>
      <c r="K686" s="149">
        <v>1</v>
      </c>
      <c r="L686" s="149">
        <v>2</v>
      </c>
      <c r="M686" s="149">
        <v>1</v>
      </c>
      <c r="N686" s="149">
        <v>2</v>
      </c>
      <c r="O686" s="149">
        <v>1</v>
      </c>
      <c r="P686" s="152"/>
      <c r="Q686" s="150" t="s">
        <v>1948</v>
      </c>
      <c r="R686" s="150" t="s">
        <v>349</v>
      </c>
      <c r="S686" s="151">
        <v>44561</v>
      </c>
      <c r="T686" s="151">
        <v>44620</v>
      </c>
      <c r="U686" s="152"/>
      <c r="V686" s="150" t="s">
        <v>330</v>
      </c>
      <c r="W686" s="151"/>
      <c r="X686" s="150" t="s">
        <v>331</v>
      </c>
      <c r="Y686" s="150" t="s">
        <v>491</v>
      </c>
      <c r="Z686" s="150" t="s">
        <v>334</v>
      </c>
      <c r="AA686" s="150" t="s">
        <v>413</v>
      </c>
      <c r="AB686" s="153">
        <v>4.9500000000000004E-3</v>
      </c>
      <c r="AC686" s="151"/>
      <c r="AD686" s="150"/>
      <c r="AE686" s="151"/>
      <c r="AF686" s="150" t="s">
        <v>70</v>
      </c>
      <c r="AG686" s="152" t="s">
        <v>352</v>
      </c>
      <c r="AH686" s="150" t="s">
        <v>326</v>
      </c>
      <c r="AI686" s="99"/>
      <c r="AJ686" s="149"/>
      <c r="AK686" s="99"/>
      <c r="AL686" s="149"/>
      <c r="AM686" s="99"/>
      <c r="AN686" s="149">
        <v>0</v>
      </c>
      <c r="AO686" s="149">
        <v>1</v>
      </c>
      <c r="AP686" s="149">
        <v>0</v>
      </c>
      <c r="AQ686" s="149">
        <v>0</v>
      </c>
      <c r="AR686" s="149">
        <v>0</v>
      </c>
      <c r="AS686" s="149">
        <v>0</v>
      </c>
      <c r="AT686" s="149">
        <v>0</v>
      </c>
      <c r="AU686" s="149">
        <v>0</v>
      </c>
      <c r="AV686" s="149">
        <v>1</v>
      </c>
      <c r="AW686" s="149">
        <v>0</v>
      </c>
      <c r="AX686" s="149">
        <v>0</v>
      </c>
      <c r="AY686" s="149">
        <v>0</v>
      </c>
      <c r="AZ686" s="149">
        <v>0</v>
      </c>
      <c r="BA686" s="149">
        <v>0</v>
      </c>
      <c r="BB686" s="149">
        <v>0</v>
      </c>
      <c r="BC686" s="149">
        <v>0</v>
      </c>
      <c r="BD686" s="149">
        <v>0</v>
      </c>
      <c r="BE686" s="149">
        <v>0</v>
      </c>
      <c r="BF686" s="149">
        <v>0</v>
      </c>
      <c r="BG686" s="149">
        <v>0</v>
      </c>
      <c r="BH686" s="149">
        <v>0</v>
      </c>
      <c r="BI686" s="149">
        <v>0</v>
      </c>
      <c r="BJ686" s="149">
        <v>0</v>
      </c>
      <c r="BK686" s="149">
        <v>0</v>
      </c>
      <c r="BL686" s="149">
        <v>0</v>
      </c>
      <c r="BM686" s="149">
        <v>0</v>
      </c>
      <c r="BN686" s="149">
        <v>0</v>
      </c>
      <c r="BO686" s="149">
        <v>0</v>
      </c>
      <c r="BP686" s="152"/>
      <c r="BQ686" s="152"/>
      <c r="BR686" s="154" t="s">
        <v>359</v>
      </c>
      <c r="BS686" s="136">
        <v>15</v>
      </c>
      <c r="BT686" s="267"/>
      <c r="BU686" s="267">
        <f>M686/4</f>
        <v>0.25</v>
      </c>
      <c r="BV686" s="267">
        <f t="shared" si="84"/>
        <v>0.25</v>
      </c>
      <c r="BW686" s="267">
        <f t="shared" si="85"/>
        <v>0.25</v>
      </c>
      <c r="BX686" s="267">
        <f t="shared" si="86"/>
        <v>0.25</v>
      </c>
      <c r="BY686" s="267"/>
      <c r="BZ686" s="267"/>
      <c r="CA686" s="267"/>
      <c r="CB686" s="267"/>
      <c r="CC686" s="267"/>
      <c r="CD686" s="267"/>
      <c r="CE686" s="267"/>
      <c r="CF686" s="267"/>
      <c r="CG686" s="267"/>
      <c r="CH686" s="267"/>
      <c r="CI686" s="267"/>
      <c r="CJ686" s="267"/>
      <c r="CK686" s="267"/>
      <c r="CL686" s="267"/>
      <c r="CM686" s="267"/>
      <c r="CN686" s="101">
        <f t="shared" si="68"/>
        <v>1</v>
      </c>
      <c r="CO686" s="101">
        <f t="shared" si="69"/>
        <v>1</v>
      </c>
    </row>
    <row r="687" spans="1:93" ht="13.9" customHeight="1" x14ac:dyDescent="0.2">
      <c r="A687" s="149">
        <v>6798</v>
      </c>
      <c r="B687" s="150" t="s">
        <v>1216</v>
      </c>
      <c r="C687" s="150" t="s">
        <v>1949</v>
      </c>
      <c r="D687" s="150" t="s">
        <v>1950</v>
      </c>
      <c r="E687" s="150" t="s">
        <v>326</v>
      </c>
      <c r="F687" s="149">
        <v>527317</v>
      </c>
      <c r="G687" s="149">
        <v>171519</v>
      </c>
      <c r="H687" s="150" t="s">
        <v>173</v>
      </c>
      <c r="I687" s="151"/>
      <c r="J687" s="151"/>
      <c r="K687" s="149">
        <v>0</v>
      </c>
      <c r="L687" s="149">
        <v>2</v>
      </c>
      <c r="M687" s="149">
        <v>2</v>
      </c>
      <c r="N687" s="149">
        <v>2</v>
      </c>
      <c r="O687" s="149">
        <v>2</v>
      </c>
      <c r="P687" s="152"/>
      <c r="Q687" s="150" t="s">
        <v>1951</v>
      </c>
      <c r="R687" s="150" t="s">
        <v>349</v>
      </c>
      <c r="S687" s="151">
        <v>44454</v>
      </c>
      <c r="T687" s="151">
        <v>44587</v>
      </c>
      <c r="U687" s="152"/>
      <c r="V687" s="150" t="s">
        <v>330</v>
      </c>
      <c r="W687" s="151"/>
      <c r="X687" s="150" t="s">
        <v>331</v>
      </c>
      <c r="Y687" s="150" t="s">
        <v>343</v>
      </c>
      <c r="Z687" s="150" t="s">
        <v>334</v>
      </c>
      <c r="AA687" s="150" t="s">
        <v>363</v>
      </c>
      <c r="AB687" s="153">
        <v>5.0666000000000001E-3</v>
      </c>
      <c r="AC687" s="151"/>
      <c r="AD687" s="150"/>
      <c r="AE687" s="151"/>
      <c r="AF687" s="150" t="s">
        <v>70</v>
      </c>
      <c r="AG687" s="152" t="s">
        <v>352</v>
      </c>
      <c r="AH687" s="150" t="s">
        <v>326</v>
      </c>
      <c r="AI687" s="99"/>
      <c r="AJ687" s="149"/>
      <c r="AK687" s="99"/>
      <c r="AL687" s="149"/>
      <c r="AM687" s="99"/>
      <c r="AN687" s="149">
        <v>0</v>
      </c>
      <c r="AO687" s="149">
        <v>1</v>
      </c>
      <c r="AP687" s="149">
        <v>0</v>
      </c>
      <c r="AQ687" s="149">
        <v>1</v>
      </c>
      <c r="AR687" s="149">
        <v>0</v>
      </c>
      <c r="AS687" s="149">
        <v>0</v>
      </c>
      <c r="AT687" s="149">
        <v>0</v>
      </c>
      <c r="AU687" s="149">
        <v>0</v>
      </c>
      <c r="AV687" s="149">
        <v>1</v>
      </c>
      <c r="AW687" s="149">
        <v>0</v>
      </c>
      <c r="AX687" s="149">
        <v>1</v>
      </c>
      <c r="AY687" s="149">
        <v>0</v>
      </c>
      <c r="AZ687" s="149">
        <v>0</v>
      </c>
      <c r="BA687" s="149">
        <v>0</v>
      </c>
      <c r="BB687" s="149">
        <v>0</v>
      </c>
      <c r="BC687" s="149">
        <v>0</v>
      </c>
      <c r="BD687" s="149">
        <v>0</v>
      </c>
      <c r="BE687" s="149">
        <v>0</v>
      </c>
      <c r="BF687" s="149">
        <v>0</v>
      </c>
      <c r="BG687" s="149">
        <v>0</v>
      </c>
      <c r="BH687" s="149">
        <v>0</v>
      </c>
      <c r="BI687" s="149">
        <v>0</v>
      </c>
      <c r="BJ687" s="149">
        <v>0</v>
      </c>
      <c r="BK687" s="149">
        <v>0</v>
      </c>
      <c r="BL687" s="149">
        <v>0</v>
      </c>
      <c r="BM687" s="149">
        <v>0</v>
      </c>
      <c r="BN687" s="149">
        <v>0</v>
      </c>
      <c r="BO687" s="149">
        <v>0</v>
      </c>
      <c r="BP687" s="152"/>
      <c r="BQ687" s="152"/>
      <c r="BR687" s="154" t="s">
        <v>142</v>
      </c>
      <c r="BS687" s="136">
        <v>7</v>
      </c>
      <c r="BT687" s="267"/>
      <c r="BU687" s="267"/>
      <c r="BV687" s="267">
        <f t="shared" si="84"/>
        <v>0.5</v>
      </c>
      <c r="BW687" s="267">
        <f t="shared" si="85"/>
        <v>0.5</v>
      </c>
      <c r="BX687" s="267">
        <f t="shared" si="86"/>
        <v>0.5</v>
      </c>
      <c r="BY687" s="267">
        <f>M687/4</f>
        <v>0.5</v>
      </c>
      <c r="BZ687" s="267"/>
      <c r="CA687" s="267"/>
      <c r="CB687" s="267"/>
      <c r="CC687" s="267"/>
      <c r="CD687" s="267"/>
      <c r="CE687" s="267"/>
      <c r="CF687" s="267"/>
      <c r="CG687" s="267"/>
      <c r="CH687" s="267"/>
      <c r="CI687" s="267"/>
      <c r="CJ687" s="267"/>
      <c r="CK687" s="267"/>
      <c r="CL687" s="267"/>
      <c r="CM687" s="267"/>
      <c r="CN687" s="101">
        <f t="shared" si="68"/>
        <v>2</v>
      </c>
      <c r="CO687" s="101">
        <f t="shared" si="69"/>
        <v>2</v>
      </c>
    </row>
    <row r="688" spans="1:93" ht="13.9" customHeight="1" x14ac:dyDescent="0.2">
      <c r="A688" s="149">
        <v>3810</v>
      </c>
      <c r="B688" s="150" t="s">
        <v>1216</v>
      </c>
      <c r="C688" s="150" t="s">
        <v>1952</v>
      </c>
      <c r="D688" s="150" t="s">
        <v>1953</v>
      </c>
      <c r="E688" s="150" t="s">
        <v>326</v>
      </c>
      <c r="F688" s="149">
        <v>528194</v>
      </c>
      <c r="G688" s="149">
        <v>176681</v>
      </c>
      <c r="H688" s="150" t="s">
        <v>160</v>
      </c>
      <c r="I688" s="151"/>
      <c r="J688" s="151"/>
      <c r="K688" s="149">
        <v>1</v>
      </c>
      <c r="L688" s="149">
        <v>2</v>
      </c>
      <c r="M688" s="149">
        <v>1</v>
      </c>
      <c r="N688" s="149">
        <v>2</v>
      </c>
      <c r="O688" s="149">
        <v>1</v>
      </c>
      <c r="P688" s="152"/>
      <c r="Q688" s="150" t="s">
        <v>1954</v>
      </c>
      <c r="R688" s="150" t="s">
        <v>349</v>
      </c>
      <c r="S688" s="151">
        <v>44467</v>
      </c>
      <c r="T688" s="151">
        <v>44580</v>
      </c>
      <c r="U688" s="152"/>
      <c r="V688" s="150" t="s">
        <v>330</v>
      </c>
      <c r="W688" s="151"/>
      <c r="X688" s="150" t="s">
        <v>331</v>
      </c>
      <c r="Y688" s="150" t="s">
        <v>398</v>
      </c>
      <c r="Z688" s="150" t="s">
        <v>334</v>
      </c>
      <c r="AA688" s="150" t="s">
        <v>399</v>
      </c>
      <c r="AB688" s="153">
        <v>3.1375000000000001E-3</v>
      </c>
      <c r="AC688" s="151"/>
      <c r="AD688" s="150"/>
      <c r="AE688" s="151"/>
      <c r="AF688" s="150" t="s">
        <v>70</v>
      </c>
      <c r="AG688" s="152" t="s">
        <v>352</v>
      </c>
      <c r="AH688" s="150" t="s">
        <v>326</v>
      </c>
      <c r="AI688" s="99"/>
      <c r="AJ688" s="149"/>
      <c r="AK688" s="99"/>
      <c r="AL688" s="149"/>
      <c r="AM688" s="99"/>
      <c r="AN688" s="149">
        <v>0</v>
      </c>
      <c r="AO688" s="149">
        <v>2</v>
      </c>
      <c r="AP688" s="149">
        <v>0</v>
      </c>
      <c r="AQ688" s="149">
        <v>-1</v>
      </c>
      <c r="AR688" s="149">
        <v>0</v>
      </c>
      <c r="AS688" s="149">
        <v>0</v>
      </c>
      <c r="AT688" s="149">
        <v>0</v>
      </c>
      <c r="AU688" s="149">
        <v>0</v>
      </c>
      <c r="AV688" s="149">
        <v>2</v>
      </c>
      <c r="AW688" s="149">
        <v>0</v>
      </c>
      <c r="AX688" s="149">
        <v>-1</v>
      </c>
      <c r="AY688" s="149">
        <v>0</v>
      </c>
      <c r="AZ688" s="149">
        <v>0</v>
      </c>
      <c r="BA688" s="149">
        <v>0</v>
      </c>
      <c r="BB688" s="149">
        <v>0</v>
      </c>
      <c r="BC688" s="149">
        <v>0</v>
      </c>
      <c r="BD688" s="149">
        <v>0</v>
      </c>
      <c r="BE688" s="149">
        <v>0</v>
      </c>
      <c r="BF688" s="149">
        <v>0</v>
      </c>
      <c r="BG688" s="149">
        <v>0</v>
      </c>
      <c r="BH688" s="149">
        <v>0</v>
      </c>
      <c r="BI688" s="149">
        <v>0</v>
      </c>
      <c r="BJ688" s="149">
        <v>0</v>
      </c>
      <c r="BK688" s="149">
        <v>0</v>
      </c>
      <c r="BL688" s="149">
        <v>0</v>
      </c>
      <c r="BM688" s="149">
        <v>0</v>
      </c>
      <c r="BN688" s="149">
        <v>0</v>
      </c>
      <c r="BO688" s="149">
        <v>0</v>
      </c>
      <c r="BP688" s="152"/>
      <c r="BQ688" s="152"/>
      <c r="BR688" s="154" t="s">
        <v>359</v>
      </c>
      <c r="BS688" s="136">
        <v>15</v>
      </c>
      <c r="BT688" s="267"/>
      <c r="BU688" s="267">
        <f>M688/4</f>
        <v>0.25</v>
      </c>
      <c r="BV688" s="267">
        <f t="shared" si="84"/>
        <v>0.25</v>
      </c>
      <c r="BW688" s="267">
        <f t="shared" si="85"/>
        <v>0.25</v>
      </c>
      <c r="BX688" s="267">
        <f t="shared" si="86"/>
        <v>0.25</v>
      </c>
      <c r="BY688" s="267"/>
      <c r="BZ688" s="267"/>
      <c r="CA688" s="267"/>
      <c r="CB688" s="267"/>
      <c r="CC688" s="267"/>
      <c r="CD688" s="267"/>
      <c r="CE688" s="267"/>
      <c r="CF688" s="267"/>
      <c r="CG688" s="267"/>
      <c r="CH688" s="267"/>
      <c r="CI688" s="267"/>
      <c r="CJ688" s="267"/>
      <c r="CK688" s="267"/>
      <c r="CL688" s="267"/>
      <c r="CM688" s="267"/>
      <c r="CN688" s="101">
        <f t="shared" si="68"/>
        <v>1</v>
      </c>
      <c r="CO688" s="101">
        <f t="shared" si="69"/>
        <v>1</v>
      </c>
    </row>
    <row r="689" spans="1:93" ht="13.9" customHeight="1" x14ac:dyDescent="0.2">
      <c r="A689" s="149">
        <v>6130</v>
      </c>
      <c r="B689" s="150" t="s">
        <v>1216</v>
      </c>
      <c r="C689" s="150" t="s">
        <v>1955</v>
      </c>
      <c r="D689" s="150" t="s">
        <v>1956</v>
      </c>
      <c r="E689" s="150" t="s">
        <v>326</v>
      </c>
      <c r="F689" s="149">
        <v>522154</v>
      </c>
      <c r="G689" s="149">
        <v>175135</v>
      </c>
      <c r="H689" s="150" t="s">
        <v>166</v>
      </c>
      <c r="I689" s="151"/>
      <c r="J689" s="151"/>
      <c r="K689" s="149">
        <v>1</v>
      </c>
      <c r="L689" s="149">
        <v>1</v>
      </c>
      <c r="M689" s="149">
        <v>0</v>
      </c>
      <c r="N689" s="149">
        <v>1</v>
      </c>
      <c r="O689" s="149">
        <v>0</v>
      </c>
      <c r="P689" s="152"/>
      <c r="Q689" s="150" t="s">
        <v>1957</v>
      </c>
      <c r="R689" s="150" t="s">
        <v>349</v>
      </c>
      <c r="S689" s="151">
        <v>44460</v>
      </c>
      <c r="T689" s="151">
        <v>44741</v>
      </c>
      <c r="U689" s="152"/>
      <c r="V689" s="150" t="s">
        <v>330</v>
      </c>
      <c r="W689" s="151"/>
      <c r="X689" s="150" t="s">
        <v>331</v>
      </c>
      <c r="Y689" s="150" t="s">
        <v>343</v>
      </c>
      <c r="Z689" s="150" t="s">
        <v>334</v>
      </c>
      <c r="AA689" s="150" t="s">
        <v>363</v>
      </c>
      <c r="AB689" s="153">
        <v>1.8294000000000001E-2</v>
      </c>
      <c r="AC689" s="151"/>
      <c r="AD689" s="150"/>
      <c r="AE689" s="151"/>
      <c r="AF689" s="150" t="s">
        <v>70</v>
      </c>
      <c r="AG689" s="152" t="s">
        <v>352</v>
      </c>
      <c r="AH689" s="150" t="s">
        <v>326</v>
      </c>
      <c r="AI689" s="99"/>
      <c r="AJ689" s="149"/>
      <c r="AK689" s="99"/>
      <c r="AL689" s="149"/>
      <c r="AM689" s="99"/>
      <c r="AN689" s="149">
        <v>0</v>
      </c>
      <c r="AO689" s="149">
        <v>0</v>
      </c>
      <c r="AP689" s="149">
        <v>0</v>
      </c>
      <c r="AQ689" s="149">
        <v>0</v>
      </c>
      <c r="AR689" s="149">
        <v>-1</v>
      </c>
      <c r="AS689" s="149">
        <v>1</v>
      </c>
      <c r="AT689" s="149">
        <v>0</v>
      </c>
      <c r="AU689" s="149">
        <v>0</v>
      </c>
      <c r="AV689" s="149">
        <v>0</v>
      </c>
      <c r="AW689" s="149">
        <v>0</v>
      </c>
      <c r="AX689" s="149">
        <v>0</v>
      </c>
      <c r="AY689" s="149">
        <v>0</v>
      </c>
      <c r="AZ689" s="149">
        <v>0</v>
      </c>
      <c r="BA689" s="149">
        <v>0</v>
      </c>
      <c r="BB689" s="149">
        <v>0</v>
      </c>
      <c r="BC689" s="149">
        <v>0</v>
      </c>
      <c r="BD689" s="149">
        <v>0</v>
      </c>
      <c r="BE689" s="149">
        <v>0</v>
      </c>
      <c r="BF689" s="149">
        <v>-1</v>
      </c>
      <c r="BG689" s="149">
        <v>1</v>
      </c>
      <c r="BH689" s="149">
        <v>0</v>
      </c>
      <c r="BI689" s="149">
        <v>0</v>
      </c>
      <c r="BJ689" s="149">
        <v>0</v>
      </c>
      <c r="BK689" s="149">
        <v>0</v>
      </c>
      <c r="BL689" s="149">
        <v>0</v>
      </c>
      <c r="BM689" s="149">
        <v>0</v>
      </c>
      <c r="BN689" s="149">
        <v>0</v>
      </c>
      <c r="BO689" s="149">
        <v>0</v>
      </c>
      <c r="BP689" s="152"/>
      <c r="BQ689" s="152"/>
      <c r="BR689" s="154" t="s">
        <v>359</v>
      </c>
      <c r="BS689" s="136">
        <v>7</v>
      </c>
      <c r="BT689" s="267"/>
      <c r="BU689" s="267"/>
      <c r="BV689" s="267">
        <f t="shared" si="84"/>
        <v>0</v>
      </c>
      <c r="BW689" s="267">
        <f t="shared" si="85"/>
        <v>0</v>
      </c>
      <c r="BX689" s="267">
        <f t="shared" si="86"/>
        <v>0</v>
      </c>
      <c r="BY689" s="267">
        <f>M689/4</f>
        <v>0</v>
      </c>
      <c r="BZ689" s="267"/>
      <c r="CA689" s="267"/>
      <c r="CB689" s="267"/>
      <c r="CC689" s="267"/>
      <c r="CD689" s="267"/>
      <c r="CE689" s="267"/>
      <c r="CF689" s="267"/>
      <c r="CG689" s="267"/>
      <c r="CH689" s="267"/>
      <c r="CI689" s="267"/>
      <c r="CJ689" s="267"/>
      <c r="CK689" s="267"/>
      <c r="CL689" s="267"/>
      <c r="CM689" s="267"/>
      <c r="CN689" s="101">
        <f t="shared" si="68"/>
        <v>0</v>
      </c>
      <c r="CO689" s="101">
        <f t="shared" si="69"/>
        <v>0</v>
      </c>
    </row>
    <row r="690" spans="1:93" ht="13.9" customHeight="1" x14ac:dyDescent="0.2">
      <c r="A690" s="149">
        <v>7728</v>
      </c>
      <c r="B690" s="150" t="s">
        <v>1216</v>
      </c>
      <c r="C690" s="150" t="s">
        <v>1958</v>
      </c>
      <c r="D690" s="150" t="s">
        <v>1959</v>
      </c>
      <c r="E690" s="150" t="s">
        <v>326</v>
      </c>
      <c r="F690" s="149">
        <v>528904</v>
      </c>
      <c r="G690" s="149">
        <v>173855</v>
      </c>
      <c r="H690" s="150" t="s">
        <v>139</v>
      </c>
      <c r="I690" s="151"/>
      <c r="J690" s="151"/>
      <c r="K690" s="149">
        <v>4</v>
      </c>
      <c r="L690" s="149">
        <v>5</v>
      </c>
      <c r="M690" s="149">
        <v>1</v>
      </c>
      <c r="N690" s="149">
        <v>5</v>
      </c>
      <c r="O690" s="149">
        <v>1</v>
      </c>
      <c r="P690" s="152"/>
      <c r="Q690" s="150" t="s">
        <v>1960</v>
      </c>
      <c r="R690" s="150" t="s">
        <v>349</v>
      </c>
      <c r="S690" s="151">
        <v>44456</v>
      </c>
      <c r="T690" s="151">
        <v>44516</v>
      </c>
      <c r="U690" s="152"/>
      <c r="V690" s="150" t="s">
        <v>330</v>
      </c>
      <c r="W690" s="151"/>
      <c r="X690" s="150" t="s">
        <v>331</v>
      </c>
      <c r="Y690" s="150" t="s">
        <v>491</v>
      </c>
      <c r="Z690" s="150" t="s">
        <v>334</v>
      </c>
      <c r="AA690" s="150" t="s">
        <v>413</v>
      </c>
      <c r="AB690" s="153">
        <v>4.0000000000000001E-3</v>
      </c>
      <c r="AC690" s="151"/>
      <c r="AD690" s="150"/>
      <c r="AE690" s="151"/>
      <c r="AF690" s="150" t="s">
        <v>70</v>
      </c>
      <c r="AG690" s="152" t="s">
        <v>352</v>
      </c>
      <c r="AH690" s="150" t="s">
        <v>326</v>
      </c>
      <c r="AI690" s="99"/>
      <c r="AJ690" s="149"/>
      <c r="AK690" s="99"/>
      <c r="AL690" s="149"/>
      <c r="AM690" s="99"/>
      <c r="AN690" s="149">
        <v>0</v>
      </c>
      <c r="AO690" s="149">
        <v>1</v>
      </c>
      <c r="AP690" s="149">
        <v>0</v>
      </c>
      <c r="AQ690" s="149">
        <v>0</v>
      </c>
      <c r="AR690" s="149">
        <v>0</v>
      </c>
      <c r="AS690" s="149">
        <v>0</v>
      </c>
      <c r="AT690" s="149">
        <v>0</v>
      </c>
      <c r="AU690" s="149">
        <v>0</v>
      </c>
      <c r="AV690" s="149">
        <v>1</v>
      </c>
      <c r="AW690" s="149">
        <v>0</v>
      </c>
      <c r="AX690" s="149">
        <v>0</v>
      </c>
      <c r="AY690" s="149">
        <v>0</v>
      </c>
      <c r="AZ690" s="149">
        <v>0</v>
      </c>
      <c r="BA690" s="149">
        <v>0</v>
      </c>
      <c r="BB690" s="149">
        <v>0</v>
      </c>
      <c r="BC690" s="149">
        <v>0</v>
      </c>
      <c r="BD690" s="149">
        <v>0</v>
      </c>
      <c r="BE690" s="149">
        <v>0</v>
      </c>
      <c r="BF690" s="149">
        <v>0</v>
      </c>
      <c r="BG690" s="149">
        <v>0</v>
      </c>
      <c r="BH690" s="149">
        <v>0</v>
      </c>
      <c r="BI690" s="149">
        <v>0</v>
      </c>
      <c r="BJ690" s="149">
        <v>0</v>
      </c>
      <c r="BK690" s="149">
        <v>0</v>
      </c>
      <c r="BL690" s="149">
        <v>0</v>
      </c>
      <c r="BM690" s="149">
        <v>0</v>
      </c>
      <c r="BN690" s="149">
        <v>0</v>
      </c>
      <c r="BO690" s="149">
        <v>0</v>
      </c>
      <c r="BP690" s="152"/>
      <c r="BQ690" s="152"/>
      <c r="BR690" s="154" t="s">
        <v>359</v>
      </c>
      <c r="BS690" s="136">
        <v>15</v>
      </c>
      <c r="BT690" s="267"/>
      <c r="BU690" s="267">
        <f>M690/4</f>
        <v>0.25</v>
      </c>
      <c r="BV690" s="267">
        <f t="shared" si="84"/>
        <v>0.25</v>
      </c>
      <c r="BW690" s="267">
        <f t="shared" si="85"/>
        <v>0.25</v>
      </c>
      <c r="BX690" s="267">
        <f t="shared" si="86"/>
        <v>0.25</v>
      </c>
      <c r="BY690" s="267"/>
      <c r="BZ690" s="267"/>
      <c r="CA690" s="267"/>
      <c r="CB690" s="267"/>
      <c r="CC690" s="267"/>
      <c r="CD690" s="267"/>
      <c r="CE690" s="267"/>
      <c r="CF690" s="267"/>
      <c r="CG690" s="267"/>
      <c r="CH690" s="267"/>
      <c r="CI690" s="267"/>
      <c r="CJ690" s="267"/>
      <c r="CK690" s="267"/>
      <c r="CL690" s="267"/>
      <c r="CM690" s="267"/>
      <c r="CN690" s="101">
        <f t="shared" si="68"/>
        <v>1</v>
      </c>
      <c r="CO690" s="101">
        <f t="shared" si="69"/>
        <v>1</v>
      </c>
    </row>
    <row r="691" spans="1:93" ht="13.9" customHeight="1" x14ac:dyDescent="0.2">
      <c r="A691" s="149">
        <v>6885</v>
      </c>
      <c r="B691" s="150" t="s">
        <v>1216</v>
      </c>
      <c r="C691" s="150" t="s">
        <v>1961</v>
      </c>
      <c r="D691" s="150" t="s">
        <v>1962</v>
      </c>
      <c r="E691" s="150" t="s">
        <v>326</v>
      </c>
      <c r="F691" s="149">
        <v>525906</v>
      </c>
      <c r="G691" s="149">
        <v>173856</v>
      </c>
      <c r="H691" s="150" t="s">
        <v>175</v>
      </c>
      <c r="I691" s="151"/>
      <c r="J691" s="151"/>
      <c r="K691" s="149">
        <v>0</v>
      </c>
      <c r="L691" s="149">
        <v>1</v>
      </c>
      <c r="M691" s="149">
        <v>1</v>
      </c>
      <c r="N691" s="149">
        <v>1</v>
      </c>
      <c r="O691" s="149">
        <v>1</v>
      </c>
      <c r="P691" s="152"/>
      <c r="Q691" s="150" t="s">
        <v>1963</v>
      </c>
      <c r="R691" s="150" t="s">
        <v>427</v>
      </c>
      <c r="S691" s="151">
        <v>44483</v>
      </c>
      <c r="T691" s="151">
        <v>44531</v>
      </c>
      <c r="U691" s="152"/>
      <c r="V691" s="150" t="s">
        <v>330</v>
      </c>
      <c r="W691" s="151"/>
      <c r="X691" s="150" t="s">
        <v>331</v>
      </c>
      <c r="Y691" s="150" t="s">
        <v>332</v>
      </c>
      <c r="Z691" s="150" t="s">
        <v>334</v>
      </c>
      <c r="AA691" s="150" t="s">
        <v>26</v>
      </c>
      <c r="AB691" s="153">
        <v>5.8999999999999999E-3</v>
      </c>
      <c r="AC691" s="151"/>
      <c r="AD691" s="150"/>
      <c r="AE691" s="151"/>
      <c r="AF691" s="150" t="s">
        <v>70</v>
      </c>
      <c r="AG691" s="152" t="s">
        <v>352</v>
      </c>
      <c r="AH691" s="150" t="s">
        <v>326</v>
      </c>
      <c r="AI691" s="99"/>
      <c r="AJ691" s="149"/>
      <c r="AK691" s="99"/>
      <c r="AL691" s="149"/>
      <c r="AM691" s="99"/>
      <c r="AN691" s="149">
        <v>0</v>
      </c>
      <c r="AO691" s="149">
        <v>1</v>
      </c>
      <c r="AP691" s="149">
        <v>0</v>
      </c>
      <c r="AQ691" s="149">
        <v>0</v>
      </c>
      <c r="AR691" s="149">
        <v>0</v>
      </c>
      <c r="AS691" s="149">
        <v>0</v>
      </c>
      <c r="AT691" s="149">
        <v>0</v>
      </c>
      <c r="AU691" s="149">
        <v>0</v>
      </c>
      <c r="AV691" s="149">
        <v>1</v>
      </c>
      <c r="AW691" s="149">
        <v>0</v>
      </c>
      <c r="AX691" s="149">
        <v>0</v>
      </c>
      <c r="AY691" s="149">
        <v>0</v>
      </c>
      <c r="AZ691" s="149">
        <v>0</v>
      </c>
      <c r="BA691" s="149">
        <v>0</v>
      </c>
      <c r="BB691" s="149">
        <v>0</v>
      </c>
      <c r="BC691" s="149">
        <v>0</v>
      </c>
      <c r="BD691" s="149">
        <v>0</v>
      </c>
      <c r="BE691" s="149">
        <v>0</v>
      </c>
      <c r="BF691" s="149">
        <v>0</v>
      </c>
      <c r="BG691" s="149">
        <v>0</v>
      </c>
      <c r="BH691" s="149">
        <v>0</v>
      </c>
      <c r="BI691" s="149">
        <v>0</v>
      </c>
      <c r="BJ691" s="149">
        <v>0</v>
      </c>
      <c r="BK691" s="149">
        <v>0</v>
      </c>
      <c r="BL691" s="149">
        <v>0</v>
      </c>
      <c r="BM691" s="149">
        <v>0</v>
      </c>
      <c r="BN691" s="149">
        <v>0</v>
      </c>
      <c r="BO691" s="149">
        <v>0</v>
      </c>
      <c r="BP691" s="152"/>
      <c r="BQ691" s="152"/>
      <c r="BR691" s="154" t="s">
        <v>151</v>
      </c>
      <c r="BS691" s="136">
        <v>15</v>
      </c>
      <c r="BT691" s="267"/>
      <c r="BU691" s="267">
        <f>M691/4</f>
        <v>0.25</v>
      </c>
      <c r="BV691" s="267">
        <f t="shared" si="84"/>
        <v>0.25</v>
      </c>
      <c r="BW691" s="267">
        <f t="shared" si="85"/>
        <v>0.25</v>
      </c>
      <c r="BX691" s="267">
        <f t="shared" si="86"/>
        <v>0.25</v>
      </c>
      <c r="BY691" s="267"/>
      <c r="BZ691" s="267"/>
      <c r="CA691" s="267"/>
      <c r="CB691" s="267"/>
      <c r="CC691" s="267"/>
      <c r="CD691" s="267"/>
      <c r="CE691" s="267"/>
      <c r="CF691" s="267"/>
      <c r="CG691" s="267"/>
      <c r="CH691" s="267"/>
      <c r="CI691" s="267"/>
      <c r="CJ691" s="267"/>
      <c r="CK691" s="267"/>
      <c r="CL691" s="267"/>
      <c r="CM691" s="267"/>
      <c r="CN691" s="101">
        <f t="shared" si="68"/>
        <v>1</v>
      </c>
      <c r="CO691" s="101">
        <f t="shared" si="69"/>
        <v>1</v>
      </c>
    </row>
    <row r="692" spans="1:93" ht="13.9" customHeight="1" x14ac:dyDescent="0.2">
      <c r="A692" s="149">
        <v>7722</v>
      </c>
      <c r="B692" s="150" t="s">
        <v>1216</v>
      </c>
      <c r="C692" s="150" t="s">
        <v>1964</v>
      </c>
      <c r="D692" s="150" t="s">
        <v>1965</v>
      </c>
      <c r="E692" s="150" t="s">
        <v>1966</v>
      </c>
      <c r="F692" s="149">
        <v>524629</v>
      </c>
      <c r="G692" s="149">
        <v>174727</v>
      </c>
      <c r="H692" s="150" t="s">
        <v>161</v>
      </c>
      <c r="I692" s="151"/>
      <c r="J692" s="151"/>
      <c r="K692" s="149">
        <v>0</v>
      </c>
      <c r="L692" s="149">
        <v>2</v>
      </c>
      <c r="M692" s="149">
        <v>2</v>
      </c>
      <c r="N692" s="149">
        <v>6</v>
      </c>
      <c r="O692" s="149">
        <v>6</v>
      </c>
      <c r="P692" s="152"/>
      <c r="Q692" s="150" t="s">
        <v>1967</v>
      </c>
      <c r="R692" s="150" t="s">
        <v>349</v>
      </c>
      <c r="S692" s="151">
        <v>44473</v>
      </c>
      <c r="T692" s="151">
        <v>44678</v>
      </c>
      <c r="U692" s="152"/>
      <c r="V692" s="150" t="s">
        <v>330</v>
      </c>
      <c r="W692" s="151"/>
      <c r="X692" s="150" t="s">
        <v>331</v>
      </c>
      <c r="Y692" s="150" t="s">
        <v>343</v>
      </c>
      <c r="Z692" s="150" t="s">
        <v>334</v>
      </c>
      <c r="AA692" s="150" t="s">
        <v>413</v>
      </c>
      <c r="AB692" s="153">
        <v>5.3499999999999997E-3</v>
      </c>
      <c r="AC692" s="151"/>
      <c r="AD692" s="150"/>
      <c r="AE692" s="151"/>
      <c r="AF692" s="150" t="s">
        <v>70</v>
      </c>
      <c r="AG692" s="152" t="s">
        <v>352</v>
      </c>
      <c r="AH692" s="150" t="s">
        <v>326</v>
      </c>
      <c r="AI692" s="99"/>
      <c r="AJ692" s="149"/>
      <c r="AK692" s="99"/>
      <c r="AL692" s="149"/>
      <c r="AM692" s="99"/>
      <c r="AN692" s="149">
        <v>0</v>
      </c>
      <c r="AO692" s="149">
        <v>0</v>
      </c>
      <c r="AP692" s="149">
        <v>2</v>
      </c>
      <c r="AQ692" s="149">
        <v>0</v>
      </c>
      <c r="AR692" s="149">
        <v>0</v>
      </c>
      <c r="AS692" s="149">
        <v>0</v>
      </c>
      <c r="AT692" s="149">
        <v>0</v>
      </c>
      <c r="AU692" s="149">
        <v>0</v>
      </c>
      <c r="AV692" s="149">
        <v>0</v>
      </c>
      <c r="AW692" s="149">
        <v>0</v>
      </c>
      <c r="AX692" s="149">
        <v>0</v>
      </c>
      <c r="AY692" s="149">
        <v>0</v>
      </c>
      <c r="AZ692" s="149">
        <v>0</v>
      </c>
      <c r="BA692" s="149">
        <v>0</v>
      </c>
      <c r="BB692" s="149">
        <v>0</v>
      </c>
      <c r="BC692" s="149">
        <v>0</v>
      </c>
      <c r="BD692" s="149">
        <v>2</v>
      </c>
      <c r="BE692" s="149">
        <v>0</v>
      </c>
      <c r="BF692" s="149">
        <v>0</v>
      </c>
      <c r="BG692" s="149">
        <v>0</v>
      </c>
      <c r="BH692" s="149">
        <v>0</v>
      </c>
      <c r="BI692" s="149">
        <v>0</v>
      </c>
      <c r="BJ692" s="149">
        <v>0</v>
      </c>
      <c r="BK692" s="149">
        <v>0</v>
      </c>
      <c r="BL692" s="149">
        <v>0</v>
      </c>
      <c r="BM692" s="149">
        <v>0</v>
      </c>
      <c r="BN692" s="149">
        <v>0</v>
      </c>
      <c r="BO692" s="149">
        <v>0</v>
      </c>
      <c r="BP692" s="152"/>
      <c r="BQ692" s="152"/>
      <c r="BR692" s="154" t="s">
        <v>359</v>
      </c>
      <c r="BS692" s="136">
        <v>10</v>
      </c>
      <c r="BT692" s="267"/>
      <c r="BU692" s="267"/>
      <c r="BV692" s="267"/>
      <c r="BW692" s="267"/>
      <c r="BX692" s="267">
        <f>M692/3</f>
        <v>0.66666666666666663</v>
      </c>
      <c r="BY692" s="267">
        <f>M692/3</f>
        <v>0.66666666666666663</v>
      </c>
      <c r="BZ692" s="267">
        <f>M692/3</f>
        <v>0.66666666666666663</v>
      </c>
      <c r="CA692" s="267"/>
      <c r="CB692" s="267"/>
      <c r="CC692" s="267"/>
      <c r="CD692" s="267"/>
      <c r="CE692" s="267"/>
      <c r="CF692" s="267"/>
      <c r="CG692" s="267"/>
      <c r="CH692" s="267"/>
      <c r="CI692" s="267"/>
      <c r="CJ692" s="267"/>
      <c r="CK692" s="267"/>
      <c r="CL692" s="267"/>
      <c r="CM692" s="267"/>
      <c r="CN692" s="101">
        <f t="shared" si="68"/>
        <v>1.3333333333333333</v>
      </c>
      <c r="CO692" s="101">
        <f t="shared" si="69"/>
        <v>2</v>
      </c>
    </row>
    <row r="693" spans="1:93" ht="13.9" customHeight="1" x14ac:dyDescent="0.2">
      <c r="A693" s="149">
        <v>7722</v>
      </c>
      <c r="B693" s="150" t="s">
        <v>1216</v>
      </c>
      <c r="C693" s="150" t="s">
        <v>1964</v>
      </c>
      <c r="D693" s="150" t="s">
        <v>1965</v>
      </c>
      <c r="E693" s="150" t="s">
        <v>1968</v>
      </c>
      <c r="F693" s="149">
        <v>524629</v>
      </c>
      <c r="G693" s="149">
        <v>174727</v>
      </c>
      <c r="H693" s="150" t="s">
        <v>161</v>
      </c>
      <c r="I693" s="151"/>
      <c r="J693" s="151"/>
      <c r="K693" s="149">
        <v>0</v>
      </c>
      <c r="L693" s="149">
        <v>1</v>
      </c>
      <c r="M693" s="149">
        <v>1</v>
      </c>
      <c r="N693" s="149">
        <v>6</v>
      </c>
      <c r="O693" s="149">
        <v>6</v>
      </c>
      <c r="P693" s="152"/>
      <c r="Q693" s="150" t="s">
        <v>1967</v>
      </c>
      <c r="R693" s="150" t="s">
        <v>349</v>
      </c>
      <c r="S693" s="151">
        <v>44473</v>
      </c>
      <c r="T693" s="151">
        <v>44678</v>
      </c>
      <c r="U693" s="152"/>
      <c r="V693" s="150" t="s">
        <v>330</v>
      </c>
      <c r="W693" s="151"/>
      <c r="X693" s="150" t="s">
        <v>331</v>
      </c>
      <c r="Y693" s="150" t="s">
        <v>343</v>
      </c>
      <c r="Z693" s="150" t="s">
        <v>334</v>
      </c>
      <c r="AA693" s="150" t="s">
        <v>363</v>
      </c>
      <c r="AB693" s="153">
        <v>8.5500000000000003E-3</v>
      </c>
      <c r="AC693" s="151"/>
      <c r="AD693" s="150"/>
      <c r="AE693" s="151"/>
      <c r="AF693" s="150" t="s">
        <v>70</v>
      </c>
      <c r="AG693" s="152" t="s">
        <v>352</v>
      </c>
      <c r="AH693" s="150" t="s">
        <v>326</v>
      </c>
      <c r="AI693" s="99"/>
      <c r="AJ693" s="149"/>
      <c r="AK693" s="99"/>
      <c r="AL693" s="149"/>
      <c r="AM693" s="99"/>
      <c r="AN693" s="149">
        <v>0</v>
      </c>
      <c r="AO693" s="149">
        <v>0</v>
      </c>
      <c r="AP693" s="149">
        <v>0</v>
      </c>
      <c r="AQ693" s="149">
        <v>1</v>
      </c>
      <c r="AR693" s="149">
        <v>0</v>
      </c>
      <c r="AS693" s="149">
        <v>0</v>
      </c>
      <c r="AT693" s="149">
        <v>0</v>
      </c>
      <c r="AU693" s="149">
        <v>0</v>
      </c>
      <c r="AV693" s="149">
        <v>0</v>
      </c>
      <c r="AW693" s="149">
        <v>0</v>
      </c>
      <c r="AX693" s="149">
        <v>0</v>
      </c>
      <c r="AY693" s="149">
        <v>0</v>
      </c>
      <c r="AZ693" s="149">
        <v>0</v>
      </c>
      <c r="BA693" s="149">
        <v>0</v>
      </c>
      <c r="BB693" s="149">
        <v>0</v>
      </c>
      <c r="BC693" s="149">
        <v>0</v>
      </c>
      <c r="BD693" s="149">
        <v>0</v>
      </c>
      <c r="BE693" s="149">
        <v>1</v>
      </c>
      <c r="BF693" s="149">
        <v>0</v>
      </c>
      <c r="BG693" s="149">
        <v>0</v>
      </c>
      <c r="BH693" s="149">
        <v>0</v>
      </c>
      <c r="BI693" s="149">
        <v>0</v>
      </c>
      <c r="BJ693" s="149">
        <v>0</v>
      </c>
      <c r="BK693" s="149">
        <v>0</v>
      </c>
      <c r="BL693" s="149">
        <v>0</v>
      </c>
      <c r="BM693" s="149">
        <v>0</v>
      </c>
      <c r="BN693" s="149">
        <v>0</v>
      </c>
      <c r="BO693" s="149">
        <v>0</v>
      </c>
      <c r="BP693" s="152"/>
      <c r="BQ693" s="152"/>
      <c r="BR693" s="154" t="s">
        <v>359</v>
      </c>
      <c r="BS693" s="136">
        <v>10</v>
      </c>
      <c r="BT693" s="267"/>
      <c r="BU693" s="267"/>
      <c r="BV693" s="267"/>
      <c r="BW693" s="267"/>
      <c r="BX693" s="267">
        <f>M693/3</f>
        <v>0.33333333333333331</v>
      </c>
      <c r="BY693" s="267">
        <f>M693/3</f>
        <v>0.33333333333333331</v>
      </c>
      <c r="BZ693" s="267">
        <f>M693/3</f>
        <v>0.33333333333333331</v>
      </c>
      <c r="CA693" s="267"/>
      <c r="CB693" s="267"/>
      <c r="CC693" s="267"/>
      <c r="CD693" s="267"/>
      <c r="CE693" s="267"/>
      <c r="CF693" s="267"/>
      <c r="CG693" s="267"/>
      <c r="CH693" s="267"/>
      <c r="CI693" s="267"/>
      <c r="CJ693" s="267"/>
      <c r="CK693" s="267"/>
      <c r="CL693" s="267"/>
      <c r="CM693" s="267"/>
      <c r="CN693" s="101">
        <f t="shared" si="68"/>
        <v>0.66666666666666663</v>
      </c>
      <c r="CO693" s="101">
        <f t="shared" si="69"/>
        <v>1</v>
      </c>
    </row>
    <row r="694" spans="1:93" ht="13.9" customHeight="1" x14ac:dyDescent="0.2">
      <c r="A694" s="149">
        <v>7722</v>
      </c>
      <c r="B694" s="150" t="s">
        <v>1216</v>
      </c>
      <c r="C694" s="150" t="s">
        <v>1964</v>
      </c>
      <c r="D694" s="150" t="s">
        <v>1965</v>
      </c>
      <c r="E694" s="150" t="s">
        <v>1969</v>
      </c>
      <c r="F694" s="149">
        <v>524629</v>
      </c>
      <c r="G694" s="149">
        <v>174727</v>
      </c>
      <c r="H694" s="150" t="s">
        <v>161</v>
      </c>
      <c r="I694" s="151"/>
      <c r="J694" s="151"/>
      <c r="K694" s="149">
        <v>0</v>
      </c>
      <c r="L694" s="149">
        <v>3</v>
      </c>
      <c r="M694" s="149">
        <v>3</v>
      </c>
      <c r="N694" s="149">
        <v>6</v>
      </c>
      <c r="O694" s="149">
        <v>6</v>
      </c>
      <c r="P694" s="152"/>
      <c r="Q694" s="150" t="s">
        <v>1967</v>
      </c>
      <c r="R694" s="150" t="s">
        <v>349</v>
      </c>
      <c r="S694" s="151">
        <v>44473</v>
      </c>
      <c r="T694" s="151">
        <v>44678</v>
      </c>
      <c r="U694" s="152"/>
      <c r="V694" s="150" t="s">
        <v>330</v>
      </c>
      <c r="W694" s="151"/>
      <c r="X694" s="150" t="s">
        <v>331</v>
      </c>
      <c r="Y694" s="150" t="s">
        <v>343</v>
      </c>
      <c r="Z694" s="150" t="s">
        <v>334</v>
      </c>
      <c r="AA694" s="150" t="s">
        <v>363</v>
      </c>
      <c r="AB694" s="153">
        <v>1.78E-2</v>
      </c>
      <c r="AC694" s="151"/>
      <c r="AD694" s="150"/>
      <c r="AE694" s="151"/>
      <c r="AF694" s="150" t="s">
        <v>70</v>
      </c>
      <c r="AG694" s="152" t="s">
        <v>352</v>
      </c>
      <c r="AH694" s="150" t="s">
        <v>326</v>
      </c>
      <c r="AI694" s="99"/>
      <c r="AJ694" s="149"/>
      <c r="AK694" s="99"/>
      <c r="AL694" s="149"/>
      <c r="AM694" s="99"/>
      <c r="AN694" s="149">
        <v>0</v>
      </c>
      <c r="AO694" s="149">
        <v>0</v>
      </c>
      <c r="AP694" s="149">
        <v>0</v>
      </c>
      <c r="AQ694" s="149">
        <v>0</v>
      </c>
      <c r="AR694" s="149">
        <v>3</v>
      </c>
      <c r="AS694" s="149">
        <v>0</v>
      </c>
      <c r="AT694" s="149">
        <v>0</v>
      </c>
      <c r="AU694" s="149">
        <v>0</v>
      </c>
      <c r="AV694" s="149">
        <v>0</v>
      </c>
      <c r="AW694" s="149">
        <v>0</v>
      </c>
      <c r="AX694" s="149">
        <v>0</v>
      </c>
      <c r="AY694" s="149">
        <v>0</v>
      </c>
      <c r="AZ694" s="149">
        <v>0</v>
      </c>
      <c r="BA694" s="149">
        <v>0</v>
      </c>
      <c r="BB694" s="149">
        <v>0</v>
      </c>
      <c r="BC694" s="149">
        <v>0</v>
      </c>
      <c r="BD694" s="149">
        <v>0</v>
      </c>
      <c r="BE694" s="149">
        <v>0</v>
      </c>
      <c r="BF694" s="149">
        <v>3</v>
      </c>
      <c r="BG694" s="149">
        <v>0</v>
      </c>
      <c r="BH694" s="149">
        <v>0</v>
      </c>
      <c r="BI694" s="149">
        <v>0</v>
      </c>
      <c r="BJ694" s="149">
        <v>0</v>
      </c>
      <c r="BK694" s="149">
        <v>0</v>
      </c>
      <c r="BL694" s="149">
        <v>0</v>
      </c>
      <c r="BM694" s="149">
        <v>0</v>
      </c>
      <c r="BN694" s="149">
        <v>0</v>
      </c>
      <c r="BO694" s="149">
        <v>0</v>
      </c>
      <c r="BP694" s="152"/>
      <c r="BQ694" s="152"/>
      <c r="BR694" s="154" t="s">
        <v>359</v>
      </c>
      <c r="BS694" s="136">
        <v>10</v>
      </c>
      <c r="BT694" s="267"/>
      <c r="BU694" s="267"/>
      <c r="BV694" s="267"/>
      <c r="BW694" s="267"/>
      <c r="BX694" s="267">
        <f>M694/3</f>
        <v>1</v>
      </c>
      <c r="BY694" s="267">
        <f>M694/3</f>
        <v>1</v>
      </c>
      <c r="BZ694" s="267">
        <f>M694/3</f>
        <v>1</v>
      </c>
      <c r="CA694" s="267"/>
      <c r="CB694" s="267"/>
      <c r="CC694" s="267"/>
      <c r="CD694" s="267"/>
      <c r="CE694" s="267"/>
      <c r="CF694" s="267"/>
      <c r="CG694" s="267"/>
      <c r="CH694" s="267"/>
      <c r="CI694" s="267"/>
      <c r="CJ694" s="267"/>
      <c r="CK694" s="267"/>
      <c r="CL694" s="267"/>
      <c r="CM694" s="267"/>
      <c r="CN694" s="101">
        <f t="shared" si="68"/>
        <v>2</v>
      </c>
      <c r="CO694" s="101">
        <f t="shared" si="69"/>
        <v>3</v>
      </c>
    </row>
    <row r="695" spans="1:93" ht="13.9" customHeight="1" x14ac:dyDescent="0.2">
      <c r="A695" s="149">
        <v>2502</v>
      </c>
      <c r="B695" s="150" t="s">
        <v>1216</v>
      </c>
      <c r="C695" s="150" t="s">
        <v>1970</v>
      </c>
      <c r="D695" s="150" t="s">
        <v>508</v>
      </c>
      <c r="E695" s="150" t="s">
        <v>1971</v>
      </c>
      <c r="F695" s="149">
        <v>527221</v>
      </c>
      <c r="G695" s="149">
        <v>172443</v>
      </c>
      <c r="H695" s="150" t="s">
        <v>176</v>
      </c>
      <c r="I695" s="151"/>
      <c r="J695" s="151"/>
      <c r="K695" s="149">
        <v>0</v>
      </c>
      <c r="L695" s="149">
        <v>80</v>
      </c>
      <c r="M695" s="149">
        <v>80</v>
      </c>
      <c r="N695" s="149">
        <v>80</v>
      </c>
      <c r="O695" s="149">
        <v>80</v>
      </c>
      <c r="P695" s="152" t="s">
        <v>327</v>
      </c>
      <c r="Q695" s="150" t="s">
        <v>1972</v>
      </c>
      <c r="R695" s="150" t="s">
        <v>349</v>
      </c>
      <c r="S695" s="151">
        <v>44480</v>
      </c>
      <c r="T695" s="151">
        <v>44614</v>
      </c>
      <c r="U695" s="152"/>
      <c r="V695" s="150" t="s">
        <v>330</v>
      </c>
      <c r="W695" s="151"/>
      <c r="X695" s="150" t="s">
        <v>331</v>
      </c>
      <c r="Y695" s="150" t="s">
        <v>343</v>
      </c>
      <c r="Z695" s="150" t="s">
        <v>343</v>
      </c>
      <c r="AA695" s="150" t="s">
        <v>334</v>
      </c>
      <c r="AB695" s="153">
        <v>2E-3</v>
      </c>
      <c r="AC695" s="151"/>
      <c r="AD695" s="150"/>
      <c r="AE695" s="151"/>
      <c r="AF695" s="150" t="s">
        <v>70</v>
      </c>
      <c r="AG695" s="152" t="s">
        <v>352</v>
      </c>
      <c r="AH695" s="150" t="s">
        <v>511</v>
      </c>
      <c r="AI695" s="99"/>
      <c r="AJ695" s="149"/>
      <c r="AK695" s="99"/>
      <c r="AL695" s="149"/>
      <c r="AM695" s="99"/>
      <c r="AN695" s="149">
        <v>0</v>
      </c>
      <c r="AO695" s="149">
        <v>45</v>
      </c>
      <c r="AP695" s="149">
        <v>33</v>
      </c>
      <c r="AQ695" s="149">
        <v>2</v>
      </c>
      <c r="AR695" s="149">
        <v>0</v>
      </c>
      <c r="AS695" s="149">
        <v>0</v>
      </c>
      <c r="AT695" s="149">
        <v>0</v>
      </c>
      <c r="AU695" s="149">
        <v>0</v>
      </c>
      <c r="AV695" s="149">
        <v>45</v>
      </c>
      <c r="AW695" s="149">
        <v>33</v>
      </c>
      <c r="AX695" s="149">
        <v>2</v>
      </c>
      <c r="AY695" s="149">
        <v>0</v>
      </c>
      <c r="AZ695" s="149">
        <v>0</v>
      </c>
      <c r="BA695" s="149">
        <v>0</v>
      </c>
      <c r="BB695" s="149">
        <v>0</v>
      </c>
      <c r="BC695" s="149">
        <v>0</v>
      </c>
      <c r="BD695" s="149">
        <v>0</v>
      </c>
      <c r="BE695" s="149">
        <v>0</v>
      </c>
      <c r="BF695" s="149">
        <v>0</v>
      </c>
      <c r="BG695" s="149">
        <v>0</v>
      </c>
      <c r="BH695" s="149">
        <v>0</v>
      </c>
      <c r="BI695" s="149">
        <v>0</v>
      </c>
      <c r="BJ695" s="149">
        <v>0</v>
      </c>
      <c r="BK695" s="149">
        <v>0</v>
      </c>
      <c r="BL695" s="149">
        <v>0</v>
      </c>
      <c r="BM695" s="149">
        <v>0</v>
      </c>
      <c r="BN695" s="149">
        <v>0</v>
      </c>
      <c r="BO695" s="149">
        <v>0</v>
      </c>
      <c r="BP695" s="152"/>
      <c r="BQ695" s="152"/>
      <c r="BR695" s="154" t="s">
        <v>359</v>
      </c>
      <c r="BS695" s="136">
        <v>5</v>
      </c>
      <c r="BT695" s="267"/>
      <c r="BU695" s="267"/>
      <c r="BV695" s="267"/>
      <c r="BW695" s="267">
        <f>M695/3</f>
        <v>26.666666666666668</v>
      </c>
      <c r="BX695" s="267">
        <f>M695/3</f>
        <v>26.666666666666668</v>
      </c>
      <c r="BY695" s="267">
        <f>M695/3</f>
        <v>26.666666666666668</v>
      </c>
      <c r="BZ695" s="267"/>
      <c r="CA695" s="267"/>
      <c r="CB695" s="267"/>
      <c r="CC695" s="267"/>
      <c r="CD695" s="267"/>
      <c r="CE695" s="267"/>
      <c r="CF695" s="267"/>
      <c r="CG695" s="267"/>
      <c r="CH695" s="267"/>
      <c r="CI695" s="267"/>
      <c r="CJ695" s="267"/>
      <c r="CK695" s="267"/>
      <c r="CL695" s="267"/>
      <c r="CM695" s="267"/>
      <c r="CN695" s="101">
        <f t="shared" ref="CN695:CN712" si="87">SUM(BU695:BY695)</f>
        <v>80</v>
      </c>
      <c r="CO695" s="101">
        <f t="shared" ref="CO695:CO712" si="88">SUM(BU695:CD695)</f>
        <v>80</v>
      </c>
    </row>
    <row r="696" spans="1:93" ht="13.9" customHeight="1" x14ac:dyDescent="0.2">
      <c r="A696" s="149">
        <v>4208</v>
      </c>
      <c r="B696" s="150" t="s">
        <v>1216</v>
      </c>
      <c r="C696" s="150" t="s">
        <v>1973</v>
      </c>
      <c r="D696" s="150" t="s">
        <v>1974</v>
      </c>
      <c r="E696" s="150" t="s">
        <v>326</v>
      </c>
      <c r="F696" s="149">
        <v>524367</v>
      </c>
      <c r="G696" s="149">
        <v>174500</v>
      </c>
      <c r="H696" s="150" t="s">
        <v>161</v>
      </c>
      <c r="I696" s="151"/>
      <c r="J696" s="151"/>
      <c r="K696" s="149">
        <v>0</v>
      </c>
      <c r="L696" s="149">
        <v>1</v>
      </c>
      <c r="M696" s="149">
        <v>1</v>
      </c>
      <c r="N696" s="149">
        <v>1</v>
      </c>
      <c r="O696" s="149">
        <v>1</v>
      </c>
      <c r="P696" s="152"/>
      <c r="Q696" s="150" t="s">
        <v>1975</v>
      </c>
      <c r="R696" s="150" t="s">
        <v>349</v>
      </c>
      <c r="S696" s="151">
        <v>44510</v>
      </c>
      <c r="T696" s="151">
        <v>44599</v>
      </c>
      <c r="U696" s="152"/>
      <c r="V696" s="150" t="s">
        <v>330</v>
      </c>
      <c r="W696" s="151"/>
      <c r="X696" s="150" t="s">
        <v>331</v>
      </c>
      <c r="Y696" s="150" t="s">
        <v>491</v>
      </c>
      <c r="Z696" s="150" t="s">
        <v>334</v>
      </c>
      <c r="AA696" s="150" t="s">
        <v>413</v>
      </c>
      <c r="AB696" s="153">
        <v>0.01</v>
      </c>
      <c r="AC696" s="151"/>
      <c r="AD696" s="150"/>
      <c r="AE696" s="151"/>
      <c r="AF696" s="150" t="s">
        <v>70</v>
      </c>
      <c r="AG696" s="152" t="s">
        <v>352</v>
      </c>
      <c r="AH696" s="150" t="s">
        <v>326</v>
      </c>
      <c r="AI696" s="99"/>
      <c r="AJ696" s="149"/>
      <c r="AK696" s="99"/>
      <c r="AL696" s="149"/>
      <c r="AM696" s="99"/>
      <c r="AN696" s="149">
        <v>0</v>
      </c>
      <c r="AO696" s="149">
        <v>1</v>
      </c>
      <c r="AP696" s="149">
        <v>0</v>
      </c>
      <c r="AQ696" s="149">
        <v>0</v>
      </c>
      <c r="AR696" s="149">
        <v>0</v>
      </c>
      <c r="AS696" s="149">
        <v>0</v>
      </c>
      <c r="AT696" s="149">
        <v>0</v>
      </c>
      <c r="AU696" s="149">
        <v>0</v>
      </c>
      <c r="AV696" s="149">
        <v>1</v>
      </c>
      <c r="AW696" s="149">
        <v>0</v>
      </c>
      <c r="AX696" s="149">
        <v>0</v>
      </c>
      <c r="AY696" s="149">
        <v>0</v>
      </c>
      <c r="AZ696" s="149">
        <v>0</v>
      </c>
      <c r="BA696" s="149">
        <v>0</v>
      </c>
      <c r="BB696" s="149">
        <v>0</v>
      </c>
      <c r="BC696" s="149">
        <v>0</v>
      </c>
      <c r="BD696" s="149">
        <v>0</v>
      </c>
      <c r="BE696" s="149">
        <v>0</v>
      </c>
      <c r="BF696" s="149">
        <v>0</v>
      </c>
      <c r="BG696" s="149">
        <v>0</v>
      </c>
      <c r="BH696" s="149">
        <v>0</v>
      </c>
      <c r="BI696" s="149">
        <v>0</v>
      </c>
      <c r="BJ696" s="149">
        <v>0</v>
      </c>
      <c r="BK696" s="149">
        <v>0</v>
      </c>
      <c r="BL696" s="149">
        <v>0</v>
      </c>
      <c r="BM696" s="149">
        <v>0</v>
      </c>
      <c r="BN696" s="149">
        <v>0</v>
      </c>
      <c r="BO696" s="149">
        <v>0</v>
      </c>
      <c r="BP696" s="152"/>
      <c r="BQ696" s="152"/>
      <c r="BR696" s="154" t="s">
        <v>359</v>
      </c>
      <c r="BS696" s="136">
        <v>15</v>
      </c>
      <c r="BT696" s="267"/>
      <c r="BU696" s="267">
        <f>M696/4</f>
        <v>0.25</v>
      </c>
      <c r="BV696" s="267">
        <f t="shared" ref="BV696:BV708" si="89">M696/4</f>
        <v>0.25</v>
      </c>
      <c r="BW696" s="267">
        <f t="shared" ref="BW696:BW708" si="90">M696/4</f>
        <v>0.25</v>
      </c>
      <c r="BX696" s="267">
        <f t="shared" ref="BX696:BX708" si="91">M696/4</f>
        <v>0.25</v>
      </c>
      <c r="BY696" s="267"/>
      <c r="BZ696" s="267"/>
      <c r="CA696" s="267"/>
      <c r="CB696" s="267"/>
      <c r="CC696" s="267"/>
      <c r="CD696" s="267"/>
      <c r="CE696" s="267"/>
      <c r="CF696" s="267"/>
      <c r="CG696" s="267"/>
      <c r="CH696" s="267"/>
      <c r="CI696" s="267"/>
      <c r="CJ696" s="267"/>
      <c r="CK696" s="267"/>
      <c r="CL696" s="267"/>
      <c r="CM696" s="267"/>
      <c r="CN696" s="101">
        <f t="shared" si="87"/>
        <v>1</v>
      </c>
      <c r="CO696" s="101">
        <f t="shared" si="88"/>
        <v>1</v>
      </c>
    </row>
    <row r="697" spans="1:93" ht="13.9" customHeight="1" x14ac:dyDescent="0.2">
      <c r="A697" s="149">
        <v>5128</v>
      </c>
      <c r="B697" s="150" t="s">
        <v>1216</v>
      </c>
      <c r="C697" s="150" t="s">
        <v>1976</v>
      </c>
      <c r="D697" s="150" t="s">
        <v>1977</v>
      </c>
      <c r="E697" s="150" t="s">
        <v>326</v>
      </c>
      <c r="F697" s="149">
        <v>524267</v>
      </c>
      <c r="G697" s="149">
        <v>174267</v>
      </c>
      <c r="H697" s="150" t="s">
        <v>161</v>
      </c>
      <c r="I697" s="151">
        <v>44741</v>
      </c>
      <c r="J697" s="151"/>
      <c r="K697" s="149">
        <v>0</v>
      </c>
      <c r="L697" s="149">
        <v>1</v>
      </c>
      <c r="M697" s="149">
        <v>1</v>
      </c>
      <c r="N697" s="149">
        <v>1</v>
      </c>
      <c r="O697" s="149">
        <v>1</v>
      </c>
      <c r="P697" s="152"/>
      <c r="Q697" s="150" t="s">
        <v>1978</v>
      </c>
      <c r="R697" s="150" t="s">
        <v>349</v>
      </c>
      <c r="S697" s="151">
        <v>44483</v>
      </c>
      <c r="T697" s="151">
        <v>44741</v>
      </c>
      <c r="U697" s="152"/>
      <c r="V697" s="150" t="s">
        <v>330</v>
      </c>
      <c r="W697" s="151"/>
      <c r="X697" s="150" t="s">
        <v>331</v>
      </c>
      <c r="Y697" s="150" t="s">
        <v>343</v>
      </c>
      <c r="Z697" s="150" t="s">
        <v>334</v>
      </c>
      <c r="AA697" s="150" t="s">
        <v>363</v>
      </c>
      <c r="AB697" s="153">
        <v>1.8599999999999998E-2</v>
      </c>
      <c r="AC697" s="151"/>
      <c r="AD697" s="150"/>
      <c r="AE697" s="151"/>
      <c r="AF697" s="150" t="s">
        <v>70</v>
      </c>
      <c r="AG697" s="152" t="s">
        <v>352</v>
      </c>
      <c r="AH697" s="150" t="s">
        <v>326</v>
      </c>
      <c r="AI697" s="99"/>
      <c r="AJ697" s="149"/>
      <c r="AK697" s="99"/>
      <c r="AL697" s="149"/>
      <c r="AM697" s="99"/>
      <c r="AN697" s="149">
        <v>0</v>
      </c>
      <c r="AO697" s="149">
        <v>0</v>
      </c>
      <c r="AP697" s="149">
        <v>0</v>
      </c>
      <c r="AQ697" s="149">
        <v>1</v>
      </c>
      <c r="AR697" s="149">
        <v>0</v>
      </c>
      <c r="AS697" s="149">
        <v>0</v>
      </c>
      <c r="AT697" s="149">
        <v>0</v>
      </c>
      <c r="AU697" s="149">
        <v>0</v>
      </c>
      <c r="AV697" s="149">
        <v>0</v>
      </c>
      <c r="AW697" s="149">
        <v>0</v>
      </c>
      <c r="AX697" s="149">
        <v>0</v>
      </c>
      <c r="AY697" s="149">
        <v>0</v>
      </c>
      <c r="AZ697" s="149">
        <v>0</v>
      </c>
      <c r="BA697" s="149">
        <v>0</v>
      </c>
      <c r="BB697" s="149">
        <v>0</v>
      </c>
      <c r="BC697" s="149">
        <v>0</v>
      </c>
      <c r="BD697" s="149">
        <v>0</v>
      </c>
      <c r="BE697" s="149">
        <v>1</v>
      </c>
      <c r="BF697" s="149">
        <v>0</v>
      </c>
      <c r="BG697" s="149">
        <v>0</v>
      </c>
      <c r="BH697" s="149">
        <v>0</v>
      </c>
      <c r="BI697" s="149">
        <v>0</v>
      </c>
      <c r="BJ697" s="149">
        <v>0</v>
      </c>
      <c r="BK697" s="149">
        <v>0</v>
      </c>
      <c r="BL697" s="149">
        <v>0</v>
      </c>
      <c r="BM697" s="149">
        <v>0</v>
      </c>
      <c r="BN697" s="149">
        <v>0</v>
      </c>
      <c r="BO697" s="149">
        <v>0</v>
      </c>
      <c r="BP697" s="152"/>
      <c r="BQ697" s="152"/>
      <c r="BR697" s="154" t="s">
        <v>359</v>
      </c>
      <c r="BS697" s="136">
        <v>7</v>
      </c>
      <c r="BT697" s="267"/>
      <c r="BU697" s="267"/>
      <c r="BV697" s="267">
        <f t="shared" si="89"/>
        <v>0.25</v>
      </c>
      <c r="BW697" s="267">
        <f t="shared" si="90"/>
        <v>0.25</v>
      </c>
      <c r="BX697" s="267">
        <f t="shared" si="91"/>
        <v>0.25</v>
      </c>
      <c r="BY697" s="267">
        <f>M697/4</f>
        <v>0.25</v>
      </c>
      <c r="BZ697" s="267"/>
      <c r="CA697" s="267"/>
      <c r="CB697" s="267"/>
      <c r="CC697" s="267"/>
      <c r="CD697" s="267"/>
      <c r="CE697" s="267"/>
      <c r="CF697" s="267"/>
      <c r="CG697" s="267"/>
      <c r="CH697" s="267"/>
      <c r="CI697" s="267"/>
      <c r="CJ697" s="267"/>
      <c r="CK697" s="267"/>
      <c r="CL697" s="267"/>
      <c r="CM697" s="267"/>
      <c r="CN697" s="101">
        <f t="shared" si="87"/>
        <v>1</v>
      </c>
      <c r="CO697" s="101">
        <f t="shared" si="88"/>
        <v>1</v>
      </c>
    </row>
    <row r="698" spans="1:93" ht="13.9" customHeight="1" x14ac:dyDescent="0.2">
      <c r="A698" s="149">
        <v>1896</v>
      </c>
      <c r="B698" s="150" t="s">
        <v>1216</v>
      </c>
      <c r="C698" s="150" t="s">
        <v>1979</v>
      </c>
      <c r="D698" s="150" t="s">
        <v>1980</v>
      </c>
      <c r="E698" s="150" t="s">
        <v>326</v>
      </c>
      <c r="F698" s="149">
        <v>527305</v>
      </c>
      <c r="G698" s="149">
        <v>171527</v>
      </c>
      <c r="H698" s="150" t="s">
        <v>173</v>
      </c>
      <c r="I698" s="151">
        <v>44743</v>
      </c>
      <c r="J698" s="151"/>
      <c r="K698" s="149">
        <v>0</v>
      </c>
      <c r="L698" s="149">
        <v>4</v>
      </c>
      <c r="M698" s="149">
        <v>4</v>
      </c>
      <c r="N698" s="149">
        <v>4</v>
      </c>
      <c r="O698" s="149">
        <v>4</v>
      </c>
      <c r="P698" s="152"/>
      <c r="Q698" s="150" t="s">
        <v>1981</v>
      </c>
      <c r="R698" s="150" t="s">
        <v>349</v>
      </c>
      <c r="S698" s="151">
        <v>44494</v>
      </c>
      <c r="T698" s="151">
        <v>44665</v>
      </c>
      <c r="U698" s="152"/>
      <c r="V698" s="150" t="s">
        <v>330</v>
      </c>
      <c r="W698" s="151"/>
      <c r="X698" s="150" t="s">
        <v>331</v>
      </c>
      <c r="Y698" s="150" t="s">
        <v>343</v>
      </c>
      <c r="Z698" s="150" t="s">
        <v>334</v>
      </c>
      <c r="AA698" s="150" t="s">
        <v>363</v>
      </c>
      <c r="AB698" s="153">
        <v>1.00234E-2</v>
      </c>
      <c r="AC698" s="151"/>
      <c r="AD698" s="150"/>
      <c r="AE698" s="151"/>
      <c r="AF698" s="150" t="s">
        <v>70</v>
      </c>
      <c r="AG698" s="152" t="s">
        <v>352</v>
      </c>
      <c r="AH698" s="150" t="s">
        <v>326</v>
      </c>
      <c r="AI698" s="99"/>
      <c r="AJ698" s="149"/>
      <c r="AK698" s="99"/>
      <c r="AL698" s="149"/>
      <c r="AM698" s="99"/>
      <c r="AN698" s="149">
        <v>0</v>
      </c>
      <c r="AO698" s="149">
        <v>2</v>
      </c>
      <c r="AP698" s="149">
        <v>0</v>
      </c>
      <c r="AQ698" s="149">
        <v>2</v>
      </c>
      <c r="AR698" s="149">
        <v>0</v>
      </c>
      <c r="AS698" s="149">
        <v>0</v>
      </c>
      <c r="AT698" s="149">
        <v>0</v>
      </c>
      <c r="AU698" s="149">
        <v>0</v>
      </c>
      <c r="AV698" s="149">
        <v>2</v>
      </c>
      <c r="AW698" s="149">
        <v>0</v>
      </c>
      <c r="AX698" s="149">
        <v>2</v>
      </c>
      <c r="AY698" s="149">
        <v>0</v>
      </c>
      <c r="AZ698" s="149">
        <v>0</v>
      </c>
      <c r="BA698" s="149">
        <v>0</v>
      </c>
      <c r="BB698" s="149">
        <v>0</v>
      </c>
      <c r="BC698" s="149">
        <v>0</v>
      </c>
      <c r="BD698" s="149">
        <v>0</v>
      </c>
      <c r="BE698" s="149">
        <v>0</v>
      </c>
      <c r="BF698" s="149">
        <v>0</v>
      </c>
      <c r="BG698" s="149">
        <v>0</v>
      </c>
      <c r="BH698" s="149">
        <v>0</v>
      </c>
      <c r="BI698" s="149">
        <v>0</v>
      </c>
      <c r="BJ698" s="149">
        <v>0</v>
      </c>
      <c r="BK698" s="149">
        <v>0</v>
      </c>
      <c r="BL698" s="149">
        <v>0</v>
      </c>
      <c r="BM698" s="149">
        <v>0</v>
      </c>
      <c r="BN698" s="149">
        <v>0</v>
      </c>
      <c r="BO698" s="149">
        <v>0</v>
      </c>
      <c r="BP698" s="152"/>
      <c r="BQ698" s="152"/>
      <c r="BR698" s="154" t="s">
        <v>142</v>
      </c>
      <c r="BS698" s="136">
        <v>7</v>
      </c>
      <c r="BT698" s="267"/>
      <c r="BU698" s="267"/>
      <c r="BV698" s="267">
        <f t="shared" si="89"/>
        <v>1</v>
      </c>
      <c r="BW698" s="267">
        <f t="shared" si="90"/>
        <v>1</v>
      </c>
      <c r="BX698" s="267">
        <f t="shared" si="91"/>
        <v>1</v>
      </c>
      <c r="BY698" s="267">
        <f>M698/4</f>
        <v>1</v>
      </c>
      <c r="BZ698" s="267"/>
      <c r="CA698" s="267"/>
      <c r="CB698" s="267"/>
      <c r="CC698" s="267"/>
      <c r="CD698" s="267"/>
      <c r="CE698" s="267"/>
      <c r="CF698" s="267"/>
      <c r="CG698" s="267"/>
      <c r="CH698" s="267"/>
      <c r="CI698" s="267"/>
      <c r="CJ698" s="267"/>
      <c r="CK698" s="267"/>
      <c r="CL698" s="267"/>
      <c r="CM698" s="267"/>
      <c r="CN698" s="101">
        <f t="shared" si="87"/>
        <v>4</v>
      </c>
      <c r="CO698" s="101">
        <f t="shared" si="88"/>
        <v>4</v>
      </c>
    </row>
    <row r="699" spans="1:93" ht="13.9" customHeight="1" x14ac:dyDescent="0.2">
      <c r="A699" s="149">
        <v>7643</v>
      </c>
      <c r="B699" s="150" t="s">
        <v>1216</v>
      </c>
      <c r="C699" s="150" t="s">
        <v>1982</v>
      </c>
      <c r="D699" s="150" t="s">
        <v>1983</v>
      </c>
      <c r="E699" s="150" t="s">
        <v>326</v>
      </c>
      <c r="F699" s="149">
        <v>527806</v>
      </c>
      <c r="G699" s="149">
        <v>176545</v>
      </c>
      <c r="H699" s="150" t="s">
        <v>160</v>
      </c>
      <c r="I699" s="151"/>
      <c r="J699" s="151"/>
      <c r="K699" s="149">
        <v>0</v>
      </c>
      <c r="L699" s="149">
        <v>1</v>
      </c>
      <c r="M699" s="149">
        <v>1</v>
      </c>
      <c r="N699" s="149">
        <v>1</v>
      </c>
      <c r="O699" s="149">
        <v>1</v>
      </c>
      <c r="P699" s="152"/>
      <c r="Q699" s="150" t="s">
        <v>1984</v>
      </c>
      <c r="R699" s="150" t="s">
        <v>349</v>
      </c>
      <c r="S699" s="151">
        <v>44572</v>
      </c>
      <c r="T699" s="151">
        <v>44599</v>
      </c>
      <c r="U699" s="152"/>
      <c r="V699" s="150" t="s">
        <v>330</v>
      </c>
      <c r="W699" s="151"/>
      <c r="X699" s="150" t="s">
        <v>331</v>
      </c>
      <c r="Y699" s="150" t="s">
        <v>332</v>
      </c>
      <c r="Z699" s="150" t="s">
        <v>334</v>
      </c>
      <c r="AA699" s="150" t="s">
        <v>26</v>
      </c>
      <c r="AB699" s="153">
        <v>2E-3</v>
      </c>
      <c r="AC699" s="151"/>
      <c r="AD699" s="150"/>
      <c r="AE699" s="151"/>
      <c r="AF699" s="150" t="s">
        <v>70</v>
      </c>
      <c r="AG699" s="152" t="s">
        <v>352</v>
      </c>
      <c r="AH699" s="150" t="s">
        <v>326</v>
      </c>
      <c r="AI699" s="99"/>
      <c r="AJ699" s="149"/>
      <c r="AK699" s="99"/>
      <c r="AL699" s="149"/>
      <c r="AM699" s="99"/>
      <c r="AN699" s="149">
        <v>0</v>
      </c>
      <c r="AO699" s="149">
        <v>1</v>
      </c>
      <c r="AP699" s="149">
        <v>0</v>
      </c>
      <c r="AQ699" s="149">
        <v>0</v>
      </c>
      <c r="AR699" s="149">
        <v>0</v>
      </c>
      <c r="AS699" s="149">
        <v>0</v>
      </c>
      <c r="AT699" s="149">
        <v>0</v>
      </c>
      <c r="AU699" s="149">
        <v>0</v>
      </c>
      <c r="AV699" s="149">
        <v>1</v>
      </c>
      <c r="AW699" s="149">
        <v>0</v>
      </c>
      <c r="AX699" s="149">
        <v>0</v>
      </c>
      <c r="AY699" s="149">
        <v>0</v>
      </c>
      <c r="AZ699" s="149">
        <v>0</v>
      </c>
      <c r="BA699" s="149">
        <v>0</v>
      </c>
      <c r="BB699" s="149">
        <v>0</v>
      </c>
      <c r="BC699" s="149">
        <v>0</v>
      </c>
      <c r="BD699" s="149">
        <v>0</v>
      </c>
      <c r="BE699" s="149">
        <v>0</v>
      </c>
      <c r="BF699" s="149">
        <v>0</v>
      </c>
      <c r="BG699" s="149">
        <v>0</v>
      </c>
      <c r="BH699" s="149">
        <v>0</v>
      </c>
      <c r="BI699" s="149">
        <v>0</v>
      </c>
      <c r="BJ699" s="149">
        <v>0</v>
      </c>
      <c r="BK699" s="149">
        <v>0</v>
      </c>
      <c r="BL699" s="149">
        <v>0</v>
      </c>
      <c r="BM699" s="149">
        <v>0</v>
      </c>
      <c r="BN699" s="149">
        <v>0</v>
      </c>
      <c r="BO699" s="149">
        <v>0</v>
      </c>
      <c r="BP699" s="152"/>
      <c r="BQ699" s="152"/>
      <c r="BR699" s="154" t="s">
        <v>359</v>
      </c>
      <c r="BS699" s="136">
        <v>15</v>
      </c>
      <c r="BT699" s="267"/>
      <c r="BU699" s="267">
        <f>M699/4</f>
        <v>0.25</v>
      </c>
      <c r="BV699" s="267">
        <f t="shared" si="89"/>
        <v>0.25</v>
      </c>
      <c r="BW699" s="267">
        <f t="shared" si="90"/>
        <v>0.25</v>
      </c>
      <c r="BX699" s="267">
        <f t="shared" si="91"/>
        <v>0.25</v>
      </c>
      <c r="BY699" s="267"/>
      <c r="BZ699" s="267"/>
      <c r="CA699" s="267"/>
      <c r="CB699" s="267"/>
      <c r="CC699" s="267"/>
      <c r="CD699" s="267"/>
      <c r="CE699" s="267"/>
      <c r="CF699" s="267"/>
      <c r="CG699" s="267"/>
      <c r="CH699" s="267"/>
      <c r="CI699" s="267"/>
      <c r="CJ699" s="267"/>
      <c r="CK699" s="267"/>
      <c r="CL699" s="267"/>
      <c r="CM699" s="267"/>
      <c r="CN699" s="101">
        <f t="shared" si="87"/>
        <v>1</v>
      </c>
      <c r="CO699" s="101">
        <f t="shared" si="88"/>
        <v>1</v>
      </c>
    </row>
    <row r="700" spans="1:93" ht="13.9" customHeight="1" x14ac:dyDescent="0.2">
      <c r="A700" s="149">
        <v>672</v>
      </c>
      <c r="B700" s="150" t="s">
        <v>1216</v>
      </c>
      <c r="C700" s="150" t="s">
        <v>1985</v>
      </c>
      <c r="D700" s="150" t="s">
        <v>1986</v>
      </c>
      <c r="E700" s="150" t="s">
        <v>326</v>
      </c>
      <c r="F700" s="149">
        <v>525011</v>
      </c>
      <c r="G700" s="149">
        <v>174633</v>
      </c>
      <c r="H700" s="150" t="s">
        <v>161</v>
      </c>
      <c r="I700" s="151"/>
      <c r="J700" s="151"/>
      <c r="K700" s="149">
        <v>0</v>
      </c>
      <c r="L700" s="149">
        <v>1</v>
      </c>
      <c r="M700" s="149">
        <v>1</v>
      </c>
      <c r="N700" s="149">
        <v>1</v>
      </c>
      <c r="O700" s="149">
        <v>1</v>
      </c>
      <c r="P700" s="152"/>
      <c r="Q700" s="150" t="s">
        <v>1987</v>
      </c>
      <c r="R700" s="150" t="s">
        <v>349</v>
      </c>
      <c r="S700" s="151">
        <v>44532</v>
      </c>
      <c r="T700" s="151">
        <v>44613</v>
      </c>
      <c r="U700" s="152"/>
      <c r="V700" s="150" t="s">
        <v>330</v>
      </c>
      <c r="W700" s="151"/>
      <c r="X700" s="150" t="s">
        <v>331</v>
      </c>
      <c r="Y700" s="150" t="s">
        <v>350</v>
      </c>
      <c r="Z700" s="150" t="s">
        <v>334</v>
      </c>
      <c r="AA700" s="150" t="s">
        <v>26</v>
      </c>
      <c r="AB700" s="153">
        <v>5.5999999999999999E-3</v>
      </c>
      <c r="AC700" s="151"/>
      <c r="AD700" s="150"/>
      <c r="AE700" s="151"/>
      <c r="AF700" s="150" t="s">
        <v>70</v>
      </c>
      <c r="AG700" s="152" t="s">
        <v>352</v>
      </c>
      <c r="AH700" s="150" t="s">
        <v>326</v>
      </c>
      <c r="AI700" s="99"/>
      <c r="AJ700" s="149"/>
      <c r="AK700" s="99"/>
      <c r="AL700" s="149"/>
      <c r="AM700" s="99"/>
      <c r="AN700" s="149">
        <v>0</v>
      </c>
      <c r="AO700" s="149">
        <v>1</v>
      </c>
      <c r="AP700" s="149">
        <v>0</v>
      </c>
      <c r="AQ700" s="149">
        <v>0</v>
      </c>
      <c r="AR700" s="149">
        <v>0</v>
      </c>
      <c r="AS700" s="149">
        <v>0</v>
      </c>
      <c r="AT700" s="149">
        <v>0</v>
      </c>
      <c r="AU700" s="149">
        <v>0</v>
      </c>
      <c r="AV700" s="149">
        <v>1</v>
      </c>
      <c r="AW700" s="149">
        <v>0</v>
      </c>
      <c r="AX700" s="149">
        <v>0</v>
      </c>
      <c r="AY700" s="149">
        <v>0</v>
      </c>
      <c r="AZ700" s="149">
        <v>0</v>
      </c>
      <c r="BA700" s="149">
        <v>0</v>
      </c>
      <c r="BB700" s="149">
        <v>0</v>
      </c>
      <c r="BC700" s="149">
        <v>0</v>
      </c>
      <c r="BD700" s="149">
        <v>0</v>
      </c>
      <c r="BE700" s="149">
        <v>0</v>
      </c>
      <c r="BF700" s="149">
        <v>0</v>
      </c>
      <c r="BG700" s="149">
        <v>0</v>
      </c>
      <c r="BH700" s="149">
        <v>0</v>
      </c>
      <c r="BI700" s="149">
        <v>0</v>
      </c>
      <c r="BJ700" s="149">
        <v>0</v>
      </c>
      <c r="BK700" s="149">
        <v>0</v>
      </c>
      <c r="BL700" s="149">
        <v>0</v>
      </c>
      <c r="BM700" s="149">
        <v>0</v>
      </c>
      <c r="BN700" s="149">
        <v>0</v>
      </c>
      <c r="BO700" s="149">
        <v>0</v>
      </c>
      <c r="BP700" s="152"/>
      <c r="BQ700" s="152"/>
      <c r="BR700" s="154" t="s">
        <v>359</v>
      </c>
      <c r="BS700" s="136">
        <v>15</v>
      </c>
      <c r="BT700" s="267"/>
      <c r="BU700" s="267">
        <f>M700/4</f>
        <v>0.25</v>
      </c>
      <c r="BV700" s="267">
        <f t="shared" si="89"/>
        <v>0.25</v>
      </c>
      <c r="BW700" s="267">
        <f t="shared" si="90"/>
        <v>0.25</v>
      </c>
      <c r="BX700" s="267">
        <f t="shared" si="91"/>
        <v>0.25</v>
      </c>
      <c r="BY700" s="267"/>
      <c r="BZ700" s="267"/>
      <c r="CA700" s="267"/>
      <c r="CB700" s="267"/>
      <c r="CC700" s="267"/>
      <c r="CD700" s="267"/>
      <c r="CE700" s="267"/>
      <c r="CF700" s="267"/>
      <c r="CG700" s="267"/>
      <c r="CH700" s="267"/>
      <c r="CI700" s="267"/>
      <c r="CJ700" s="267"/>
      <c r="CK700" s="267"/>
      <c r="CL700" s="267"/>
      <c r="CM700" s="267"/>
      <c r="CN700" s="101">
        <f t="shared" si="87"/>
        <v>1</v>
      </c>
      <c r="CO700" s="101">
        <f t="shared" si="88"/>
        <v>1</v>
      </c>
    </row>
    <row r="701" spans="1:93" ht="13.9" customHeight="1" x14ac:dyDescent="0.2">
      <c r="A701" s="149">
        <v>7739</v>
      </c>
      <c r="B701" s="150" t="s">
        <v>1216</v>
      </c>
      <c r="C701" s="150" t="s">
        <v>1988</v>
      </c>
      <c r="D701" s="150" t="s">
        <v>1989</v>
      </c>
      <c r="E701" s="150" t="s">
        <v>326</v>
      </c>
      <c r="F701" s="149">
        <v>527166</v>
      </c>
      <c r="G701" s="149">
        <v>174991</v>
      </c>
      <c r="H701" s="150" t="s">
        <v>164</v>
      </c>
      <c r="I701" s="151"/>
      <c r="J701" s="151"/>
      <c r="K701" s="149">
        <v>1</v>
      </c>
      <c r="L701" s="149">
        <v>1</v>
      </c>
      <c r="M701" s="149">
        <v>0</v>
      </c>
      <c r="N701" s="149">
        <v>1</v>
      </c>
      <c r="O701" s="149">
        <v>0</v>
      </c>
      <c r="P701" s="152"/>
      <c r="Q701" s="150" t="s">
        <v>1990</v>
      </c>
      <c r="R701" s="150" t="s">
        <v>349</v>
      </c>
      <c r="S701" s="151">
        <v>44530</v>
      </c>
      <c r="T701" s="151">
        <v>44771</v>
      </c>
      <c r="U701" s="152"/>
      <c r="V701" s="150" t="s">
        <v>330</v>
      </c>
      <c r="W701" s="151"/>
      <c r="X701" s="150" t="s">
        <v>331</v>
      </c>
      <c r="Y701" s="150" t="s">
        <v>343</v>
      </c>
      <c r="Z701" s="150" t="s">
        <v>334</v>
      </c>
      <c r="AA701" s="150" t="s">
        <v>363</v>
      </c>
      <c r="AB701" s="153">
        <v>1.025E-2</v>
      </c>
      <c r="AC701" s="151"/>
      <c r="AD701" s="150"/>
      <c r="AE701" s="151"/>
      <c r="AF701" s="150" t="s">
        <v>70</v>
      </c>
      <c r="AG701" s="152" t="s">
        <v>352</v>
      </c>
      <c r="AH701" s="150" t="s">
        <v>326</v>
      </c>
      <c r="AI701" s="99"/>
      <c r="AJ701" s="149"/>
      <c r="AK701" s="99"/>
      <c r="AL701" s="149"/>
      <c r="AM701" s="99"/>
      <c r="AN701" s="149">
        <v>0</v>
      </c>
      <c r="AO701" s="149">
        <v>0</v>
      </c>
      <c r="AP701" s="149">
        <v>0</v>
      </c>
      <c r="AQ701" s="149">
        <v>0</v>
      </c>
      <c r="AR701" s="149">
        <v>0</v>
      </c>
      <c r="AS701" s="149">
        <v>0</v>
      </c>
      <c r="AT701" s="149">
        <v>0</v>
      </c>
      <c r="AU701" s="149">
        <v>0</v>
      </c>
      <c r="AV701" s="149">
        <v>0</v>
      </c>
      <c r="AW701" s="149">
        <v>0</v>
      </c>
      <c r="AX701" s="149">
        <v>0</v>
      </c>
      <c r="AY701" s="149">
        <v>0</v>
      </c>
      <c r="AZ701" s="149">
        <v>0</v>
      </c>
      <c r="BA701" s="149">
        <v>0</v>
      </c>
      <c r="BB701" s="149">
        <v>0</v>
      </c>
      <c r="BC701" s="149">
        <v>0</v>
      </c>
      <c r="BD701" s="149">
        <v>0</v>
      </c>
      <c r="BE701" s="149">
        <v>0</v>
      </c>
      <c r="BF701" s="149">
        <v>0</v>
      </c>
      <c r="BG701" s="149">
        <v>0</v>
      </c>
      <c r="BH701" s="149">
        <v>0</v>
      </c>
      <c r="BI701" s="149">
        <v>0</v>
      </c>
      <c r="BJ701" s="149">
        <v>0</v>
      </c>
      <c r="BK701" s="149">
        <v>0</v>
      </c>
      <c r="BL701" s="149">
        <v>0</v>
      </c>
      <c r="BM701" s="149">
        <v>0</v>
      </c>
      <c r="BN701" s="149">
        <v>0</v>
      </c>
      <c r="BO701" s="149">
        <v>0</v>
      </c>
      <c r="BP701" s="152"/>
      <c r="BQ701" s="152"/>
      <c r="BR701" s="154" t="s">
        <v>359</v>
      </c>
      <c r="BS701" s="136">
        <v>7</v>
      </c>
      <c r="BT701" s="267"/>
      <c r="BU701" s="267"/>
      <c r="BV701" s="267">
        <f t="shared" si="89"/>
        <v>0</v>
      </c>
      <c r="BW701" s="267">
        <f t="shared" si="90"/>
        <v>0</v>
      </c>
      <c r="BX701" s="267">
        <f t="shared" si="91"/>
        <v>0</v>
      </c>
      <c r="BY701" s="267">
        <f t="shared" ref="BY701:BY707" si="92">M701/4</f>
        <v>0</v>
      </c>
      <c r="BZ701" s="267"/>
      <c r="CA701" s="267"/>
      <c r="CB701" s="267"/>
      <c r="CC701" s="267"/>
      <c r="CD701" s="267"/>
      <c r="CE701" s="267"/>
      <c r="CF701" s="267"/>
      <c r="CG701" s="267"/>
      <c r="CH701" s="267"/>
      <c r="CI701" s="267"/>
      <c r="CJ701" s="267"/>
      <c r="CK701" s="267"/>
      <c r="CL701" s="267"/>
      <c r="CM701" s="267"/>
      <c r="CN701" s="101">
        <f t="shared" si="87"/>
        <v>0</v>
      </c>
      <c r="CO701" s="101">
        <f t="shared" si="88"/>
        <v>0</v>
      </c>
    </row>
    <row r="702" spans="1:93" ht="13.9" customHeight="1" x14ac:dyDescent="0.2">
      <c r="A702" s="149">
        <v>7350</v>
      </c>
      <c r="B702" s="150" t="s">
        <v>1216</v>
      </c>
      <c r="C702" s="150" t="s">
        <v>1991</v>
      </c>
      <c r="D702" s="150" t="s">
        <v>1992</v>
      </c>
      <c r="E702" s="150" t="s">
        <v>1993</v>
      </c>
      <c r="F702" s="149">
        <v>529158</v>
      </c>
      <c r="G702" s="149">
        <v>172857</v>
      </c>
      <c r="H702" s="150" t="s">
        <v>168</v>
      </c>
      <c r="I702" s="151">
        <v>44986</v>
      </c>
      <c r="J702" s="151"/>
      <c r="K702" s="149">
        <v>0</v>
      </c>
      <c r="L702" s="149">
        <v>1</v>
      </c>
      <c r="M702" s="149">
        <v>1</v>
      </c>
      <c r="N702" s="149">
        <v>3</v>
      </c>
      <c r="O702" s="149">
        <v>3</v>
      </c>
      <c r="P702" s="152"/>
      <c r="Q702" s="150" t="s">
        <v>1994</v>
      </c>
      <c r="R702" s="150" t="s">
        <v>349</v>
      </c>
      <c r="S702" s="151">
        <v>44645</v>
      </c>
      <c r="T702" s="151">
        <v>44771</v>
      </c>
      <c r="U702" s="152"/>
      <c r="V702" s="150" t="s">
        <v>330</v>
      </c>
      <c r="W702" s="151"/>
      <c r="X702" s="150" t="s">
        <v>331</v>
      </c>
      <c r="Y702" s="150" t="s">
        <v>343</v>
      </c>
      <c r="Z702" s="150" t="s">
        <v>334</v>
      </c>
      <c r="AA702" s="150" t="s">
        <v>363</v>
      </c>
      <c r="AB702" s="153">
        <v>5.7499999999999999E-3</v>
      </c>
      <c r="AC702" s="151"/>
      <c r="AD702" s="150"/>
      <c r="AE702" s="151"/>
      <c r="AF702" s="150" t="s">
        <v>70</v>
      </c>
      <c r="AG702" s="152" t="s">
        <v>352</v>
      </c>
      <c r="AH702" s="150" t="s">
        <v>326</v>
      </c>
      <c r="AI702" s="99"/>
      <c r="AJ702" s="149"/>
      <c r="AK702" s="99"/>
      <c r="AL702" s="149"/>
      <c r="AM702" s="99"/>
      <c r="AN702" s="149">
        <v>0</v>
      </c>
      <c r="AO702" s="149">
        <v>0</v>
      </c>
      <c r="AP702" s="149">
        <v>0</v>
      </c>
      <c r="AQ702" s="149">
        <v>1</v>
      </c>
      <c r="AR702" s="149">
        <v>0</v>
      </c>
      <c r="AS702" s="149">
        <v>0</v>
      </c>
      <c r="AT702" s="149">
        <v>0</v>
      </c>
      <c r="AU702" s="149">
        <v>0</v>
      </c>
      <c r="AV702" s="149">
        <v>0</v>
      </c>
      <c r="AW702" s="149">
        <v>0</v>
      </c>
      <c r="AX702" s="149">
        <v>0</v>
      </c>
      <c r="AY702" s="149">
        <v>0</v>
      </c>
      <c r="AZ702" s="149">
        <v>0</v>
      </c>
      <c r="BA702" s="149">
        <v>0</v>
      </c>
      <c r="BB702" s="149">
        <v>0</v>
      </c>
      <c r="BC702" s="149">
        <v>0</v>
      </c>
      <c r="BD702" s="149">
        <v>0</v>
      </c>
      <c r="BE702" s="149">
        <v>1</v>
      </c>
      <c r="BF702" s="149">
        <v>0</v>
      </c>
      <c r="BG702" s="149">
        <v>0</v>
      </c>
      <c r="BH702" s="149">
        <v>0</v>
      </c>
      <c r="BI702" s="149">
        <v>0</v>
      </c>
      <c r="BJ702" s="149">
        <v>0</v>
      </c>
      <c r="BK702" s="149">
        <v>0</v>
      </c>
      <c r="BL702" s="149">
        <v>0</v>
      </c>
      <c r="BM702" s="149">
        <v>0</v>
      </c>
      <c r="BN702" s="149">
        <v>0</v>
      </c>
      <c r="BO702" s="149">
        <v>0</v>
      </c>
      <c r="BP702" s="152"/>
      <c r="BQ702" s="152"/>
      <c r="BR702" s="154" t="s">
        <v>359</v>
      </c>
      <c r="BS702" s="136">
        <v>7</v>
      </c>
      <c r="BT702" s="267"/>
      <c r="BU702" s="267"/>
      <c r="BV702" s="267">
        <f t="shared" si="89"/>
        <v>0.25</v>
      </c>
      <c r="BW702" s="267">
        <f t="shared" si="90"/>
        <v>0.25</v>
      </c>
      <c r="BX702" s="267">
        <f t="shared" si="91"/>
        <v>0.25</v>
      </c>
      <c r="BY702" s="267">
        <f t="shared" si="92"/>
        <v>0.25</v>
      </c>
      <c r="BZ702" s="267"/>
      <c r="CA702" s="267"/>
      <c r="CB702" s="267"/>
      <c r="CC702" s="267"/>
      <c r="CD702" s="267"/>
      <c r="CE702" s="267"/>
      <c r="CF702" s="267"/>
      <c r="CG702" s="267"/>
      <c r="CH702" s="267"/>
      <c r="CI702" s="267"/>
      <c r="CJ702" s="267"/>
      <c r="CK702" s="267"/>
      <c r="CL702" s="267"/>
      <c r="CM702" s="267"/>
      <c r="CN702" s="101">
        <f t="shared" si="87"/>
        <v>1</v>
      </c>
      <c r="CO702" s="101">
        <f t="shared" si="88"/>
        <v>1</v>
      </c>
    </row>
    <row r="703" spans="1:93" ht="13.9" customHeight="1" x14ac:dyDescent="0.2">
      <c r="A703" s="149">
        <v>7350</v>
      </c>
      <c r="B703" s="150" t="s">
        <v>1216</v>
      </c>
      <c r="C703" s="150" t="s">
        <v>1991</v>
      </c>
      <c r="D703" s="150" t="s">
        <v>1992</v>
      </c>
      <c r="E703" s="150" t="s">
        <v>1995</v>
      </c>
      <c r="F703" s="149">
        <v>529158</v>
      </c>
      <c r="G703" s="149">
        <v>172857</v>
      </c>
      <c r="H703" s="150" t="s">
        <v>168</v>
      </c>
      <c r="I703" s="151">
        <v>44986</v>
      </c>
      <c r="J703" s="151"/>
      <c r="K703" s="149">
        <v>0</v>
      </c>
      <c r="L703" s="149">
        <v>1</v>
      </c>
      <c r="M703" s="149">
        <v>1</v>
      </c>
      <c r="N703" s="149">
        <v>3</v>
      </c>
      <c r="O703" s="149">
        <v>3</v>
      </c>
      <c r="P703" s="152"/>
      <c r="Q703" s="150" t="s">
        <v>1994</v>
      </c>
      <c r="R703" s="150" t="s">
        <v>349</v>
      </c>
      <c r="S703" s="151">
        <v>44645</v>
      </c>
      <c r="T703" s="151">
        <v>44771</v>
      </c>
      <c r="U703" s="152"/>
      <c r="V703" s="150" t="s">
        <v>330</v>
      </c>
      <c r="W703" s="151"/>
      <c r="X703" s="150" t="s">
        <v>331</v>
      </c>
      <c r="Y703" s="150" t="s">
        <v>343</v>
      </c>
      <c r="Z703" s="150" t="s">
        <v>334</v>
      </c>
      <c r="AA703" s="150" t="s">
        <v>363</v>
      </c>
      <c r="AB703" s="153">
        <v>8.0000000000000002E-3</v>
      </c>
      <c r="AC703" s="151"/>
      <c r="AD703" s="150"/>
      <c r="AE703" s="151"/>
      <c r="AF703" s="150" t="s">
        <v>70</v>
      </c>
      <c r="AG703" s="152" t="s">
        <v>352</v>
      </c>
      <c r="AH703" s="150" t="s">
        <v>326</v>
      </c>
      <c r="AI703" s="99"/>
      <c r="AJ703" s="149"/>
      <c r="AK703" s="99"/>
      <c r="AL703" s="149"/>
      <c r="AM703" s="99"/>
      <c r="AN703" s="149">
        <v>0</v>
      </c>
      <c r="AO703" s="149">
        <v>0</v>
      </c>
      <c r="AP703" s="149">
        <v>1</v>
      </c>
      <c r="AQ703" s="149">
        <v>0</v>
      </c>
      <c r="AR703" s="149">
        <v>0</v>
      </c>
      <c r="AS703" s="149">
        <v>0</v>
      </c>
      <c r="AT703" s="149">
        <v>0</v>
      </c>
      <c r="AU703" s="149">
        <v>0</v>
      </c>
      <c r="AV703" s="149">
        <v>0</v>
      </c>
      <c r="AW703" s="149">
        <v>0</v>
      </c>
      <c r="AX703" s="149">
        <v>0</v>
      </c>
      <c r="AY703" s="149">
        <v>0</v>
      </c>
      <c r="AZ703" s="149">
        <v>0</v>
      </c>
      <c r="BA703" s="149">
        <v>0</v>
      </c>
      <c r="BB703" s="149">
        <v>0</v>
      </c>
      <c r="BC703" s="149">
        <v>0</v>
      </c>
      <c r="BD703" s="149">
        <v>1</v>
      </c>
      <c r="BE703" s="149">
        <v>0</v>
      </c>
      <c r="BF703" s="149">
        <v>0</v>
      </c>
      <c r="BG703" s="149">
        <v>0</v>
      </c>
      <c r="BH703" s="149">
        <v>0</v>
      </c>
      <c r="BI703" s="149">
        <v>0</v>
      </c>
      <c r="BJ703" s="149">
        <v>0</v>
      </c>
      <c r="BK703" s="149">
        <v>0</v>
      </c>
      <c r="BL703" s="149">
        <v>0</v>
      </c>
      <c r="BM703" s="149">
        <v>0</v>
      </c>
      <c r="BN703" s="149">
        <v>0</v>
      </c>
      <c r="BO703" s="149">
        <v>0</v>
      </c>
      <c r="BP703" s="152"/>
      <c r="BQ703" s="152"/>
      <c r="BR703" s="154" t="s">
        <v>359</v>
      </c>
      <c r="BS703" s="136">
        <v>7</v>
      </c>
      <c r="BT703" s="267"/>
      <c r="BU703" s="267"/>
      <c r="BV703" s="267">
        <f t="shared" si="89"/>
        <v>0.25</v>
      </c>
      <c r="BW703" s="267">
        <f t="shared" si="90"/>
        <v>0.25</v>
      </c>
      <c r="BX703" s="267">
        <f t="shared" si="91"/>
        <v>0.25</v>
      </c>
      <c r="BY703" s="267">
        <f t="shared" si="92"/>
        <v>0.25</v>
      </c>
      <c r="BZ703" s="267"/>
      <c r="CA703" s="267"/>
      <c r="CB703" s="267"/>
      <c r="CC703" s="267"/>
      <c r="CD703" s="267"/>
      <c r="CE703" s="267"/>
      <c r="CF703" s="267"/>
      <c r="CG703" s="267"/>
      <c r="CH703" s="267"/>
      <c r="CI703" s="267"/>
      <c r="CJ703" s="267"/>
      <c r="CK703" s="267"/>
      <c r="CL703" s="267"/>
      <c r="CM703" s="267"/>
      <c r="CN703" s="101">
        <f t="shared" si="87"/>
        <v>1</v>
      </c>
      <c r="CO703" s="101">
        <f t="shared" si="88"/>
        <v>1</v>
      </c>
    </row>
    <row r="704" spans="1:93" ht="13.9" customHeight="1" x14ac:dyDescent="0.2">
      <c r="A704" s="149">
        <v>7350</v>
      </c>
      <c r="B704" s="150" t="s">
        <v>1216</v>
      </c>
      <c r="C704" s="150" t="s">
        <v>1991</v>
      </c>
      <c r="D704" s="150" t="s">
        <v>1992</v>
      </c>
      <c r="E704" s="150" t="s">
        <v>1996</v>
      </c>
      <c r="F704" s="149">
        <v>529158</v>
      </c>
      <c r="G704" s="149">
        <v>172857</v>
      </c>
      <c r="H704" s="150" t="s">
        <v>168</v>
      </c>
      <c r="I704" s="151">
        <v>44986</v>
      </c>
      <c r="J704" s="151"/>
      <c r="K704" s="149">
        <v>0</v>
      </c>
      <c r="L704" s="149">
        <v>1</v>
      </c>
      <c r="M704" s="149">
        <v>1</v>
      </c>
      <c r="N704" s="149">
        <v>3</v>
      </c>
      <c r="O704" s="149">
        <v>3</v>
      </c>
      <c r="P704" s="152"/>
      <c r="Q704" s="150" t="s">
        <v>1994</v>
      </c>
      <c r="R704" s="150" t="s">
        <v>349</v>
      </c>
      <c r="S704" s="151">
        <v>44645</v>
      </c>
      <c r="T704" s="151">
        <v>44771</v>
      </c>
      <c r="U704" s="152"/>
      <c r="V704" s="150" t="s">
        <v>330</v>
      </c>
      <c r="W704" s="151"/>
      <c r="X704" s="150" t="s">
        <v>331</v>
      </c>
      <c r="Y704" s="150" t="s">
        <v>343</v>
      </c>
      <c r="Z704" s="150" t="s">
        <v>334</v>
      </c>
      <c r="AA704" s="150" t="s">
        <v>363</v>
      </c>
      <c r="AB704" s="153">
        <v>6.1999999999999998E-3</v>
      </c>
      <c r="AC704" s="151"/>
      <c r="AD704" s="150"/>
      <c r="AE704" s="151"/>
      <c r="AF704" s="150" t="s">
        <v>70</v>
      </c>
      <c r="AG704" s="152" t="s">
        <v>352</v>
      </c>
      <c r="AH704" s="150" t="s">
        <v>326</v>
      </c>
      <c r="AI704" s="99"/>
      <c r="AJ704" s="149"/>
      <c r="AK704" s="99"/>
      <c r="AL704" s="149"/>
      <c r="AM704" s="99"/>
      <c r="AN704" s="149">
        <v>0</v>
      </c>
      <c r="AO704" s="149">
        <v>0</v>
      </c>
      <c r="AP704" s="149">
        <v>1</v>
      </c>
      <c r="AQ704" s="149">
        <v>0</v>
      </c>
      <c r="AR704" s="149">
        <v>0</v>
      </c>
      <c r="AS704" s="149">
        <v>0</v>
      </c>
      <c r="AT704" s="149">
        <v>0</v>
      </c>
      <c r="AU704" s="149">
        <v>0</v>
      </c>
      <c r="AV704" s="149">
        <v>0</v>
      </c>
      <c r="AW704" s="149">
        <v>0</v>
      </c>
      <c r="AX704" s="149">
        <v>0</v>
      </c>
      <c r="AY704" s="149">
        <v>0</v>
      </c>
      <c r="AZ704" s="149">
        <v>0</v>
      </c>
      <c r="BA704" s="149">
        <v>0</v>
      </c>
      <c r="BB704" s="149">
        <v>0</v>
      </c>
      <c r="BC704" s="149">
        <v>0</v>
      </c>
      <c r="BD704" s="149">
        <v>1</v>
      </c>
      <c r="BE704" s="149">
        <v>0</v>
      </c>
      <c r="BF704" s="149">
        <v>0</v>
      </c>
      <c r="BG704" s="149">
        <v>0</v>
      </c>
      <c r="BH704" s="149">
        <v>0</v>
      </c>
      <c r="BI704" s="149">
        <v>0</v>
      </c>
      <c r="BJ704" s="149">
        <v>0</v>
      </c>
      <c r="BK704" s="149">
        <v>0</v>
      </c>
      <c r="BL704" s="149">
        <v>0</v>
      </c>
      <c r="BM704" s="149">
        <v>0</v>
      </c>
      <c r="BN704" s="149">
        <v>0</v>
      </c>
      <c r="BO704" s="149">
        <v>0</v>
      </c>
      <c r="BP704" s="152"/>
      <c r="BQ704" s="152"/>
      <c r="BR704" s="154" t="s">
        <v>359</v>
      </c>
      <c r="BS704" s="136">
        <v>7</v>
      </c>
      <c r="BT704" s="267"/>
      <c r="BU704" s="267"/>
      <c r="BV704" s="267">
        <f t="shared" si="89"/>
        <v>0.25</v>
      </c>
      <c r="BW704" s="267">
        <f t="shared" si="90"/>
        <v>0.25</v>
      </c>
      <c r="BX704" s="267">
        <f t="shared" si="91"/>
        <v>0.25</v>
      </c>
      <c r="BY704" s="267">
        <f t="shared" si="92"/>
        <v>0.25</v>
      </c>
      <c r="BZ704" s="267"/>
      <c r="CA704" s="267"/>
      <c r="CB704" s="267"/>
      <c r="CC704" s="267"/>
      <c r="CD704" s="267"/>
      <c r="CE704" s="267"/>
      <c r="CF704" s="267"/>
      <c r="CG704" s="267"/>
      <c r="CH704" s="267"/>
      <c r="CI704" s="267"/>
      <c r="CJ704" s="267"/>
      <c r="CK704" s="267"/>
      <c r="CL704" s="267"/>
      <c r="CM704" s="267"/>
      <c r="CN704" s="101">
        <f t="shared" si="87"/>
        <v>1</v>
      </c>
      <c r="CO704" s="101">
        <f t="shared" si="88"/>
        <v>1</v>
      </c>
    </row>
    <row r="705" spans="1:93" ht="13.9" customHeight="1" x14ac:dyDescent="0.2">
      <c r="A705" s="149">
        <v>7738</v>
      </c>
      <c r="B705" s="150" t="s">
        <v>1216</v>
      </c>
      <c r="C705" s="150" t="s">
        <v>1997</v>
      </c>
      <c r="D705" s="150" t="s">
        <v>1998</v>
      </c>
      <c r="E705" s="150" t="s">
        <v>326</v>
      </c>
      <c r="F705" s="149">
        <v>524022</v>
      </c>
      <c r="G705" s="149">
        <v>174394</v>
      </c>
      <c r="H705" s="150" t="s">
        <v>161</v>
      </c>
      <c r="I705" s="151"/>
      <c r="J705" s="151"/>
      <c r="K705" s="149">
        <v>1</v>
      </c>
      <c r="L705" s="149">
        <v>1</v>
      </c>
      <c r="M705" s="149">
        <v>0</v>
      </c>
      <c r="N705" s="149">
        <v>1</v>
      </c>
      <c r="O705" s="149">
        <v>0</v>
      </c>
      <c r="P705" s="152"/>
      <c r="Q705" s="150" t="s">
        <v>1999</v>
      </c>
      <c r="R705" s="150" t="s">
        <v>349</v>
      </c>
      <c r="S705" s="151">
        <v>44529</v>
      </c>
      <c r="T705" s="151">
        <v>44678</v>
      </c>
      <c r="U705" s="152"/>
      <c r="V705" s="150" t="s">
        <v>330</v>
      </c>
      <c r="W705" s="151"/>
      <c r="X705" s="150" t="s">
        <v>331</v>
      </c>
      <c r="Y705" s="150" t="s">
        <v>343</v>
      </c>
      <c r="Z705" s="150" t="s">
        <v>334</v>
      </c>
      <c r="AA705" s="150" t="s">
        <v>363</v>
      </c>
      <c r="AB705" s="153">
        <v>1.4E-2</v>
      </c>
      <c r="AC705" s="151"/>
      <c r="AD705" s="150"/>
      <c r="AE705" s="151"/>
      <c r="AF705" s="150" t="s">
        <v>70</v>
      </c>
      <c r="AG705" s="152" t="s">
        <v>352</v>
      </c>
      <c r="AH705" s="150" t="s">
        <v>326</v>
      </c>
      <c r="AI705" s="99"/>
      <c r="AJ705" s="149"/>
      <c r="AK705" s="99"/>
      <c r="AL705" s="149"/>
      <c r="AM705" s="99"/>
      <c r="AN705" s="149">
        <v>0</v>
      </c>
      <c r="AO705" s="149">
        <v>0</v>
      </c>
      <c r="AP705" s="149">
        <v>-1</v>
      </c>
      <c r="AQ705" s="149">
        <v>0</v>
      </c>
      <c r="AR705" s="149">
        <v>0</v>
      </c>
      <c r="AS705" s="149">
        <v>1</v>
      </c>
      <c r="AT705" s="149">
        <v>0</v>
      </c>
      <c r="AU705" s="149">
        <v>0</v>
      </c>
      <c r="AV705" s="149">
        <v>0</v>
      </c>
      <c r="AW705" s="149">
        <v>0</v>
      </c>
      <c r="AX705" s="149">
        <v>0</v>
      </c>
      <c r="AY705" s="149">
        <v>0</v>
      </c>
      <c r="AZ705" s="149">
        <v>0</v>
      </c>
      <c r="BA705" s="149">
        <v>0</v>
      </c>
      <c r="BB705" s="149">
        <v>0</v>
      </c>
      <c r="BC705" s="149">
        <v>0</v>
      </c>
      <c r="BD705" s="149">
        <v>-1</v>
      </c>
      <c r="BE705" s="149">
        <v>0</v>
      </c>
      <c r="BF705" s="149">
        <v>0</v>
      </c>
      <c r="BG705" s="149">
        <v>1</v>
      </c>
      <c r="BH705" s="149">
        <v>0</v>
      </c>
      <c r="BI705" s="149">
        <v>0</v>
      </c>
      <c r="BJ705" s="149">
        <v>0</v>
      </c>
      <c r="BK705" s="149">
        <v>0</v>
      </c>
      <c r="BL705" s="149">
        <v>0</v>
      </c>
      <c r="BM705" s="149">
        <v>0</v>
      </c>
      <c r="BN705" s="149">
        <v>0</v>
      </c>
      <c r="BO705" s="149">
        <v>0</v>
      </c>
      <c r="BP705" s="152"/>
      <c r="BQ705" s="152"/>
      <c r="BR705" s="154" t="s">
        <v>359</v>
      </c>
      <c r="BS705" s="136">
        <v>7</v>
      </c>
      <c r="BT705" s="267"/>
      <c r="BU705" s="267"/>
      <c r="BV705" s="267">
        <f t="shared" si="89"/>
        <v>0</v>
      </c>
      <c r="BW705" s="267">
        <f t="shared" si="90"/>
        <v>0</v>
      </c>
      <c r="BX705" s="267">
        <f t="shared" si="91"/>
        <v>0</v>
      </c>
      <c r="BY705" s="267">
        <f t="shared" si="92"/>
        <v>0</v>
      </c>
      <c r="BZ705" s="267"/>
      <c r="CA705" s="267"/>
      <c r="CB705" s="267"/>
      <c r="CC705" s="267"/>
      <c r="CD705" s="267"/>
      <c r="CE705" s="267"/>
      <c r="CF705" s="267"/>
      <c r="CG705" s="267"/>
      <c r="CH705" s="267"/>
      <c r="CI705" s="267"/>
      <c r="CJ705" s="267"/>
      <c r="CK705" s="267"/>
      <c r="CL705" s="267"/>
      <c r="CM705" s="267"/>
      <c r="CN705" s="101">
        <f t="shared" si="87"/>
        <v>0</v>
      </c>
      <c r="CO705" s="101">
        <f t="shared" si="88"/>
        <v>0</v>
      </c>
    </row>
    <row r="706" spans="1:93" ht="13.9" customHeight="1" x14ac:dyDescent="0.2">
      <c r="A706" s="149">
        <v>2262</v>
      </c>
      <c r="B706" s="150" t="s">
        <v>1216</v>
      </c>
      <c r="C706" s="150" t="s">
        <v>2000</v>
      </c>
      <c r="D706" s="150" t="s">
        <v>2001</v>
      </c>
      <c r="E706" s="150" t="s">
        <v>326</v>
      </c>
      <c r="F706" s="149">
        <v>529325</v>
      </c>
      <c r="G706" s="149">
        <v>171589</v>
      </c>
      <c r="H706" s="150" t="s">
        <v>163</v>
      </c>
      <c r="I706" s="151"/>
      <c r="J706" s="151"/>
      <c r="K706" s="149">
        <v>0</v>
      </c>
      <c r="L706" s="149">
        <v>4</v>
      </c>
      <c r="M706" s="149">
        <v>4</v>
      </c>
      <c r="N706" s="149">
        <v>4</v>
      </c>
      <c r="O706" s="149">
        <v>4</v>
      </c>
      <c r="P706" s="152"/>
      <c r="Q706" s="150" t="s">
        <v>2002</v>
      </c>
      <c r="R706" s="150" t="s">
        <v>349</v>
      </c>
      <c r="S706" s="151">
        <v>44532</v>
      </c>
      <c r="T706" s="151">
        <v>44725</v>
      </c>
      <c r="U706" s="152"/>
      <c r="V706" s="150" t="s">
        <v>330</v>
      </c>
      <c r="W706" s="151"/>
      <c r="X706" s="150" t="s">
        <v>331</v>
      </c>
      <c r="Y706" s="150" t="s">
        <v>343</v>
      </c>
      <c r="Z706" s="150" t="s">
        <v>334</v>
      </c>
      <c r="AA706" s="150" t="s">
        <v>363</v>
      </c>
      <c r="AB706" s="153">
        <v>1.6E-2</v>
      </c>
      <c r="AC706" s="151"/>
      <c r="AD706" s="150"/>
      <c r="AE706" s="151"/>
      <c r="AF706" s="150" t="s">
        <v>49</v>
      </c>
      <c r="AG706" s="152" t="s">
        <v>383</v>
      </c>
      <c r="AH706" s="150" t="s">
        <v>326</v>
      </c>
      <c r="AI706" s="99"/>
      <c r="AJ706" s="149"/>
      <c r="AK706" s="99"/>
      <c r="AL706" s="149"/>
      <c r="AM706" s="99"/>
      <c r="AN706" s="149">
        <v>0</v>
      </c>
      <c r="AO706" s="149">
        <v>0</v>
      </c>
      <c r="AP706" s="149">
        <v>0</v>
      </c>
      <c r="AQ706" s="149">
        <v>2</v>
      </c>
      <c r="AR706" s="149">
        <v>2</v>
      </c>
      <c r="AS706" s="149">
        <v>0</v>
      </c>
      <c r="AT706" s="149">
        <v>0</v>
      </c>
      <c r="AU706" s="149">
        <v>0</v>
      </c>
      <c r="AV706" s="149">
        <v>0</v>
      </c>
      <c r="AW706" s="149">
        <v>0</v>
      </c>
      <c r="AX706" s="149">
        <v>0</v>
      </c>
      <c r="AY706" s="149">
        <v>0</v>
      </c>
      <c r="AZ706" s="149">
        <v>0</v>
      </c>
      <c r="BA706" s="149">
        <v>0</v>
      </c>
      <c r="BB706" s="149">
        <v>0</v>
      </c>
      <c r="BC706" s="149">
        <v>0</v>
      </c>
      <c r="BD706" s="149">
        <v>0</v>
      </c>
      <c r="BE706" s="149">
        <v>2</v>
      </c>
      <c r="BF706" s="149">
        <v>2</v>
      </c>
      <c r="BG706" s="149">
        <v>0</v>
      </c>
      <c r="BH706" s="149">
        <v>0</v>
      </c>
      <c r="BI706" s="149">
        <v>0</v>
      </c>
      <c r="BJ706" s="149">
        <v>0</v>
      </c>
      <c r="BK706" s="149">
        <v>0</v>
      </c>
      <c r="BL706" s="149">
        <v>0</v>
      </c>
      <c r="BM706" s="149">
        <v>0</v>
      </c>
      <c r="BN706" s="149">
        <v>0</v>
      </c>
      <c r="BO706" s="149">
        <v>0</v>
      </c>
      <c r="BP706" s="152"/>
      <c r="BQ706" s="152"/>
      <c r="BR706" s="154" t="s">
        <v>359</v>
      </c>
      <c r="BS706" s="136">
        <v>7</v>
      </c>
      <c r="BT706" s="267"/>
      <c r="BU706" s="267"/>
      <c r="BV706" s="267">
        <f t="shared" si="89"/>
        <v>1</v>
      </c>
      <c r="BW706" s="267">
        <f t="shared" si="90"/>
        <v>1</v>
      </c>
      <c r="BX706" s="267">
        <f t="shared" si="91"/>
        <v>1</v>
      </c>
      <c r="BY706" s="267">
        <f t="shared" si="92"/>
        <v>1</v>
      </c>
      <c r="BZ706" s="267"/>
      <c r="CA706" s="267"/>
      <c r="CB706" s="267"/>
      <c r="CC706" s="267"/>
      <c r="CD706" s="267"/>
      <c r="CE706" s="267"/>
      <c r="CF706" s="267"/>
      <c r="CG706" s="267"/>
      <c r="CH706" s="267"/>
      <c r="CI706" s="267"/>
      <c r="CJ706" s="267"/>
      <c r="CK706" s="267"/>
      <c r="CL706" s="267"/>
      <c r="CM706" s="267"/>
      <c r="CN706" s="101">
        <f t="shared" si="87"/>
        <v>4</v>
      </c>
      <c r="CO706" s="101">
        <f t="shared" si="88"/>
        <v>4</v>
      </c>
    </row>
    <row r="707" spans="1:93" ht="13.9" customHeight="1" x14ac:dyDescent="0.2">
      <c r="A707" s="149">
        <v>6198</v>
      </c>
      <c r="B707" s="150" t="s">
        <v>1216</v>
      </c>
      <c r="C707" s="150" t="s">
        <v>2003</v>
      </c>
      <c r="D707" s="150" t="s">
        <v>2004</v>
      </c>
      <c r="E707" s="150" t="s">
        <v>326</v>
      </c>
      <c r="F707" s="149">
        <v>521202</v>
      </c>
      <c r="G707" s="149">
        <v>174373</v>
      </c>
      <c r="H707" s="150" t="s">
        <v>166</v>
      </c>
      <c r="I707" s="151"/>
      <c r="J707" s="151"/>
      <c r="K707" s="149">
        <v>1</v>
      </c>
      <c r="L707" s="149">
        <v>1</v>
      </c>
      <c r="M707" s="149">
        <v>0</v>
      </c>
      <c r="N707" s="149">
        <v>1</v>
      </c>
      <c r="O707" s="149">
        <v>0</v>
      </c>
      <c r="P707" s="152"/>
      <c r="Q707" s="150" t="s">
        <v>2005</v>
      </c>
      <c r="R707" s="150" t="s">
        <v>349</v>
      </c>
      <c r="S707" s="151">
        <v>44608</v>
      </c>
      <c r="T707" s="151">
        <v>44664</v>
      </c>
      <c r="U707" s="152"/>
      <c r="V707" s="150" t="s">
        <v>330</v>
      </c>
      <c r="W707" s="151"/>
      <c r="X707" s="150" t="s">
        <v>331</v>
      </c>
      <c r="Y707" s="150" t="s">
        <v>343</v>
      </c>
      <c r="Z707" s="150" t="s">
        <v>334</v>
      </c>
      <c r="AA707" s="150" t="s">
        <v>363</v>
      </c>
      <c r="AB707" s="153">
        <v>1.2E-2</v>
      </c>
      <c r="AC707" s="151"/>
      <c r="AD707" s="150"/>
      <c r="AE707" s="151"/>
      <c r="AF707" s="150" t="s">
        <v>70</v>
      </c>
      <c r="AG707" s="152" t="s">
        <v>352</v>
      </c>
      <c r="AH707" s="150" t="s">
        <v>326</v>
      </c>
      <c r="AI707" s="99"/>
      <c r="AJ707" s="149"/>
      <c r="AK707" s="99"/>
      <c r="AL707" s="149"/>
      <c r="AM707" s="99"/>
      <c r="AN707" s="149">
        <v>0</v>
      </c>
      <c r="AO707" s="149">
        <v>0</v>
      </c>
      <c r="AP707" s="149">
        <v>0</v>
      </c>
      <c r="AQ707" s="149">
        <v>0</v>
      </c>
      <c r="AR707" s="149">
        <v>-1</v>
      </c>
      <c r="AS707" s="149">
        <v>1</v>
      </c>
      <c r="AT707" s="149">
        <v>0</v>
      </c>
      <c r="AU707" s="149">
        <v>0</v>
      </c>
      <c r="AV707" s="149">
        <v>0</v>
      </c>
      <c r="AW707" s="149">
        <v>0</v>
      </c>
      <c r="AX707" s="149">
        <v>0</v>
      </c>
      <c r="AY707" s="149">
        <v>0</v>
      </c>
      <c r="AZ707" s="149">
        <v>0</v>
      </c>
      <c r="BA707" s="149">
        <v>0</v>
      </c>
      <c r="BB707" s="149">
        <v>0</v>
      </c>
      <c r="BC707" s="149">
        <v>0</v>
      </c>
      <c r="BD707" s="149">
        <v>0</v>
      </c>
      <c r="BE707" s="149">
        <v>0</v>
      </c>
      <c r="BF707" s="149">
        <v>-1</v>
      </c>
      <c r="BG707" s="149">
        <v>1</v>
      </c>
      <c r="BH707" s="149">
        <v>0</v>
      </c>
      <c r="BI707" s="149">
        <v>0</v>
      </c>
      <c r="BJ707" s="149">
        <v>0</v>
      </c>
      <c r="BK707" s="149">
        <v>0</v>
      </c>
      <c r="BL707" s="149">
        <v>0</v>
      </c>
      <c r="BM707" s="149">
        <v>0</v>
      </c>
      <c r="BN707" s="149">
        <v>0</v>
      </c>
      <c r="BO707" s="149">
        <v>0</v>
      </c>
      <c r="BP707" s="152"/>
      <c r="BQ707" s="152"/>
      <c r="BR707" s="154" t="s">
        <v>359</v>
      </c>
      <c r="BS707" s="136">
        <v>7</v>
      </c>
      <c r="BT707" s="267"/>
      <c r="BU707" s="267"/>
      <c r="BV707" s="267">
        <f t="shared" si="89"/>
        <v>0</v>
      </c>
      <c r="BW707" s="267">
        <f t="shared" si="90"/>
        <v>0</v>
      </c>
      <c r="BX707" s="267">
        <f t="shared" si="91"/>
        <v>0</v>
      </c>
      <c r="BY707" s="267">
        <f t="shared" si="92"/>
        <v>0</v>
      </c>
      <c r="BZ707" s="267"/>
      <c r="CA707" s="267"/>
      <c r="CB707" s="267"/>
      <c r="CC707" s="267"/>
      <c r="CD707" s="267"/>
      <c r="CE707" s="267"/>
      <c r="CF707" s="267"/>
      <c r="CG707" s="267"/>
      <c r="CH707" s="267"/>
      <c r="CI707" s="267"/>
      <c r="CJ707" s="267"/>
      <c r="CK707" s="267"/>
      <c r="CL707" s="267"/>
      <c r="CM707" s="267"/>
      <c r="CN707" s="101">
        <f t="shared" si="87"/>
        <v>0</v>
      </c>
      <c r="CO707" s="101">
        <f t="shared" si="88"/>
        <v>0</v>
      </c>
    </row>
    <row r="708" spans="1:93" ht="13.9" customHeight="1" x14ac:dyDescent="0.2">
      <c r="A708" s="149">
        <v>6608</v>
      </c>
      <c r="B708" s="150" t="s">
        <v>1216</v>
      </c>
      <c r="C708" s="150" t="s">
        <v>2006</v>
      </c>
      <c r="D708" s="150" t="s">
        <v>2007</v>
      </c>
      <c r="E708" s="150" t="s">
        <v>326</v>
      </c>
      <c r="F708" s="149">
        <v>527334</v>
      </c>
      <c r="G708" s="149">
        <v>171328</v>
      </c>
      <c r="H708" s="150" t="s">
        <v>173</v>
      </c>
      <c r="I708" s="151"/>
      <c r="J708" s="151"/>
      <c r="K708" s="149">
        <v>1</v>
      </c>
      <c r="L708" s="149">
        <v>2</v>
      </c>
      <c r="M708" s="149">
        <v>1</v>
      </c>
      <c r="N708" s="149">
        <v>2</v>
      </c>
      <c r="O708" s="149">
        <v>1</v>
      </c>
      <c r="P708" s="152"/>
      <c r="Q708" s="150" t="s">
        <v>2008</v>
      </c>
      <c r="R708" s="150" t="s">
        <v>349</v>
      </c>
      <c r="S708" s="151">
        <v>44565</v>
      </c>
      <c r="T708" s="151">
        <v>44621</v>
      </c>
      <c r="U708" s="152"/>
      <c r="V708" s="150" t="s">
        <v>330</v>
      </c>
      <c r="W708" s="151"/>
      <c r="X708" s="150" t="s">
        <v>331</v>
      </c>
      <c r="Y708" s="150" t="s">
        <v>491</v>
      </c>
      <c r="Z708" s="150" t="s">
        <v>334</v>
      </c>
      <c r="AA708" s="150" t="s">
        <v>413</v>
      </c>
      <c r="AB708" s="153">
        <v>7.8659999999999997E-3</v>
      </c>
      <c r="AC708" s="151"/>
      <c r="AD708" s="150"/>
      <c r="AE708" s="151"/>
      <c r="AF708" s="150" t="s">
        <v>70</v>
      </c>
      <c r="AG708" s="152" t="s">
        <v>337</v>
      </c>
      <c r="AH708" s="150" t="s">
        <v>326</v>
      </c>
      <c r="AI708" s="99"/>
      <c r="AJ708" s="149"/>
      <c r="AK708" s="99"/>
      <c r="AL708" s="149"/>
      <c r="AM708" s="99"/>
      <c r="AN708" s="149">
        <v>0</v>
      </c>
      <c r="AO708" s="149">
        <v>0</v>
      </c>
      <c r="AP708" s="149">
        <v>1</v>
      </c>
      <c r="AQ708" s="149">
        <v>0</v>
      </c>
      <c r="AR708" s="149">
        <v>0</v>
      </c>
      <c r="AS708" s="149">
        <v>0</v>
      </c>
      <c r="AT708" s="149">
        <v>0</v>
      </c>
      <c r="AU708" s="149">
        <v>0</v>
      </c>
      <c r="AV708" s="149">
        <v>0</v>
      </c>
      <c r="AW708" s="149">
        <v>1</v>
      </c>
      <c r="AX708" s="149">
        <v>0</v>
      </c>
      <c r="AY708" s="149">
        <v>0</v>
      </c>
      <c r="AZ708" s="149">
        <v>0</v>
      </c>
      <c r="BA708" s="149">
        <v>0</v>
      </c>
      <c r="BB708" s="149">
        <v>0</v>
      </c>
      <c r="BC708" s="149">
        <v>0</v>
      </c>
      <c r="BD708" s="149">
        <v>0</v>
      </c>
      <c r="BE708" s="149">
        <v>0</v>
      </c>
      <c r="BF708" s="149">
        <v>0</v>
      </c>
      <c r="BG708" s="149">
        <v>0</v>
      </c>
      <c r="BH708" s="149">
        <v>0</v>
      </c>
      <c r="BI708" s="149">
        <v>0</v>
      </c>
      <c r="BJ708" s="149">
        <v>0</v>
      </c>
      <c r="BK708" s="149">
        <v>0</v>
      </c>
      <c r="BL708" s="149">
        <v>0</v>
      </c>
      <c r="BM708" s="149">
        <v>0</v>
      </c>
      <c r="BN708" s="149">
        <v>0</v>
      </c>
      <c r="BO708" s="149">
        <v>0</v>
      </c>
      <c r="BP708" s="152"/>
      <c r="BQ708" s="152"/>
      <c r="BR708" s="154" t="s">
        <v>142</v>
      </c>
      <c r="BS708" s="136">
        <v>15</v>
      </c>
      <c r="BT708" s="267"/>
      <c r="BU708" s="267">
        <f>M708/4</f>
        <v>0.25</v>
      </c>
      <c r="BV708" s="267">
        <f t="shared" si="89"/>
        <v>0.25</v>
      </c>
      <c r="BW708" s="267">
        <f t="shared" si="90"/>
        <v>0.25</v>
      </c>
      <c r="BX708" s="267">
        <f t="shared" si="91"/>
        <v>0.25</v>
      </c>
      <c r="BY708" s="267"/>
      <c r="BZ708" s="267"/>
      <c r="CA708" s="267"/>
      <c r="CB708" s="267"/>
      <c r="CC708" s="267"/>
      <c r="CD708" s="267"/>
      <c r="CE708" s="267"/>
      <c r="CF708" s="267"/>
      <c r="CG708" s="267"/>
      <c r="CH708" s="267"/>
      <c r="CI708" s="267"/>
      <c r="CJ708" s="267"/>
      <c r="CK708" s="267"/>
      <c r="CL708" s="267"/>
      <c r="CM708" s="267"/>
      <c r="CN708" s="101">
        <f t="shared" si="87"/>
        <v>1</v>
      </c>
      <c r="CO708" s="101">
        <f t="shared" si="88"/>
        <v>1</v>
      </c>
    </row>
    <row r="709" spans="1:93" ht="13.9" customHeight="1" x14ac:dyDescent="0.2">
      <c r="A709" s="149">
        <v>7385</v>
      </c>
      <c r="B709" s="150" t="s">
        <v>854</v>
      </c>
      <c r="C709" s="150" t="s">
        <v>2009</v>
      </c>
      <c r="D709" s="150" t="s">
        <v>2010</v>
      </c>
      <c r="E709" s="150" t="s">
        <v>2011</v>
      </c>
      <c r="F709" s="149">
        <v>527211</v>
      </c>
      <c r="G709" s="149">
        <v>176872</v>
      </c>
      <c r="H709" s="150" t="s">
        <v>160</v>
      </c>
      <c r="I709" s="151">
        <v>44825</v>
      </c>
      <c r="J709" s="151"/>
      <c r="K709" s="149">
        <v>0</v>
      </c>
      <c r="L709" s="149">
        <v>39</v>
      </c>
      <c r="M709" s="149">
        <v>39</v>
      </c>
      <c r="N709" s="149">
        <v>106</v>
      </c>
      <c r="O709" s="149">
        <v>106</v>
      </c>
      <c r="P709" s="152" t="s">
        <v>327</v>
      </c>
      <c r="Q709" s="150" t="s">
        <v>2012</v>
      </c>
      <c r="R709" s="150" t="s">
        <v>381</v>
      </c>
      <c r="S709" s="151">
        <v>44930</v>
      </c>
      <c r="T709" s="151">
        <v>45135</v>
      </c>
      <c r="U709" s="152" t="s">
        <v>327</v>
      </c>
      <c r="V709" s="150" t="s">
        <v>330</v>
      </c>
      <c r="W709" s="151"/>
      <c r="X709" s="150" t="s">
        <v>331</v>
      </c>
      <c r="Y709" s="150" t="s">
        <v>343</v>
      </c>
      <c r="Z709" s="150" t="s">
        <v>343</v>
      </c>
      <c r="AA709" s="150" t="s">
        <v>334</v>
      </c>
      <c r="AB709" s="153">
        <v>0.23</v>
      </c>
      <c r="AC709" s="151">
        <v>44994</v>
      </c>
      <c r="AD709" s="150"/>
      <c r="AE709" s="151"/>
      <c r="AF709" s="150" t="s">
        <v>49</v>
      </c>
      <c r="AG709" s="152" t="s">
        <v>481</v>
      </c>
      <c r="AH709" s="150" t="s">
        <v>326</v>
      </c>
      <c r="AI709" s="99"/>
      <c r="AJ709" s="149"/>
      <c r="AK709" s="138">
        <v>39</v>
      </c>
      <c r="AL709" s="149"/>
      <c r="AM709" s="99"/>
      <c r="AN709" s="149">
        <v>0</v>
      </c>
      <c r="AO709" s="149">
        <v>10</v>
      </c>
      <c r="AP709" s="149">
        <v>28</v>
      </c>
      <c r="AQ709" s="149">
        <v>1</v>
      </c>
      <c r="AR709" s="149">
        <v>0</v>
      </c>
      <c r="AS709" s="149">
        <v>0</v>
      </c>
      <c r="AT709" s="149">
        <v>0</v>
      </c>
      <c r="AU709" s="149">
        <v>0</v>
      </c>
      <c r="AV709" s="149">
        <v>10</v>
      </c>
      <c r="AW709" s="149">
        <v>28</v>
      </c>
      <c r="AX709" s="149">
        <v>1</v>
      </c>
      <c r="AY709" s="149">
        <v>0</v>
      </c>
      <c r="AZ709" s="149">
        <v>0</v>
      </c>
      <c r="BA709" s="149">
        <v>0</v>
      </c>
      <c r="BB709" s="149">
        <v>0</v>
      </c>
      <c r="BC709" s="149">
        <v>0</v>
      </c>
      <c r="BD709" s="149">
        <v>0</v>
      </c>
      <c r="BE709" s="149">
        <v>0</v>
      </c>
      <c r="BF709" s="149">
        <v>0</v>
      </c>
      <c r="BG709" s="149">
        <v>0</v>
      </c>
      <c r="BH709" s="149">
        <v>0</v>
      </c>
      <c r="BI709" s="149">
        <v>0</v>
      </c>
      <c r="BJ709" s="149">
        <v>0</v>
      </c>
      <c r="BK709" s="149">
        <v>0</v>
      </c>
      <c r="BL709" s="149">
        <v>0</v>
      </c>
      <c r="BM709" s="149">
        <v>0</v>
      </c>
      <c r="BN709" s="149">
        <v>0</v>
      </c>
      <c r="BO709" s="149">
        <v>0</v>
      </c>
      <c r="BP709" s="152"/>
      <c r="BQ709" s="152"/>
      <c r="BR709" s="154" t="s">
        <v>359</v>
      </c>
      <c r="BS709" s="136">
        <v>5</v>
      </c>
      <c r="BT709" s="267"/>
      <c r="BU709" s="267"/>
      <c r="BV709" s="267">
        <f>M709</f>
        <v>39</v>
      </c>
      <c r="BW709" s="267"/>
      <c r="BX709" s="267"/>
      <c r="BY709" s="267"/>
      <c r="BZ709" s="267"/>
      <c r="CA709" s="267"/>
      <c r="CB709" s="267"/>
      <c r="CC709" s="267"/>
      <c r="CD709" s="267"/>
      <c r="CE709" s="267"/>
      <c r="CF709" s="267"/>
      <c r="CG709" s="267"/>
      <c r="CH709" s="267"/>
      <c r="CI709" s="267"/>
      <c r="CJ709" s="267"/>
      <c r="CK709" s="267"/>
      <c r="CL709" s="267"/>
      <c r="CM709" s="267"/>
      <c r="CN709" s="101">
        <f t="shared" si="87"/>
        <v>39</v>
      </c>
      <c r="CO709" s="101">
        <f t="shared" si="88"/>
        <v>39</v>
      </c>
    </row>
    <row r="710" spans="1:93" ht="13.9" customHeight="1" x14ac:dyDescent="0.2">
      <c r="A710" s="149">
        <v>7385</v>
      </c>
      <c r="B710" s="150" t="s">
        <v>854</v>
      </c>
      <c r="C710" s="150" t="s">
        <v>2009</v>
      </c>
      <c r="D710" s="150" t="s">
        <v>2010</v>
      </c>
      <c r="E710" s="150" t="s">
        <v>2013</v>
      </c>
      <c r="F710" s="149">
        <v>527211</v>
      </c>
      <c r="G710" s="149">
        <v>176872</v>
      </c>
      <c r="H710" s="150" t="s">
        <v>160</v>
      </c>
      <c r="I710" s="151">
        <v>44825</v>
      </c>
      <c r="J710" s="151"/>
      <c r="K710" s="149">
        <v>0</v>
      </c>
      <c r="L710" s="149">
        <v>30</v>
      </c>
      <c r="M710" s="149">
        <v>30</v>
      </c>
      <c r="N710" s="149">
        <v>106</v>
      </c>
      <c r="O710" s="149">
        <v>106</v>
      </c>
      <c r="P710" s="152" t="s">
        <v>327</v>
      </c>
      <c r="Q710" s="150" t="s">
        <v>2012</v>
      </c>
      <c r="R710" s="150" t="s">
        <v>381</v>
      </c>
      <c r="S710" s="151">
        <v>44930</v>
      </c>
      <c r="T710" s="151">
        <v>45135</v>
      </c>
      <c r="U710" s="152" t="s">
        <v>327</v>
      </c>
      <c r="V710" s="150" t="s">
        <v>330</v>
      </c>
      <c r="W710" s="151"/>
      <c r="X710" s="150" t="s">
        <v>331</v>
      </c>
      <c r="Y710" s="150" t="s">
        <v>343</v>
      </c>
      <c r="Z710" s="150" t="s">
        <v>343</v>
      </c>
      <c r="AA710" s="150" t="s">
        <v>334</v>
      </c>
      <c r="AB710" s="153">
        <v>0.17699999999999999</v>
      </c>
      <c r="AC710" s="151">
        <v>44994</v>
      </c>
      <c r="AD710" s="150"/>
      <c r="AE710" s="151"/>
      <c r="AF710" s="150" t="s">
        <v>49</v>
      </c>
      <c r="AG710" s="152" t="s">
        <v>481</v>
      </c>
      <c r="AH710" s="150" t="s">
        <v>326</v>
      </c>
      <c r="AI710" s="99"/>
      <c r="AJ710" s="149"/>
      <c r="AK710" s="149">
        <v>30</v>
      </c>
      <c r="AL710" s="149"/>
      <c r="AM710" s="102"/>
      <c r="AN710" s="149">
        <v>22</v>
      </c>
      <c r="AO710" s="149">
        <v>0</v>
      </c>
      <c r="AP710" s="149">
        <v>8</v>
      </c>
      <c r="AQ710" s="149">
        <v>0</v>
      </c>
      <c r="AR710" s="149">
        <v>0</v>
      </c>
      <c r="AS710" s="149">
        <v>0</v>
      </c>
      <c r="AT710" s="149">
        <v>0</v>
      </c>
      <c r="AU710" s="149">
        <v>22</v>
      </c>
      <c r="AV710" s="149">
        <v>0</v>
      </c>
      <c r="AW710" s="149">
        <v>8</v>
      </c>
      <c r="AX710" s="149">
        <v>0</v>
      </c>
      <c r="AY710" s="149">
        <v>0</v>
      </c>
      <c r="AZ710" s="149">
        <v>0</v>
      </c>
      <c r="BA710" s="149">
        <v>0</v>
      </c>
      <c r="BB710" s="149">
        <v>0</v>
      </c>
      <c r="BC710" s="149">
        <v>0</v>
      </c>
      <c r="BD710" s="149">
        <v>0</v>
      </c>
      <c r="BE710" s="149">
        <v>0</v>
      </c>
      <c r="BF710" s="149">
        <v>0</v>
      </c>
      <c r="BG710" s="149">
        <v>0</v>
      </c>
      <c r="BH710" s="149">
        <v>0</v>
      </c>
      <c r="BI710" s="149">
        <v>0</v>
      </c>
      <c r="BJ710" s="149">
        <v>0</v>
      </c>
      <c r="BK710" s="149">
        <v>0</v>
      </c>
      <c r="BL710" s="149">
        <v>0</v>
      </c>
      <c r="BM710" s="149">
        <v>0</v>
      </c>
      <c r="BN710" s="149">
        <v>0</v>
      </c>
      <c r="BO710" s="149">
        <v>0</v>
      </c>
      <c r="BP710" s="152"/>
      <c r="BQ710" s="152"/>
      <c r="BR710" s="154" t="s">
        <v>359</v>
      </c>
      <c r="BS710" s="136">
        <v>5</v>
      </c>
      <c r="BT710" s="267"/>
      <c r="BU710" s="267"/>
      <c r="BV710" s="267">
        <f>M710</f>
        <v>30</v>
      </c>
      <c r="BW710" s="267"/>
      <c r="BX710" s="267"/>
      <c r="BY710" s="267"/>
      <c r="BZ710" s="267"/>
      <c r="CA710" s="267"/>
      <c r="CB710" s="267"/>
      <c r="CC710" s="267"/>
      <c r="CD710" s="267"/>
      <c r="CE710" s="267"/>
      <c r="CF710" s="267"/>
      <c r="CG710" s="267"/>
      <c r="CH710" s="267"/>
      <c r="CI710" s="267"/>
      <c r="CJ710" s="267"/>
      <c r="CK710" s="267"/>
      <c r="CL710" s="267"/>
      <c r="CM710" s="267"/>
      <c r="CN710" s="101">
        <f t="shared" si="87"/>
        <v>30</v>
      </c>
      <c r="CO710" s="101">
        <f t="shared" si="88"/>
        <v>30</v>
      </c>
    </row>
    <row r="711" spans="1:93" ht="13.9" customHeight="1" x14ac:dyDescent="0.2">
      <c r="A711" s="149">
        <v>7385</v>
      </c>
      <c r="B711" s="150" t="s">
        <v>854</v>
      </c>
      <c r="C711" s="150" t="s">
        <v>2009</v>
      </c>
      <c r="D711" s="150" t="s">
        <v>2010</v>
      </c>
      <c r="E711" s="150" t="s">
        <v>2014</v>
      </c>
      <c r="F711" s="149">
        <v>527211</v>
      </c>
      <c r="G711" s="149">
        <v>176872</v>
      </c>
      <c r="H711" s="150" t="s">
        <v>160</v>
      </c>
      <c r="I711" s="151">
        <v>44825</v>
      </c>
      <c r="J711" s="151"/>
      <c r="K711" s="149">
        <v>0</v>
      </c>
      <c r="L711" s="149">
        <v>27</v>
      </c>
      <c r="M711" s="149">
        <v>27</v>
      </c>
      <c r="N711" s="149">
        <v>106</v>
      </c>
      <c r="O711" s="149">
        <v>106</v>
      </c>
      <c r="P711" s="152" t="s">
        <v>327</v>
      </c>
      <c r="Q711" s="150" t="s">
        <v>2012</v>
      </c>
      <c r="R711" s="150" t="s">
        <v>381</v>
      </c>
      <c r="S711" s="151">
        <v>44930</v>
      </c>
      <c r="T711" s="151">
        <v>45135</v>
      </c>
      <c r="U711" s="152" t="s">
        <v>327</v>
      </c>
      <c r="V711" s="150" t="s">
        <v>330</v>
      </c>
      <c r="W711" s="151"/>
      <c r="X711" s="150" t="s">
        <v>331</v>
      </c>
      <c r="Y711" s="150" t="s">
        <v>343</v>
      </c>
      <c r="Z711" s="150" t="s">
        <v>343</v>
      </c>
      <c r="AA711" s="150" t="s">
        <v>334</v>
      </c>
      <c r="AB711" s="153">
        <v>0.16</v>
      </c>
      <c r="AC711" s="151">
        <v>44994</v>
      </c>
      <c r="AD711" s="150"/>
      <c r="AE711" s="151"/>
      <c r="AF711" s="150" t="s">
        <v>49</v>
      </c>
      <c r="AG711" s="152" t="s">
        <v>481</v>
      </c>
      <c r="AH711" s="150" t="s">
        <v>326</v>
      </c>
      <c r="AI711" s="99"/>
      <c r="AJ711" s="149"/>
      <c r="AK711" s="149">
        <v>16</v>
      </c>
      <c r="AL711" s="149"/>
      <c r="AM711" s="149">
        <v>11</v>
      </c>
      <c r="AN711" s="149">
        <v>0</v>
      </c>
      <c r="AO711" s="149">
        <v>8</v>
      </c>
      <c r="AP711" s="149">
        <v>13</v>
      </c>
      <c r="AQ711" s="149">
        <v>4</v>
      </c>
      <c r="AR711" s="149">
        <v>2</v>
      </c>
      <c r="AS711" s="149">
        <v>0</v>
      </c>
      <c r="AT711" s="149">
        <v>0</v>
      </c>
      <c r="AU711" s="149">
        <v>0</v>
      </c>
      <c r="AV711" s="149">
        <v>8</v>
      </c>
      <c r="AW711" s="149">
        <v>13</v>
      </c>
      <c r="AX711" s="149">
        <v>4</v>
      </c>
      <c r="AY711" s="149">
        <v>2</v>
      </c>
      <c r="AZ711" s="149">
        <v>0</v>
      </c>
      <c r="BA711" s="149">
        <v>0</v>
      </c>
      <c r="BB711" s="149">
        <v>0</v>
      </c>
      <c r="BC711" s="149">
        <v>0</v>
      </c>
      <c r="BD711" s="149">
        <v>0</v>
      </c>
      <c r="BE711" s="149">
        <v>0</v>
      </c>
      <c r="BF711" s="149">
        <v>0</v>
      </c>
      <c r="BG711" s="149">
        <v>0</v>
      </c>
      <c r="BH711" s="149">
        <v>0</v>
      </c>
      <c r="BI711" s="149">
        <v>0</v>
      </c>
      <c r="BJ711" s="149">
        <v>0</v>
      </c>
      <c r="BK711" s="149">
        <v>0</v>
      </c>
      <c r="BL711" s="149">
        <v>0</v>
      </c>
      <c r="BM711" s="149">
        <v>0</v>
      </c>
      <c r="BN711" s="149">
        <v>0</v>
      </c>
      <c r="BO711" s="149">
        <v>0</v>
      </c>
      <c r="BP711" s="152"/>
      <c r="BQ711" s="152"/>
      <c r="BR711" s="154" t="s">
        <v>359</v>
      </c>
      <c r="BS711" s="136">
        <v>5</v>
      </c>
      <c r="BT711" s="267"/>
      <c r="BU711" s="267"/>
      <c r="BV711" s="267">
        <f>M711</f>
        <v>27</v>
      </c>
      <c r="BW711" s="267"/>
      <c r="BX711" s="267"/>
      <c r="BY711" s="267"/>
      <c r="BZ711" s="267"/>
      <c r="CA711" s="267"/>
      <c r="CB711" s="267"/>
      <c r="CC711" s="267"/>
      <c r="CD711" s="267"/>
      <c r="CE711" s="267"/>
      <c r="CF711" s="267"/>
      <c r="CG711" s="267"/>
      <c r="CH711" s="267"/>
      <c r="CI711" s="267"/>
      <c r="CJ711" s="267"/>
      <c r="CK711" s="267"/>
      <c r="CL711" s="267"/>
      <c r="CM711" s="267"/>
      <c r="CN711" s="101">
        <f t="shared" si="87"/>
        <v>27</v>
      </c>
      <c r="CO711" s="101">
        <f t="shared" si="88"/>
        <v>27</v>
      </c>
    </row>
    <row r="712" spans="1:93" ht="13.9" customHeight="1" x14ac:dyDescent="0.2">
      <c r="A712" s="149">
        <v>7385</v>
      </c>
      <c r="B712" s="150" t="s">
        <v>854</v>
      </c>
      <c r="C712" s="150" t="s">
        <v>2009</v>
      </c>
      <c r="D712" s="150" t="s">
        <v>2010</v>
      </c>
      <c r="E712" s="150" t="s">
        <v>2015</v>
      </c>
      <c r="F712" s="149">
        <v>527211</v>
      </c>
      <c r="G712" s="149">
        <v>176872</v>
      </c>
      <c r="H712" s="150" t="s">
        <v>160</v>
      </c>
      <c r="I712" s="151">
        <v>44825</v>
      </c>
      <c r="J712" s="151"/>
      <c r="K712" s="149">
        <v>0</v>
      </c>
      <c r="L712" s="149">
        <v>10</v>
      </c>
      <c r="M712" s="149">
        <v>10</v>
      </c>
      <c r="N712" s="149">
        <v>106</v>
      </c>
      <c r="O712" s="149">
        <v>106</v>
      </c>
      <c r="P712" s="152" t="s">
        <v>327</v>
      </c>
      <c r="Q712" s="150" t="s">
        <v>2012</v>
      </c>
      <c r="R712" s="150" t="s">
        <v>381</v>
      </c>
      <c r="S712" s="151">
        <v>44930</v>
      </c>
      <c r="T712" s="151">
        <v>45135</v>
      </c>
      <c r="U712" s="152" t="s">
        <v>327</v>
      </c>
      <c r="V712" s="150" t="s">
        <v>330</v>
      </c>
      <c r="W712" s="151"/>
      <c r="X712" s="150" t="s">
        <v>331</v>
      </c>
      <c r="Y712" s="150" t="s">
        <v>343</v>
      </c>
      <c r="Z712" s="150" t="s">
        <v>343</v>
      </c>
      <c r="AA712" s="150" t="s">
        <v>334</v>
      </c>
      <c r="AB712" s="153">
        <v>5.8999999999999997E-2</v>
      </c>
      <c r="AC712" s="151">
        <v>44994</v>
      </c>
      <c r="AD712" s="150"/>
      <c r="AE712" s="151"/>
      <c r="AF712" s="150" t="s">
        <v>49</v>
      </c>
      <c r="AG712" s="152" t="s">
        <v>481</v>
      </c>
      <c r="AH712" s="150" t="s">
        <v>326</v>
      </c>
      <c r="AI712" s="99"/>
      <c r="AJ712" s="149"/>
      <c r="AK712" s="149">
        <v>10</v>
      </c>
      <c r="AL712" s="149"/>
      <c r="AM712" s="102"/>
      <c r="AN712" s="149">
        <v>0</v>
      </c>
      <c r="AO712" s="149">
        <v>6</v>
      </c>
      <c r="AP712" s="149">
        <v>4</v>
      </c>
      <c r="AQ712" s="149">
        <v>0</v>
      </c>
      <c r="AR712" s="149">
        <v>0</v>
      </c>
      <c r="AS712" s="149">
        <v>0</v>
      </c>
      <c r="AT712" s="149">
        <v>0</v>
      </c>
      <c r="AU712" s="149">
        <v>0</v>
      </c>
      <c r="AV712" s="149">
        <v>6</v>
      </c>
      <c r="AW712" s="149">
        <v>4</v>
      </c>
      <c r="AX712" s="149">
        <v>0</v>
      </c>
      <c r="AY712" s="149">
        <v>0</v>
      </c>
      <c r="AZ712" s="149">
        <v>0</v>
      </c>
      <c r="BA712" s="149">
        <v>0</v>
      </c>
      <c r="BB712" s="149">
        <v>0</v>
      </c>
      <c r="BC712" s="149">
        <v>0</v>
      </c>
      <c r="BD712" s="149">
        <v>0</v>
      </c>
      <c r="BE712" s="149">
        <v>0</v>
      </c>
      <c r="BF712" s="149">
        <v>0</v>
      </c>
      <c r="BG712" s="149">
        <v>0</v>
      </c>
      <c r="BH712" s="149">
        <v>0</v>
      </c>
      <c r="BI712" s="149">
        <v>0</v>
      </c>
      <c r="BJ712" s="149">
        <v>0</v>
      </c>
      <c r="BK712" s="149">
        <v>0</v>
      </c>
      <c r="BL712" s="149">
        <v>0</v>
      </c>
      <c r="BM712" s="149">
        <v>0</v>
      </c>
      <c r="BN712" s="149">
        <v>0</v>
      </c>
      <c r="BO712" s="149">
        <v>0</v>
      </c>
      <c r="BP712" s="152"/>
      <c r="BQ712" s="152"/>
      <c r="BR712" s="154" t="s">
        <v>359</v>
      </c>
      <c r="BS712" s="136">
        <v>5</v>
      </c>
      <c r="BT712" s="267"/>
      <c r="BU712" s="267"/>
      <c r="BV712" s="267">
        <f>M712</f>
        <v>10</v>
      </c>
      <c r="BW712" s="267"/>
      <c r="BX712" s="267"/>
      <c r="BY712" s="267"/>
      <c r="BZ712" s="267"/>
      <c r="CA712" s="267"/>
      <c r="CB712" s="267"/>
      <c r="CC712" s="267"/>
      <c r="CD712" s="267"/>
      <c r="CE712" s="267"/>
      <c r="CF712" s="267"/>
      <c r="CG712" s="267"/>
      <c r="CH712" s="267"/>
      <c r="CI712" s="267"/>
      <c r="CJ712" s="267"/>
      <c r="CK712" s="267"/>
      <c r="CL712" s="267"/>
      <c r="CM712" s="267"/>
      <c r="CN712" s="101">
        <f t="shared" si="87"/>
        <v>10</v>
      </c>
      <c r="CO712" s="101">
        <f t="shared" si="88"/>
        <v>10</v>
      </c>
    </row>
    <row r="713" spans="1:93" ht="13.9" customHeight="1" x14ac:dyDescent="0.2">
      <c r="A713" s="149">
        <v>6117</v>
      </c>
      <c r="B713" s="150" t="s">
        <v>1216</v>
      </c>
      <c r="C713" s="150" t="s">
        <v>2016</v>
      </c>
      <c r="D713" s="150" t="s">
        <v>2017</v>
      </c>
      <c r="E713" s="150" t="s">
        <v>326</v>
      </c>
      <c r="F713" s="149">
        <v>523702</v>
      </c>
      <c r="G713" s="149">
        <v>175127</v>
      </c>
      <c r="H713" s="150" t="s">
        <v>179</v>
      </c>
      <c r="I713" s="151"/>
      <c r="J713" s="151"/>
      <c r="K713" s="149">
        <v>0</v>
      </c>
      <c r="L713" s="149">
        <v>1</v>
      </c>
      <c r="M713" s="149">
        <v>1</v>
      </c>
      <c r="N713" s="149">
        <v>1</v>
      </c>
      <c r="O713" s="149">
        <v>1</v>
      </c>
      <c r="P713" s="152"/>
      <c r="Q713" s="150" t="s">
        <v>2018</v>
      </c>
      <c r="R713" s="150" t="s">
        <v>349</v>
      </c>
      <c r="S713" s="151">
        <v>44637</v>
      </c>
      <c r="T713" s="151">
        <v>44691</v>
      </c>
      <c r="U713" s="152"/>
      <c r="V713" s="150" t="s">
        <v>330</v>
      </c>
      <c r="W713" s="151"/>
      <c r="X713" s="150" t="s">
        <v>331</v>
      </c>
      <c r="Y713" s="150" t="s">
        <v>350</v>
      </c>
      <c r="Z713" s="150" t="s">
        <v>334</v>
      </c>
      <c r="AA713" s="150" t="s">
        <v>32</v>
      </c>
      <c r="AB713" s="153">
        <v>3.7030000000000001E-3</v>
      </c>
      <c r="AC713" s="151"/>
      <c r="AD713" s="150"/>
      <c r="AE713" s="151"/>
      <c r="AF713" s="150" t="s">
        <v>70</v>
      </c>
      <c r="AG713" s="152" t="s">
        <v>352</v>
      </c>
      <c r="AH713" s="150" t="s">
        <v>326</v>
      </c>
      <c r="AI713" s="99"/>
      <c r="AJ713" s="149"/>
      <c r="AK713" s="102"/>
      <c r="AL713" s="149"/>
      <c r="AM713" s="102"/>
      <c r="AN713" s="149">
        <v>1</v>
      </c>
      <c r="AO713" s="149">
        <v>0</v>
      </c>
      <c r="AP713" s="149">
        <v>0</v>
      </c>
      <c r="AQ713" s="149">
        <v>0</v>
      </c>
      <c r="AR713" s="149">
        <v>0</v>
      </c>
      <c r="AS713" s="149">
        <v>0</v>
      </c>
      <c r="AT713" s="149">
        <v>0</v>
      </c>
      <c r="AU713" s="149">
        <v>1</v>
      </c>
      <c r="AV713" s="149">
        <v>0</v>
      </c>
      <c r="AW713" s="149">
        <v>0</v>
      </c>
      <c r="AX713" s="149">
        <v>0</v>
      </c>
      <c r="AY713" s="149">
        <v>0</v>
      </c>
      <c r="AZ713" s="149">
        <v>0</v>
      </c>
      <c r="BA713" s="149">
        <v>0</v>
      </c>
      <c r="BB713" s="149">
        <v>0</v>
      </c>
      <c r="BC713" s="149">
        <v>0</v>
      </c>
      <c r="BD713" s="149">
        <v>0</v>
      </c>
      <c r="BE713" s="149">
        <v>0</v>
      </c>
      <c r="BF713" s="149">
        <v>0</v>
      </c>
      <c r="BG713" s="149">
        <v>0</v>
      </c>
      <c r="BH713" s="149">
        <v>0</v>
      </c>
      <c r="BI713" s="149">
        <v>0</v>
      </c>
      <c r="BJ713" s="149">
        <v>0</v>
      </c>
      <c r="BK713" s="149">
        <v>0</v>
      </c>
      <c r="BL713" s="149">
        <v>0</v>
      </c>
      <c r="BM713" s="149">
        <v>0</v>
      </c>
      <c r="BN713" s="149">
        <v>0</v>
      </c>
      <c r="BO713" s="149">
        <v>0</v>
      </c>
      <c r="BP713" s="152" t="s">
        <v>141</v>
      </c>
      <c r="BQ713" s="152"/>
      <c r="BR713" s="154" t="s">
        <v>141</v>
      </c>
      <c r="BS713" s="136">
        <v>15</v>
      </c>
      <c r="BT713" s="267"/>
      <c r="BU713" s="267">
        <f t="shared" ref="BU713" si="93">M713/4</f>
        <v>0.25</v>
      </c>
      <c r="BV713" s="267">
        <f t="shared" ref="BV713" si="94">M713/4</f>
        <v>0.25</v>
      </c>
      <c r="BW713" s="267">
        <f t="shared" ref="BW713" si="95">M713/4</f>
        <v>0.25</v>
      </c>
      <c r="BX713" s="267">
        <f t="shared" ref="BX713" si="96">M713/4</f>
        <v>0.25</v>
      </c>
      <c r="BY713" s="267"/>
      <c r="BZ713" s="267"/>
      <c r="CA713" s="267"/>
      <c r="CB713" s="267"/>
      <c r="CC713" s="267"/>
      <c r="CD713" s="267"/>
      <c r="CE713" s="267"/>
      <c r="CF713" s="267"/>
      <c r="CG713" s="267"/>
      <c r="CH713" s="267"/>
      <c r="CI713" s="267"/>
      <c r="CJ713" s="267"/>
      <c r="CK713" s="267"/>
      <c r="CL713" s="267"/>
      <c r="CM713" s="267"/>
      <c r="CN713" s="101">
        <f t="shared" ref="CN713:CN769" si="97">SUM(BU713:BY713)</f>
        <v>1</v>
      </c>
      <c r="CO713" s="101">
        <f t="shared" ref="CO713:CO769" si="98">SUM(BU713:CD713)</f>
        <v>1</v>
      </c>
    </row>
    <row r="714" spans="1:93" ht="13.9" customHeight="1" x14ac:dyDescent="0.2">
      <c r="A714" s="149">
        <v>3980</v>
      </c>
      <c r="B714" s="150" t="s">
        <v>1216</v>
      </c>
      <c r="C714" s="150" t="s">
        <v>2019</v>
      </c>
      <c r="D714" s="150" t="s">
        <v>2020</v>
      </c>
      <c r="E714" s="150" t="s">
        <v>2021</v>
      </c>
      <c r="F714" s="149">
        <v>526592</v>
      </c>
      <c r="G714" s="149">
        <v>175883</v>
      </c>
      <c r="H714" s="150" t="s">
        <v>170</v>
      </c>
      <c r="I714" s="151">
        <v>45382</v>
      </c>
      <c r="J714" s="151"/>
      <c r="K714" s="149">
        <v>0</v>
      </c>
      <c r="L714" s="149">
        <v>64</v>
      </c>
      <c r="M714" s="149">
        <v>64</v>
      </c>
      <c r="N714" s="149">
        <v>177</v>
      </c>
      <c r="O714" s="149">
        <v>177</v>
      </c>
      <c r="P714" s="152" t="s">
        <v>327</v>
      </c>
      <c r="Q714" s="150" t="s">
        <v>2022</v>
      </c>
      <c r="R714" s="150" t="s">
        <v>381</v>
      </c>
      <c r="S714" s="151">
        <v>44582</v>
      </c>
      <c r="T714" s="151">
        <v>44754</v>
      </c>
      <c r="U714" s="152"/>
      <c r="V714" s="150" t="s">
        <v>330</v>
      </c>
      <c r="W714" s="151"/>
      <c r="X714" s="150" t="s">
        <v>331</v>
      </c>
      <c r="Y714" s="150" t="s">
        <v>343</v>
      </c>
      <c r="Z714" s="150" t="s">
        <v>343</v>
      </c>
      <c r="AA714" s="150" t="s">
        <v>334</v>
      </c>
      <c r="AB714" s="153">
        <v>8.5000000000000006E-2</v>
      </c>
      <c r="AC714" s="151"/>
      <c r="AD714" s="150"/>
      <c r="AE714" s="151"/>
      <c r="AF714" s="150" t="s">
        <v>48</v>
      </c>
      <c r="AG714" s="152" t="s">
        <v>544</v>
      </c>
      <c r="AH714" s="150" t="s">
        <v>2023</v>
      </c>
      <c r="AI714" s="99"/>
      <c r="AJ714" s="149"/>
      <c r="AK714" s="99"/>
      <c r="AL714" s="149"/>
      <c r="AM714" s="99"/>
      <c r="AN714" s="149">
        <v>0</v>
      </c>
      <c r="AO714" s="149">
        <v>32</v>
      </c>
      <c r="AP714" s="149">
        <v>32</v>
      </c>
      <c r="AQ714" s="149">
        <v>0</v>
      </c>
      <c r="AR714" s="149">
        <v>0</v>
      </c>
      <c r="AS714" s="149">
        <v>0</v>
      </c>
      <c r="AT714" s="149">
        <v>0</v>
      </c>
      <c r="AU714" s="149">
        <v>0</v>
      </c>
      <c r="AV714" s="149">
        <v>32</v>
      </c>
      <c r="AW714" s="149">
        <v>32</v>
      </c>
      <c r="AX714" s="149">
        <v>0</v>
      </c>
      <c r="AY714" s="149">
        <v>0</v>
      </c>
      <c r="AZ714" s="149">
        <v>0</v>
      </c>
      <c r="BA714" s="149">
        <v>0</v>
      </c>
      <c r="BB714" s="149">
        <v>0</v>
      </c>
      <c r="BC714" s="149">
        <v>0</v>
      </c>
      <c r="BD714" s="149">
        <v>0</v>
      </c>
      <c r="BE714" s="149">
        <v>0</v>
      </c>
      <c r="BF714" s="149">
        <v>0</v>
      </c>
      <c r="BG714" s="149">
        <v>0</v>
      </c>
      <c r="BH714" s="149">
        <v>0</v>
      </c>
      <c r="BI714" s="149">
        <v>0</v>
      </c>
      <c r="BJ714" s="149">
        <v>0</v>
      </c>
      <c r="BK714" s="149">
        <v>0</v>
      </c>
      <c r="BL714" s="149">
        <v>0</v>
      </c>
      <c r="BM714" s="149">
        <v>0</v>
      </c>
      <c r="BN714" s="149">
        <v>0</v>
      </c>
      <c r="BO714" s="149">
        <v>0</v>
      </c>
      <c r="BP714" s="152"/>
      <c r="BQ714" s="152"/>
      <c r="BR714" s="154" t="s">
        <v>148</v>
      </c>
      <c r="BS714" s="136">
        <v>10</v>
      </c>
      <c r="BT714" s="267"/>
      <c r="BU714" s="267"/>
      <c r="BV714" s="267"/>
      <c r="BW714" s="267"/>
      <c r="BX714" s="267">
        <f>M714/3</f>
        <v>21.333333333333332</v>
      </c>
      <c r="BY714" s="267">
        <f>M714/3</f>
        <v>21.333333333333332</v>
      </c>
      <c r="BZ714" s="267">
        <f>M714/3</f>
        <v>21.333333333333332</v>
      </c>
      <c r="CA714" s="267"/>
      <c r="CB714" s="267"/>
      <c r="CC714" s="267"/>
      <c r="CD714" s="267"/>
      <c r="CE714" s="267"/>
      <c r="CF714" s="267"/>
      <c r="CG714" s="267"/>
      <c r="CH714" s="267"/>
      <c r="CI714" s="267"/>
      <c r="CJ714" s="267"/>
      <c r="CK714" s="267"/>
      <c r="CL714" s="267"/>
      <c r="CM714" s="267"/>
      <c r="CN714" s="101">
        <f t="shared" si="97"/>
        <v>42.666666666666664</v>
      </c>
      <c r="CO714" s="101">
        <f t="shared" si="98"/>
        <v>64</v>
      </c>
    </row>
    <row r="715" spans="1:93" ht="13.9" customHeight="1" x14ac:dyDescent="0.2">
      <c r="A715" s="149">
        <v>3980</v>
      </c>
      <c r="B715" s="150" t="s">
        <v>1216</v>
      </c>
      <c r="C715" s="150" t="s">
        <v>2019</v>
      </c>
      <c r="D715" s="150" t="s">
        <v>2020</v>
      </c>
      <c r="E715" s="150" t="s">
        <v>2024</v>
      </c>
      <c r="F715" s="149">
        <v>526592</v>
      </c>
      <c r="G715" s="149">
        <v>175883</v>
      </c>
      <c r="H715" s="150" t="s">
        <v>170</v>
      </c>
      <c r="I715" s="151">
        <v>45382</v>
      </c>
      <c r="J715" s="151"/>
      <c r="K715" s="149">
        <v>0</v>
      </c>
      <c r="L715" s="149">
        <v>113</v>
      </c>
      <c r="M715" s="149">
        <v>113</v>
      </c>
      <c r="N715" s="149">
        <v>177</v>
      </c>
      <c r="O715" s="149">
        <v>177</v>
      </c>
      <c r="P715" s="152" t="s">
        <v>327</v>
      </c>
      <c r="Q715" s="150" t="s">
        <v>2022</v>
      </c>
      <c r="R715" s="150" t="s">
        <v>381</v>
      </c>
      <c r="S715" s="151">
        <v>44582</v>
      </c>
      <c r="T715" s="151">
        <v>44754</v>
      </c>
      <c r="U715" s="152"/>
      <c r="V715" s="150" t="s">
        <v>330</v>
      </c>
      <c r="W715" s="151"/>
      <c r="X715" s="150" t="s">
        <v>331</v>
      </c>
      <c r="Y715" s="150" t="s">
        <v>343</v>
      </c>
      <c r="Z715" s="150" t="s">
        <v>343</v>
      </c>
      <c r="AA715" s="150" t="s">
        <v>334</v>
      </c>
      <c r="AB715" s="153">
        <v>0.17299999999999999</v>
      </c>
      <c r="AC715" s="151"/>
      <c r="AD715" s="150"/>
      <c r="AE715" s="151"/>
      <c r="AF715" s="150" t="s">
        <v>70</v>
      </c>
      <c r="AG715" s="152" t="s">
        <v>352</v>
      </c>
      <c r="AH715" s="150" t="s">
        <v>2023</v>
      </c>
      <c r="AI715" s="99"/>
      <c r="AJ715" s="149"/>
      <c r="AK715" s="99"/>
      <c r="AL715" s="149"/>
      <c r="AM715" s="99"/>
      <c r="AN715" s="149">
        <v>0</v>
      </c>
      <c r="AO715" s="149">
        <v>50</v>
      </c>
      <c r="AP715" s="149">
        <v>54</v>
      </c>
      <c r="AQ715" s="149">
        <v>9</v>
      </c>
      <c r="AR715" s="149">
        <v>0</v>
      </c>
      <c r="AS715" s="149">
        <v>0</v>
      </c>
      <c r="AT715" s="149">
        <v>0</v>
      </c>
      <c r="AU715" s="149">
        <v>0</v>
      </c>
      <c r="AV715" s="149">
        <v>50</v>
      </c>
      <c r="AW715" s="149">
        <v>54</v>
      </c>
      <c r="AX715" s="149">
        <v>9</v>
      </c>
      <c r="AY715" s="149">
        <v>0</v>
      </c>
      <c r="AZ715" s="149">
        <v>0</v>
      </c>
      <c r="BA715" s="149">
        <v>0</v>
      </c>
      <c r="BB715" s="149">
        <v>0</v>
      </c>
      <c r="BC715" s="149">
        <v>0</v>
      </c>
      <c r="BD715" s="149">
        <v>0</v>
      </c>
      <c r="BE715" s="149">
        <v>0</v>
      </c>
      <c r="BF715" s="149">
        <v>0</v>
      </c>
      <c r="BG715" s="149">
        <v>0</v>
      </c>
      <c r="BH715" s="149">
        <v>0</v>
      </c>
      <c r="BI715" s="149">
        <v>0</v>
      </c>
      <c r="BJ715" s="149">
        <v>0</v>
      </c>
      <c r="BK715" s="149">
        <v>0</v>
      </c>
      <c r="BL715" s="149">
        <v>0</v>
      </c>
      <c r="BM715" s="149">
        <v>0</v>
      </c>
      <c r="BN715" s="149">
        <v>0</v>
      </c>
      <c r="BO715" s="149">
        <v>0</v>
      </c>
      <c r="BP715" s="152"/>
      <c r="BQ715" s="152"/>
      <c r="BR715" s="154" t="s">
        <v>148</v>
      </c>
      <c r="BS715" s="136">
        <v>10</v>
      </c>
      <c r="BT715" s="267"/>
      <c r="BU715" s="267"/>
      <c r="BV715" s="267"/>
      <c r="BW715" s="267"/>
      <c r="BX715" s="267">
        <f>M715/3</f>
        <v>37.666666666666664</v>
      </c>
      <c r="BY715" s="267">
        <f>M715/3</f>
        <v>37.666666666666664</v>
      </c>
      <c r="BZ715" s="267">
        <f>M715/3</f>
        <v>37.666666666666664</v>
      </c>
      <c r="CA715" s="267"/>
      <c r="CB715" s="267"/>
      <c r="CC715" s="267"/>
      <c r="CD715" s="267"/>
      <c r="CE715" s="267"/>
      <c r="CF715" s="267"/>
      <c r="CG715" s="267"/>
      <c r="CH715" s="267"/>
      <c r="CI715" s="267"/>
      <c r="CJ715" s="267"/>
      <c r="CK715" s="267"/>
      <c r="CL715" s="267"/>
      <c r="CM715" s="267"/>
      <c r="CN715" s="101">
        <f t="shared" si="97"/>
        <v>75.333333333333329</v>
      </c>
      <c r="CO715" s="101">
        <f t="shared" si="98"/>
        <v>113</v>
      </c>
    </row>
    <row r="716" spans="1:93" ht="13.9" customHeight="1" x14ac:dyDescent="0.2">
      <c r="A716" s="149">
        <v>7786</v>
      </c>
      <c r="B716" s="150" t="s">
        <v>1216</v>
      </c>
      <c r="C716" s="150" t="s">
        <v>2025</v>
      </c>
      <c r="D716" s="150" t="s">
        <v>2026</v>
      </c>
      <c r="E716" s="150" t="s">
        <v>326</v>
      </c>
      <c r="F716" s="149">
        <v>527853</v>
      </c>
      <c r="G716" s="149">
        <v>171000</v>
      </c>
      <c r="H716" s="150" t="s">
        <v>173</v>
      </c>
      <c r="I716" s="151"/>
      <c r="J716" s="151"/>
      <c r="K716" s="149">
        <v>2</v>
      </c>
      <c r="L716" s="149">
        <v>7</v>
      </c>
      <c r="M716" s="149">
        <v>5</v>
      </c>
      <c r="N716" s="149">
        <v>7</v>
      </c>
      <c r="O716" s="149">
        <v>5</v>
      </c>
      <c r="P716" s="152"/>
      <c r="Q716" s="150" t="s">
        <v>2027</v>
      </c>
      <c r="R716" s="150" t="s">
        <v>349</v>
      </c>
      <c r="S716" s="151">
        <v>44613</v>
      </c>
      <c r="T716" s="151">
        <v>44889</v>
      </c>
      <c r="U716" s="152"/>
      <c r="V716" s="150" t="s">
        <v>330</v>
      </c>
      <c r="W716" s="151"/>
      <c r="X716" s="150" t="s">
        <v>331</v>
      </c>
      <c r="Y716" s="150" t="s">
        <v>398</v>
      </c>
      <c r="Z716" s="150" t="s">
        <v>334</v>
      </c>
      <c r="AA716" s="150" t="s">
        <v>26</v>
      </c>
      <c r="AB716" s="153">
        <v>1.6566669999999999E-2</v>
      </c>
      <c r="AC716" s="151"/>
      <c r="AD716" s="150"/>
      <c r="AE716" s="151"/>
      <c r="AF716" s="150" t="s">
        <v>70</v>
      </c>
      <c r="AG716" s="152" t="s">
        <v>337</v>
      </c>
      <c r="AH716" s="150" t="s">
        <v>326</v>
      </c>
      <c r="AI716" s="99"/>
      <c r="AJ716" s="149"/>
      <c r="AK716" s="99"/>
      <c r="AL716" s="149"/>
      <c r="AM716" s="99"/>
      <c r="AN716" s="149">
        <v>1</v>
      </c>
      <c r="AO716" s="149">
        <v>3</v>
      </c>
      <c r="AP716" s="149">
        <v>3</v>
      </c>
      <c r="AQ716" s="149">
        <v>0</v>
      </c>
      <c r="AR716" s="149">
        <v>-2</v>
      </c>
      <c r="AS716" s="149">
        <v>0</v>
      </c>
      <c r="AT716" s="149">
        <v>0</v>
      </c>
      <c r="AU716" s="149">
        <v>1</v>
      </c>
      <c r="AV716" s="149">
        <v>3</v>
      </c>
      <c r="AW716" s="149">
        <v>3</v>
      </c>
      <c r="AX716" s="149">
        <v>0</v>
      </c>
      <c r="AY716" s="149">
        <v>-2</v>
      </c>
      <c r="AZ716" s="149">
        <v>0</v>
      </c>
      <c r="BA716" s="149">
        <v>0</v>
      </c>
      <c r="BB716" s="149">
        <v>0</v>
      </c>
      <c r="BC716" s="149">
        <v>0</v>
      </c>
      <c r="BD716" s="149">
        <v>0</v>
      </c>
      <c r="BE716" s="149">
        <v>0</v>
      </c>
      <c r="BF716" s="149">
        <v>0</v>
      </c>
      <c r="BG716" s="149">
        <v>0</v>
      </c>
      <c r="BH716" s="149">
        <v>0</v>
      </c>
      <c r="BI716" s="149">
        <v>0</v>
      </c>
      <c r="BJ716" s="149">
        <v>0</v>
      </c>
      <c r="BK716" s="149">
        <v>0</v>
      </c>
      <c r="BL716" s="149">
        <v>0</v>
      </c>
      <c r="BM716" s="149">
        <v>0</v>
      </c>
      <c r="BN716" s="149">
        <v>0</v>
      </c>
      <c r="BO716" s="149">
        <v>0</v>
      </c>
      <c r="BP716" s="152"/>
      <c r="BQ716" s="152"/>
      <c r="BR716" s="154" t="s">
        <v>142</v>
      </c>
      <c r="BS716" s="136">
        <v>18</v>
      </c>
      <c r="BT716" s="267"/>
      <c r="BU716" s="267">
        <f t="shared" ref="BU716:BU727" si="99">M716/4</f>
        <v>1.25</v>
      </c>
      <c r="BV716" s="267">
        <f t="shared" ref="BV716:BV762" si="100">M716/4</f>
        <v>1.25</v>
      </c>
      <c r="BW716" s="267">
        <f t="shared" ref="BW716:BW762" si="101">M716/4</f>
        <v>1.25</v>
      </c>
      <c r="BX716" s="267">
        <f t="shared" ref="BX716:BX762" si="102">M716/4</f>
        <v>1.25</v>
      </c>
      <c r="BY716" s="267"/>
      <c r="BZ716" s="267"/>
      <c r="CA716" s="267"/>
      <c r="CB716" s="267"/>
      <c r="CC716" s="267"/>
      <c r="CD716" s="267"/>
      <c r="CE716" s="267"/>
      <c r="CF716" s="267"/>
      <c r="CG716" s="267"/>
      <c r="CH716" s="267"/>
      <c r="CI716" s="267"/>
      <c r="CJ716" s="267"/>
      <c r="CK716" s="267"/>
      <c r="CL716" s="267"/>
      <c r="CM716" s="267"/>
      <c r="CN716" s="101">
        <f t="shared" si="97"/>
        <v>5</v>
      </c>
      <c r="CO716" s="101">
        <f t="shared" si="98"/>
        <v>5</v>
      </c>
    </row>
    <row r="717" spans="1:93" ht="13.9" customHeight="1" x14ac:dyDescent="0.2">
      <c r="A717" s="149">
        <v>7765</v>
      </c>
      <c r="B717" s="150" t="s">
        <v>1216</v>
      </c>
      <c r="C717" s="150" t="s">
        <v>2028</v>
      </c>
      <c r="D717" s="150" t="s">
        <v>2029</v>
      </c>
      <c r="E717" s="150" t="s">
        <v>326</v>
      </c>
      <c r="F717" s="149">
        <v>522152</v>
      </c>
      <c r="G717" s="149">
        <v>175463</v>
      </c>
      <c r="H717" s="150" t="s">
        <v>166</v>
      </c>
      <c r="I717" s="151"/>
      <c r="J717" s="151"/>
      <c r="K717" s="149">
        <v>0</v>
      </c>
      <c r="L717" s="149">
        <v>1</v>
      </c>
      <c r="M717" s="149">
        <v>1</v>
      </c>
      <c r="N717" s="149">
        <v>1</v>
      </c>
      <c r="O717" s="149">
        <v>1</v>
      </c>
      <c r="P717" s="152"/>
      <c r="Q717" s="150" t="s">
        <v>2030</v>
      </c>
      <c r="R717" s="150" t="s">
        <v>329</v>
      </c>
      <c r="S717" s="151">
        <v>44615</v>
      </c>
      <c r="T717" s="151">
        <v>44894</v>
      </c>
      <c r="U717" s="152"/>
      <c r="V717" s="150" t="s">
        <v>330</v>
      </c>
      <c r="W717" s="151"/>
      <c r="X717" s="150" t="s">
        <v>331</v>
      </c>
      <c r="Y717" s="150" t="s">
        <v>350</v>
      </c>
      <c r="Z717" s="150" t="s">
        <v>334</v>
      </c>
      <c r="AA717" s="150" t="s">
        <v>18</v>
      </c>
      <c r="AB717" s="153">
        <v>7.6400000000000001E-3</v>
      </c>
      <c r="AC717" s="151"/>
      <c r="AD717" s="150"/>
      <c r="AE717" s="151"/>
      <c r="AF717" s="150" t="s">
        <v>70</v>
      </c>
      <c r="AG717" s="152" t="s">
        <v>352</v>
      </c>
      <c r="AH717" s="150" t="s">
        <v>326</v>
      </c>
      <c r="AI717" s="99"/>
      <c r="AJ717" s="149"/>
      <c r="AK717" s="99"/>
      <c r="AL717" s="149"/>
      <c r="AM717" s="99"/>
      <c r="AN717" s="149">
        <v>0</v>
      </c>
      <c r="AO717" s="149">
        <v>0</v>
      </c>
      <c r="AP717" s="149">
        <v>0</v>
      </c>
      <c r="AQ717" s="149">
        <v>0</v>
      </c>
      <c r="AR717" s="149">
        <v>0</v>
      </c>
      <c r="AS717" s="149">
        <v>1</v>
      </c>
      <c r="AT717" s="149">
        <v>0</v>
      </c>
      <c r="AU717" s="149">
        <v>0</v>
      </c>
      <c r="AV717" s="149">
        <v>0</v>
      </c>
      <c r="AW717" s="149">
        <v>0</v>
      </c>
      <c r="AX717" s="149">
        <v>0</v>
      </c>
      <c r="AY717" s="149">
        <v>0</v>
      </c>
      <c r="AZ717" s="149">
        <v>0</v>
      </c>
      <c r="BA717" s="149">
        <v>0</v>
      </c>
      <c r="BB717" s="149">
        <v>0</v>
      </c>
      <c r="BC717" s="149">
        <v>0</v>
      </c>
      <c r="BD717" s="149">
        <v>0</v>
      </c>
      <c r="BE717" s="149">
        <v>0</v>
      </c>
      <c r="BF717" s="149">
        <v>0</v>
      </c>
      <c r="BG717" s="149">
        <v>1</v>
      </c>
      <c r="BH717" s="149">
        <v>0</v>
      </c>
      <c r="BI717" s="149">
        <v>0</v>
      </c>
      <c r="BJ717" s="149">
        <v>0</v>
      </c>
      <c r="BK717" s="149">
        <v>0</v>
      </c>
      <c r="BL717" s="149">
        <v>0</v>
      </c>
      <c r="BM717" s="149">
        <v>0</v>
      </c>
      <c r="BN717" s="149">
        <v>0</v>
      </c>
      <c r="BO717" s="149">
        <v>0</v>
      </c>
      <c r="BP717" s="152"/>
      <c r="BQ717" s="152"/>
      <c r="BR717" s="154" t="s">
        <v>359</v>
      </c>
      <c r="BS717" s="136">
        <v>15</v>
      </c>
      <c r="BT717" s="267"/>
      <c r="BU717" s="267">
        <f t="shared" si="99"/>
        <v>0.25</v>
      </c>
      <c r="BV717" s="267">
        <f t="shared" si="100"/>
        <v>0.25</v>
      </c>
      <c r="BW717" s="267">
        <f t="shared" si="101"/>
        <v>0.25</v>
      </c>
      <c r="BX717" s="267">
        <f t="shared" si="102"/>
        <v>0.25</v>
      </c>
      <c r="BY717" s="267"/>
      <c r="BZ717" s="267"/>
      <c r="CA717" s="267"/>
      <c r="CB717" s="267"/>
      <c r="CC717" s="267"/>
      <c r="CD717" s="267"/>
      <c r="CE717" s="267"/>
      <c r="CF717" s="267"/>
      <c r="CG717" s="267"/>
      <c r="CH717" s="267"/>
      <c r="CI717" s="267"/>
      <c r="CJ717" s="267"/>
      <c r="CK717" s="267"/>
      <c r="CL717" s="267"/>
      <c r="CM717" s="267"/>
      <c r="CN717" s="101">
        <f t="shared" si="97"/>
        <v>1</v>
      </c>
      <c r="CO717" s="101">
        <f t="shared" si="98"/>
        <v>1</v>
      </c>
    </row>
    <row r="718" spans="1:93" ht="13.9" customHeight="1" x14ac:dyDescent="0.2">
      <c r="A718" s="149">
        <v>7766</v>
      </c>
      <c r="B718" s="150" t="s">
        <v>1216</v>
      </c>
      <c r="C718" s="150" t="s">
        <v>2031</v>
      </c>
      <c r="D718" s="150" t="s">
        <v>2032</v>
      </c>
      <c r="E718" s="150" t="s">
        <v>326</v>
      </c>
      <c r="F718" s="149">
        <v>522160</v>
      </c>
      <c r="G718" s="149">
        <v>175461</v>
      </c>
      <c r="H718" s="150" t="s">
        <v>166</v>
      </c>
      <c r="I718" s="151"/>
      <c r="J718" s="151"/>
      <c r="K718" s="149">
        <v>0</v>
      </c>
      <c r="L718" s="149">
        <v>1</v>
      </c>
      <c r="M718" s="149">
        <v>1</v>
      </c>
      <c r="N718" s="149">
        <v>1</v>
      </c>
      <c r="O718" s="149">
        <v>1</v>
      </c>
      <c r="P718" s="152"/>
      <c r="Q718" s="150" t="s">
        <v>2033</v>
      </c>
      <c r="R718" s="150" t="s">
        <v>329</v>
      </c>
      <c r="S718" s="151">
        <v>44615</v>
      </c>
      <c r="T718" s="151">
        <v>44894</v>
      </c>
      <c r="U718" s="152"/>
      <c r="V718" s="150" t="s">
        <v>330</v>
      </c>
      <c r="W718" s="151"/>
      <c r="X718" s="150" t="s">
        <v>331</v>
      </c>
      <c r="Y718" s="150" t="s">
        <v>350</v>
      </c>
      <c r="Z718" s="150" t="s">
        <v>334</v>
      </c>
      <c r="AA718" s="150" t="s">
        <v>18</v>
      </c>
      <c r="AB718" s="153">
        <v>8.0000000000000002E-3</v>
      </c>
      <c r="AC718" s="151"/>
      <c r="AD718" s="150"/>
      <c r="AE718" s="151"/>
      <c r="AF718" s="150" t="s">
        <v>70</v>
      </c>
      <c r="AG718" s="152" t="s">
        <v>352</v>
      </c>
      <c r="AH718" s="150" t="s">
        <v>326</v>
      </c>
      <c r="AI718" s="99"/>
      <c r="AJ718" s="149"/>
      <c r="AK718" s="99"/>
      <c r="AL718" s="149"/>
      <c r="AM718" s="99"/>
      <c r="AN718" s="149">
        <v>0</v>
      </c>
      <c r="AO718" s="149">
        <v>0</v>
      </c>
      <c r="AP718" s="149">
        <v>0</v>
      </c>
      <c r="AQ718" s="149">
        <v>0</v>
      </c>
      <c r="AR718" s="149">
        <v>0</v>
      </c>
      <c r="AS718" s="149">
        <v>1</v>
      </c>
      <c r="AT718" s="149">
        <v>0</v>
      </c>
      <c r="AU718" s="149">
        <v>0</v>
      </c>
      <c r="AV718" s="149">
        <v>0</v>
      </c>
      <c r="AW718" s="149">
        <v>0</v>
      </c>
      <c r="AX718" s="149">
        <v>0</v>
      </c>
      <c r="AY718" s="149">
        <v>0</v>
      </c>
      <c r="AZ718" s="149">
        <v>0</v>
      </c>
      <c r="BA718" s="149">
        <v>0</v>
      </c>
      <c r="BB718" s="149">
        <v>0</v>
      </c>
      <c r="BC718" s="149">
        <v>0</v>
      </c>
      <c r="BD718" s="149">
        <v>0</v>
      </c>
      <c r="BE718" s="149">
        <v>0</v>
      </c>
      <c r="BF718" s="149">
        <v>0</v>
      </c>
      <c r="BG718" s="149">
        <v>1</v>
      </c>
      <c r="BH718" s="149">
        <v>0</v>
      </c>
      <c r="BI718" s="149">
        <v>0</v>
      </c>
      <c r="BJ718" s="149">
        <v>0</v>
      </c>
      <c r="BK718" s="149">
        <v>0</v>
      </c>
      <c r="BL718" s="149">
        <v>0</v>
      </c>
      <c r="BM718" s="149">
        <v>0</v>
      </c>
      <c r="BN718" s="149">
        <v>0</v>
      </c>
      <c r="BO718" s="149">
        <v>0</v>
      </c>
      <c r="BP718" s="152"/>
      <c r="BQ718" s="152"/>
      <c r="BR718" s="154" t="s">
        <v>359</v>
      </c>
      <c r="BS718" s="136">
        <v>15</v>
      </c>
      <c r="BT718" s="267"/>
      <c r="BU718" s="267">
        <f t="shared" si="99"/>
        <v>0.25</v>
      </c>
      <c r="BV718" s="267">
        <f t="shared" si="100"/>
        <v>0.25</v>
      </c>
      <c r="BW718" s="267">
        <f t="shared" si="101"/>
        <v>0.25</v>
      </c>
      <c r="BX718" s="267">
        <f t="shared" si="102"/>
        <v>0.25</v>
      </c>
      <c r="BY718" s="267"/>
      <c r="BZ718" s="267"/>
      <c r="CA718" s="267"/>
      <c r="CB718" s="267"/>
      <c r="CC718" s="267"/>
      <c r="CD718" s="267"/>
      <c r="CE718" s="267"/>
      <c r="CF718" s="267"/>
      <c r="CG718" s="267"/>
      <c r="CH718" s="267"/>
      <c r="CI718" s="267"/>
      <c r="CJ718" s="267"/>
      <c r="CK718" s="267"/>
      <c r="CL718" s="267"/>
      <c r="CM718" s="267"/>
      <c r="CN718" s="101">
        <f t="shared" si="97"/>
        <v>1</v>
      </c>
      <c r="CO718" s="101">
        <f t="shared" si="98"/>
        <v>1</v>
      </c>
    </row>
    <row r="719" spans="1:93" ht="13.9" customHeight="1" x14ac:dyDescent="0.2">
      <c r="A719" s="149">
        <v>4419</v>
      </c>
      <c r="B719" s="150" t="s">
        <v>1216</v>
      </c>
      <c r="C719" s="150" t="s">
        <v>2034</v>
      </c>
      <c r="D719" s="150" t="s">
        <v>2035</v>
      </c>
      <c r="E719" s="150" t="s">
        <v>326</v>
      </c>
      <c r="F719" s="149">
        <v>523893</v>
      </c>
      <c r="G719" s="149">
        <v>175089</v>
      </c>
      <c r="H719" s="150" t="s">
        <v>179</v>
      </c>
      <c r="I719" s="151"/>
      <c r="J719" s="151"/>
      <c r="K719" s="149">
        <v>0</v>
      </c>
      <c r="L719" s="149">
        <v>15</v>
      </c>
      <c r="M719" s="149">
        <v>15</v>
      </c>
      <c r="N719" s="149">
        <v>15</v>
      </c>
      <c r="O719" s="149">
        <v>15</v>
      </c>
      <c r="P719" s="152" t="s">
        <v>327</v>
      </c>
      <c r="Q719" s="150" t="s">
        <v>2036</v>
      </c>
      <c r="R719" s="150" t="s">
        <v>329</v>
      </c>
      <c r="S719" s="151">
        <v>44621</v>
      </c>
      <c r="T719" s="151">
        <v>44944</v>
      </c>
      <c r="U719" s="152"/>
      <c r="V719" s="150" t="s">
        <v>330</v>
      </c>
      <c r="W719" s="151"/>
      <c r="X719" s="150" t="s">
        <v>331</v>
      </c>
      <c r="Y719" s="150" t="s">
        <v>350</v>
      </c>
      <c r="Z719" s="150" t="s">
        <v>333</v>
      </c>
      <c r="AA719" s="150" t="s">
        <v>334</v>
      </c>
      <c r="AB719" s="153">
        <v>1.8259999999999998E-2</v>
      </c>
      <c r="AC719" s="151"/>
      <c r="AD719" s="150"/>
      <c r="AE719" s="151"/>
      <c r="AF719" s="150" t="s">
        <v>70</v>
      </c>
      <c r="AG719" s="152" t="s">
        <v>352</v>
      </c>
      <c r="AH719" s="150" t="s">
        <v>326</v>
      </c>
      <c r="AI719" s="99"/>
      <c r="AJ719" s="149"/>
      <c r="AK719" s="99"/>
      <c r="AL719" s="149"/>
      <c r="AM719" s="99"/>
      <c r="AN719" s="149">
        <v>0</v>
      </c>
      <c r="AO719" s="149">
        <v>9</v>
      </c>
      <c r="AP719" s="149">
        <v>6</v>
      </c>
      <c r="AQ719" s="149">
        <v>0</v>
      </c>
      <c r="AR719" s="149">
        <v>0</v>
      </c>
      <c r="AS719" s="149">
        <v>0</v>
      </c>
      <c r="AT719" s="149">
        <v>0</v>
      </c>
      <c r="AU719" s="149">
        <v>0</v>
      </c>
      <c r="AV719" s="149">
        <v>9</v>
      </c>
      <c r="AW719" s="149">
        <v>6</v>
      </c>
      <c r="AX719" s="149">
        <v>0</v>
      </c>
      <c r="AY719" s="149">
        <v>0</v>
      </c>
      <c r="AZ719" s="149">
        <v>0</v>
      </c>
      <c r="BA719" s="149">
        <v>0</v>
      </c>
      <c r="BB719" s="149">
        <v>0</v>
      </c>
      <c r="BC719" s="149">
        <v>0</v>
      </c>
      <c r="BD719" s="149">
        <v>0</v>
      </c>
      <c r="BE719" s="149">
        <v>0</v>
      </c>
      <c r="BF719" s="149">
        <v>0</v>
      </c>
      <c r="BG719" s="149">
        <v>0</v>
      </c>
      <c r="BH719" s="149">
        <v>0</v>
      </c>
      <c r="BI719" s="149">
        <v>0</v>
      </c>
      <c r="BJ719" s="149">
        <v>0</v>
      </c>
      <c r="BK719" s="149">
        <v>0</v>
      </c>
      <c r="BL719" s="149">
        <v>0</v>
      </c>
      <c r="BM719" s="149">
        <v>0</v>
      </c>
      <c r="BN719" s="149">
        <v>0</v>
      </c>
      <c r="BO719" s="149">
        <v>0</v>
      </c>
      <c r="BP719" s="152" t="s">
        <v>141</v>
      </c>
      <c r="BQ719" s="152"/>
      <c r="BR719" s="154" t="s">
        <v>141</v>
      </c>
      <c r="BS719" s="136">
        <v>18</v>
      </c>
      <c r="BT719" s="267"/>
      <c r="BU719" s="267">
        <f t="shared" si="99"/>
        <v>3.75</v>
      </c>
      <c r="BV719" s="267">
        <f t="shared" si="100"/>
        <v>3.75</v>
      </c>
      <c r="BW719" s="267">
        <f t="shared" si="101"/>
        <v>3.75</v>
      </c>
      <c r="BX719" s="267">
        <f t="shared" si="102"/>
        <v>3.75</v>
      </c>
      <c r="BY719" s="267"/>
      <c r="BZ719" s="267"/>
      <c r="CA719" s="267"/>
      <c r="CB719" s="267"/>
      <c r="CC719" s="267"/>
      <c r="CD719" s="267"/>
      <c r="CE719" s="267"/>
      <c r="CF719" s="267"/>
      <c r="CG719" s="267"/>
      <c r="CH719" s="267"/>
      <c r="CI719" s="267"/>
      <c r="CJ719" s="267"/>
      <c r="CK719" s="267"/>
      <c r="CL719" s="267"/>
      <c r="CM719" s="267"/>
      <c r="CN719" s="101">
        <f t="shared" si="97"/>
        <v>15</v>
      </c>
      <c r="CO719" s="101">
        <f t="shared" si="98"/>
        <v>15</v>
      </c>
    </row>
    <row r="720" spans="1:93" ht="13.9" customHeight="1" x14ac:dyDescent="0.2">
      <c r="A720" s="149">
        <v>7528</v>
      </c>
      <c r="B720" s="150" t="s">
        <v>1216</v>
      </c>
      <c r="C720" s="150" t="s">
        <v>2037</v>
      </c>
      <c r="D720" s="150" t="s">
        <v>2038</v>
      </c>
      <c r="E720" s="150" t="s">
        <v>326</v>
      </c>
      <c r="F720" s="149">
        <v>527858</v>
      </c>
      <c r="G720" s="149">
        <v>176582</v>
      </c>
      <c r="H720" s="150" t="s">
        <v>160</v>
      </c>
      <c r="I720" s="151"/>
      <c r="J720" s="151"/>
      <c r="K720" s="149">
        <v>0</v>
      </c>
      <c r="L720" s="149">
        <v>1</v>
      </c>
      <c r="M720" s="149">
        <v>1</v>
      </c>
      <c r="N720" s="149">
        <v>1</v>
      </c>
      <c r="O720" s="149">
        <v>1</v>
      </c>
      <c r="P720" s="152"/>
      <c r="Q720" s="150" t="s">
        <v>2039</v>
      </c>
      <c r="R720" s="150" t="s">
        <v>349</v>
      </c>
      <c r="S720" s="151">
        <v>44621</v>
      </c>
      <c r="T720" s="151">
        <v>44792</v>
      </c>
      <c r="U720" s="152"/>
      <c r="V720" s="150" t="s">
        <v>330</v>
      </c>
      <c r="W720" s="151"/>
      <c r="X720" s="150" t="s">
        <v>331</v>
      </c>
      <c r="Y720" s="150" t="s">
        <v>350</v>
      </c>
      <c r="Z720" s="150" t="s">
        <v>334</v>
      </c>
      <c r="AA720" s="150" t="s">
        <v>26</v>
      </c>
      <c r="AB720" s="153">
        <v>5.0000000000000001E-3</v>
      </c>
      <c r="AC720" s="151"/>
      <c r="AD720" s="150"/>
      <c r="AE720" s="151"/>
      <c r="AF720" s="150" t="s">
        <v>70</v>
      </c>
      <c r="AG720" s="152" t="s">
        <v>337</v>
      </c>
      <c r="AH720" s="150" t="s">
        <v>326</v>
      </c>
      <c r="AI720" s="99"/>
      <c r="AJ720" s="149"/>
      <c r="AK720" s="99"/>
      <c r="AL720" s="149"/>
      <c r="AM720" s="99"/>
      <c r="AN720" s="149">
        <v>0</v>
      </c>
      <c r="AO720" s="149">
        <v>0</v>
      </c>
      <c r="AP720" s="149">
        <v>1</v>
      </c>
      <c r="AQ720" s="149">
        <v>0</v>
      </c>
      <c r="AR720" s="149">
        <v>0</v>
      </c>
      <c r="AS720" s="149">
        <v>0</v>
      </c>
      <c r="AT720" s="149">
        <v>0</v>
      </c>
      <c r="AU720" s="149">
        <v>0</v>
      </c>
      <c r="AV720" s="149">
        <v>0</v>
      </c>
      <c r="AW720" s="149">
        <v>1</v>
      </c>
      <c r="AX720" s="149">
        <v>0</v>
      </c>
      <c r="AY720" s="149">
        <v>0</v>
      </c>
      <c r="AZ720" s="149">
        <v>0</v>
      </c>
      <c r="BA720" s="149">
        <v>0</v>
      </c>
      <c r="BB720" s="149">
        <v>0</v>
      </c>
      <c r="BC720" s="149">
        <v>0</v>
      </c>
      <c r="BD720" s="149">
        <v>0</v>
      </c>
      <c r="BE720" s="149">
        <v>0</v>
      </c>
      <c r="BF720" s="149">
        <v>0</v>
      </c>
      <c r="BG720" s="149">
        <v>0</v>
      </c>
      <c r="BH720" s="149">
        <v>0</v>
      </c>
      <c r="BI720" s="149">
        <v>0</v>
      </c>
      <c r="BJ720" s="149">
        <v>0</v>
      </c>
      <c r="BK720" s="149">
        <v>0</v>
      </c>
      <c r="BL720" s="149">
        <v>0</v>
      </c>
      <c r="BM720" s="149">
        <v>0</v>
      </c>
      <c r="BN720" s="149">
        <v>0</v>
      </c>
      <c r="BO720" s="149">
        <v>0</v>
      </c>
      <c r="BP720" s="152"/>
      <c r="BQ720" s="152"/>
      <c r="BR720" s="154" t="s">
        <v>359</v>
      </c>
      <c r="BS720" s="136">
        <v>15</v>
      </c>
      <c r="BT720" s="267"/>
      <c r="BU720" s="267">
        <f t="shared" si="99"/>
        <v>0.25</v>
      </c>
      <c r="BV720" s="267">
        <f t="shared" si="100"/>
        <v>0.25</v>
      </c>
      <c r="BW720" s="267">
        <f t="shared" si="101"/>
        <v>0.25</v>
      </c>
      <c r="BX720" s="267">
        <f t="shared" si="102"/>
        <v>0.25</v>
      </c>
      <c r="BY720" s="267"/>
      <c r="BZ720" s="267"/>
      <c r="CA720" s="267"/>
      <c r="CB720" s="267"/>
      <c r="CC720" s="267"/>
      <c r="CD720" s="267"/>
      <c r="CE720" s="267"/>
      <c r="CF720" s="267"/>
      <c r="CG720" s="267"/>
      <c r="CH720" s="267"/>
      <c r="CI720" s="267"/>
      <c r="CJ720" s="267"/>
      <c r="CK720" s="267"/>
      <c r="CL720" s="267"/>
      <c r="CM720" s="267"/>
      <c r="CN720" s="101">
        <f t="shared" si="97"/>
        <v>1</v>
      </c>
      <c r="CO720" s="101">
        <f t="shared" si="98"/>
        <v>1</v>
      </c>
    </row>
    <row r="721" spans="1:93" ht="13.9" customHeight="1" x14ac:dyDescent="0.2">
      <c r="A721" s="149">
        <v>4243</v>
      </c>
      <c r="B721" s="150" t="s">
        <v>1216</v>
      </c>
      <c r="C721" s="150" t="s">
        <v>2040</v>
      </c>
      <c r="D721" s="150" t="s">
        <v>2041</v>
      </c>
      <c r="E721" s="150" t="s">
        <v>326</v>
      </c>
      <c r="F721" s="149">
        <v>527437</v>
      </c>
      <c r="G721" s="149">
        <v>171526</v>
      </c>
      <c r="H721" s="150" t="s">
        <v>173</v>
      </c>
      <c r="I721" s="151"/>
      <c r="J721" s="151"/>
      <c r="K721" s="149">
        <v>0</v>
      </c>
      <c r="L721" s="149">
        <v>1</v>
      </c>
      <c r="M721" s="149">
        <v>1</v>
      </c>
      <c r="N721" s="149">
        <v>1</v>
      </c>
      <c r="O721" s="149">
        <v>1</v>
      </c>
      <c r="P721" s="152"/>
      <c r="Q721" s="150" t="s">
        <v>2042</v>
      </c>
      <c r="R721" s="150" t="s">
        <v>349</v>
      </c>
      <c r="S721" s="151">
        <v>44622</v>
      </c>
      <c r="T721" s="151">
        <v>44678</v>
      </c>
      <c r="U721" s="152"/>
      <c r="V721" s="150" t="s">
        <v>330</v>
      </c>
      <c r="W721" s="151"/>
      <c r="X721" s="150" t="s">
        <v>331</v>
      </c>
      <c r="Y721" s="150" t="s">
        <v>350</v>
      </c>
      <c r="Z721" s="150" t="s">
        <v>334</v>
      </c>
      <c r="AA721" s="150" t="s">
        <v>29</v>
      </c>
      <c r="AB721" s="153">
        <v>5.0000000000000001E-3</v>
      </c>
      <c r="AC721" s="151"/>
      <c r="AD721" s="150"/>
      <c r="AE721" s="151"/>
      <c r="AF721" s="150" t="s">
        <v>70</v>
      </c>
      <c r="AG721" s="152" t="s">
        <v>352</v>
      </c>
      <c r="AH721" s="150" t="s">
        <v>326</v>
      </c>
      <c r="AI721" s="99"/>
      <c r="AJ721" s="149"/>
      <c r="AK721" s="99"/>
      <c r="AL721" s="149"/>
      <c r="AM721" s="99"/>
      <c r="AN721" s="149">
        <v>0</v>
      </c>
      <c r="AO721" s="149">
        <v>1</v>
      </c>
      <c r="AP721" s="149">
        <v>0</v>
      </c>
      <c r="AQ721" s="149">
        <v>0</v>
      </c>
      <c r="AR721" s="149">
        <v>0</v>
      </c>
      <c r="AS721" s="149">
        <v>0</v>
      </c>
      <c r="AT721" s="149">
        <v>0</v>
      </c>
      <c r="AU721" s="149">
        <v>0</v>
      </c>
      <c r="AV721" s="149">
        <v>1</v>
      </c>
      <c r="AW721" s="149">
        <v>0</v>
      </c>
      <c r="AX721" s="149">
        <v>0</v>
      </c>
      <c r="AY721" s="149">
        <v>0</v>
      </c>
      <c r="AZ721" s="149">
        <v>0</v>
      </c>
      <c r="BA721" s="149">
        <v>0</v>
      </c>
      <c r="BB721" s="149">
        <v>0</v>
      </c>
      <c r="BC721" s="149">
        <v>0</v>
      </c>
      <c r="BD721" s="149">
        <v>0</v>
      </c>
      <c r="BE721" s="149">
        <v>0</v>
      </c>
      <c r="BF721" s="149">
        <v>0</v>
      </c>
      <c r="BG721" s="149">
        <v>0</v>
      </c>
      <c r="BH721" s="149">
        <v>0</v>
      </c>
      <c r="BI721" s="149">
        <v>0</v>
      </c>
      <c r="BJ721" s="149">
        <v>0</v>
      </c>
      <c r="BK721" s="149">
        <v>0</v>
      </c>
      <c r="BL721" s="149">
        <v>0</v>
      </c>
      <c r="BM721" s="149">
        <v>0</v>
      </c>
      <c r="BN721" s="149">
        <v>0</v>
      </c>
      <c r="BO721" s="149">
        <v>0</v>
      </c>
      <c r="BP721" s="152" t="s">
        <v>142</v>
      </c>
      <c r="BQ721" s="152"/>
      <c r="BR721" s="154" t="s">
        <v>142</v>
      </c>
      <c r="BS721" s="136">
        <v>15</v>
      </c>
      <c r="BT721" s="267"/>
      <c r="BU721" s="267">
        <f t="shared" si="99"/>
        <v>0.25</v>
      </c>
      <c r="BV721" s="267">
        <f t="shared" si="100"/>
        <v>0.25</v>
      </c>
      <c r="BW721" s="267">
        <f t="shared" si="101"/>
        <v>0.25</v>
      </c>
      <c r="BX721" s="267">
        <f t="shared" si="102"/>
        <v>0.25</v>
      </c>
      <c r="BY721" s="267"/>
      <c r="BZ721" s="267"/>
      <c r="CA721" s="267"/>
      <c r="CB721" s="267"/>
      <c r="CC721" s="267"/>
      <c r="CD721" s="267"/>
      <c r="CE721" s="267"/>
      <c r="CF721" s="267"/>
      <c r="CG721" s="267"/>
      <c r="CH721" s="267"/>
      <c r="CI721" s="267"/>
      <c r="CJ721" s="267"/>
      <c r="CK721" s="267"/>
      <c r="CL721" s="267"/>
      <c r="CM721" s="267"/>
      <c r="CN721" s="101">
        <f t="shared" si="97"/>
        <v>1</v>
      </c>
      <c r="CO721" s="101">
        <f t="shared" si="98"/>
        <v>1</v>
      </c>
    </row>
    <row r="722" spans="1:93" ht="13.9" customHeight="1" x14ac:dyDescent="0.2">
      <c r="A722" s="149">
        <v>7417</v>
      </c>
      <c r="B722" s="150" t="s">
        <v>1216</v>
      </c>
      <c r="C722" s="150" t="s">
        <v>2043</v>
      </c>
      <c r="D722" s="150" t="s">
        <v>2044</v>
      </c>
      <c r="E722" s="150" t="s">
        <v>326</v>
      </c>
      <c r="F722" s="149">
        <v>524964</v>
      </c>
      <c r="G722" s="149">
        <v>174475</v>
      </c>
      <c r="H722" s="150" t="s">
        <v>161</v>
      </c>
      <c r="I722" s="151"/>
      <c r="J722" s="151"/>
      <c r="K722" s="149">
        <v>0</v>
      </c>
      <c r="L722" s="149">
        <v>1</v>
      </c>
      <c r="M722" s="149">
        <v>1</v>
      </c>
      <c r="N722" s="149">
        <v>1</v>
      </c>
      <c r="O722" s="149">
        <v>1</v>
      </c>
      <c r="P722" s="152"/>
      <c r="Q722" s="150" t="s">
        <v>2045</v>
      </c>
      <c r="R722" s="150" t="s">
        <v>349</v>
      </c>
      <c r="S722" s="151">
        <v>44680</v>
      </c>
      <c r="T722" s="151">
        <v>44733</v>
      </c>
      <c r="U722" s="152"/>
      <c r="V722" s="150" t="s">
        <v>330</v>
      </c>
      <c r="W722" s="151"/>
      <c r="X722" s="150" t="s">
        <v>2046</v>
      </c>
      <c r="Y722" s="150" t="s">
        <v>491</v>
      </c>
      <c r="Z722" s="150" t="s">
        <v>334</v>
      </c>
      <c r="AA722" s="150" t="s">
        <v>413</v>
      </c>
      <c r="AB722" s="153">
        <v>2E-3</v>
      </c>
      <c r="AC722" s="151"/>
      <c r="AD722" s="150"/>
      <c r="AE722" s="151"/>
      <c r="AF722" s="150" t="s">
        <v>70</v>
      </c>
      <c r="AG722" s="152" t="s">
        <v>352</v>
      </c>
      <c r="AH722" s="150" t="s">
        <v>326</v>
      </c>
      <c r="AI722" s="99"/>
      <c r="AJ722" s="149"/>
      <c r="AK722" s="99"/>
      <c r="AL722" s="149"/>
      <c r="AM722" s="99"/>
      <c r="AN722" s="149">
        <v>0</v>
      </c>
      <c r="AO722" s="149">
        <v>1</v>
      </c>
      <c r="AP722" s="149">
        <v>0</v>
      </c>
      <c r="AQ722" s="149">
        <v>0</v>
      </c>
      <c r="AR722" s="149">
        <v>0</v>
      </c>
      <c r="AS722" s="149">
        <v>0</v>
      </c>
      <c r="AT722" s="149">
        <v>0</v>
      </c>
      <c r="AU722" s="149">
        <v>0</v>
      </c>
      <c r="AV722" s="149">
        <v>0</v>
      </c>
      <c r="AW722" s="149">
        <v>0</v>
      </c>
      <c r="AX722" s="149">
        <v>0</v>
      </c>
      <c r="AY722" s="149">
        <v>0</v>
      </c>
      <c r="AZ722" s="149">
        <v>0</v>
      </c>
      <c r="BA722" s="149">
        <v>0</v>
      </c>
      <c r="BB722" s="149">
        <v>0</v>
      </c>
      <c r="BC722" s="149">
        <v>1</v>
      </c>
      <c r="BD722" s="149">
        <v>0</v>
      </c>
      <c r="BE722" s="149">
        <v>0</v>
      </c>
      <c r="BF722" s="149">
        <v>0</v>
      </c>
      <c r="BG722" s="149">
        <v>0</v>
      </c>
      <c r="BH722" s="149">
        <v>0</v>
      </c>
      <c r="BI722" s="149">
        <v>0</v>
      </c>
      <c r="BJ722" s="149">
        <v>0</v>
      </c>
      <c r="BK722" s="149">
        <v>0</v>
      </c>
      <c r="BL722" s="149">
        <v>0</v>
      </c>
      <c r="BM722" s="149">
        <v>0</v>
      </c>
      <c r="BN722" s="149">
        <v>0</v>
      </c>
      <c r="BO722" s="149">
        <v>0</v>
      </c>
      <c r="BP722" s="152"/>
      <c r="BQ722" s="152"/>
      <c r="BR722" s="154" t="s">
        <v>359</v>
      </c>
      <c r="BS722" s="136">
        <v>15</v>
      </c>
      <c r="BT722" s="267"/>
      <c r="BU722" s="267">
        <f t="shared" si="99"/>
        <v>0.25</v>
      </c>
      <c r="BV722" s="267">
        <f t="shared" si="100"/>
        <v>0.25</v>
      </c>
      <c r="BW722" s="267">
        <f t="shared" si="101"/>
        <v>0.25</v>
      </c>
      <c r="BX722" s="267">
        <f t="shared" si="102"/>
        <v>0.25</v>
      </c>
      <c r="BY722" s="267"/>
      <c r="BZ722" s="267"/>
      <c r="CA722" s="267"/>
      <c r="CB722" s="267"/>
      <c r="CC722" s="267"/>
      <c r="CD722" s="267"/>
      <c r="CE722" s="267"/>
      <c r="CF722" s="267"/>
      <c r="CG722" s="267"/>
      <c r="CH722" s="267"/>
      <c r="CI722" s="267"/>
      <c r="CJ722" s="267"/>
      <c r="CK722" s="267"/>
      <c r="CL722" s="267"/>
      <c r="CM722" s="267"/>
      <c r="CN722" s="101">
        <f t="shared" si="97"/>
        <v>1</v>
      </c>
      <c r="CO722" s="101">
        <f t="shared" si="98"/>
        <v>1</v>
      </c>
    </row>
    <row r="723" spans="1:93" ht="13.9" customHeight="1" x14ac:dyDescent="0.2">
      <c r="A723" s="149">
        <v>7791</v>
      </c>
      <c r="B723" s="150" t="s">
        <v>1216</v>
      </c>
      <c r="C723" s="150" t="s">
        <v>2047</v>
      </c>
      <c r="D723" s="150" t="s">
        <v>2048</v>
      </c>
      <c r="E723" s="150" t="s">
        <v>326</v>
      </c>
      <c r="F723" s="149">
        <v>527303</v>
      </c>
      <c r="G723" s="149">
        <v>171501</v>
      </c>
      <c r="H723" s="150" t="s">
        <v>173</v>
      </c>
      <c r="I723" s="151"/>
      <c r="J723" s="151"/>
      <c r="K723" s="149">
        <v>1</v>
      </c>
      <c r="L723" s="149">
        <v>4</v>
      </c>
      <c r="M723" s="149">
        <v>3</v>
      </c>
      <c r="N723" s="149">
        <v>4</v>
      </c>
      <c r="O723" s="149">
        <v>3</v>
      </c>
      <c r="P723" s="152"/>
      <c r="Q723" s="150" t="s">
        <v>2049</v>
      </c>
      <c r="R723" s="150" t="s">
        <v>349</v>
      </c>
      <c r="S723" s="151">
        <v>44614</v>
      </c>
      <c r="T723" s="151">
        <v>44721</v>
      </c>
      <c r="U723" s="152"/>
      <c r="V723" s="150" t="s">
        <v>330</v>
      </c>
      <c r="W723" s="151"/>
      <c r="X723" s="150" t="s">
        <v>331</v>
      </c>
      <c r="Y723" s="150" t="s">
        <v>398</v>
      </c>
      <c r="Z723" s="150" t="s">
        <v>334</v>
      </c>
      <c r="AA723" s="150" t="s">
        <v>16</v>
      </c>
      <c r="AB723" s="153">
        <v>6.0000000000000001E-3</v>
      </c>
      <c r="AC723" s="151"/>
      <c r="AD723" s="150"/>
      <c r="AE723" s="151"/>
      <c r="AF723" s="150" t="s">
        <v>70</v>
      </c>
      <c r="AG723" s="152" t="s">
        <v>352</v>
      </c>
      <c r="AH723" s="150" t="s">
        <v>326</v>
      </c>
      <c r="AI723" s="99"/>
      <c r="AJ723" s="149"/>
      <c r="AK723" s="99"/>
      <c r="AL723" s="149"/>
      <c r="AM723" s="99"/>
      <c r="AN723" s="149">
        <v>1</v>
      </c>
      <c r="AO723" s="149">
        <v>1</v>
      </c>
      <c r="AP723" s="149">
        <v>1</v>
      </c>
      <c r="AQ723" s="149">
        <v>1</v>
      </c>
      <c r="AR723" s="149">
        <v>0</v>
      </c>
      <c r="AS723" s="149">
        <v>-1</v>
      </c>
      <c r="AT723" s="149">
        <v>0</v>
      </c>
      <c r="AU723" s="149">
        <v>1</v>
      </c>
      <c r="AV723" s="149">
        <v>1</v>
      </c>
      <c r="AW723" s="149">
        <v>1</v>
      </c>
      <c r="AX723" s="149">
        <v>1</v>
      </c>
      <c r="AY723" s="149">
        <v>0</v>
      </c>
      <c r="AZ723" s="149">
        <v>0</v>
      </c>
      <c r="BA723" s="149">
        <v>0</v>
      </c>
      <c r="BB723" s="149">
        <v>0</v>
      </c>
      <c r="BC723" s="149">
        <v>0</v>
      </c>
      <c r="BD723" s="149">
        <v>0</v>
      </c>
      <c r="BE723" s="149">
        <v>0</v>
      </c>
      <c r="BF723" s="149">
        <v>0</v>
      </c>
      <c r="BG723" s="149">
        <v>-1</v>
      </c>
      <c r="BH723" s="149">
        <v>0</v>
      </c>
      <c r="BI723" s="149">
        <v>0</v>
      </c>
      <c r="BJ723" s="149">
        <v>0</v>
      </c>
      <c r="BK723" s="149">
        <v>0</v>
      </c>
      <c r="BL723" s="149">
        <v>0</v>
      </c>
      <c r="BM723" s="149">
        <v>0</v>
      </c>
      <c r="BN723" s="149">
        <v>0</v>
      </c>
      <c r="BO723" s="149">
        <v>0</v>
      </c>
      <c r="BP723" s="152"/>
      <c r="BQ723" s="152"/>
      <c r="BR723" s="154" t="s">
        <v>142</v>
      </c>
      <c r="BS723" s="136">
        <v>15</v>
      </c>
      <c r="BT723" s="267"/>
      <c r="BU723" s="267">
        <f t="shared" si="99"/>
        <v>0.75</v>
      </c>
      <c r="BV723" s="267">
        <f t="shared" si="100"/>
        <v>0.75</v>
      </c>
      <c r="BW723" s="267">
        <f t="shared" si="101"/>
        <v>0.75</v>
      </c>
      <c r="BX723" s="267">
        <f t="shared" si="102"/>
        <v>0.75</v>
      </c>
      <c r="BY723" s="267"/>
      <c r="BZ723" s="267"/>
      <c r="CA723" s="267"/>
      <c r="CB723" s="267"/>
      <c r="CC723" s="267"/>
      <c r="CD723" s="267"/>
      <c r="CE723" s="267"/>
      <c r="CF723" s="267"/>
      <c r="CG723" s="267"/>
      <c r="CH723" s="267"/>
      <c r="CI723" s="267"/>
      <c r="CJ723" s="267"/>
      <c r="CK723" s="267"/>
      <c r="CL723" s="267"/>
      <c r="CM723" s="267"/>
      <c r="CN723" s="101">
        <f t="shared" si="97"/>
        <v>3</v>
      </c>
      <c r="CO723" s="101">
        <f t="shared" si="98"/>
        <v>3</v>
      </c>
    </row>
    <row r="724" spans="1:93" ht="13.9" customHeight="1" x14ac:dyDescent="0.2">
      <c r="A724" s="149">
        <v>3716</v>
      </c>
      <c r="B724" s="150" t="s">
        <v>1216</v>
      </c>
      <c r="C724" s="150" t="s">
        <v>2050</v>
      </c>
      <c r="D724" s="150" t="s">
        <v>2051</v>
      </c>
      <c r="E724" s="150" t="s">
        <v>326</v>
      </c>
      <c r="F724" s="149">
        <v>525905</v>
      </c>
      <c r="G724" s="149">
        <v>173871</v>
      </c>
      <c r="H724" s="150" t="s">
        <v>175</v>
      </c>
      <c r="I724" s="151"/>
      <c r="J724" s="151"/>
      <c r="K724" s="149">
        <v>1</v>
      </c>
      <c r="L724" s="149">
        <v>3</v>
      </c>
      <c r="M724" s="149">
        <v>2</v>
      </c>
      <c r="N724" s="149">
        <v>3</v>
      </c>
      <c r="O724" s="149">
        <v>2</v>
      </c>
      <c r="P724" s="152"/>
      <c r="Q724" s="150" t="s">
        <v>2052</v>
      </c>
      <c r="R724" s="150" t="s">
        <v>349</v>
      </c>
      <c r="S724" s="151">
        <v>44680</v>
      </c>
      <c r="T724" s="151">
        <v>44755</v>
      </c>
      <c r="U724" s="152"/>
      <c r="V724" s="150" t="s">
        <v>330</v>
      </c>
      <c r="W724" s="151"/>
      <c r="X724" s="150" t="s">
        <v>331</v>
      </c>
      <c r="Y724" s="150" t="s">
        <v>398</v>
      </c>
      <c r="Z724" s="150" t="s">
        <v>334</v>
      </c>
      <c r="AA724" s="150" t="s">
        <v>399</v>
      </c>
      <c r="AB724" s="153">
        <v>5.0000000000000001E-3</v>
      </c>
      <c r="AC724" s="151"/>
      <c r="AD724" s="150"/>
      <c r="AE724" s="151"/>
      <c r="AF724" s="150" t="s">
        <v>70</v>
      </c>
      <c r="AG724" s="152" t="s">
        <v>352</v>
      </c>
      <c r="AH724" s="150" t="s">
        <v>326</v>
      </c>
      <c r="AI724" s="99"/>
      <c r="AJ724" s="149"/>
      <c r="AK724" s="99"/>
      <c r="AL724" s="149"/>
      <c r="AM724" s="99"/>
      <c r="AN724" s="149">
        <v>1</v>
      </c>
      <c r="AO724" s="149">
        <v>2</v>
      </c>
      <c r="AP724" s="149">
        <v>0</v>
      </c>
      <c r="AQ724" s="149">
        <v>-1</v>
      </c>
      <c r="AR724" s="149">
        <v>0</v>
      </c>
      <c r="AS724" s="149">
        <v>0</v>
      </c>
      <c r="AT724" s="149">
        <v>0</v>
      </c>
      <c r="AU724" s="149">
        <v>1</v>
      </c>
      <c r="AV724" s="149">
        <v>2</v>
      </c>
      <c r="AW724" s="149">
        <v>0</v>
      </c>
      <c r="AX724" s="149">
        <v>-1</v>
      </c>
      <c r="AY724" s="149">
        <v>0</v>
      </c>
      <c r="AZ724" s="149">
        <v>0</v>
      </c>
      <c r="BA724" s="149">
        <v>0</v>
      </c>
      <c r="BB724" s="149">
        <v>0</v>
      </c>
      <c r="BC724" s="149">
        <v>0</v>
      </c>
      <c r="BD724" s="149">
        <v>0</v>
      </c>
      <c r="BE724" s="149">
        <v>0</v>
      </c>
      <c r="BF724" s="149">
        <v>0</v>
      </c>
      <c r="BG724" s="149">
        <v>0</v>
      </c>
      <c r="BH724" s="149">
        <v>0</v>
      </c>
      <c r="BI724" s="149">
        <v>0</v>
      </c>
      <c r="BJ724" s="149">
        <v>0</v>
      </c>
      <c r="BK724" s="149">
        <v>0</v>
      </c>
      <c r="BL724" s="149">
        <v>0</v>
      </c>
      <c r="BM724" s="149">
        <v>0</v>
      </c>
      <c r="BN724" s="149">
        <v>0</v>
      </c>
      <c r="BO724" s="149">
        <v>0</v>
      </c>
      <c r="BP724" s="152"/>
      <c r="BQ724" s="152"/>
      <c r="BR724" s="154" t="s">
        <v>151</v>
      </c>
      <c r="BS724" s="136">
        <v>15</v>
      </c>
      <c r="BT724" s="267"/>
      <c r="BU724" s="267">
        <f t="shared" si="99"/>
        <v>0.5</v>
      </c>
      <c r="BV724" s="267">
        <f t="shared" si="100"/>
        <v>0.5</v>
      </c>
      <c r="BW724" s="267">
        <f t="shared" si="101"/>
        <v>0.5</v>
      </c>
      <c r="BX724" s="267">
        <f t="shared" si="102"/>
        <v>0.5</v>
      </c>
      <c r="BY724" s="267"/>
      <c r="BZ724" s="267"/>
      <c r="CA724" s="267"/>
      <c r="CB724" s="267"/>
      <c r="CC724" s="267"/>
      <c r="CD724" s="267"/>
      <c r="CE724" s="267"/>
      <c r="CF724" s="267"/>
      <c r="CG724" s="267"/>
      <c r="CH724" s="267"/>
      <c r="CI724" s="267"/>
      <c r="CJ724" s="267"/>
      <c r="CK724" s="267"/>
      <c r="CL724" s="267"/>
      <c r="CM724" s="267"/>
      <c r="CN724" s="101">
        <f t="shared" si="97"/>
        <v>2</v>
      </c>
      <c r="CO724" s="101">
        <f t="shared" si="98"/>
        <v>2</v>
      </c>
    </row>
    <row r="725" spans="1:93" ht="13.9" customHeight="1" x14ac:dyDescent="0.2">
      <c r="A725" s="149">
        <v>2102</v>
      </c>
      <c r="B725" s="150" t="s">
        <v>1216</v>
      </c>
      <c r="C725" s="150" t="s">
        <v>2053</v>
      </c>
      <c r="D725" s="150" t="s">
        <v>2054</v>
      </c>
      <c r="E725" s="150" t="s">
        <v>326</v>
      </c>
      <c r="F725" s="149">
        <v>523637</v>
      </c>
      <c r="G725" s="149">
        <v>173150</v>
      </c>
      <c r="H725" s="150" t="s">
        <v>178</v>
      </c>
      <c r="I725" s="151"/>
      <c r="J725" s="151"/>
      <c r="K725" s="149">
        <v>0</v>
      </c>
      <c r="L725" s="149">
        <v>6</v>
      </c>
      <c r="M725" s="149">
        <v>6</v>
      </c>
      <c r="N725" s="149">
        <v>6</v>
      </c>
      <c r="O725" s="149">
        <v>6</v>
      </c>
      <c r="P725" s="152"/>
      <c r="Q725" s="150" t="s">
        <v>2055</v>
      </c>
      <c r="R725" s="150" t="s">
        <v>349</v>
      </c>
      <c r="S725" s="151">
        <v>44631</v>
      </c>
      <c r="T725" s="151">
        <v>44841</v>
      </c>
      <c r="U725" s="152"/>
      <c r="V725" s="150" t="s">
        <v>330</v>
      </c>
      <c r="W725" s="151"/>
      <c r="X725" s="150" t="s">
        <v>331</v>
      </c>
      <c r="Y725" s="150" t="s">
        <v>491</v>
      </c>
      <c r="Z725" s="150" t="s">
        <v>334</v>
      </c>
      <c r="AA725" s="150" t="s">
        <v>413</v>
      </c>
      <c r="AB725" s="153">
        <v>4.6300000000000001E-2</v>
      </c>
      <c r="AC725" s="151"/>
      <c r="AD725" s="150"/>
      <c r="AE725" s="151"/>
      <c r="AF725" s="150" t="s">
        <v>70</v>
      </c>
      <c r="AG725" s="152" t="s">
        <v>352</v>
      </c>
      <c r="AH725" s="150" t="s">
        <v>326</v>
      </c>
      <c r="AI725" s="99"/>
      <c r="AJ725" s="149"/>
      <c r="AK725" s="99"/>
      <c r="AL725" s="149"/>
      <c r="AM725" s="99"/>
      <c r="AN725" s="149">
        <v>0</v>
      </c>
      <c r="AO725" s="149">
        <v>0</v>
      </c>
      <c r="AP725" s="149">
        <v>4</v>
      </c>
      <c r="AQ725" s="149">
        <v>2</v>
      </c>
      <c r="AR725" s="149">
        <v>0</v>
      </c>
      <c r="AS725" s="149">
        <v>0</v>
      </c>
      <c r="AT725" s="149">
        <v>0</v>
      </c>
      <c r="AU725" s="149">
        <v>0</v>
      </c>
      <c r="AV725" s="149">
        <v>0</v>
      </c>
      <c r="AW725" s="149">
        <v>4</v>
      </c>
      <c r="AX725" s="149">
        <v>2</v>
      </c>
      <c r="AY725" s="149">
        <v>0</v>
      </c>
      <c r="AZ725" s="149">
        <v>0</v>
      </c>
      <c r="BA725" s="149">
        <v>0</v>
      </c>
      <c r="BB725" s="149">
        <v>0</v>
      </c>
      <c r="BC725" s="149">
        <v>0</v>
      </c>
      <c r="BD725" s="149">
        <v>0</v>
      </c>
      <c r="BE725" s="149">
        <v>0</v>
      </c>
      <c r="BF725" s="149">
        <v>0</v>
      </c>
      <c r="BG725" s="149">
        <v>0</v>
      </c>
      <c r="BH725" s="149">
        <v>0</v>
      </c>
      <c r="BI725" s="149">
        <v>0</v>
      </c>
      <c r="BJ725" s="149">
        <v>0</v>
      </c>
      <c r="BK725" s="149">
        <v>0</v>
      </c>
      <c r="BL725" s="149">
        <v>0</v>
      </c>
      <c r="BM725" s="149">
        <v>0</v>
      </c>
      <c r="BN725" s="149">
        <v>0</v>
      </c>
      <c r="BO725" s="149">
        <v>0</v>
      </c>
      <c r="BP725" s="152"/>
      <c r="BQ725" s="152"/>
      <c r="BR725" s="154" t="s">
        <v>359</v>
      </c>
      <c r="BS725" s="136">
        <v>18</v>
      </c>
      <c r="BT725" s="267"/>
      <c r="BU725" s="267">
        <f t="shared" si="99"/>
        <v>1.5</v>
      </c>
      <c r="BV725" s="267">
        <f t="shared" si="100"/>
        <v>1.5</v>
      </c>
      <c r="BW725" s="267">
        <f t="shared" si="101"/>
        <v>1.5</v>
      </c>
      <c r="BX725" s="267">
        <f t="shared" si="102"/>
        <v>1.5</v>
      </c>
      <c r="BY725" s="267"/>
      <c r="BZ725" s="267"/>
      <c r="CA725" s="267"/>
      <c r="CB725" s="267"/>
      <c r="CC725" s="267"/>
      <c r="CD725" s="267"/>
      <c r="CE725" s="267"/>
      <c r="CF725" s="267"/>
      <c r="CG725" s="267"/>
      <c r="CH725" s="267"/>
      <c r="CI725" s="267"/>
      <c r="CJ725" s="267"/>
      <c r="CK725" s="267"/>
      <c r="CL725" s="267"/>
      <c r="CM725" s="267"/>
      <c r="CN725" s="101">
        <f t="shared" si="97"/>
        <v>6</v>
      </c>
      <c r="CO725" s="101">
        <f t="shared" si="98"/>
        <v>6</v>
      </c>
    </row>
    <row r="726" spans="1:93" ht="13.9" customHeight="1" x14ac:dyDescent="0.2">
      <c r="A726" s="149">
        <v>6221</v>
      </c>
      <c r="B726" s="150" t="s">
        <v>1216</v>
      </c>
      <c r="C726" s="150" t="s">
        <v>2056</v>
      </c>
      <c r="D726" s="150" t="s">
        <v>2057</v>
      </c>
      <c r="E726" s="150" t="s">
        <v>326</v>
      </c>
      <c r="F726" s="149">
        <v>526099</v>
      </c>
      <c r="G726" s="149">
        <v>173957</v>
      </c>
      <c r="H726" s="150" t="s">
        <v>175</v>
      </c>
      <c r="I726" s="151"/>
      <c r="J726" s="151"/>
      <c r="K726" s="149">
        <v>0</v>
      </c>
      <c r="L726" s="149">
        <v>7</v>
      </c>
      <c r="M726" s="149">
        <v>7</v>
      </c>
      <c r="N726" s="149">
        <v>7</v>
      </c>
      <c r="O726" s="149">
        <v>7</v>
      </c>
      <c r="P726" s="152"/>
      <c r="Q726" s="150" t="s">
        <v>2058</v>
      </c>
      <c r="R726" s="150" t="s">
        <v>349</v>
      </c>
      <c r="S726" s="151">
        <v>44642</v>
      </c>
      <c r="T726" s="151">
        <v>44950</v>
      </c>
      <c r="U726" s="152"/>
      <c r="V726" s="150" t="s">
        <v>330</v>
      </c>
      <c r="W726" s="151"/>
      <c r="X726" s="150" t="s">
        <v>331</v>
      </c>
      <c r="Y726" s="150" t="s">
        <v>398</v>
      </c>
      <c r="Z726" s="150" t="s">
        <v>334</v>
      </c>
      <c r="AA726" s="150" t="s">
        <v>413</v>
      </c>
      <c r="AB726" s="153">
        <v>0</v>
      </c>
      <c r="AC726" s="151"/>
      <c r="AD726" s="150"/>
      <c r="AE726" s="151"/>
      <c r="AF726" s="150" t="s">
        <v>70</v>
      </c>
      <c r="AG726" s="152" t="s">
        <v>352</v>
      </c>
      <c r="AH726" s="150" t="s">
        <v>326</v>
      </c>
      <c r="AI726" s="99"/>
      <c r="AJ726" s="149"/>
      <c r="AK726" s="99"/>
      <c r="AL726" s="149"/>
      <c r="AM726" s="99"/>
      <c r="AN726" s="149">
        <v>0</v>
      </c>
      <c r="AO726" s="149">
        <v>0</v>
      </c>
      <c r="AP726" s="149">
        <v>7</v>
      </c>
      <c r="AQ726" s="149">
        <v>0</v>
      </c>
      <c r="AR726" s="149">
        <v>0</v>
      </c>
      <c r="AS726" s="149">
        <v>0</v>
      </c>
      <c r="AT726" s="149">
        <v>0</v>
      </c>
      <c r="AU726" s="149">
        <v>0</v>
      </c>
      <c r="AV726" s="149">
        <v>0</v>
      </c>
      <c r="AW726" s="149">
        <v>7</v>
      </c>
      <c r="AX726" s="149">
        <v>0</v>
      </c>
      <c r="AY726" s="149">
        <v>0</v>
      </c>
      <c r="AZ726" s="149">
        <v>0</v>
      </c>
      <c r="BA726" s="149">
        <v>0</v>
      </c>
      <c r="BB726" s="149">
        <v>0</v>
      </c>
      <c r="BC726" s="149">
        <v>0</v>
      </c>
      <c r="BD726" s="149">
        <v>0</v>
      </c>
      <c r="BE726" s="149">
        <v>0</v>
      </c>
      <c r="BF726" s="149">
        <v>0</v>
      </c>
      <c r="BG726" s="149">
        <v>0</v>
      </c>
      <c r="BH726" s="149">
        <v>0</v>
      </c>
      <c r="BI726" s="149">
        <v>0</v>
      </c>
      <c r="BJ726" s="149">
        <v>0</v>
      </c>
      <c r="BK726" s="149">
        <v>0</v>
      </c>
      <c r="BL726" s="149">
        <v>0</v>
      </c>
      <c r="BM726" s="149">
        <v>0</v>
      </c>
      <c r="BN726" s="149">
        <v>0</v>
      </c>
      <c r="BO726" s="149">
        <v>0</v>
      </c>
      <c r="BP726" s="152"/>
      <c r="BQ726" s="152"/>
      <c r="BR726" s="154" t="s">
        <v>359</v>
      </c>
      <c r="BS726" s="136">
        <v>18</v>
      </c>
      <c r="BT726" s="267"/>
      <c r="BU726" s="267">
        <f t="shared" si="99"/>
        <v>1.75</v>
      </c>
      <c r="BV726" s="267">
        <f t="shared" si="100"/>
        <v>1.75</v>
      </c>
      <c r="BW726" s="267">
        <f t="shared" si="101"/>
        <v>1.75</v>
      </c>
      <c r="BX726" s="267">
        <f t="shared" si="102"/>
        <v>1.75</v>
      </c>
      <c r="BY726" s="267"/>
      <c r="BZ726" s="267"/>
      <c r="CA726" s="267"/>
      <c r="CB726" s="267"/>
      <c r="CC726" s="267"/>
      <c r="CD726" s="267"/>
      <c r="CE726" s="267"/>
      <c r="CF726" s="267"/>
      <c r="CG726" s="267"/>
      <c r="CH726" s="267"/>
      <c r="CI726" s="267"/>
      <c r="CJ726" s="267"/>
      <c r="CK726" s="267"/>
      <c r="CL726" s="267"/>
      <c r="CM726" s="267"/>
      <c r="CN726" s="101">
        <f t="shared" si="97"/>
        <v>7</v>
      </c>
      <c r="CO726" s="101">
        <f t="shared" si="98"/>
        <v>7</v>
      </c>
    </row>
    <row r="727" spans="1:93" ht="13.9" customHeight="1" x14ac:dyDescent="0.2">
      <c r="A727" s="149">
        <v>7814</v>
      </c>
      <c r="B727" s="150" t="s">
        <v>1216</v>
      </c>
      <c r="C727" s="150" t="s">
        <v>2059</v>
      </c>
      <c r="D727" s="150" t="s">
        <v>2060</v>
      </c>
      <c r="E727" s="150" t="s">
        <v>326</v>
      </c>
      <c r="F727" s="149">
        <v>528774</v>
      </c>
      <c r="G727" s="149">
        <v>174113</v>
      </c>
      <c r="H727" s="150" t="s">
        <v>139</v>
      </c>
      <c r="I727" s="151"/>
      <c r="J727" s="151"/>
      <c r="K727" s="149">
        <v>0</v>
      </c>
      <c r="L727" s="149">
        <v>1</v>
      </c>
      <c r="M727" s="149">
        <v>1</v>
      </c>
      <c r="N727" s="149">
        <v>1</v>
      </c>
      <c r="O727" s="149">
        <v>1</v>
      </c>
      <c r="P727" s="152"/>
      <c r="Q727" s="150" t="s">
        <v>2061</v>
      </c>
      <c r="R727" s="150" t="s">
        <v>435</v>
      </c>
      <c r="S727" s="151">
        <v>44657</v>
      </c>
      <c r="T727" s="151">
        <v>44713</v>
      </c>
      <c r="U727" s="152" t="s">
        <v>327</v>
      </c>
      <c r="V727" s="150" t="s">
        <v>436</v>
      </c>
      <c r="W727" s="151">
        <v>45127</v>
      </c>
      <c r="X727" s="150" t="s">
        <v>331</v>
      </c>
      <c r="Y727" s="150" t="s">
        <v>350</v>
      </c>
      <c r="Z727" s="150" t="s">
        <v>334</v>
      </c>
      <c r="AA727" s="150" t="s">
        <v>32</v>
      </c>
      <c r="AB727" s="153">
        <v>3.0000000000000001E-3</v>
      </c>
      <c r="AC727" s="151"/>
      <c r="AD727" s="150"/>
      <c r="AE727" s="151"/>
      <c r="AF727" s="150" t="s">
        <v>70</v>
      </c>
      <c r="AG727" s="152" t="s">
        <v>352</v>
      </c>
      <c r="AH727" s="150" t="s">
        <v>326</v>
      </c>
      <c r="AI727" s="99"/>
      <c r="AJ727" s="149"/>
      <c r="AK727" s="99"/>
      <c r="AL727" s="149"/>
      <c r="AM727" s="99"/>
      <c r="AN727" s="149">
        <v>0</v>
      </c>
      <c r="AO727" s="149">
        <v>1</v>
      </c>
      <c r="AP727" s="149">
        <v>0</v>
      </c>
      <c r="AQ727" s="149">
        <v>0</v>
      </c>
      <c r="AR727" s="149">
        <v>0</v>
      </c>
      <c r="AS727" s="149">
        <v>0</v>
      </c>
      <c r="AT727" s="149">
        <v>0</v>
      </c>
      <c r="AU727" s="149">
        <v>0</v>
      </c>
      <c r="AV727" s="149">
        <v>1</v>
      </c>
      <c r="AW727" s="149">
        <v>0</v>
      </c>
      <c r="AX727" s="149">
        <v>0</v>
      </c>
      <c r="AY727" s="149">
        <v>0</v>
      </c>
      <c r="AZ727" s="149">
        <v>0</v>
      </c>
      <c r="BA727" s="149">
        <v>0</v>
      </c>
      <c r="BB727" s="149">
        <v>0</v>
      </c>
      <c r="BC727" s="149">
        <v>0</v>
      </c>
      <c r="BD727" s="149">
        <v>0</v>
      </c>
      <c r="BE727" s="149">
        <v>0</v>
      </c>
      <c r="BF727" s="149">
        <v>0</v>
      </c>
      <c r="BG727" s="149">
        <v>0</v>
      </c>
      <c r="BH727" s="149">
        <v>0</v>
      </c>
      <c r="BI727" s="149">
        <v>0</v>
      </c>
      <c r="BJ727" s="149">
        <v>0</v>
      </c>
      <c r="BK727" s="149">
        <v>0</v>
      </c>
      <c r="BL727" s="149">
        <v>0</v>
      </c>
      <c r="BM727" s="149">
        <v>0</v>
      </c>
      <c r="BN727" s="149">
        <v>0</v>
      </c>
      <c r="BO727" s="149">
        <v>0</v>
      </c>
      <c r="BP727" s="152"/>
      <c r="BQ727" s="152"/>
      <c r="BR727" s="154" t="s">
        <v>359</v>
      </c>
      <c r="BS727" s="136">
        <v>15</v>
      </c>
      <c r="BT727" s="267"/>
      <c r="BU727" s="267">
        <f t="shared" si="99"/>
        <v>0.25</v>
      </c>
      <c r="BV727" s="267">
        <f t="shared" si="100"/>
        <v>0.25</v>
      </c>
      <c r="BW727" s="267">
        <f t="shared" si="101"/>
        <v>0.25</v>
      </c>
      <c r="BX727" s="267">
        <f t="shared" si="102"/>
        <v>0.25</v>
      </c>
      <c r="BY727" s="267"/>
      <c r="BZ727" s="267"/>
      <c r="CA727" s="267"/>
      <c r="CB727" s="267"/>
      <c r="CC727" s="267"/>
      <c r="CD727" s="267"/>
      <c r="CE727" s="267"/>
      <c r="CF727" s="267"/>
      <c r="CG727" s="267"/>
      <c r="CH727" s="267"/>
      <c r="CI727" s="267"/>
      <c r="CJ727" s="267"/>
      <c r="CK727" s="267"/>
      <c r="CL727" s="267"/>
      <c r="CM727" s="267"/>
      <c r="CN727" s="101">
        <f t="shared" si="97"/>
        <v>1</v>
      </c>
      <c r="CO727" s="101">
        <f t="shared" si="98"/>
        <v>1</v>
      </c>
    </row>
    <row r="728" spans="1:93" ht="13.9" customHeight="1" x14ac:dyDescent="0.2">
      <c r="A728" s="149">
        <v>7818</v>
      </c>
      <c r="B728" s="150" t="s">
        <v>1216</v>
      </c>
      <c r="C728" s="150" t="s">
        <v>2062</v>
      </c>
      <c r="D728" s="150" t="s">
        <v>2063</v>
      </c>
      <c r="E728" s="150" t="s">
        <v>326</v>
      </c>
      <c r="F728" s="149">
        <v>527417</v>
      </c>
      <c r="G728" s="149">
        <v>174682</v>
      </c>
      <c r="H728" s="150" t="s">
        <v>165</v>
      </c>
      <c r="I728" s="151"/>
      <c r="J728" s="151"/>
      <c r="K728" s="149">
        <v>1</v>
      </c>
      <c r="L728" s="149">
        <v>1</v>
      </c>
      <c r="M728" s="149">
        <v>0</v>
      </c>
      <c r="N728" s="149">
        <v>1</v>
      </c>
      <c r="O728" s="149">
        <v>0</v>
      </c>
      <c r="P728" s="152"/>
      <c r="Q728" s="150" t="s">
        <v>2064</v>
      </c>
      <c r="R728" s="150" t="s">
        <v>349</v>
      </c>
      <c r="S728" s="151">
        <v>44641</v>
      </c>
      <c r="T728" s="151">
        <v>44708</v>
      </c>
      <c r="U728" s="152"/>
      <c r="V728" s="150" t="s">
        <v>330</v>
      </c>
      <c r="W728" s="151"/>
      <c r="X728" s="150" t="s">
        <v>331</v>
      </c>
      <c r="Y728" s="150" t="s">
        <v>343</v>
      </c>
      <c r="Z728" s="150" t="s">
        <v>334</v>
      </c>
      <c r="AA728" s="150" t="s">
        <v>363</v>
      </c>
      <c r="AB728" s="153">
        <v>1.4E-2</v>
      </c>
      <c r="AC728" s="151"/>
      <c r="AD728" s="150"/>
      <c r="AE728" s="151"/>
      <c r="AF728" s="150" t="s">
        <v>70</v>
      </c>
      <c r="AG728" s="152" t="s">
        <v>352</v>
      </c>
      <c r="AH728" s="150" t="s">
        <v>326</v>
      </c>
      <c r="AI728" s="99"/>
      <c r="AJ728" s="149"/>
      <c r="AK728" s="99"/>
      <c r="AL728" s="149"/>
      <c r="AM728" s="99"/>
      <c r="AN728" s="149">
        <v>0</v>
      </c>
      <c r="AO728" s="149">
        <v>0</v>
      </c>
      <c r="AP728" s="149">
        <v>0</v>
      </c>
      <c r="AQ728" s="149">
        <v>-1</v>
      </c>
      <c r="AR728" s="149">
        <v>1</v>
      </c>
      <c r="AS728" s="149">
        <v>0</v>
      </c>
      <c r="AT728" s="149">
        <v>0</v>
      </c>
      <c r="AU728" s="149">
        <v>0</v>
      </c>
      <c r="AV728" s="149">
        <v>0</v>
      </c>
      <c r="AW728" s="149">
        <v>0</v>
      </c>
      <c r="AX728" s="149">
        <v>0</v>
      </c>
      <c r="AY728" s="149">
        <v>0</v>
      </c>
      <c r="AZ728" s="149">
        <v>0</v>
      </c>
      <c r="BA728" s="149">
        <v>0</v>
      </c>
      <c r="BB728" s="149">
        <v>0</v>
      </c>
      <c r="BC728" s="149">
        <v>0</v>
      </c>
      <c r="BD728" s="149">
        <v>0</v>
      </c>
      <c r="BE728" s="149">
        <v>-1</v>
      </c>
      <c r="BF728" s="149">
        <v>1</v>
      </c>
      <c r="BG728" s="149">
        <v>0</v>
      </c>
      <c r="BH728" s="149">
        <v>0</v>
      </c>
      <c r="BI728" s="149">
        <v>0</v>
      </c>
      <c r="BJ728" s="149">
        <v>0</v>
      </c>
      <c r="BK728" s="149">
        <v>0</v>
      </c>
      <c r="BL728" s="149">
        <v>0</v>
      </c>
      <c r="BM728" s="149">
        <v>0</v>
      </c>
      <c r="BN728" s="149">
        <v>0</v>
      </c>
      <c r="BO728" s="149">
        <v>0</v>
      </c>
      <c r="BP728" s="152"/>
      <c r="BQ728" s="152"/>
      <c r="BR728" s="154" t="s">
        <v>148</v>
      </c>
      <c r="BS728" s="136">
        <v>7</v>
      </c>
      <c r="BT728" s="267"/>
      <c r="BU728" s="267"/>
      <c r="BV728" s="267">
        <f t="shared" si="100"/>
        <v>0</v>
      </c>
      <c r="BW728" s="267">
        <f t="shared" si="101"/>
        <v>0</v>
      </c>
      <c r="BX728" s="267">
        <f t="shared" si="102"/>
        <v>0</v>
      </c>
      <c r="BY728" s="267">
        <f>M728/4</f>
        <v>0</v>
      </c>
      <c r="BZ728" s="267"/>
      <c r="CA728" s="267"/>
      <c r="CB728" s="267"/>
      <c r="CC728" s="267"/>
      <c r="CD728" s="267"/>
      <c r="CE728" s="267"/>
      <c r="CF728" s="267"/>
      <c r="CG728" s="267"/>
      <c r="CH728" s="267"/>
      <c r="CI728" s="267"/>
      <c r="CJ728" s="267"/>
      <c r="CK728" s="267"/>
      <c r="CL728" s="267"/>
      <c r="CM728" s="267"/>
      <c r="CN728" s="101">
        <f t="shared" si="97"/>
        <v>0</v>
      </c>
      <c r="CO728" s="101">
        <f t="shared" si="98"/>
        <v>0</v>
      </c>
    </row>
    <row r="729" spans="1:93" ht="13.9" customHeight="1" x14ac:dyDescent="0.2">
      <c r="A729" s="149">
        <v>7729</v>
      </c>
      <c r="B729" s="150" t="s">
        <v>1216</v>
      </c>
      <c r="C729" s="150" t="s">
        <v>2065</v>
      </c>
      <c r="D729" s="150" t="s">
        <v>2066</v>
      </c>
      <c r="E729" s="150" t="s">
        <v>326</v>
      </c>
      <c r="F729" s="149">
        <v>527446</v>
      </c>
      <c r="G729" s="149">
        <v>173267</v>
      </c>
      <c r="H729" s="150" t="s">
        <v>174</v>
      </c>
      <c r="I729" s="151"/>
      <c r="J729" s="151"/>
      <c r="K729" s="149">
        <v>0</v>
      </c>
      <c r="L729" s="149">
        <v>2</v>
      </c>
      <c r="M729" s="149">
        <v>2</v>
      </c>
      <c r="N729" s="149">
        <v>2</v>
      </c>
      <c r="O729" s="149">
        <v>2</v>
      </c>
      <c r="P729" s="152"/>
      <c r="Q729" s="150" t="s">
        <v>2067</v>
      </c>
      <c r="R729" s="150" t="s">
        <v>349</v>
      </c>
      <c r="S729" s="151">
        <v>44641</v>
      </c>
      <c r="T729" s="151">
        <v>44797</v>
      </c>
      <c r="U729" s="152"/>
      <c r="V729" s="150" t="s">
        <v>330</v>
      </c>
      <c r="W729" s="151"/>
      <c r="X729" s="150" t="s">
        <v>331</v>
      </c>
      <c r="Y729" s="150" t="s">
        <v>491</v>
      </c>
      <c r="Z729" s="150" t="s">
        <v>334</v>
      </c>
      <c r="AA729" s="150" t="s">
        <v>29</v>
      </c>
      <c r="AB729" s="153">
        <v>6.3E-3</v>
      </c>
      <c r="AC729" s="151"/>
      <c r="AD729" s="150"/>
      <c r="AE729" s="151"/>
      <c r="AF729" s="150" t="s">
        <v>70</v>
      </c>
      <c r="AG729" s="152" t="s">
        <v>352</v>
      </c>
      <c r="AH729" s="150" t="s">
        <v>326</v>
      </c>
      <c r="AI729" s="99"/>
      <c r="AJ729" s="149"/>
      <c r="AK729" s="99"/>
      <c r="AL729" s="149"/>
      <c r="AM729" s="99"/>
      <c r="AN729" s="149">
        <v>0</v>
      </c>
      <c r="AO729" s="149">
        <v>1</v>
      </c>
      <c r="AP729" s="149">
        <v>1</v>
      </c>
      <c r="AQ729" s="149">
        <v>0</v>
      </c>
      <c r="AR729" s="149">
        <v>0</v>
      </c>
      <c r="AS729" s="149">
        <v>0</v>
      </c>
      <c r="AT729" s="149">
        <v>0</v>
      </c>
      <c r="AU729" s="149">
        <v>0</v>
      </c>
      <c r="AV729" s="149">
        <v>1</v>
      </c>
      <c r="AW729" s="149">
        <v>1</v>
      </c>
      <c r="AX729" s="149">
        <v>0</v>
      </c>
      <c r="AY729" s="149">
        <v>0</v>
      </c>
      <c r="AZ729" s="149">
        <v>0</v>
      </c>
      <c r="BA729" s="149">
        <v>0</v>
      </c>
      <c r="BB729" s="149">
        <v>0</v>
      </c>
      <c r="BC729" s="149">
        <v>0</v>
      </c>
      <c r="BD729" s="149">
        <v>0</v>
      </c>
      <c r="BE729" s="149">
        <v>0</v>
      </c>
      <c r="BF729" s="149">
        <v>0</v>
      </c>
      <c r="BG729" s="149">
        <v>0</v>
      </c>
      <c r="BH729" s="149">
        <v>0</v>
      </c>
      <c r="BI729" s="149">
        <v>0</v>
      </c>
      <c r="BJ729" s="149">
        <v>0</v>
      </c>
      <c r="BK729" s="149">
        <v>0</v>
      </c>
      <c r="BL729" s="149">
        <v>0</v>
      </c>
      <c r="BM729" s="149">
        <v>0</v>
      </c>
      <c r="BN729" s="149">
        <v>0</v>
      </c>
      <c r="BO729" s="149">
        <v>0</v>
      </c>
      <c r="BP729" s="152"/>
      <c r="BQ729" s="152"/>
      <c r="BR729" s="154" t="s">
        <v>359</v>
      </c>
      <c r="BS729" s="136">
        <v>15</v>
      </c>
      <c r="BT729" s="267"/>
      <c r="BU729" s="267">
        <f>M729/4</f>
        <v>0.5</v>
      </c>
      <c r="BV729" s="267">
        <f t="shared" si="100"/>
        <v>0.5</v>
      </c>
      <c r="BW729" s="267">
        <f t="shared" si="101"/>
        <v>0.5</v>
      </c>
      <c r="BX729" s="267">
        <f t="shared" si="102"/>
        <v>0.5</v>
      </c>
      <c r="BY729" s="267"/>
      <c r="BZ729" s="267"/>
      <c r="CA729" s="267"/>
      <c r="CB729" s="267"/>
      <c r="CC729" s="267"/>
      <c r="CD729" s="267"/>
      <c r="CE729" s="267"/>
      <c r="CF729" s="267"/>
      <c r="CG729" s="267"/>
      <c r="CH729" s="267"/>
      <c r="CI729" s="267"/>
      <c r="CJ729" s="267"/>
      <c r="CK729" s="267"/>
      <c r="CL729" s="267"/>
      <c r="CM729" s="267"/>
      <c r="CN729" s="101">
        <f t="shared" si="97"/>
        <v>2</v>
      </c>
      <c r="CO729" s="101">
        <f t="shared" si="98"/>
        <v>2</v>
      </c>
    </row>
    <row r="730" spans="1:93" ht="13.9" customHeight="1" x14ac:dyDescent="0.2">
      <c r="A730" s="149">
        <v>4565</v>
      </c>
      <c r="B730" s="150" t="s">
        <v>1216</v>
      </c>
      <c r="C730" s="150" t="s">
        <v>2068</v>
      </c>
      <c r="D730" s="150" t="s">
        <v>2069</v>
      </c>
      <c r="E730" s="150" t="s">
        <v>326</v>
      </c>
      <c r="F730" s="149">
        <v>525828</v>
      </c>
      <c r="G730" s="149">
        <v>173035</v>
      </c>
      <c r="H730" s="150" t="s">
        <v>169</v>
      </c>
      <c r="I730" s="151"/>
      <c r="J730" s="151"/>
      <c r="K730" s="149">
        <v>1</v>
      </c>
      <c r="L730" s="149">
        <v>3</v>
      </c>
      <c r="M730" s="149">
        <v>2</v>
      </c>
      <c r="N730" s="149">
        <v>3</v>
      </c>
      <c r="O730" s="149">
        <v>2</v>
      </c>
      <c r="P730" s="152"/>
      <c r="Q730" s="150" t="s">
        <v>2070</v>
      </c>
      <c r="R730" s="150" t="s">
        <v>349</v>
      </c>
      <c r="S730" s="151">
        <v>44656</v>
      </c>
      <c r="T730" s="151">
        <v>44775</v>
      </c>
      <c r="U730" s="152"/>
      <c r="V730" s="150" t="s">
        <v>330</v>
      </c>
      <c r="W730" s="151"/>
      <c r="X730" s="150" t="s">
        <v>331</v>
      </c>
      <c r="Y730" s="150" t="s">
        <v>343</v>
      </c>
      <c r="Z730" s="150" t="s">
        <v>334</v>
      </c>
      <c r="AA730" s="150" t="s">
        <v>363</v>
      </c>
      <c r="AB730" s="153">
        <v>6.0000000000000001E-3</v>
      </c>
      <c r="AC730" s="151"/>
      <c r="AD730" s="150"/>
      <c r="AE730" s="151"/>
      <c r="AF730" s="150" t="s">
        <v>70</v>
      </c>
      <c r="AG730" s="152" t="s">
        <v>337</v>
      </c>
      <c r="AH730" s="150" t="s">
        <v>326</v>
      </c>
      <c r="AI730" s="99"/>
      <c r="AJ730" s="149"/>
      <c r="AK730" s="99"/>
      <c r="AL730" s="149"/>
      <c r="AM730" s="99"/>
      <c r="AN730" s="149">
        <v>0</v>
      </c>
      <c r="AO730" s="149">
        <v>1</v>
      </c>
      <c r="AP730" s="149">
        <v>1</v>
      </c>
      <c r="AQ730" s="149">
        <v>0</v>
      </c>
      <c r="AR730" s="149">
        <v>0</v>
      </c>
      <c r="AS730" s="149">
        <v>0</v>
      </c>
      <c r="AT730" s="149">
        <v>0</v>
      </c>
      <c r="AU730" s="149">
        <v>0</v>
      </c>
      <c r="AV730" s="149">
        <v>1</v>
      </c>
      <c r="AW730" s="149">
        <v>1</v>
      </c>
      <c r="AX730" s="149">
        <v>0</v>
      </c>
      <c r="AY730" s="149">
        <v>0</v>
      </c>
      <c r="AZ730" s="149">
        <v>0</v>
      </c>
      <c r="BA730" s="149">
        <v>0</v>
      </c>
      <c r="BB730" s="149">
        <v>0</v>
      </c>
      <c r="BC730" s="149">
        <v>0</v>
      </c>
      <c r="BD730" s="149">
        <v>0</v>
      </c>
      <c r="BE730" s="149">
        <v>0</v>
      </c>
      <c r="BF730" s="149">
        <v>0</v>
      </c>
      <c r="BG730" s="149">
        <v>0</v>
      </c>
      <c r="BH730" s="149">
        <v>0</v>
      </c>
      <c r="BI730" s="149">
        <v>0</v>
      </c>
      <c r="BJ730" s="149">
        <v>0</v>
      </c>
      <c r="BK730" s="149">
        <v>0</v>
      </c>
      <c r="BL730" s="149">
        <v>0</v>
      </c>
      <c r="BM730" s="149">
        <v>0</v>
      </c>
      <c r="BN730" s="149">
        <v>0</v>
      </c>
      <c r="BO730" s="149">
        <v>0</v>
      </c>
      <c r="BP730" s="152"/>
      <c r="BQ730" s="152"/>
      <c r="BR730" s="154" t="s">
        <v>151</v>
      </c>
      <c r="BS730" s="136">
        <v>7</v>
      </c>
      <c r="BT730" s="267"/>
      <c r="BU730" s="267"/>
      <c r="BV730" s="267">
        <f t="shared" si="100"/>
        <v>0.5</v>
      </c>
      <c r="BW730" s="267">
        <f t="shared" si="101"/>
        <v>0.5</v>
      </c>
      <c r="BX730" s="267">
        <f t="shared" si="102"/>
        <v>0.5</v>
      </c>
      <c r="BY730" s="267">
        <f>M730/4</f>
        <v>0.5</v>
      </c>
      <c r="BZ730" s="267"/>
      <c r="CA730" s="267"/>
      <c r="CB730" s="267"/>
      <c r="CC730" s="267"/>
      <c r="CD730" s="267"/>
      <c r="CE730" s="267"/>
      <c r="CF730" s="267"/>
      <c r="CG730" s="267"/>
      <c r="CH730" s="267"/>
      <c r="CI730" s="267"/>
      <c r="CJ730" s="267"/>
      <c r="CK730" s="267"/>
      <c r="CL730" s="267"/>
      <c r="CM730" s="267"/>
      <c r="CN730" s="101">
        <f t="shared" si="97"/>
        <v>2</v>
      </c>
      <c r="CO730" s="101">
        <f t="shared" si="98"/>
        <v>2</v>
      </c>
    </row>
    <row r="731" spans="1:93" ht="13.9" customHeight="1" x14ac:dyDescent="0.2">
      <c r="A731" s="149">
        <v>7680</v>
      </c>
      <c r="B731" s="150" t="s">
        <v>1216</v>
      </c>
      <c r="C731" s="150" t="s">
        <v>2071</v>
      </c>
      <c r="D731" s="150" t="s">
        <v>2072</v>
      </c>
      <c r="E731" s="150" t="s">
        <v>326</v>
      </c>
      <c r="F731" s="149">
        <v>526540</v>
      </c>
      <c r="G731" s="149">
        <v>175023</v>
      </c>
      <c r="H731" s="150" t="s">
        <v>177</v>
      </c>
      <c r="I731" s="151"/>
      <c r="J731" s="151"/>
      <c r="K731" s="149">
        <v>0</v>
      </c>
      <c r="L731" s="149">
        <v>8</v>
      </c>
      <c r="M731" s="149">
        <v>8</v>
      </c>
      <c r="N731" s="149">
        <v>8</v>
      </c>
      <c r="O731" s="149">
        <v>8</v>
      </c>
      <c r="P731" s="152"/>
      <c r="Q731" s="150" t="s">
        <v>2073</v>
      </c>
      <c r="R731" s="150" t="s">
        <v>349</v>
      </c>
      <c r="S731" s="151">
        <v>44651</v>
      </c>
      <c r="T731" s="151">
        <v>44706</v>
      </c>
      <c r="U731" s="152"/>
      <c r="V731" s="150" t="s">
        <v>330</v>
      </c>
      <c r="W731" s="151"/>
      <c r="X731" s="150" t="s">
        <v>331</v>
      </c>
      <c r="Y731" s="150" t="s">
        <v>398</v>
      </c>
      <c r="Z731" s="150" t="s">
        <v>334</v>
      </c>
      <c r="AA731" s="150" t="s">
        <v>29</v>
      </c>
      <c r="AB731" s="153">
        <v>1.1950000000000001E-2</v>
      </c>
      <c r="AC731" s="151"/>
      <c r="AD731" s="150"/>
      <c r="AE731" s="151"/>
      <c r="AF731" s="150" t="s">
        <v>70</v>
      </c>
      <c r="AG731" s="152" t="s">
        <v>352</v>
      </c>
      <c r="AH731" s="150" t="s">
        <v>326</v>
      </c>
      <c r="AI731" s="99"/>
      <c r="AJ731" s="149"/>
      <c r="AK731" s="138">
        <v>8</v>
      </c>
      <c r="AL731" s="149"/>
      <c r="AM731" s="99"/>
      <c r="AN731" s="149">
        <v>0</v>
      </c>
      <c r="AO731" s="149">
        <v>5</v>
      </c>
      <c r="AP731" s="149">
        <v>3</v>
      </c>
      <c r="AQ731" s="149">
        <v>0</v>
      </c>
      <c r="AR731" s="149">
        <v>0</v>
      </c>
      <c r="AS731" s="149">
        <v>0</v>
      </c>
      <c r="AT731" s="149">
        <v>0</v>
      </c>
      <c r="AU731" s="149">
        <v>0</v>
      </c>
      <c r="AV731" s="149">
        <v>5</v>
      </c>
      <c r="AW731" s="149">
        <v>3</v>
      </c>
      <c r="AX731" s="149">
        <v>0</v>
      </c>
      <c r="AY731" s="149">
        <v>0</v>
      </c>
      <c r="AZ731" s="149">
        <v>0</v>
      </c>
      <c r="BA731" s="149">
        <v>0</v>
      </c>
      <c r="BB731" s="149">
        <v>0</v>
      </c>
      <c r="BC731" s="149">
        <v>0</v>
      </c>
      <c r="BD731" s="149">
        <v>0</v>
      </c>
      <c r="BE731" s="149">
        <v>0</v>
      </c>
      <c r="BF731" s="149">
        <v>0</v>
      </c>
      <c r="BG731" s="149">
        <v>0</v>
      </c>
      <c r="BH731" s="149">
        <v>0</v>
      </c>
      <c r="BI731" s="149">
        <v>0</v>
      </c>
      <c r="BJ731" s="149">
        <v>0</v>
      </c>
      <c r="BK731" s="149">
        <v>0</v>
      </c>
      <c r="BL731" s="149">
        <v>0</v>
      </c>
      <c r="BM731" s="149">
        <v>0</v>
      </c>
      <c r="BN731" s="149">
        <v>0</v>
      </c>
      <c r="BO731" s="149">
        <v>0</v>
      </c>
      <c r="BP731" s="152"/>
      <c r="BQ731" s="152"/>
      <c r="BR731" s="154" t="s">
        <v>359</v>
      </c>
      <c r="BS731" s="136">
        <v>18</v>
      </c>
      <c r="BT731" s="267"/>
      <c r="BU731" s="267">
        <f t="shared" ref="BU731:BU736" si="103">M731/4</f>
        <v>2</v>
      </c>
      <c r="BV731" s="267">
        <f t="shared" si="100"/>
        <v>2</v>
      </c>
      <c r="BW731" s="267">
        <f t="shared" si="101"/>
        <v>2</v>
      </c>
      <c r="BX731" s="267">
        <f t="shared" si="102"/>
        <v>2</v>
      </c>
      <c r="BY731" s="267"/>
      <c r="BZ731" s="267"/>
      <c r="CA731" s="267"/>
      <c r="CB731" s="267"/>
      <c r="CC731" s="267"/>
      <c r="CD731" s="267"/>
      <c r="CE731" s="267"/>
      <c r="CF731" s="267"/>
      <c r="CG731" s="267"/>
      <c r="CH731" s="267"/>
      <c r="CI731" s="267"/>
      <c r="CJ731" s="267"/>
      <c r="CK731" s="267"/>
      <c r="CL731" s="267"/>
      <c r="CM731" s="267"/>
      <c r="CN731" s="101">
        <f t="shared" si="97"/>
        <v>8</v>
      </c>
      <c r="CO731" s="101">
        <f t="shared" si="98"/>
        <v>8</v>
      </c>
    </row>
    <row r="732" spans="1:93" ht="13.9" customHeight="1" x14ac:dyDescent="0.2">
      <c r="A732" s="149">
        <v>7822</v>
      </c>
      <c r="B732" s="150" t="s">
        <v>1216</v>
      </c>
      <c r="C732" s="150" t="s">
        <v>2074</v>
      </c>
      <c r="D732" s="150" t="s">
        <v>2075</v>
      </c>
      <c r="E732" s="150" t="s">
        <v>326</v>
      </c>
      <c r="F732" s="149">
        <v>528706</v>
      </c>
      <c r="G732" s="149">
        <v>172468</v>
      </c>
      <c r="H732" s="150" t="s">
        <v>168</v>
      </c>
      <c r="I732" s="151"/>
      <c r="J732" s="151"/>
      <c r="K732" s="149">
        <v>1</v>
      </c>
      <c r="L732" s="149">
        <v>6</v>
      </c>
      <c r="M732" s="149">
        <v>5</v>
      </c>
      <c r="N732" s="149">
        <v>6</v>
      </c>
      <c r="O732" s="149">
        <v>5</v>
      </c>
      <c r="P732" s="152"/>
      <c r="Q732" s="150" t="s">
        <v>2076</v>
      </c>
      <c r="R732" s="150" t="s">
        <v>349</v>
      </c>
      <c r="S732" s="151">
        <v>44655</v>
      </c>
      <c r="T732" s="151">
        <v>44771</v>
      </c>
      <c r="U732" s="152"/>
      <c r="V732" s="150" t="s">
        <v>330</v>
      </c>
      <c r="W732" s="151"/>
      <c r="X732" s="150" t="s">
        <v>331</v>
      </c>
      <c r="Y732" s="150" t="s">
        <v>398</v>
      </c>
      <c r="Z732" s="150" t="s">
        <v>334</v>
      </c>
      <c r="AA732" s="150" t="s">
        <v>16</v>
      </c>
      <c r="AB732" s="153">
        <v>1.7000000000000001E-2</v>
      </c>
      <c r="AC732" s="151"/>
      <c r="AD732" s="150"/>
      <c r="AE732" s="151"/>
      <c r="AF732" s="150" t="s">
        <v>70</v>
      </c>
      <c r="AG732" s="152" t="s">
        <v>352</v>
      </c>
      <c r="AH732" s="150" t="s">
        <v>326</v>
      </c>
      <c r="AI732" s="99"/>
      <c r="AJ732" s="149"/>
      <c r="AK732" s="102"/>
      <c r="AL732" s="149"/>
      <c r="AM732" s="99"/>
      <c r="AN732" s="149">
        <v>0</v>
      </c>
      <c r="AO732" s="149">
        <v>1</v>
      </c>
      <c r="AP732" s="149">
        <v>2</v>
      </c>
      <c r="AQ732" s="149">
        <v>3</v>
      </c>
      <c r="AR732" s="149">
        <v>0</v>
      </c>
      <c r="AS732" s="149">
        <v>-1</v>
      </c>
      <c r="AT732" s="149">
        <v>0</v>
      </c>
      <c r="AU732" s="149">
        <v>0</v>
      </c>
      <c r="AV732" s="149">
        <v>1</v>
      </c>
      <c r="AW732" s="149">
        <v>2</v>
      </c>
      <c r="AX732" s="149">
        <v>3</v>
      </c>
      <c r="AY732" s="149">
        <v>0</v>
      </c>
      <c r="AZ732" s="149">
        <v>0</v>
      </c>
      <c r="BA732" s="149">
        <v>0</v>
      </c>
      <c r="BB732" s="149">
        <v>0</v>
      </c>
      <c r="BC732" s="149">
        <v>0</v>
      </c>
      <c r="BD732" s="149">
        <v>0</v>
      </c>
      <c r="BE732" s="149">
        <v>0</v>
      </c>
      <c r="BF732" s="149">
        <v>0</v>
      </c>
      <c r="BG732" s="149">
        <v>-1</v>
      </c>
      <c r="BH732" s="149">
        <v>0</v>
      </c>
      <c r="BI732" s="149">
        <v>0</v>
      </c>
      <c r="BJ732" s="149">
        <v>0</v>
      </c>
      <c r="BK732" s="149">
        <v>0</v>
      </c>
      <c r="BL732" s="149">
        <v>0</v>
      </c>
      <c r="BM732" s="149">
        <v>0</v>
      </c>
      <c r="BN732" s="149">
        <v>0</v>
      </c>
      <c r="BO732" s="149">
        <v>0</v>
      </c>
      <c r="BP732" s="152"/>
      <c r="BQ732" s="152"/>
      <c r="BR732" s="154" t="s">
        <v>359</v>
      </c>
      <c r="BS732" s="136">
        <v>18</v>
      </c>
      <c r="BT732" s="267"/>
      <c r="BU732" s="267">
        <f t="shared" si="103"/>
        <v>1.25</v>
      </c>
      <c r="BV732" s="267">
        <f t="shared" si="100"/>
        <v>1.25</v>
      </c>
      <c r="BW732" s="267">
        <f t="shared" si="101"/>
        <v>1.25</v>
      </c>
      <c r="BX732" s="267">
        <f t="shared" si="102"/>
        <v>1.25</v>
      </c>
      <c r="BY732" s="267"/>
      <c r="BZ732" s="267"/>
      <c r="CA732" s="267"/>
      <c r="CB732" s="267"/>
      <c r="CC732" s="267"/>
      <c r="CD732" s="267"/>
      <c r="CE732" s="267"/>
      <c r="CF732" s="267"/>
      <c r="CG732" s="267"/>
      <c r="CH732" s="267"/>
      <c r="CI732" s="267"/>
      <c r="CJ732" s="267"/>
      <c r="CK732" s="267"/>
      <c r="CL732" s="267"/>
      <c r="CM732" s="267"/>
      <c r="CN732" s="101">
        <f t="shared" si="97"/>
        <v>5</v>
      </c>
      <c r="CO732" s="101">
        <f t="shared" si="98"/>
        <v>5</v>
      </c>
    </row>
    <row r="733" spans="1:93" ht="13.9" customHeight="1" x14ac:dyDescent="0.2">
      <c r="A733" s="149">
        <v>7729</v>
      </c>
      <c r="B733" s="150" t="s">
        <v>1216</v>
      </c>
      <c r="C733" s="150" t="s">
        <v>2077</v>
      </c>
      <c r="D733" s="150" t="s">
        <v>2066</v>
      </c>
      <c r="E733" s="150" t="s">
        <v>326</v>
      </c>
      <c r="F733" s="149">
        <v>527446</v>
      </c>
      <c r="G733" s="149">
        <v>173267</v>
      </c>
      <c r="H733" s="150" t="s">
        <v>174</v>
      </c>
      <c r="I733" s="151"/>
      <c r="J733" s="151"/>
      <c r="K733" s="149">
        <v>0</v>
      </c>
      <c r="L733" s="149">
        <v>1</v>
      </c>
      <c r="M733" s="149">
        <v>1</v>
      </c>
      <c r="N733" s="149">
        <v>1</v>
      </c>
      <c r="O733" s="149">
        <v>1</v>
      </c>
      <c r="P733" s="152"/>
      <c r="Q733" s="150" t="s">
        <v>2078</v>
      </c>
      <c r="R733" s="150" t="s">
        <v>349</v>
      </c>
      <c r="S733" s="151">
        <v>44664</v>
      </c>
      <c r="T733" s="151">
        <v>44720</v>
      </c>
      <c r="U733" s="152"/>
      <c r="V733" s="150" t="s">
        <v>330</v>
      </c>
      <c r="W733" s="151"/>
      <c r="X733" s="150" t="s">
        <v>331</v>
      </c>
      <c r="Y733" s="150" t="s">
        <v>398</v>
      </c>
      <c r="Z733" s="150" t="s">
        <v>334</v>
      </c>
      <c r="AA733" s="150" t="s">
        <v>26</v>
      </c>
      <c r="AB733" s="153">
        <v>8.0000000000000002E-3</v>
      </c>
      <c r="AC733" s="151"/>
      <c r="AD733" s="150"/>
      <c r="AE733" s="151"/>
      <c r="AF733" s="150" t="s">
        <v>70</v>
      </c>
      <c r="AG733" s="152" t="s">
        <v>352</v>
      </c>
      <c r="AH733" s="150" t="s">
        <v>326</v>
      </c>
      <c r="AI733" s="99"/>
      <c r="AJ733" s="149"/>
      <c r="AK733" s="99"/>
      <c r="AL733" s="149"/>
      <c r="AM733" s="99"/>
      <c r="AN733" s="149">
        <v>0</v>
      </c>
      <c r="AO733" s="149">
        <v>0</v>
      </c>
      <c r="AP733" s="149">
        <v>1</v>
      </c>
      <c r="AQ733" s="149">
        <v>0</v>
      </c>
      <c r="AR733" s="149">
        <v>0</v>
      </c>
      <c r="AS733" s="149">
        <v>0</v>
      </c>
      <c r="AT733" s="149">
        <v>0</v>
      </c>
      <c r="AU733" s="149">
        <v>0</v>
      </c>
      <c r="AV733" s="149">
        <v>0</v>
      </c>
      <c r="AW733" s="149">
        <v>1</v>
      </c>
      <c r="AX733" s="149">
        <v>0</v>
      </c>
      <c r="AY733" s="149">
        <v>0</v>
      </c>
      <c r="AZ733" s="149">
        <v>0</v>
      </c>
      <c r="BA733" s="149">
        <v>0</v>
      </c>
      <c r="BB733" s="149">
        <v>0</v>
      </c>
      <c r="BC733" s="149">
        <v>0</v>
      </c>
      <c r="BD733" s="149">
        <v>0</v>
      </c>
      <c r="BE733" s="149">
        <v>0</v>
      </c>
      <c r="BF733" s="149">
        <v>0</v>
      </c>
      <c r="BG733" s="149">
        <v>0</v>
      </c>
      <c r="BH733" s="149">
        <v>0</v>
      </c>
      <c r="BI733" s="149">
        <v>0</v>
      </c>
      <c r="BJ733" s="149">
        <v>0</v>
      </c>
      <c r="BK733" s="149">
        <v>0</v>
      </c>
      <c r="BL733" s="149">
        <v>0</v>
      </c>
      <c r="BM733" s="149">
        <v>0</v>
      </c>
      <c r="BN733" s="149">
        <v>0</v>
      </c>
      <c r="BO733" s="149">
        <v>0</v>
      </c>
      <c r="BP733" s="152"/>
      <c r="BQ733" s="152"/>
      <c r="BR733" s="154" t="s">
        <v>359</v>
      </c>
      <c r="BS733" s="136">
        <v>15</v>
      </c>
      <c r="BT733" s="267"/>
      <c r="BU733" s="267">
        <f t="shared" si="103"/>
        <v>0.25</v>
      </c>
      <c r="BV733" s="267">
        <f t="shared" si="100"/>
        <v>0.25</v>
      </c>
      <c r="BW733" s="267">
        <f t="shared" si="101"/>
        <v>0.25</v>
      </c>
      <c r="BX733" s="267">
        <f t="shared" si="102"/>
        <v>0.25</v>
      </c>
      <c r="BY733" s="267"/>
      <c r="BZ733" s="267"/>
      <c r="CA733" s="267"/>
      <c r="CB733" s="267"/>
      <c r="CC733" s="267"/>
      <c r="CD733" s="267"/>
      <c r="CE733" s="267"/>
      <c r="CF733" s="267"/>
      <c r="CG733" s="267"/>
      <c r="CH733" s="267"/>
      <c r="CI733" s="267"/>
      <c r="CJ733" s="267"/>
      <c r="CK733" s="267"/>
      <c r="CL733" s="267"/>
      <c r="CM733" s="267"/>
      <c r="CN733" s="101">
        <f t="shared" si="97"/>
        <v>1</v>
      </c>
      <c r="CO733" s="101">
        <f t="shared" si="98"/>
        <v>1</v>
      </c>
    </row>
    <row r="734" spans="1:93" ht="13.9" customHeight="1" x14ac:dyDescent="0.2">
      <c r="A734" s="149">
        <v>7824</v>
      </c>
      <c r="B734" s="150" t="s">
        <v>1216</v>
      </c>
      <c r="C734" s="150" t="s">
        <v>2079</v>
      </c>
      <c r="D734" s="150" t="s">
        <v>2080</v>
      </c>
      <c r="E734" s="150" t="s">
        <v>326</v>
      </c>
      <c r="F734" s="149">
        <v>527774</v>
      </c>
      <c r="G734" s="149">
        <v>175242</v>
      </c>
      <c r="H734" s="150" t="s">
        <v>164</v>
      </c>
      <c r="I734" s="151"/>
      <c r="J734" s="151"/>
      <c r="K734" s="149">
        <v>2</v>
      </c>
      <c r="L734" s="149">
        <v>1</v>
      </c>
      <c r="M734" s="149">
        <v>-1</v>
      </c>
      <c r="N734" s="149">
        <v>1</v>
      </c>
      <c r="O734" s="149">
        <v>-1</v>
      </c>
      <c r="P734" s="152"/>
      <c r="Q734" s="150" t="s">
        <v>2081</v>
      </c>
      <c r="R734" s="150" t="s">
        <v>349</v>
      </c>
      <c r="S734" s="151">
        <v>44652</v>
      </c>
      <c r="T734" s="151">
        <v>44718</v>
      </c>
      <c r="U734" s="152"/>
      <c r="V734" s="150" t="s">
        <v>330</v>
      </c>
      <c r="W734" s="151"/>
      <c r="X734" s="150" t="s">
        <v>331</v>
      </c>
      <c r="Y734" s="150" t="s">
        <v>398</v>
      </c>
      <c r="Z734" s="150" t="s">
        <v>334</v>
      </c>
      <c r="AA734" s="150" t="s">
        <v>18</v>
      </c>
      <c r="AB734" s="153">
        <v>6.1500000000000001E-3</v>
      </c>
      <c r="AC734" s="151"/>
      <c r="AD734" s="150"/>
      <c r="AE734" s="151"/>
      <c r="AF734" s="150" t="s">
        <v>70</v>
      </c>
      <c r="AG734" s="152" t="s">
        <v>352</v>
      </c>
      <c r="AH734" s="150" t="s">
        <v>326</v>
      </c>
      <c r="AI734" s="99"/>
      <c r="AJ734" s="149"/>
      <c r="AK734" s="99"/>
      <c r="AL734" s="149"/>
      <c r="AM734" s="99"/>
      <c r="AN734" s="149">
        <v>0</v>
      </c>
      <c r="AO734" s="149">
        <v>-1</v>
      </c>
      <c r="AP734" s="149">
        <v>-1</v>
      </c>
      <c r="AQ734" s="149">
        <v>0</v>
      </c>
      <c r="AR734" s="149">
        <v>0</v>
      </c>
      <c r="AS734" s="149">
        <v>1</v>
      </c>
      <c r="AT734" s="149">
        <v>0</v>
      </c>
      <c r="AU734" s="149">
        <v>0</v>
      </c>
      <c r="AV734" s="149">
        <v>-1</v>
      </c>
      <c r="AW734" s="149">
        <v>-1</v>
      </c>
      <c r="AX734" s="149">
        <v>0</v>
      </c>
      <c r="AY734" s="149">
        <v>0</v>
      </c>
      <c r="AZ734" s="149">
        <v>0</v>
      </c>
      <c r="BA734" s="149">
        <v>0</v>
      </c>
      <c r="BB734" s="149">
        <v>0</v>
      </c>
      <c r="BC734" s="149">
        <v>0</v>
      </c>
      <c r="BD734" s="149">
        <v>0</v>
      </c>
      <c r="BE734" s="149">
        <v>0</v>
      </c>
      <c r="BF734" s="149">
        <v>0</v>
      </c>
      <c r="BG734" s="149">
        <v>1</v>
      </c>
      <c r="BH734" s="149">
        <v>0</v>
      </c>
      <c r="BI734" s="149">
        <v>0</v>
      </c>
      <c r="BJ734" s="149">
        <v>0</v>
      </c>
      <c r="BK734" s="149">
        <v>0</v>
      </c>
      <c r="BL734" s="149">
        <v>0</v>
      </c>
      <c r="BM734" s="149">
        <v>0</v>
      </c>
      <c r="BN734" s="149">
        <v>0</v>
      </c>
      <c r="BO734" s="149">
        <v>0</v>
      </c>
      <c r="BP734" s="152"/>
      <c r="BQ734" s="152"/>
      <c r="BR734" s="154" t="s">
        <v>148</v>
      </c>
      <c r="BS734" s="136">
        <v>15</v>
      </c>
      <c r="BT734" s="267"/>
      <c r="BU734" s="267">
        <f t="shared" si="103"/>
        <v>-0.25</v>
      </c>
      <c r="BV734" s="267">
        <f t="shared" si="100"/>
        <v>-0.25</v>
      </c>
      <c r="BW734" s="267">
        <f t="shared" si="101"/>
        <v>-0.25</v>
      </c>
      <c r="BX734" s="267">
        <f t="shared" si="102"/>
        <v>-0.25</v>
      </c>
      <c r="BY734" s="267"/>
      <c r="BZ734" s="267"/>
      <c r="CA734" s="267"/>
      <c r="CB734" s="267"/>
      <c r="CC734" s="267"/>
      <c r="CD734" s="267"/>
      <c r="CE734" s="267"/>
      <c r="CF734" s="267"/>
      <c r="CG734" s="267"/>
      <c r="CH734" s="267"/>
      <c r="CI734" s="267"/>
      <c r="CJ734" s="267"/>
      <c r="CK734" s="267"/>
      <c r="CL734" s="267"/>
      <c r="CM734" s="267"/>
      <c r="CN734" s="101">
        <f t="shared" si="97"/>
        <v>-1</v>
      </c>
      <c r="CO734" s="101">
        <f t="shared" si="98"/>
        <v>-1</v>
      </c>
    </row>
    <row r="735" spans="1:93" ht="13.9" customHeight="1" x14ac:dyDescent="0.2">
      <c r="A735" s="149">
        <v>6952</v>
      </c>
      <c r="B735" s="150" t="s">
        <v>1216</v>
      </c>
      <c r="C735" s="150" t="s">
        <v>2082</v>
      </c>
      <c r="D735" s="150" t="s">
        <v>2083</v>
      </c>
      <c r="E735" s="150" t="s">
        <v>326</v>
      </c>
      <c r="F735" s="149">
        <v>522554</v>
      </c>
      <c r="G735" s="149">
        <v>175400</v>
      </c>
      <c r="H735" s="150" t="s">
        <v>179</v>
      </c>
      <c r="I735" s="151"/>
      <c r="J735" s="151"/>
      <c r="K735" s="149">
        <v>1</v>
      </c>
      <c r="L735" s="149">
        <v>1</v>
      </c>
      <c r="M735" s="149">
        <v>0</v>
      </c>
      <c r="N735" s="149">
        <v>1</v>
      </c>
      <c r="O735" s="149">
        <v>0</v>
      </c>
      <c r="P735" s="152"/>
      <c r="Q735" s="150" t="s">
        <v>2084</v>
      </c>
      <c r="R735" s="150" t="s">
        <v>349</v>
      </c>
      <c r="S735" s="151">
        <v>44684</v>
      </c>
      <c r="T735" s="151">
        <v>44740</v>
      </c>
      <c r="U735" s="152"/>
      <c r="V735" s="150" t="s">
        <v>330</v>
      </c>
      <c r="W735" s="151"/>
      <c r="X735" s="150" t="s">
        <v>331</v>
      </c>
      <c r="Y735" s="150" t="s">
        <v>398</v>
      </c>
      <c r="Z735" s="150" t="s">
        <v>334</v>
      </c>
      <c r="AA735" s="150" t="s">
        <v>399</v>
      </c>
      <c r="AB735" s="153">
        <v>8.9999999999999993E-3</v>
      </c>
      <c r="AC735" s="151"/>
      <c r="AD735" s="150"/>
      <c r="AE735" s="151"/>
      <c r="AF735" s="150" t="s">
        <v>70</v>
      </c>
      <c r="AG735" s="152" t="s">
        <v>352</v>
      </c>
      <c r="AH735" s="150" t="s">
        <v>326</v>
      </c>
      <c r="AI735" s="99"/>
      <c r="AJ735" s="149"/>
      <c r="AK735" s="99"/>
      <c r="AL735" s="149"/>
      <c r="AM735" s="99"/>
      <c r="AN735" s="149">
        <v>0</v>
      </c>
      <c r="AO735" s="149">
        <v>-1</v>
      </c>
      <c r="AP735" s="149">
        <v>0</v>
      </c>
      <c r="AQ735" s="149">
        <v>1</v>
      </c>
      <c r="AR735" s="149">
        <v>0</v>
      </c>
      <c r="AS735" s="149">
        <v>0</v>
      </c>
      <c r="AT735" s="149">
        <v>0</v>
      </c>
      <c r="AU735" s="149">
        <v>0</v>
      </c>
      <c r="AV735" s="149">
        <v>-1</v>
      </c>
      <c r="AW735" s="149">
        <v>0</v>
      </c>
      <c r="AX735" s="149">
        <v>1</v>
      </c>
      <c r="AY735" s="149">
        <v>0</v>
      </c>
      <c r="AZ735" s="149">
        <v>0</v>
      </c>
      <c r="BA735" s="149">
        <v>0</v>
      </c>
      <c r="BB735" s="149">
        <v>0</v>
      </c>
      <c r="BC735" s="149">
        <v>0</v>
      </c>
      <c r="BD735" s="149">
        <v>0</v>
      </c>
      <c r="BE735" s="149">
        <v>0</v>
      </c>
      <c r="BF735" s="149">
        <v>0</v>
      </c>
      <c r="BG735" s="149">
        <v>0</v>
      </c>
      <c r="BH735" s="149">
        <v>0</v>
      </c>
      <c r="BI735" s="149">
        <v>0</v>
      </c>
      <c r="BJ735" s="149">
        <v>0</v>
      </c>
      <c r="BK735" s="149">
        <v>0</v>
      </c>
      <c r="BL735" s="149">
        <v>0</v>
      </c>
      <c r="BM735" s="149">
        <v>0</v>
      </c>
      <c r="BN735" s="149">
        <v>0</v>
      </c>
      <c r="BO735" s="149">
        <v>0</v>
      </c>
      <c r="BP735" s="152"/>
      <c r="BQ735" s="152"/>
      <c r="BR735" s="154" t="s">
        <v>359</v>
      </c>
      <c r="BS735" s="136">
        <v>15</v>
      </c>
      <c r="BT735" s="267"/>
      <c r="BU735" s="267">
        <f t="shared" si="103"/>
        <v>0</v>
      </c>
      <c r="BV735" s="267">
        <f t="shared" si="100"/>
        <v>0</v>
      </c>
      <c r="BW735" s="267">
        <f t="shared" si="101"/>
        <v>0</v>
      </c>
      <c r="BX735" s="267">
        <f t="shared" si="102"/>
        <v>0</v>
      </c>
      <c r="BY735" s="267"/>
      <c r="BZ735" s="267"/>
      <c r="CA735" s="267"/>
      <c r="CB735" s="267"/>
      <c r="CC735" s="267"/>
      <c r="CD735" s="267"/>
      <c r="CE735" s="267"/>
      <c r="CF735" s="267"/>
      <c r="CG735" s="267"/>
      <c r="CH735" s="267"/>
      <c r="CI735" s="267"/>
      <c r="CJ735" s="267"/>
      <c r="CK735" s="267"/>
      <c r="CL735" s="267"/>
      <c r="CM735" s="267"/>
      <c r="CN735" s="101">
        <f t="shared" si="97"/>
        <v>0</v>
      </c>
      <c r="CO735" s="101">
        <f t="shared" si="98"/>
        <v>0</v>
      </c>
    </row>
    <row r="736" spans="1:93" ht="13.9" customHeight="1" x14ac:dyDescent="0.2">
      <c r="A736" s="149">
        <v>7830</v>
      </c>
      <c r="B736" s="150" t="s">
        <v>1216</v>
      </c>
      <c r="C736" s="150" t="s">
        <v>2085</v>
      </c>
      <c r="D736" s="150" t="s">
        <v>2086</v>
      </c>
      <c r="E736" s="150" t="s">
        <v>326</v>
      </c>
      <c r="F736" s="149">
        <v>528791</v>
      </c>
      <c r="G736" s="149">
        <v>176757</v>
      </c>
      <c r="H736" s="150" t="s">
        <v>167</v>
      </c>
      <c r="I736" s="151"/>
      <c r="J736" s="151"/>
      <c r="K736" s="149">
        <v>1</v>
      </c>
      <c r="L736" s="149">
        <v>1</v>
      </c>
      <c r="M736" s="149">
        <v>0</v>
      </c>
      <c r="N736" s="149">
        <v>1</v>
      </c>
      <c r="O736" s="149">
        <v>0</v>
      </c>
      <c r="P736" s="152"/>
      <c r="Q736" s="150" t="s">
        <v>2087</v>
      </c>
      <c r="R736" s="150" t="s">
        <v>349</v>
      </c>
      <c r="S736" s="151">
        <v>44705</v>
      </c>
      <c r="T736" s="151">
        <v>44819</v>
      </c>
      <c r="U736" s="152"/>
      <c r="V736" s="150" t="s">
        <v>330</v>
      </c>
      <c r="W736" s="151"/>
      <c r="X736" s="150" t="s">
        <v>331</v>
      </c>
      <c r="Y736" s="150" t="s">
        <v>398</v>
      </c>
      <c r="Z736" s="150" t="s">
        <v>334</v>
      </c>
      <c r="AA736" s="150" t="s">
        <v>16</v>
      </c>
      <c r="AB736" s="153">
        <v>3.725E-3</v>
      </c>
      <c r="AC736" s="151"/>
      <c r="AD736" s="150"/>
      <c r="AE736" s="151"/>
      <c r="AF736" s="150" t="s">
        <v>70</v>
      </c>
      <c r="AG736" s="152" t="s">
        <v>337</v>
      </c>
      <c r="AH736" s="150" t="s">
        <v>326</v>
      </c>
      <c r="AI736" s="99"/>
      <c r="AJ736" s="149"/>
      <c r="AK736" s="99"/>
      <c r="AL736" s="149"/>
      <c r="AM736" s="99"/>
      <c r="AN736" s="149">
        <v>0</v>
      </c>
      <c r="AO736" s="149">
        <v>0</v>
      </c>
      <c r="AP736" s="149">
        <v>0</v>
      </c>
      <c r="AQ736" s="149">
        <v>0</v>
      </c>
      <c r="AR736" s="149">
        <v>-1</v>
      </c>
      <c r="AS736" s="149">
        <v>1</v>
      </c>
      <c r="AT736" s="149">
        <v>0</v>
      </c>
      <c r="AU736" s="149">
        <v>0</v>
      </c>
      <c r="AV736" s="149">
        <v>0</v>
      </c>
      <c r="AW736" s="149">
        <v>0</v>
      </c>
      <c r="AX736" s="149">
        <v>0</v>
      </c>
      <c r="AY736" s="149">
        <v>0</v>
      </c>
      <c r="AZ736" s="149">
        <v>1</v>
      </c>
      <c r="BA736" s="149">
        <v>0</v>
      </c>
      <c r="BB736" s="149">
        <v>0</v>
      </c>
      <c r="BC736" s="149">
        <v>0</v>
      </c>
      <c r="BD736" s="149">
        <v>0</v>
      </c>
      <c r="BE736" s="149">
        <v>0</v>
      </c>
      <c r="BF736" s="149">
        <v>-1</v>
      </c>
      <c r="BG736" s="149">
        <v>0</v>
      </c>
      <c r="BH736" s="149">
        <v>0</v>
      </c>
      <c r="BI736" s="149">
        <v>0</v>
      </c>
      <c r="BJ736" s="149">
        <v>0</v>
      </c>
      <c r="BK736" s="149">
        <v>0</v>
      </c>
      <c r="BL736" s="149">
        <v>0</v>
      </c>
      <c r="BM736" s="149">
        <v>0</v>
      </c>
      <c r="BN736" s="149">
        <v>0</v>
      </c>
      <c r="BO736" s="149">
        <v>0</v>
      </c>
      <c r="BP736" s="152"/>
      <c r="BQ736" s="152"/>
      <c r="BR736" s="154" t="s">
        <v>149</v>
      </c>
      <c r="BS736" s="136">
        <v>15</v>
      </c>
      <c r="BT736" s="267"/>
      <c r="BU736" s="267">
        <f t="shared" si="103"/>
        <v>0</v>
      </c>
      <c r="BV736" s="267">
        <f t="shared" si="100"/>
        <v>0</v>
      </c>
      <c r="BW736" s="267">
        <f t="shared" si="101"/>
        <v>0</v>
      </c>
      <c r="BX736" s="267">
        <f t="shared" si="102"/>
        <v>0</v>
      </c>
      <c r="BY736" s="267"/>
      <c r="BZ736" s="267"/>
      <c r="CA736" s="267"/>
      <c r="CB736" s="267"/>
      <c r="CC736" s="267"/>
      <c r="CD736" s="267"/>
      <c r="CE736" s="267"/>
      <c r="CF736" s="267"/>
      <c r="CG736" s="267"/>
      <c r="CH736" s="267"/>
      <c r="CI736" s="267"/>
      <c r="CJ736" s="267"/>
      <c r="CK736" s="267"/>
      <c r="CL736" s="267"/>
      <c r="CM736" s="267"/>
      <c r="CN736" s="101">
        <f t="shared" si="97"/>
        <v>0</v>
      </c>
      <c r="CO736" s="101">
        <f t="shared" si="98"/>
        <v>0</v>
      </c>
    </row>
    <row r="737" spans="1:93" ht="13.9" customHeight="1" x14ac:dyDescent="0.2">
      <c r="A737" s="149">
        <v>7833</v>
      </c>
      <c r="B737" s="150" t="s">
        <v>1216</v>
      </c>
      <c r="C737" s="150" t="s">
        <v>2088</v>
      </c>
      <c r="D737" s="150" t="s">
        <v>2089</v>
      </c>
      <c r="E737" s="150" t="s">
        <v>326</v>
      </c>
      <c r="F737" s="149">
        <v>522849</v>
      </c>
      <c r="G737" s="149">
        <v>175561</v>
      </c>
      <c r="H737" s="150" t="s">
        <v>171</v>
      </c>
      <c r="I737" s="151"/>
      <c r="J737" s="151"/>
      <c r="K737" s="149">
        <v>1</v>
      </c>
      <c r="L737" s="149">
        <v>1</v>
      </c>
      <c r="M737" s="149">
        <v>0</v>
      </c>
      <c r="N737" s="149">
        <v>1</v>
      </c>
      <c r="O737" s="149">
        <v>0</v>
      </c>
      <c r="P737" s="152"/>
      <c r="Q737" s="150" t="s">
        <v>2090</v>
      </c>
      <c r="R737" s="150" t="s">
        <v>349</v>
      </c>
      <c r="S737" s="151">
        <v>44704</v>
      </c>
      <c r="T737" s="151">
        <v>44915</v>
      </c>
      <c r="U737" s="152"/>
      <c r="V737" s="150" t="s">
        <v>330</v>
      </c>
      <c r="W737" s="151"/>
      <c r="X737" s="150" t="s">
        <v>331</v>
      </c>
      <c r="Y737" s="150" t="s">
        <v>343</v>
      </c>
      <c r="Z737" s="150" t="s">
        <v>334</v>
      </c>
      <c r="AA737" s="150" t="s">
        <v>363</v>
      </c>
      <c r="AB737" s="153">
        <v>7.0000000000000001E-3</v>
      </c>
      <c r="AC737" s="151"/>
      <c r="AD737" s="150"/>
      <c r="AE737" s="151"/>
      <c r="AF737" s="150" t="s">
        <v>70</v>
      </c>
      <c r="AG737" s="152" t="s">
        <v>352</v>
      </c>
      <c r="AH737" s="150" t="s">
        <v>326</v>
      </c>
      <c r="AI737" s="99"/>
      <c r="AJ737" s="149"/>
      <c r="AK737" s="99"/>
      <c r="AL737" s="149"/>
      <c r="AM737" s="99"/>
      <c r="AN737" s="149">
        <v>0</v>
      </c>
      <c r="AO737" s="149">
        <v>0</v>
      </c>
      <c r="AP737" s="149">
        <v>0</v>
      </c>
      <c r="AQ737" s="149">
        <v>0</v>
      </c>
      <c r="AR737" s="149">
        <v>0</v>
      </c>
      <c r="AS737" s="149">
        <v>0</v>
      </c>
      <c r="AT737" s="149">
        <v>0</v>
      </c>
      <c r="AU737" s="149">
        <v>0</v>
      </c>
      <c r="AV737" s="149">
        <v>0</v>
      </c>
      <c r="AW737" s="149">
        <v>0</v>
      </c>
      <c r="AX737" s="149">
        <v>0</v>
      </c>
      <c r="AY737" s="149">
        <v>0</v>
      </c>
      <c r="AZ737" s="149">
        <v>0</v>
      </c>
      <c r="BA737" s="149">
        <v>0</v>
      </c>
      <c r="BB737" s="149">
        <v>0</v>
      </c>
      <c r="BC737" s="149">
        <v>0</v>
      </c>
      <c r="BD737" s="149">
        <v>0</v>
      </c>
      <c r="BE737" s="149">
        <v>0</v>
      </c>
      <c r="BF737" s="149">
        <v>0</v>
      </c>
      <c r="BG737" s="149">
        <v>0</v>
      </c>
      <c r="BH737" s="149">
        <v>0</v>
      </c>
      <c r="BI737" s="149">
        <v>0</v>
      </c>
      <c r="BJ737" s="149">
        <v>0</v>
      </c>
      <c r="BK737" s="149">
        <v>0</v>
      </c>
      <c r="BL737" s="149">
        <v>0</v>
      </c>
      <c r="BM737" s="149">
        <v>0</v>
      </c>
      <c r="BN737" s="149">
        <v>0</v>
      </c>
      <c r="BO737" s="149">
        <v>0</v>
      </c>
      <c r="BP737" s="152"/>
      <c r="BQ737" s="152"/>
      <c r="BR737" s="154" t="s">
        <v>359</v>
      </c>
      <c r="BS737" s="136">
        <v>7</v>
      </c>
      <c r="BT737" s="267"/>
      <c r="BU737" s="267"/>
      <c r="BV737" s="267">
        <f t="shared" si="100"/>
        <v>0</v>
      </c>
      <c r="BW737" s="267">
        <f t="shared" si="101"/>
        <v>0</v>
      </c>
      <c r="BX737" s="267">
        <f t="shared" si="102"/>
        <v>0</v>
      </c>
      <c r="BY737" s="267">
        <f>M737/4</f>
        <v>0</v>
      </c>
      <c r="BZ737" s="267"/>
      <c r="CA737" s="267"/>
      <c r="CB737" s="267"/>
      <c r="CC737" s="267"/>
      <c r="CD737" s="267"/>
      <c r="CE737" s="267"/>
      <c r="CF737" s="267"/>
      <c r="CG737" s="267"/>
      <c r="CH737" s="267"/>
      <c r="CI737" s="267"/>
      <c r="CJ737" s="267"/>
      <c r="CK737" s="267"/>
      <c r="CL737" s="267"/>
      <c r="CM737" s="267"/>
      <c r="CN737" s="101">
        <f t="shared" si="97"/>
        <v>0</v>
      </c>
      <c r="CO737" s="101">
        <f t="shared" si="98"/>
        <v>0</v>
      </c>
    </row>
    <row r="738" spans="1:93" ht="13.9" customHeight="1" x14ac:dyDescent="0.2">
      <c r="A738" s="149">
        <v>7839</v>
      </c>
      <c r="B738" s="150" t="s">
        <v>1216</v>
      </c>
      <c r="C738" s="150" t="s">
        <v>2091</v>
      </c>
      <c r="D738" s="150" t="s">
        <v>2092</v>
      </c>
      <c r="E738" s="150" t="s">
        <v>326</v>
      </c>
      <c r="F738" s="149">
        <v>528345</v>
      </c>
      <c r="G738" s="149">
        <v>175748</v>
      </c>
      <c r="H738" s="150" t="s">
        <v>167</v>
      </c>
      <c r="I738" s="151"/>
      <c r="J738" s="151"/>
      <c r="K738" s="149">
        <v>0</v>
      </c>
      <c r="L738" s="149">
        <v>1</v>
      </c>
      <c r="M738" s="149">
        <v>1</v>
      </c>
      <c r="N738" s="149">
        <v>1</v>
      </c>
      <c r="O738" s="149">
        <v>1</v>
      </c>
      <c r="P738" s="152"/>
      <c r="Q738" s="150" t="s">
        <v>2093</v>
      </c>
      <c r="R738" s="150" t="s">
        <v>349</v>
      </c>
      <c r="S738" s="151">
        <v>44678</v>
      </c>
      <c r="T738" s="151">
        <v>44788</v>
      </c>
      <c r="U738" s="152"/>
      <c r="V738" s="150" t="s">
        <v>330</v>
      </c>
      <c r="W738" s="151"/>
      <c r="X738" s="150" t="s">
        <v>331</v>
      </c>
      <c r="Y738" s="150" t="s">
        <v>398</v>
      </c>
      <c r="Z738" s="150" t="s">
        <v>334</v>
      </c>
      <c r="AA738" s="150" t="s">
        <v>32</v>
      </c>
      <c r="AB738" s="153">
        <v>4.4000000000000003E-3</v>
      </c>
      <c r="AC738" s="151"/>
      <c r="AD738" s="150"/>
      <c r="AE738" s="151"/>
      <c r="AF738" s="150" t="s">
        <v>70</v>
      </c>
      <c r="AG738" s="152" t="s">
        <v>337</v>
      </c>
      <c r="AH738" s="150" t="s">
        <v>326</v>
      </c>
      <c r="AI738" s="99"/>
      <c r="AJ738" s="149"/>
      <c r="AK738" s="99"/>
      <c r="AL738" s="149"/>
      <c r="AM738" s="99"/>
      <c r="AN738" s="149">
        <v>0</v>
      </c>
      <c r="AO738" s="149">
        <v>0</v>
      </c>
      <c r="AP738" s="149">
        <v>1</v>
      </c>
      <c r="AQ738" s="149">
        <v>0</v>
      </c>
      <c r="AR738" s="149">
        <v>0</v>
      </c>
      <c r="AS738" s="149">
        <v>0</v>
      </c>
      <c r="AT738" s="149">
        <v>0</v>
      </c>
      <c r="AU738" s="149">
        <v>0</v>
      </c>
      <c r="AV738" s="149">
        <v>0</v>
      </c>
      <c r="AW738" s="149">
        <v>1</v>
      </c>
      <c r="AX738" s="149">
        <v>0</v>
      </c>
      <c r="AY738" s="149">
        <v>0</v>
      </c>
      <c r="AZ738" s="149">
        <v>0</v>
      </c>
      <c r="BA738" s="149">
        <v>0</v>
      </c>
      <c r="BB738" s="149">
        <v>0</v>
      </c>
      <c r="BC738" s="149">
        <v>0</v>
      </c>
      <c r="BD738" s="149">
        <v>0</v>
      </c>
      <c r="BE738" s="149">
        <v>0</v>
      </c>
      <c r="BF738" s="149">
        <v>0</v>
      </c>
      <c r="BG738" s="149">
        <v>0</v>
      </c>
      <c r="BH738" s="149">
        <v>0</v>
      </c>
      <c r="BI738" s="149">
        <v>0</v>
      </c>
      <c r="BJ738" s="149">
        <v>0</v>
      </c>
      <c r="BK738" s="149">
        <v>0</v>
      </c>
      <c r="BL738" s="149">
        <v>0</v>
      </c>
      <c r="BM738" s="149">
        <v>0</v>
      </c>
      <c r="BN738" s="149">
        <v>0</v>
      </c>
      <c r="BO738" s="149">
        <v>0</v>
      </c>
      <c r="BP738" s="152"/>
      <c r="BQ738" s="152"/>
      <c r="BR738" s="154" t="s">
        <v>359</v>
      </c>
      <c r="BS738" s="136">
        <v>15</v>
      </c>
      <c r="BT738" s="267"/>
      <c r="BU738" s="267">
        <f>M738/4</f>
        <v>0.25</v>
      </c>
      <c r="BV738" s="267">
        <f t="shared" si="100"/>
        <v>0.25</v>
      </c>
      <c r="BW738" s="267">
        <f t="shared" si="101"/>
        <v>0.25</v>
      </c>
      <c r="BX738" s="267">
        <f t="shared" si="102"/>
        <v>0.25</v>
      </c>
      <c r="BY738" s="267"/>
      <c r="BZ738" s="267"/>
      <c r="CA738" s="267"/>
      <c r="CB738" s="267"/>
      <c r="CC738" s="267"/>
      <c r="CD738" s="267"/>
      <c r="CE738" s="267"/>
      <c r="CF738" s="267"/>
      <c r="CG738" s="267"/>
      <c r="CH738" s="267"/>
      <c r="CI738" s="267"/>
      <c r="CJ738" s="267"/>
      <c r="CK738" s="267"/>
      <c r="CL738" s="267"/>
      <c r="CM738" s="267"/>
      <c r="CN738" s="101">
        <f t="shared" si="97"/>
        <v>1</v>
      </c>
      <c r="CO738" s="101">
        <f t="shared" si="98"/>
        <v>1</v>
      </c>
    </row>
    <row r="739" spans="1:93" ht="13.9" customHeight="1" x14ac:dyDescent="0.2">
      <c r="A739" s="149">
        <v>7840</v>
      </c>
      <c r="B739" s="150" t="s">
        <v>1216</v>
      </c>
      <c r="C739" s="150" t="s">
        <v>2094</v>
      </c>
      <c r="D739" s="150" t="s">
        <v>2095</v>
      </c>
      <c r="E739" s="150" t="s">
        <v>326</v>
      </c>
      <c r="F739" s="149">
        <v>523441</v>
      </c>
      <c r="G739" s="149">
        <v>175272</v>
      </c>
      <c r="H739" s="150" t="s">
        <v>179</v>
      </c>
      <c r="I739" s="151">
        <v>45230</v>
      </c>
      <c r="J739" s="151"/>
      <c r="K739" s="149">
        <v>0</v>
      </c>
      <c r="L739" s="149">
        <v>1</v>
      </c>
      <c r="M739" s="149">
        <v>1</v>
      </c>
      <c r="N739" s="149">
        <v>1</v>
      </c>
      <c r="O739" s="149">
        <v>1</v>
      </c>
      <c r="P739" s="152"/>
      <c r="Q739" s="150" t="s">
        <v>2096</v>
      </c>
      <c r="R739" s="150" t="s">
        <v>329</v>
      </c>
      <c r="S739" s="151">
        <v>44740</v>
      </c>
      <c r="T739" s="151">
        <v>44916</v>
      </c>
      <c r="U739" s="152"/>
      <c r="V739" s="150" t="s">
        <v>330</v>
      </c>
      <c r="W739" s="151"/>
      <c r="X739" s="150" t="s">
        <v>331</v>
      </c>
      <c r="Y739" s="150" t="s">
        <v>350</v>
      </c>
      <c r="Z739" s="150" t="s">
        <v>334</v>
      </c>
      <c r="AA739" s="150" t="s">
        <v>18</v>
      </c>
      <c r="AB739" s="153">
        <v>1.17E-2</v>
      </c>
      <c r="AC739" s="151"/>
      <c r="AD739" s="150"/>
      <c r="AE739" s="151"/>
      <c r="AF739" s="150" t="s">
        <v>70</v>
      </c>
      <c r="AG739" s="152" t="s">
        <v>352</v>
      </c>
      <c r="AH739" s="150" t="s">
        <v>326</v>
      </c>
      <c r="AI739" s="99"/>
      <c r="AJ739" s="149"/>
      <c r="AK739" s="99"/>
      <c r="AL739" s="149"/>
      <c r="AM739" s="99"/>
      <c r="AN739" s="149">
        <v>0</v>
      </c>
      <c r="AO739" s="149">
        <v>0</v>
      </c>
      <c r="AP739" s="149">
        <v>0</v>
      </c>
      <c r="AQ739" s="149">
        <v>0</v>
      </c>
      <c r="AR739" s="149">
        <v>0</v>
      </c>
      <c r="AS739" s="149">
        <v>1</v>
      </c>
      <c r="AT739" s="149">
        <v>0</v>
      </c>
      <c r="AU739" s="149">
        <v>0</v>
      </c>
      <c r="AV739" s="149">
        <v>0</v>
      </c>
      <c r="AW739" s="149">
        <v>0</v>
      </c>
      <c r="AX739" s="149">
        <v>0</v>
      </c>
      <c r="AY739" s="149">
        <v>0</v>
      </c>
      <c r="AZ739" s="149">
        <v>0</v>
      </c>
      <c r="BA739" s="149">
        <v>0</v>
      </c>
      <c r="BB739" s="149">
        <v>0</v>
      </c>
      <c r="BC739" s="149">
        <v>0</v>
      </c>
      <c r="BD739" s="149">
        <v>0</v>
      </c>
      <c r="BE739" s="149">
        <v>0</v>
      </c>
      <c r="BF739" s="149">
        <v>0</v>
      </c>
      <c r="BG739" s="149">
        <v>1</v>
      </c>
      <c r="BH739" s="149">
        <v>0</v>
      </c>
      <c r="BI739" s="149">
        <v>0</v>
      </c>
      <c r="BJ739" s="149">
        <v>0</v>
      </c>
      <c r="BK739" s="149">
        <v>0</v>
      </c>
      <c r="BL739" s="149">
        <v>0</v>
      </c>
      <c r="BM739" s="149">
        <v>0</v>
      </c>
      <c r="BN739" s="149">
        <v>0</v>
      </c>
      <c r="BO739" s="149">
        <v>0</v>
      </c>
      <c r="BP739" s="152"/>
      <c r="BQ739" s="152"/>
      <c r="BR739" s="154" t="s">
        <v>359</v>
      </c>
      <c r="BS739" s="136">
        <v>15</v>
      </c>
      <c r="BT739" s="267"/>
      <c r="BU739" s="267">
        <f>M739/4</f>
        <v>0.25</v>
      </c>
      <c r="BV739" s="267">
        <f t="shared" si="100"/>
        <v>0.25</v>
      </c>
      <c r="BW739" s="267">
        <f t="shared" si="101"/>
        <v>0.25</v>
      </c>
      <c r="BX739" s="267">
        <f t="shared" si="102"/>
        <v>0.25</v>
      </c>
      <c r="BY739" s="267"/>
      <c r="BZ739" s="267"/>
      <c r="CA739" s="267"/>
      <c r="CB739" s="267"/>
      <c r="CC739" s="267"/>
      <c r="CD739" s="267"/>
      <c r="CE739" s="267"/>
      <c r="CF739" s="267"/>
      <c r="CG739" s="267"/>
      <c r="CH739" s="267"/>
      <c r="CI739" s="267"/>
      <c r="CJ739" s="267"/>
      <c r="CK739" s="267"/>
      <c r="CL739" s="267"/>
      <c r="CM739" s="267"/>
      <c r="CN739" s="101">
        <f t="shared" si="97"/>
        <v>1</v>
      </c>
      <c r="CO739" s="101">
        <f t="shared" si="98"/>
        <v>1</v>
      </c>
    </row>
    <row r="740" spans="1:93" ht="13.9" customHeight="1" x14ac:dyDescent="0.2">
      <c r="A740" s="149">
        <v>7838</v>
      </c>
      <c r="B740" s="150" t="s">
        <v>1216</v>
      </c>
      <c r="C740" s="150" t="s">
        <v>2097</v>
      </c>
      <c r="D740" s="150" t="s">
        <v>2098</v>
      </c>
      <c r="E740" s="150" t="s">
        <v>2099</v>
      </c>
      <c r="F740" s="149">
        <v>522109</v>
      </c>
      <c r="G740" s="149">
        <v>173890</v>
      </c>
      <c r="H740" s="150" t="s">
        <v>166</v>
      </c>
      <c r="I740" s="151"/>
      <c r="J740" s="151"/>
      <c r="K740" s="149">
        <v>0</v>
      </c>
      <c r="L740" s="149">
        <v>1</v>
      </c>
      <c r="M740" s="149">
        <v>1</v>
      </c>
      <c r="N740" s="149">
        <v>3</v>
      </c>
      <c r="O740" s="149">
        <v>3</v>
      </c>
      <c r="P740" s="152"/>
      <c r="Q740" s="150" t="s">
        <v>2100</v>
      </c>
      <c r="R740" s="150" t="s">
        <v>2101</v>
      </c>
      <c r="S740" s="151">
        <v>44686</v>
      </c>
      <c r="T740" s="151">
        <v>44812</v>
      </c>
      <c r="U740" s="152"/>
      <c r="V740" s="150" t="s">
        <v>330</v>
      </c>
      <c r="W740" s="151"/>
      <c r="X740" s="150" t="s">
        <v>331</v>
      </c>
      <c r="Y740" s="150" t="s">
        <v>343</v>
      </c>
      <c r="Z740" s="150" t="s">
        <v>334</v>
      </c>
      <c r="AA740" s="150" t="s">
        <v>363</v>
      </c>
      <c r="AB740" s="153">
        <v>4.0000000000000001E-3</v>
      </c>
      <c r="AC740" s="151"/>
      <c r="AD740" s="150"/>
      <c r="AE740" s="151"/>
      <c r="AF740" s="150" t="s">
        <v>70</v>
      </c>
      <c r="AG740" s="152" t="s">
        <v>352</v>
      </c>
      <c r="AH740" s="150" t="s">
        <v>326</v>
      </c>
      <c r="AI740" s="99"/>
      <c r="AJ740" s="149"/>
      <c r="AK740" s="99"/>
      <c r="AL740" s="149"/>
      <c r="AM740" s="99"/>
      <c r="AN740" s="149">
        <v>0</v>
      </c>
      <c r="AO740" s="149">
        <v>0</v>
      </c>
      <c r="AP740" s="149">
        <v>0</v>
      </c>
      <c r="AQ740" s="149">
        <v>0</v>
      </c>
      <c r="AR740" s="149">
        <v>0</v>
      </c>
      <c r="AS740" s="149">
        <v>0</v>
      </c>
      <c r="AT740" s="149">
        <v>1</v>
      </c>
      <c r="AU740" s="149">
        <v>0</v>
      </c>
      <c r="AV740" s="149">
        <v>0</v>
      </c>
      <c r="AW740" s="149">
        <v>0</v>
      </c>
      <c r="AX740" s="149">
        <v>0</v>
      </c>
      <c r="AY740" s="149">
        <v>0</v>
      </c>
      <c r="AZ740" s="149">
        <v>0</v>
      </c>
      <c r="BA740" s="149">
        <v>0</v>
      </c>
      <c r="BB740" s="149">
        <v>0</v>
      </c>
      <c r="BC740" s="149">
        <v>0</v>
      </c>
      <c r="BD740" s="149">
        <v>0</v>
      </c>
      <c r="BE740" s="149">
        <v>0</v>
      </c>
      <c r="BF740" s="149">
        <v>0</v>
      </c>
      <c r="BG740" s="149">
        <v>0</v>
      </c>
      <c r="BH740" s="149">
        <v>1</v>
      </c>
      <c r="BI740" s="149">
        <v>0</v>
      </c>
      <c r="BJ740" s="149">
        <v>0</v>
      </c>
      <c r="BK740" s="149">
        <v>0</v>
      </c>
      <c r="BL740" s="149">
        <v>0</v>
      </c>
      <c r="BM740" s="149">
        <v>0</v>
      </c>
      <c r="BN740" s="149">
        <v>0</v>
      </c>
      <c r="BO740" s="149">
        <v>0</v>
      </c>
      <c r="BP740" s="152"/>
      <c r="BQ740" s="152"/>
      <c r="BR740" s="154" t="s">
        <v>150</v>
      </c>
      <c r="BS740" s="136">
        <v>7</v>
      </c>
      <c r="BT740" s="267"/>
      <c r="BU740" s="267"/>
      <c r="BV740" s="267">
        <f t="shared" si="100"/>
        <v>0.25</v>
      </c>
      <c r="BW740" s="267">
        <f t="shared" si="101"/>
        <v>0.25</v>
      </c>
      <c r="BX740" s="267">
        <f t="shared" si="102"/>
        <v>0.25</v>
      </c>
      <c r="BY740" s="267">
        <f>M740/4</f>
        <v>0.25</v>
      </c>
      <c r="BZ740" s="267"/>
      <c r="CA740" s="267"/>
      <c r="CB740" s="267"/>
      <c r="CC740" s="267"/>
      <c r="CD740" s="267"/>
      <c r="CE740" s="267"/>
      <c r="CF740" s="267"/>
      <c r="CG740" s="267"/>
      <c r="CH740" s="267"/>
      <c r="CI740" s="267"/>
      <c r="CJ740" s="267"/>
      <c r="CK740" s="267"/>
      <c r="CL740" s="267"/>
      <c r="CM740" s="267"/>
      <c r="CN740" s="101">
        <f t="shared" si="97"/>
        <v>1</v>
      </c>
      <c r="CO740" s="101">
        <f t="shared" si="98"/>
        <v>1</v>
      </c>
    </row>
    <row r="741" spans="1:93" ht="13.9" customHeight="1" x14ac:dyDescent="0.2">
      <c r="A741" s="149">
        <v>7838</v>
      </c>
      <c r="B741" s="150" t="s">
        <v>1216</v>
      </c>
      <c r="C741" s="150" t="s">
        <v>2097</v>
      </c>
      <c r="D741" s="150" t="s">
        <v>2098</v>
      </c>
      <c r="E741" s="150" t="s">
        <v>2102</v>
      </c>
      <c r="F741" s="149">
        <v>522109</v>
      </c>
      <c r="G741" s="149">
        <v>173890</v>
      </c>
      <c r="H741" s="150" t="s">
        <v>166</v>
      </c>
      <c r="I741" s="151"/>
      <c r="J741" s="151"/>
      <c r="K741" s="149">
        <v>0</v>
      </c>
      <c r="L741" s="149">
        <v>1</v>
      </c>
      <c r="M741" s="149">
        <v>1</v>
      </c>
      <c r="N741" s="149">
        <v>3</v>
      </c>
      <c r="O741" s="149">
        <v>3</v>
      </c>
      <c r="P741" s="152"/>
      <c r="Q741" s="150" t="s">
        <v>2100</v>
      </c>
      <c r="R741" s="150" t="s">
        <v>2101</v>
      </c>
      <c r="S741" s="151">
        <v>44686</v>
      </c>
      <c r="T741" s="151">
        <v>44812</v>
      </c>
      <c r="U741" s="152"/>
      <c r="V741" s="150" t="s">
        <v>330</v>
      </c>
      <c r="W741" s="151"/>
      <c r="X741" s="150" t="s">
        <v>331</v>
      </c>
      <c r="Y741" s="150" t="s">
        <v>343</v>
      </c>
      <c r="Z741" s="150" t="s">
        <v>334</v>
      </c>
      <c r="AA741" s="150" t="s">
        <v>363</v>
      </c>
      <c r="AB741" s="153">
        <v>4.0000000000000001E-3</v>
      </c>
      <c r="AC741" s="151"/>
      <c r="AD741" s="150"/>
      <c r="AE741" s="151"/>
      <c r="AF741" s="150" t="s">
        <v>70</v>
      </c>
      <c r="AG741" s="152" t="s">
        <v>352</v>
      </c>
      <c r="AH741" s="150" t="s">
        <v>326</v>
      </c>
      <c r="AI741" s="99"/>
      <c r="AJ741" s="149"/>
      <c r="AK741" s="99"/>
      <c r="AL741" s="149"/>
      <c r="AM741" s="99"/>
      <c r="AN741" s="149">
        <v>0</v>
      </c>
      <c r="AO741" s="149">
        <v>0</v>
      </c>
      <c r="AP741" s="149">
        <v>0</v>
      </c>
      <c r="AQ741" s="149">
        <v>0</v>
      </c>
      <c r="AR741" s="149">
        <v>0</v>
      </c>
      <c r="AS741" s="149">
        <v>0</v>
      </c>
      <c r="AT741" s="149">
        <v>1</v>
      </c>
      <c r="AU741" s="149">
        <v>0</v>
      </c>
      <c r="AV741" s="149">
        <v>0</v>
      </c>
      <c r="AW741" s="149">
        <v>0</v>
      </c>
      <c r="AX741" s="149">
        <v>0</v>
      </c>
      <c r="AY741" s="149">
        <v>0</v>
      </c>
      <c r="AZ741" s="149">
        <v>0</v>
      </c>
      <c r="BA741" s="149">
        <v>0</v>
      </c>
      <c r="BB741" s="149">
        <v>0</v>
      </c>
      <c r="BC741" s="149">
        <v>0</v>
      </c>
      <c r="BD741" s="149">
        <v>0</v>
      </c>
      <c r="BE741" s="149">
        <v>0</v>
      </c>
      <c r="BF741" s="149">
        <v>0</v>
      </c>
      <c r="BG741" s="149">
        <v>0</v>
      </c>
      <c r="BH741" s="149">
        <v>1</v>
      </c>
      <c r="BI741" s="149">
        <v>0</v>
      </c>
      <c r="BJ741" s="149">
        <v>0</v>
      </c>
      <c r="BK741" s="149">
        <v>0</v>
      </c>
      <c r="BL741" s="149">
        <v>0</v>
      </c>
      <c r="BM741" s="149">
        <v>0</v>
      </c>
      <c r="BN741" s="149">
        <v>0</v>
      </c>
      <c r="BO741" s="149">
        <v>0</v>
      </c>
      <c r="BP741" s="152"/>
      <c r="BQ741" s="152"/>
      <c r="BR741" s="154" t="s">
        <v>150</v>
      </c>
      <c r="BS741" s="136">
        <v>7</v>
      </c>
      <c r="BT741" s="267"/>
      <c r="BU741" s="267"/>
      <c r="BV741" s="267">
        <f t="shared" si="100"/>
        <v>0.25</v>
      </c>
      <c r="BW741" s="267">
        <f t="shared" si="101"/>
        <v>0.25</v>
      </c>
      <c r="BX741" s="267">
        <f t="shared" si="102"/>
        <v>0.25</v>
      </c>
      <c r="BY741" s="267">
        <f>M741/4</f>
        <v>0.25</v>
      </c>
      <c r="BZ741" s="267"/>
      <c r="CA741" s="267"/>
      <c r="CB741" s="267"/>
      <c r="CC741" s="267"/>
      <c r="CD741" s="267"/>
      <c r="CE741" s="267"/>
      <c r="CF741" s="267"/>
      <c r="CG741" s="267"/>
      <c r="CH741" s="267"/>
      <c r="CI741" s="267"/>
      <c r="CJ741" s="267"/>
      <c r="CK741" s="267"/>
      <c r="CL741" s="267"/>
      <c r="CM741" s="267"/>
      <c r="CN741" s="101">
        <f t="shared" si="97"/>
        <v>1</v>
      </c>
      <c r="CO741" s="101">
        <f t="shared" si="98"/>
        <v>1</v>
      </c>
    </row>
    <row r="742" spans="1:93" ht="13.9" customHeight="1" x14ac:dyDescent="0.2">
      <c r="A742" s="149">
        <v>7838</v>
      </c>
      <c r="B742" s="150" t="s">
        <v>1216</v>
      </c>
      <c r="C742" s="150" t="s">
        <v>2097</v>
      </c>
      <c r="D742" s="150" t="s">
        <v>2098</v>
      </c>
      <c r="E742" s="150" t="s">
        <v>2103</v>
      </c>
      <c r="F742" s="149">
        <v>522109</v>
      </c>
      <c r="G742" s="149">
        <v>173890</v>
      </c>
      <c r="H742" s="150" t="s">
        <v>166</v>
      </c>
      <c r="I742" s="151"/>
      <c r="J742" s="151"/>
      <c r="K742" s="149">
        <v>0</v>
      </c>
      <c r="L742" s="149">
        <v>1</v>
      </c>
      <c r="M742" s="149">
        <v>1</v>
      </c>
      <c r="N742" s="149">
        <v>3</v>
      </c>
      <c r="O742" s="149">
        <v>3</v>
      </c>
      <c r="P742" s="152"/>
      <c r="Q742" s="150" t="s">
        <v>2100</v>
      </c>
      <c r="R742" s="150" t="s">
        <v>2101</v>
      </c>
      <c r="S742" s="151">
        <v>44686</v>
      </c>
      <c r="T742" s="151">
        <v>44812</v>
      </c>
      <c r="U742" s="152"/>
      <c r="V742" s="150" t="s">
        <v>330</v>
      </c>
      <c r="W742" s="151"/>
      <c r="X742" s="150" t="s">
        <v>331</v>
      </c>
      <c r="Y742" s="150" t="s">
        <v>343</v>
      </c>
      <c r="Z742" s="150" t="s">
        <v>334</v>
      </c>
      <c r="AA742" s="150" t="s">
        <v>363</v>
      </c>
      <c r="AB742" s="153">
        <v>4.0000000000000001E-3</v>
      </c>
      <c r="AC742" s="151"/>
      <c r="AD742" s="150"/>
      <c r="AE742" s="151"/>
      <c r="AF742" s="150" t="s">
        <v>70</v>
      </c>
      <c r="AG742" s="152" t="s">
        <v>352</v>
      </c>
      <c r="AH742" s="150" t="s">
        <v>326</v>
      </c>
      <c r="AI742" s="99"/>
      <c r="AJ742" s="149"/>
      <c r="AK742" s="99"/>
      <c r="AL742" s="149"/>
      <c r="AM742" s="99"/>
      <c r="AN742" s="149">
        <v>0</v>
      </c>
      <c r="AO742" s="149">
        <v>0</v>
      </c>
      <c r="AP742" s="149">
        <v>0</v>
      </c>
      <c r="AQ742" s="149">
        <v>0</v>
      </c>
      <c r="AR742" s="149">
        <v>0</v>
      </c>
      <c r="AS742" s="149">
        <v>0</v>
      </c>
      <c r="AT742" s="149">
        <v>1</v>
      </c>
      <c r="AU742" s="149">
        <v>0</v>
      </c>
      <c r="AV742" s="149">
        <v>0</v>
      </c>
      <c r="AW742" s="149">
        <v>0</v>
      </c>
      <c r="AX742" s="149">
        <v>0</v>
      </c>
      <c r="AY742" s="149">
        <v>0</v>
      </c>
      <c r="AZ742" s="149">
        <v>0</v>
      </c>
      <c r="BA742" s="149">
        <v>0</v>
      </c>
      <c r="BB742" s="149">
        <v>0</v>
      </c>
      <c r="BC742" s="149">
        <v>0</v>
      </c>
      <c r="BD742" s="149">
        <v>0</v>
      </c>
      <c r="BE742" s="149">
        <v>0</v>
      </c>
      <c r="BF742" s="149">
        <v>0</v>
      </c>
      <c r="BG742" s="149">
        <v>0</v>
      </c>
      <c r="BH742" s="149">
        <v>1</v>
      </c>
      <c r="BI742" s="149">
        <v>0</v>
      </c>
      <c r="BJ742" s="149">
        <v>0</v>
      </c>
      <c r="BK742" s="149">
        <v>0</v>
      </c>
      <c r="BL742" s="149">
        <v>0</v>
      </c>
      <c r="BM742" s="149">
        <v>0</v>
      </c>
      <c r="BN742" s="149">
        <v>0</v>
      </c>
      <c r="BO742" s="149">
        <v>0</v>
      </c>
      <c r="BP742" s="152"/>
      <c r="BQ742" s="152"/>
      <c r="BR742" s="154" t="s">
        <v>150</v>
      </c>
      <c r="BS742" s="136">
        <v>7</v>
      </c>
      <c r="BT742" s="267"/>
      <c r="BU742" s="267"/>
      <c r="BV742" s="267">
        <f t="shared" si="100"/>
        <v>0.25</v>
      </c>
      <c r="BW742" s="267">
        <f t="shared" si="101"/>
        <v>0.25</v>
      </c>
      <c r="BX742" s="267">
        <f t="shared" si="102"/>
        <v>0.25</v>
      </c>
      <c r="BY742" s="267">
        <f>M742/4</f>
        <v>0.25</v>
      </c>
      <c r="BZ742" s="267"/>
      <c r="CA742" s="267"/>
      <c r="CB742" s="267"/>
      <c r="CC742" s="267"/>
      <c r="CD742" s="267"/>
      <c r="CE742" s="267"/>
      <c r="CF742" s="267"/>
      <c r="CG742" s="267"/>
      <c r="CH742" s="267"/>
      <c r="CI742" s="267"/>
      <c r="CJ742" s="267"/>
      <c r="CK742" s="267"/>
      <c r="CL742" s="267"/>
      <c r="CM742" s="267"/>
      <c r="CN742" s="101">
        <f t="shared" si="97"/>
        <v>1</v>
      </c>
      <c r="CO742" s="101">
        <f t="shared" si="98"/>
        <v>1</v>
      </c>
    </row>
    <row r="743" spans="1:93" ht="13.9" customHeight="1" x14ac:dyDescent="0.2">
      <c r="A743" s="149">
        <v>2641</v>
      </c>
      <c r="B743" s="150" t="s">
        <v>1216</v>
      </c>
      <c r="C743" s="150" t="s">
        <v>2104</v>
      </c>
      <c r="D743" s="150" t="s">
        <v>2105</v>
      </c>
      <c r="E743" s="150" t="s">
        <v>326</v>
      </c>
      <c r="F743" s="149">
        <v>527902</v>
      </c>
      <c r="G743" s="149">
        <v>173411</v>
      </c>
      <c r="H743" s="150" t="s">
        <v>139</v>
      </c>
      <c r="I743" s="151"/>
      <c r="J743" s="151"/>
      <c r="K743" s="149">
        <v>0</v>
      </c>
      <c r="L743" s="149">
        <v>5</v>
      </c>
      <c r="M743" s="149">
        <v>5</v>
      </c>
      <c r="N743" s="149">
        <v>5</v>
      </c>
      <c r="O743" s="149">
        <v>5</v>
      </c>
      <c r="P743" s="152"/>
      <c r="Q743" s="150" t="s">
        <v>2106</v>
      </c>
      <c r="R743" s="150" t="s">
        <v>349</v>
      </c>
      <c r="S743" s="151">
        <v>44705</v>
      </c>
      <c r="T743" s="151">
        <v>44889</v>
      </c>
      <c r="U743" s="152"/>
      <c r="V743" s="150" t="s">
        <v>330</v>
      </c>
      <c r="W743" s="151"/>
      <c r="X743" s="150" t="s">
        <v>331</v>
      </c>
      <c r="Y743" s="150" t="s">
        <v>343</v>
      </c>
      <c r="Z743" s="150" t="s">
        <v>334</v>
      </c>
      <c r="AA743" s="150" t="s">
        <v>363</v>
      </c>
      <c r="AB743" s="153">
        <v>1.17333E-2</v>
      </c>
      <c r="AC743" s="151"/>
      <c r="AD743" s="150"/>
      <c r="AE743" s="151"/>
      <c r="AF743" s="150" t="s">
        <v>70</v>
      </c>
      <c r="AG743" s="152" t="s">
        <v>352</v>
      </c>
      <c r="AH743" s="150" t="s">
        <v>326</v>
      </c>
      <c r="AI743" s="99"/>
      <c r="AJ743" s="149"/>
      <c r="AK743" s="99"/>
      <c r="AL743" s="149"/>
      <c r="AM743" s="99"/>
      <c r="AN743" s="149">
        <v>0</v>
      </c>
      <c r="AO743" s="149">
        <v>2</v>
      </c>
      <c r="AP743" s="149">
        <v>2</v>
      </c>
      <c r="AQ743" s="149">
        <v>1</v>
      </c>
      <c r="AR743" s="149">
        <v>0</v>
      </c>
      <c r="AS743" s="149">
        <v>0</v>
      </c>
      <c r="AT743" s="149">
        <v>0</v>
      </c>
      <c r="AU743" s="149">
        <v>0</v>
      </c>
      <c r="AV743" s="149">
        <v>2</v>
      </c>
      <c r="AW743" s="149">
        <v>2</v>
      </c>
      <c r="AX743" s="149">
        <v>1</v>
      </c>
      <c r="AY743" s="149">
        <v>0</v>
      </c>
      <c r="AZ743" s="149">
        <v>0</v>
      </c>
      <c r="BA743" s="149">
        <v>0</v>
      </c>
      <c r="BB743" s="149">
        <v>0</v>
      </c>
      <c r="BC743" s="149">
        <v>0</v>
      </c>
      <c r="BD743" s="149">
        <v>0</v>
      </c>
      <c r="BE743" s="149">
        <v>0</v>
      </c>
      <c r="BF743" s="149">
        <v>0</v>
      </c>
      <c r="BG743" s="149">
        <v>0</v>
      </c>
      <c r="BH743" s="149">
        <v>0</v>
      </c>
      <c r="BI743" s="149">
        <v>0</v>
      </c>
      <c r="BJ743" s="149">
        <v>0</v>
      </c>
      <c r="BK743" s="149">
        <v>0</v>
      </c>
      <c r="BL743" s="149">
        <v>0</v>
      </c>
      <c r="BM743" s="149">
        <v>0</v>
      </c>
      <c r="BN743" s="149">
        <v>0</v>
      </c>
      <c r="BO743" s="149">
        <v>0</v>
      </c>
      <c r="BP743" s="152"/>
      <c r="BQ743" s="152"/>
      <c r="BR743" s="154" t="s">
        <v>359</v>
      </c>
      <c r="BS743" s="136">
        <v>7</v>
      </c>
      <c r="BT743" s="267"/>
      <c r="BU743" s="267"/>
      <c r="BV743" s="267">
        <f t="shared" si="100"/>
        <v>1.25</v>
      </c>
      <c r="BW743" s="267">
        <f t="shared" si="101"/>
        <v>1.25</v>
      </c>
      <c r="BX743" s="267">
        <f t="shared" si="102"/>
        <v>1.25</v>
      </c>
      <c r="BY743" s="267">
        <f>M743/4</f>
        <v>1.25</v>
      </c>
      <c r="BZ743" s="267"/>
      <c r="CA743" s="267"/>
      <c r="CB743" s="267"/>
      <c r="CC743" s="267"/>
      <c r="CD743" s="267"/>
      <c r="CE743" s="267"/>
      <c r="CF743" s="267"/>
      <c r="CG743" s="267"/>
      <c r="CH743" s="267"/>
      <c r="CI743" s="267"/>
      <c r="CJ743" s="267"/>
      <c r="CK743" s="267"/>
      <c r="CL743" s="267"/>
      <c r="CM743" s="267"/>
      <c r="CN743" s="101">
        <f t="shared" si="97"/>
        <v>5</v>
      </c>
      <c r="CO743" s="101">
        <f t="shared" si="98"/>
        <v>5</v>
      </c>
    </row>
    <row r="744" spans="1:93" ht="13.9" customHeight="1" x14ac:dyDescent="0.2">
      <c r="A744" s="149">
        <v>7832</v>
      </c>
      <c r="B744" s="150" t="s">
        <v>1216</v>
      </c>
      <c r="C744" s="150" t="s">
        <v>2107</v>
      </c>
      <c r="D744" s="150" t="s">
        <v>2108</v>
      </c>
      <c r="E744" s="150" t="s">
        <v>326</v>
      </c>
      <c r="F744" s="149">
        <v>526498</v>
      </c>
      <c r="G744" s="149">
        <v>174597</v>
      </c>
      <c r="H744" s="150" t="s">
        <v>177</v>
      </c>
      <c r="I744" s="151"/>
      <c r="J744" s="151"/>
      <c r="K744" s="149">
        <v>1</v>
      </c>
      <c r="L744" s="149">
        <v>3</v>
      </c>
      <c r="M744" s="149">
        <v>2</v>
      </c>
      <c r="N744" s="149">
        <v>3</v>
      </c>
      <c r="O744" s="149">
        <v>2</v>
      </c>
      <c r="P744" s="152"/>
      <c r="Q744" s="150" t="s">
        <v>2109</v>
      </c>
      <c r="R744" s="150" t="s">
        <v>349</v>
      </c>
      <c r="S744" s="151">
        <v>44686</v>
      </c>
      <c r="T744" s="151">
        <v>44750</v>
      </c>
      <c r="U744" s="152"/>
      <c r="V744" s="150" t="s">
        <v>330</v>
      </c>
      <c r="W744" s="151"/>
      <c r="X744" s="150" t="s">
        <v>331</v>
      </c>
      <c r="Y744" s="150" t="s">
        <v>350</v>
      </c>
      <c r="Z744" s="150" t="s">
        <v>334</v>
      </c>
      <c r="AA744" s="150" t="s">
        <v>351</v>
      </c>
      <c r="AB744" s="153">
        <v>5.6166599999999999E-3</v>
      </c>
      <c r="AC744" s="151"/>
      <c r="AD744" s="150"/>
      <c r="AE744" s="151"/>
      <c r="AF744" s="150" t="s">
        <v>70</v>
      </c>
      <c r="AG744" s="152" t="s">
        <v>337</v>
      </c>
      <c r="AH744" s="150" t="s">
        <v>326</v>
      </c>
      <c r="AI744" s="99"/>
      <c r="AJ744" s="149"/>
      <c r="AK744" s="99"/>
      <c r="AL744" s="149"/>
      <c r="AM744" s="99"/>
      <c r="AN744" s="149">
        <v>0</v>
      </c>
      <c r="AO744" s="149">
        <v>2</v>
      </c>
      <c r="AP744" s="149">
        <v>0</v>
      </c>
      <c r="AQ744" s="149">
        <v>1</v>
      </c>
      <c r="AR744" s="149">
        <v>0</v>
      </c>
      <c r="AS744" s="149">
        <v>-1</v>
      </c>
      <c r="AT744" s="149">
        <v>0</v>
      </c>
      <c r="AU744" s="149">
        <v>0</v>
      </c>
      <c r="AV744" s="149">
        <v>2</v>
      </c>
      <c r="AW744" s="149">
        <v>0</v>
      </c>
      <c r="AX744" s="149">
        <v>1</v>
      </c>
      <c r="AY744" s="149">
        <v>0</v>
      </c>
      <c r="AZ744" s="149">
        <v>-1</v>
      </c>
      <c r="BA744" s="149">
        <v>0</v>
      </c>
      <c r="BB744" s="149">
        <v>0</v>
      </c>
      <c r="BC744" s="149">
        <v>0</v>
      </c>
      <c r="BD744" s="149">
        <v>0</v>
      </c>
      <c r="BE744" s="149">
        <v>0</v>
      </c>
      <c r="BF744" s="149">
        <v>0</v>
      </c>
      <c r="BG744" s="149">
        <v>0</v>
      </c>
      <c r="BH744" s="149">
        <v>0</v>
      </c>
      <c r="BI744" s="149">
        <v>0</v>
      </c>
      <c r="BJ744" s="149">
        <v>0</v>
      </c>
      <c r="BK744" s="149">
        <v>0</v>
      </c>
      <c r="BL744" s="149">
        <v>0</v>
      </c>
      <c r="BM744" s="149">
        <v>0</v>
      </c>
      <c r="BN744" s="149">
        <v>0</v>
      </c>
      <c r="BO744" s="149">
        <v>0</v>
      </c>
      <c r="BP744" s="152"/>
      <c r="BQ744" s="152"/>
      <c r="BR744" s="154" t="s">
        <v>359</v>
      </c>
      <c r="BS744" s="136">
        <v>15</v>
      </c>
      <c r="BT744" s="267"/>
      <c r="BU744" s="267">
        <f>M744/4</f>
        <v>0.5</v>
      </c>
      <c r="BV744" s="267">
        <f t="shared" si="100"/>
        <v>0.5</v>
      </c>
      <c r="BW744" s="267">
        <f t="shared" si="101"/>
        <v>0.5</v>
      </c>
      <c r="BX744" s="267">
        <f t="shared" si="102"/>
        <v>0.5</v>
      </c>
      <c r="BY744" s="267"/>
      <c r="BZ744" s="267"/>
      <c r="CA744" s="267"/>
      <c r="CB744" s="267"/>
      <c r="CC744" s="267"/>
      <c r="CD744" s="267"/>
      <c r="CE744" s="267"/>
      <c r="CF744" s="267"/>
      <c r="CG744" s="267"/>
      <c r="CH744" s="267"/>
      <c r="CI744" s="267"/>
      <c r="CJ744" s="267"/>
      <c r="CK744" s="267"/>
      <c r="CL744" s="267"/>
      <c r="CM744" s="267"/>
      <c r="CN744" s="101">
        <f t="shared" si="97"/>
        <v>2</v>
      </c>
      <c r="CO744" s="101">
        <f t="shared" si="98"/>
        <v>2</v>
      </c>
    </row>
    <row r="745" spans="1:93" ht="13.9" customHeight="1" x14ac:dyDescent="0.2">
      <c r="A745" s="149">
        <v>7810</v>
      </c>
      <c r="B745" s="150" t="s">
        <v>1216</v>
      </c>
      <c r="C745" s="150" t="s">
        <v>2110</v>
      </c>
      <c r="D745" s="150" t="s">
        <v>2111</v>
      </c>
      <c r="E745" s="150" t="s">
        <v>326</v>
      </c>
      <c r="F745" s="149">
        <v>528268</v>
      </c>
      <c r="G745" s="149">
        <v>172294</v>
      </c>
      <c r="H745" s="150" t="s">
        <v>168</v>
      </c>
      <c r="I745" s="151"/>
      <c r="J745" s="151"/>
      <c r="K745" s="149">
        <v>1</v>
      </c>
      <c r="L745" s="149">
        <v>2</v>
      </c>
      <c r="M745" s="149">
        <v>1</v>
      </c>
      <c r="N745" s="149">
        <v>2</v>
      </c>
      <c r="O745" s="149">
        <v>1</v>
      </c>
      <c r="P745" s="152"/>
      <c r="Q745" s="150" t="s">
        <v>2112</v>
      </c>
      <c r="R745" s="150" t="s">
        <v>349</v>
      </c>
      <c r="S745" s="151">
        <v>44711</v>
      </c>
      <c r="T745" s="151">
        <v>45120</v>
      </c>
      <c r="U745" s="152" t="s">
        <v>327</v>
      </c>
      <c r="V745" s="150" t="s">
        <v>330</v>
      </c>
      <c r="W745" s="151"/>
      <c r="X745" s="150" t="s">
        <v>331</v>
      </c>
      <c r="Y745" s="150" t="s">
        <v>491</v>
      </c>
      <c r="Z745" s="150" t="s">
        <v>334</v>
      </c>
      <c r="AA745" s="150" t="s">
        <v>413</v>
      </c>
      <c r="AB745" s="153">
        <v>6.3E-3</v>
      </c>
      <c r="AC745" s="151"/>
      <c r="AD745" s="150"/>
      <c r="AE745" s="151"/>
      <c r="AF745" s="150" t="s">
        <v>70</v>
      </c>
      <c r="AG745" s="152" t="s">
        <v>352</v>
      </c>
      <c r="AH745" s="150" t="s">
        <v>326</v>
      </c>
      <c r="AI745" s="99"/>
      <c r="AJ745" s="149"/>
      <c r="AK745" s="99"/>
      <c r="AL745" s="149"/>
      <c r="AM745" s="99"/>
      <c r="AN745" s="149">
        <v>1</v>
      </c>
      <c r="AO745" s="149">
        <v>0</v>
      </c>
      <c r="AP745" s="149">
        <v>0</v>
      </c>
      <c r="AQ745" s="149">
        <v>0</v>
      </c>
      <c r="AR745" s="149">
        <v>0</v>
      </c>
      <c r="AS745" s="149">
        <v>0</v>
      </c>
      <c r="AT745" s="149">
        <v>0</v>
      </c>
      <c r="AU745" s="149">
        <v>1</v>
      </c>
      <c r="AV745" s="149">
        <v>0</v>
      </c>
      <c r="AW745" s="149">
        <v>0</v>
      </c>
      <c r="AX745" s="149">
        <v>0</v>
      </c>
      <c r="AY745" s="149">
        <v>0</v>
      </c>
      <c r="AZ745" s="149">
        <v>0</v>
      </c>
      <c r="BA745" s="149">
        <v>0</v>
      </c>
      <c r="BB745" s="149">
        <v>0</v>
      </c>
      <c r="BC745" s="149">
        <v>0</v>
      </c>
      <c r="BD745" s="149">
        <v>0</v>
      </c>
      <c r="BE745" s="149">
        <v>0</v>
      </c>
      <c r="BF745" s="149">
        <v>0</v>
      </c>
      <c r="BG745" s="149">
        <v>0</v>
      </c>
      <c r="BH745" s="149">
        <v>0</v>
      </c>
      <c r="BI745" s="149">
        <v>0</v>
      </c>
      <c r="BJ745" s="149">
        <v>0</v>
      </c>
      <c r="BK745" s="149">
        <v>0</v>
      </c>
      <c r="BL745" s="149">
        <v>0</v>
      </c>
      <c r="BM745" s="149">
        <v>0</v>
      </c>
      <c r="BN745" s="149">
        <v>0</v>
      </c>
      <c r="BO745" s="149">
        <v>0</v>
      </c>
      <c r="BP745" s="152"/>
      <c r="BQ745" s="152"/>
      <c r="BR745" s="154" t="s">
        <v>359</v>
      </c>
      <c r="BS745" s="136">
        <v>15</v>
      </c>
      <c r="BT745" s="267"/>
      <c r="BU745" s="267">
        <f>M745/4</f>
        <v>0.25</v>
      </c>
      <c r="BV745" s="267">
        <f t="shared" si="100"/>
        <v>0.25</v>
      </c>
      <c r="BW745" s="267">
        <f t="shared" si="101"/>
        <v>0.25</v>
      </c>
      <c r="BX745" s="267">
        <f t="shared" si="102"/>
        <v>0.25</v>
      </c>
      <c r="BY745" s="267"/>
      <c r="BZ745" s="267"/>
      <c r="CA745" s="267"/>
      <c r="CB745" s="267"/>
      <c r="CC745" s="267"/>
      <c r="CD745" s="267"/>
      <c r="CE745" s="267"/>
      <c r="CF745" s="267"/>
      <c r="CG745" s="267"/>
      <c r="CH745" s="267"/>
      <c r="CI745" s="267"/>
      <c r="CJ745" s="267"/>
      <c r="CK745" s="267"/>
      <c r="CL745" s="267"/>
      <c r="CM745" s="267"/>
      <c r="CN745" s="101">
        <f t="shared" si="97"/>
        <v>1</v>
      </c>
      <c r="CO745" s="101">
        <f t="shared" si="98"/>
        <v>1</v>
      </c>
    </row>
    <row r="746" spans="1:93" ht="13.9" customHeight="1" x14ac:dyDescent="0.2">
      <c r="A746" s="149">
        <v>7851</v>
      </c>
      <c r="B746" s="150" t="s">
        <v>1216</v>
      </c>
      <c r="C746" s="150" t="s">
        <v>2113</v>
      </c>
      <c r="D746" s="150" t="s">
        <v>2114</v>
      </c>
      <c r="E746" s="150" t="s">
        <v>326</v>
      </c>
      <c r="F746" s="149">
        <v>525884</v>
      </c>
      <c r="G746" s="149">
        <v>174406</v>
      </c>
      <c r="H746" s="150" t="s">
        <v>177</v>
      </c>
      <c r="I746" s="151"/>
      <c r="J746" s="151"/>
      <c r="K746" s="149">
        <v>0</v>
      </c>
      <c r="L746" s="149">
        <v>1</v>
      </c>
      <c r="M746" s="149">
        <v>1</v>
      </c>
      <c r="N746" s="149">
        <v>1</v>
      </c>
      <c r="O746" s="149">
        <v>1</v>
      </c>
      <c r="P746" s="152"/>
      <c r="Q746" s="150" t="s">
        <v>2115</v>
      </c>
      <c r="R746" s="150" t="s">
        <v>349</v>
      </c>
      <c r="S746" s="151">
        <v>44734</v>
      </c>
      <c r="T746" s="151">
        <v>44782</v>
      </c>
      <c r="U746" s="152"/>
      <c r="V746" s="150" t="s">
        <v>330</v>
      </c>
      <c r="W746" s="151"/>
      <c r="X746" s="150" t="s">
        <v>331</v>
      </c>
      <c r="Y746" s="150" t="s">
        <v>491</v>
      </c>
      <c r="Z746" s="150" t="s">
        <v>334</v>
      </c>
      <c r="AA746" s="150" t="s">
        <v>413</v>
      </c>
      <c r="AB746" s="153">
        <v>6.2100000000000002E-3</v>
      </c>
      <c r="AC746" s="151"/>
      <c r="AD746" s="150"/>
      <c r="AE746" s="151"/>
      <c r="AF746" s="150" t="s">
        <v>70</v>
      </c>
      <c r="AG746" s="152" t="s">
        <v>352</v>
      </c>
      <c r="AH746" s="150" t="s">
        <v>326</v>
      </c>
      <c r="AI746" s="99"/>
      <c r="AJ746" s="149"/>
      <c r="AK746" s="99"/>
      <c r="AL746" s="149"/>
      <c r="AM746" s="99"/>
      <c r="AN746" s="149">
        <v>0</v>
      </c>
      <c r="AO746" s="149">
        <v>0</v>
      </c>
      <c r="AP746" s="149">
        <v>1</v>
      </c>
      <c r="AQ746" s="149">
        <v>0</v>
      </c>
      <c r="AR746" s="149">
        <v>0</v>
      </c>
      <c r="AS746" s="149">
        <v>0</v>
      </c>
      <c r="AT746" s="149">
        <v>0</v>
      </c>
      <c r="AU746" s="149">
        <v>0</v>
      </c>
      <c r="AV746" s="149">
        <v>0</v>
      </c>
      <c r="AW746" s="149">
        <v>1</v>
      </c>
      <c r="AX746" s="149">
        <v>0</v>
      </c>
      <c r="AY746" s="149">
        <v>0</v>
      </c>
      <c r="AZ746" s="149">
        <v>0</v>
      </c>
      <c r="BA746" s="149">
        <v>0</v>
      </c>
      <c r="BB746" s="149">
        <v>0</v>
      </c>
      <c r="BC746" s="149">
        <v>0</v>
      </c>
      <c r="BD746" s="149">
        <v>0</v>
      </c>
      <c r="BE746" s="149">
        <v>0</v>
      </c>
      <c r="BF746" s="149">
        <v>0</v>
      </c>
      <c r="BG746" s="149">
        <v>0</v>
      </c>
      <c r="BH746" s="149">
        <v>0</v>
      </c>
      <c r="BI746" s="149">
        <v>0</v>
      </c>
      <c r="BJ746" s="149">
        <v>0</v>
      </c>
      <c r="BK746" s="149">
        <v>0</v>
      </c>
      <c r="BL746" s="149">
        <v>0</v>
      </c>
      <c r="BM746" s="149">
        <v>0</v>
      </c>
      <c r="BN746" s="149">
        <v>0</v>
      </c>
      <c r="BO746" s="149">
        <v>0</v>
      </c>
      <c r="BP746" s="152"/>
      <c r="BQ746" s="152"/>
      <c r="BR746" s="154" t="s">
        <v>463</v>
      </c>
      <c r="BS746" s="136">
        <v>15</v>
      </c>
      <c r="BT746" s="267"/>
      <c r="BU746" s="267">
        <f>M746/4</f>
        <v>0.25</v>
      </c>
      <c r="BV746" s="267">
        <f t="shared" si="100"/>
        <v>0.25</v>
      </c>
      <c r="BW746" s="267">
        <f t="shared" si="101"/>
        <v>0.25</v>
      </c>
      <c r="BX746" s="267">
        <f t="shared" si="102"/>
        <v>0.25</v>
      </c>
      <c r="BY746" s="267"/>
      <c r="BZ746" s="267"/>
      <c r="CA746" s="267"/>
      <c r="CB746" s="267"/>
      <c r="CC746" s="267"/>
      <c r="CD746" s="267"/>
      <c r="CE746" s="267"/>
      <c r="CF746" s="267"/>
      <c r="CG746" s="267"/>
      <c r="CH746" s="267"/>
      <c r="CI746" s="267"/>
      <c r="CJ746" s="267"/>
      <c r="CK746" s="267"/>
      <c r="CL746" s="267"/>
      <c r="CM746" s="267"/>
      <c r="CN746" s="101">
        <f t="shared" si="97"/>
        <v>1</v>
      </c>
      <c r="CO746" s="101">
        <f t="shared" si="98"/>
        <v>1</v>
      </c>
    </row>
    <row r="747" spans="1:93" ht="13.9" customHeight="1" x14ac:dyDescent="0.2">
      <c r="A747" s="149">
        <v>7855</v>
      </c>
      <c r="B747" s="150" t="s">
        <v>1216</v>
      </c>
      <c r="C747" s="150" t="s">
        <v>2116</v>
      </c>
      <c r="D747" s="150" t="s">
        <v>2117</v>
      </c>
      <c r="E747" s="150" t="s">
        <v>326</v>
      </c>
      <c r="F747" s="149">
        <v>527835</v>
      </c>
      <c r="G747" s="149">
        <v>171006</v>
      </c>
      <c r="H747" s="150" t="s">
        <v>173</v>
      </c>
      <c r="I747" s="151"/>
      <c r="J747" s="151"/>
      <c r="K747" s="149">
        <v>0</v>
      </c>
      <c r="L747" s="149">
        <v>1</v>
      </c>
      <c r="M747" s="149">
        <v>1</v>
      </c>
      <c r="N747" s="149">
        <v>1</v>
      </c>
      <c r="O747" s="149">
        <v>1</v>
      </c>
      <c r="P747" s="152"/>
      <c r="Q747" s="150" t="s">
        <v>2118</v>
      </c>
      <c r="R747" s="150" t="s">
        <v>427</v>
      </c>
      <c r="S747" s="151">
        <v>44690</v>
      </c>
      <c r="T747" s="151">
        <v>44742</v>
      </c>
      <c r="U747" s="152"/>
      <c r="V747" s="150" t="s">
        <v>330</v>
      </c>
      <c r="W747" s="151"/>
      <c r="X747" s="150" t="s">
        <v>331</v>
      </c>
      <c r="Y747" s="150" t="s">
        <v>332</v>
      </c>
      <c r="Z747" s="150" t="s">
        <v>334</v>
      </c>
      <c r="AA747" s="150" t="s">
        <v>29</v>
      </c>
      <c r="AB747" s="153">
        <v>8.0700000000000008E-3</v>
      </c>
      <c r="AC747" s="151"/>
      <c r="AD747" s="150"/>
      <c r="AE747" s="151"/>
      <c r="AF747" s="150" t="s">
        <v>70</v>
      </c>
      <c r="AG747" s="152" t="s">
        <v>352</v>
      </c>
      <c r="AH747" s="150" t="s">
        <v>326</v>
      </c>
      <c r="AI747" s="99"/>
      <c r="AJ747" s="149"/>
      <c r="AK747" s="99"/>
      <c r="AL747" s="149"/>
      <c r="AM747" s="99"/>
      <c r="AN747" s="149">
        <v>0</v>
      </c>
      <c r="AO747" s="149">
        <v>1</v>
      </c>
      <c r="AP747" s="149">
        <v>0</v>
      </c>
      <c r="AQ747" s="149">
        <v>0</v>
      </c>
      <c r="AR747" s="149">
        <v>0</v>
      </c>
      <c r="AS747" s="149">
        <v>0</v>
      </c>
      <c r="AT747" s="149">
        <v>0</v>
      </c>
      <c r="AU747" s="149">
        <v>0</v>
      </c>
      <c r="AV747" s="149">
        <v>0</v>
      </c>
      <c r="AW747" s="149">
        <v>0</v>
      </c>
      <c r="AX747" s="149">
        <v>0</v>
      </c>
      <c r="AY747" s="149">
        <v>0</v>
      </c>
      <c r="AZ747" s="149">
        <v>0</v>
      </c>
      <c r="BA747" s="149">
        <v>0</v>
      </c>
      <c r="BB747" s="149">
        <v>0</v>
      </c>
      <c r="BC747" s="149">
        <v>1</v>
      </c>
      <c r="BD747" s="149">
        <v>0</v>
      </c>
      <c r="BE747" s="149">
        <v>0</v>
      </c>
      <c r="BF747" s="149">
        <v>0</v>
      </c>
      <c r="BG747" s="149">
        <v>0</v>
      </c>
      <c r="BH747" s="149">
        <v>0</v>
      </c>
      <c r="BI747" s="149">
        <v>0</v>
      </c>
      <c r="BJ747" s="149">
        <v>0</v>
      </c>
      <c r="BK747" s="149">
        <v>0</v>
      </c>
      <c r="BL747" s="149">
        <v>0</v>
      </c>
      <c r="BM747" s="149">
        <v>0</v>
      </c>
      <c r="BN747" s="149">
        <v>0</v>
      </c>
      <c r="BO747" s="149">
        <v>0</v>
      </c>
      <c r="BP747" s="152"/>
      <c r="BQ747" s="152"/>
      <c r="BR747" s="154" t="s">
        <v>142</v>
      </c>
      <c r="BS747" s="136">
        <v>15</v>
      </c>
      <c r="BT747" s="267"/>
      <c r="BU747" s="267">
        <f>M747/4</f>
        <v>0.25</v>
      </c>
      <c r="BV747" s="267">
        <f t="shared" si="100"/>
        <v>0.25</v>
      </c>
      <c r="BW747" s="267">
        <f t="shared" si="101"/>
        <v>0.25</v>
      </c>
      <c r="BX747" s="267">
        <f t="shared" si="102"/>
        <v>0.25</v>
      </c>
      <c r="BY747" s="267"/>
      <c r="BZ747" s="267"/>
      <c r="CA747" s="267"/>
      <c r="CB747" s="267"/>
      <c r="CC747" s="267"/>
      <c r="CD747" s="267"/>
      <c r="CE747" s="267"/>
      <c r="CF747" s="267"/>
      <c r="CG747" s="267"/>
      <c r="CH747" s="267"/>
      <c r="CI747" s="267"/>
      <c r="CJ747" s="267"/>
      <c r="CK747" s="267"/>
      <c r="CL747" s="267"/>
      <c r="CM747" s="267"/>
      <c r="CN747" s="101">
        <f t="shared" si="97"/>
        <v>1</v>
      </c>
      <c r="CO747" s="101">
        <f t="shared" si="98"/>
        <v>1</v>
      </c>
    </row>
    <row r="748" spans="1:93" ht="13.9" customHeight="1" x14ac:dyDescent="0.2">
      <c r="A748" s="149">
        <v>7857</v>
      </c>
      <c r="B748" s="150" t="s">
        <v>1216</v>
      </c>
      <c r="C748" s="150" t="s">
        <v>2119</v>
      </c>
      <c r="D748" s="150" t="s">
        <v>2120</v>
      </c>
      <c r="E748" s="150" t="s">
        <v>326</v>
      </c>
      <c r="F748" s="149">
        <v>525896</v>
      </c>
      <c r="G748" s="149">
        <v>174999</v>
      </c>
      <c r="H748" s="150" t="s">
        <v>177</v>
      </c>
      <c r="I748" s="151"/>
      <c r="J748" s="151"/>
      <c r="K748" s="149">
        <v>0</v>
      </c>
      <c r="L748" s="149">
        <v>2</v>
      </c>
      <c r="M748" s="149">
        <v>2</v>
      </c>
      <c r="N748" s="149">
        <v>2</v>
      </c>
      <c r="O748" s="149">
        <v>2</v>
      </c>
      <c r="P748" s="152"/>
      <c r="Q748" s="150" t="s">
        <v>2121</v>
      </c>
      <c r="R748" s="150" t="s">
        <v>349</v>
      </c>
      <c r="S748" s="151">
        <v>44707</v>
      </c>
      <c r="T748" s="151">
        <v>44915</v>
      </c>
      <c r="U748" s="152"/>
      <c r="V748" s="150" t="s">
        <v>330</v>
      </c>
      <c r="W748" s="151"/>
      <c r="X748" s="150" t="s">
        <v>331</v>
      </c>
      <c r="Y748" s="150" t="s">
        <v>343</v>
      </c>
      <c r="Z748" s="150" t="s">
        <v>334</v>
      </c>
      <c r="AA748" s="150" t="s">
        <v>363</v>
      </c>
      <c r="AB748" s="153">
        <v>4.7999999999999996E-3</v>
      </c>
      <c r="AC748" s="151"/>
      <c r="AD748" s="150"/>
      <c r="AE748" s="151"/>
      <c r="AF748" s="150" t="s">
        <v>70</v>
      </c>
      <c r="AG748" s="152" t="s">
        <v>352</v>
      </c>
      <c r="AH748" s="150" t="s">
        <v>326</v>
      </c>
      <c r="AI748" s="99"/>
      <c r="AJ748" s="149"/>
      <c r="AK748" s="99"/>
      <c r="AL748" s="149"/>
      <c r="AM748" s="99"/>
      <c r="AN748" s="149">
        <v>1</v>
      </c>
      <c r="AO748" s="149">
        <v>1</v>
      </c>
      <c r="AP748" s="149">
        <v>0</v>
      </c>
      <c r="AQ748" s="149">
        <v>0</v>
      </c>
      <c r="AR748" s="149">
        <v>0</v>
      </c>
      <c r="AS748" s="149">
        <v>0</v>
      </c>
      <c r="AT748" s="149">
        <v>0</v>
      </c>
      <c r="AU748" s="149">
        <v>1</v>
      </c>
      <c r="AV748" s="149">
        <v>1</v>
      </c>
      <c r="AW748" s="149">
        <v>0</v>
      </c>
      <c r="AX748" s="149">
        <v>0</v>
      </c>
      <c r="AY748" s="149">
        <v>0</v>
      </c>
      <c r="AZ748" s="149">
        <v>0</v>
      </c>
      <c r="BA748" s="149">
        <v>0</v>
      </c>
      <c r="BB748" s="149">
        <v>0</v>
      </c>
      <c r="BC748" s="149">
        <v>0</v>
      </c>
      <c r="BD748" s="149">
        <v>0</v>
      </c>
      <c r="BE748" s="149">
        <v>0</v>
      </c>
      <c r="BF748" s="149">
        <v>0</v>
      </c>
      <c r="BG748" s="149">
        <v>0</v>
      </c>
      <c r="BH748" s="149">
        <v>0</v>
      </c>
      <c r="BI748" s="149">
        <v>0</v>
      </c>
      <c r="BJ748" s="149">
        <v>0</v>
      </c>
      <c r="BK748" s="149">
        <v>0</v>
      </c>
      <c r="BL748" s="149">
        <v>0</v>
      </c>
      <c r="BM748" s="149">
        <v>0</v>
      </c>
      <c r="BN748" s="149">
        <v>0</v>
      </c>
      <c r="BO748" s="149">
        <v>0</v>
      </c>
      <c r="BP748" s="152"/>
      <c r="BQ748" s="152"/>
      <c r="BR748" s="154" t="s">
        <v>463</v>
      </c>
      <c r="BS748" s="136">
        <v>7</v>
      </c>
      <c r="BT748" s="267"/>
      <c r="BU748" s="267"/>
      <c r="BV748" s="267">
        <f t="shared" si="100"/>
        <v>0.5</v>
      </c>
      <c r="BW748" s="267">
        <f t="shared" si="101"/>
        <v>0.5</v>
      </c>
      <c r="BX748" s="267">
        <f t="shared" si="102"/>
        <v>0.5</v>
      </c>
      <c r="BY748" s="267">
        <f>M748/4</f>
        <v>0.5</v>
      </c>
      <c r="BZ748" s="267"/>
      <c r="CA748" s="267"/>
      <c r="CB748" s="267"/>
      <c r="CC748" s="267"/>
      <c r="CD748" s="267"/>
      <c r="CE748" s="267"/>
      <c r="CF748" s="267"/>
      <c r="CG748" s="267"/>
      <c r="CH748" s="267"/>
      <c r="CI748" s="267"/>
      <c r="CJ748" s="267"/>
      <c r="CK748" s="267"/>
      <c r="CL748" s="267"/>
      <c r="CM748" s="267"/>
      <c r="CN748" s="101">
        <f t="shared" si="97"/>
        <v>2</v>
      </c>
      <c r="CO748" s="101">
        <f t="shared" si="98"/>
        <v>2</v>
      </c>
    </row>
    <row r="749" spans="1:93" ht="13.9" customHeight="1" x14ac:dyDescent="0.2">
      <c r="A749" s="149">
        <v>3758</v>
      </c>
      <c r="B749" s="150" t="s">
        <v>1216</v>
      </c>
      <c r="C749" s="150" t="s">
        <v>2122</v>
      </c>
      <c r="D749" s="150" t="s">
        <v>2123</v>
      </c>
      <c r="E749" s="150" t="s">
        <v>326</v>
      </c>
      <c r="F749" s="149">
        <v>523099</v>
      </c>
      <c r="G749" s="149">
        <v>174875</v>
      </c>
      <c r="H749" s="150" t="s">
        <v>179</v>
      </c>
      <c r="I749" s="151"/>
      <c r="J749" s="151"/>
      <c r="K749" s="149">
        <v>5</v>
      </c>
      <c r="L749" s="149">
        <v>1</v>
      </c>
      <c r="M749" s="149">
        <v>-4</v>
      </c>
      <c r="N749" s="149">
        <v>1</v>
      </c>
      <c r="O749" s="149">
        <v>-4</v>
      </c>
      <c r="P749" s="152"/>
      <c r="Q749" s="150" t="s">
        <v>2124</v>
      </c>
      <c r="R749" s="150" t="s">
        <v>349</v>
      </c>
      <c r="S749" s="151">
        <v>44733</v>
      </c>
      <c r="T749" s="151">
        <v>44788</v>
      </c>
      <c r="U749" s="152"/>
      <c r="V749" s="150" t="s">
        <v>330</v>
      </c>
      <c r="W749" s="151"/>
      <c r="X749" s="150" t="s">
        <v>331</v>
      </c>
      <c r="Y749" s="150" t="s">
        <v>350</v>
      </c>
      <c r="Z749" s="150" t="s">
        <v>334</v>
      </c>
      <c r="AA749" s="150" t="s">
        <v>18</v>
      </c>
      <c r="AB749" s="153">
        <v>0.01</v>
      </c>
      <c r="AC749" s="151"/>
      <c r="AD749" s="150"/>
      <c r="AE749" s="151"/>
      <c r="AF749" s="150" t="s">
        <v>70</v>
      </c>
      <c r="AG749" s="152" t="s">
        <v>352</v>
      </c>
      <c r="AH749" s="150" t="s">
        <v>326</v>
      </c>
      <c r="AI749" s="99"/>
      <c r="AJ749" s="149"/>
      <c r="AK749" s="99"/>
      <c r="AL749" s="149"/>
      <c r="AM749" s="99"/>
      <c r="AN749" s="149">
        <v>0</v>
      </c>
      <c r="AO749" s="149">
        <v>-5</v>
      </c>
      <c r="AP749" s="149">
        <v>0</v>
      </c>
      <c r="AQ749" s="149">
        <v>0</v>
      </c>
      <c r="AR749" s="149">
        <v>1</v>
      </c>
      <c r="AS749" s="149">
        <v>0</v>
      </c>
      <c r="AT749" s="149">
        <v>0</v>
      </c>
      <c r="AU749" s="149">
        <v>0</v>
      </c>
      <c r="AV749" s="149">
        <v>-5</v>
      </c>
      <c r="AW749" s="149">
        <v>0</v>
      </c>
      <c r="AX749" s="149">
        <v>0</v>
      </c>
      <c r="AY749" s="149">
        <v>0</v>
      </c>
      <c r="AZ749" s="149">
        <v>0</v>
      </c>
      <c r="BA749" s="149">
        <v>0</v>
      </c>
      <c r="BB749" s="149">
        <v>0</v>
      </c>
      <c r="BC749" s="149">
        <v>0</v>
      </c>
      <c r="BD749" s="149">
        <v>0</v>
      </c>
      <c r="BE749" s="149">
        <v>0</v>
      </c>
      <c r="BF749" s="149">
        <v>1</v>
      </c>
      <c r="BG749" s="149">
        <v>0</v>
      </c>
      <c r="BH749" s="149">
        <v>0</v>
      </c>
      <c r="BI749" s="149">
        <v>0</v>
      </c>
      <c r="BJ749" s="149">
        <v>0</v>
      </c>
      <c r="BK749" s="149">
        <v>0</v>
      </c>
      <c r="BL749" s="149">
        <v>0</v>
      </c>
      <c r="BM749" s="149">
        <v>0</v>
      </c>
      <c r="BN749" s="149">
        <v>0</v>
      </c>
      <c r="BO749" s="149">
        <v>0</v>
      </c>
      <c r="BP749" s="152"/>
      <c r="BQ749" s="152"/>
      <c r="BR749" s="154" t="s">
        <v>359</v>
      </c>
      <c r="BS749" s="136">
        <v>15</v>
      </c>
      <c r="BT749" s="267"/>
      <c r="BU749" s="267">
        <f>M749/4</f>
        <v>-1</v>
      </c>
      <c r="BV749" s="267">
        <f t="shared" si="100"/>
        <v>-1</v>
      </c>
      <c r="BW749" s="267">
        <f t="shared" si="101"/>
        <v>-1</v>
      </c>
      <c r="BX749" s="267">
        <f t="shared" si="102"/>
        <v>-1</v>
      </c>
      <c r="BY749" s="267"/>
      <c r="BZ749" s="267"/>
      <c r="CA749" s="267"/>
      <c r="CB749" s="267"/>
      <c r="CC749" s="267"/>
      <c r="CD749" s="267"/>
      <c r="CE749" s="267"/>
      <c r="CF749" s="267"/>
      <c r="CG749" s="267"/>
      <c r="CH749" s="267"/>
      <c r="CI749" s="267"/>
      <c r="CJ749" s="267"/>
      <c r="CK749" s="267"/>
      <c r="CL749" s="267"/>
      <c r="CM749" s="267"/>
      <c r="CN749" s="101">
        <f t="shared" si="97"/>
        <v>-4</v>
      </c>
      <c r="CO749" s="101">
        <f t="shared" si="98"/>
        <v>-4</v>
      </c>
    </row>
    <row r="750" spans="1:93" ht="13.9" customHeight="1" x14ac:dyDescent="0.2">
      <c r="A750" s="149">
        <v>7860</v>
      </c>
      <c r="B750" s="150" t="s">
        <v>1216</v>
      </c>
      <c r="C750" s="150" t="s">
        <v>2125</v>
      </c>
      <c r="D750" s="150" t="s">
        <v>2126</v>
      </c>
      <c r="E750" s="150" t="s">
        <v>326</v>
      </c>
      <c r="F750" s="149">
        <v>528722</v>
      </c>
      <c r="G750" s="149">
        <v>171376</v>
      </c>
      <c r="H750" s="150" t="s">
        <v>163</v>
      </c>
      <c r="I750" s="151"/>
      <c r="J750" s="151"/>
      <c r="K750" s="149">
        <v>0</v>
      </c>
      <c r="L750" s="149">
        <v>1</v>
      </c>
      <c r="M750" s="149">
        <v>1</v>
      </c>
      <c r="N750" s="149">
        <v>1</v>
      </c>
      <c r="O750" s="149">
        <v>1</v>
      </c>
      <c r="P750" s="152"/>
      <c r="Q750" s="150" t="s">
        <v>2127</v>
      </c>
      <c r="R750" s="150" t="s">
        <v>349</v>
      </c>
      <c r="S750" s="151">
        <v>44720</v>
      </c>
      <c r="T750" s="151">
        <v>44776</v>
      </c>
      <c r="U750" s="152"/>
      <c r="V750" s="150" t="s">
        <v>330</v>
      </c>
      <c r="W750" s="151"/>
      <c r="X750" s="150" t="s">
        <v>2046</v>
      </c>
      <c r="Y750" s="150" t="s">
        <v>343</v>
      </c>
      <c r="Z750" s="150" t="s">
        <v>334</v>
      </c>
      <c r="AA750" s="150" t="s">
        <v>363</v>
      </c>
      <c r="AB750" s="153">
        <v>4.2399999999999998E-3</v>
      </c>
      <c r="AC750" s="151"/>
      <c r="AD750" s="150"/>
      <c r="AE750" s="151"/>
      <c r="AF750" s="150" t="s">
        <v>70</v>
      </c>
      <c r="AG750" s="152" t="s">
        <v>352</v>
      </c>
      <c r="AH750" s="150" t="s">
        <v>326</v>
      </c>
      <c r="AI750" s="99"/>
      <c r="AJ750" s="149"/>
      <c r="AK750" s="99"/>
      <c r="AL750" s="149"/>
      <c r="AM750" s="99"/>
      <c r="AN750" s="149">
        <v>0</v>
      </c>
      <c r="AO750" s="149">
        <v>1</v>
      </c>
      <c r="AP750" s="149">
        <v>0</v>
      </c>
      <c r="AQ750" s="149">
        <v>0</v>
      </c>
      <c r="AR750" s="149">
        <v>0</v>
      </c>
      <c r="AS750" s="149">
        <v>0</v>
      </c>
      <c r="AT750" s="149">
        <v>0</v>
      </c>
      <c r="AU750" s="149">
        <v>0</v>
      </c>
      <c r="AV750" s="149">
        <v>0</v>
      </c>
      <c r="AW750" s="149">
        <v>0</v>
      </c>
      <c r="AX750" s="149">
        <v>0</v>
      </c>
      <c r="AY750" s="149">
        <v>0</v>
      </c>
      <c r="AZ750" s="149">
        <v>0</v>
      </c>
      <c r="BA750" s="149">
        <v>0</v>
      </c>
      <c r="BB750" s="149">
        <v>0</v>
      </c>
      <c r="BC750" s="149">
        <v>1</v>
      </c>
      <c r="BD750" s="149">
        <v>0</v>
      </c>
      <c r="BE750" s="149">
        <v>0</v>
      </c>
      <c r="BF750" s="149">
        <v>0</v>
      </c>
      <c r="BG750" s="149">
        <v>0</v>
      </c>
      <c r="BH750" s="149">
        <v>0</v>
      </c>
      <c r="BI750" s="149">
        <v>0</v>
      </c>
      <c r="BJ750" s="149">
        <v>0</v>
      </c>
      <c r="BK750" s="149">
        <v>0</v>
      </c>
      <c r="BL750" s="149">
        <v>0</v>
      </c>
      <c r="BM750" s="149">
        <v>0</v>
      </c>
      <c r="BN750" s="149">
        <v>0</v>
      </c>
      <c r="BO750" s="149">
        <v>0</v>
      </c>
      <c r="BP750" s="152"/>
      <c r="BQ750" s="152"/>
      <c r="BR750" s="154" t="s">
        <v>359</v>
      </c>
      <c r="BS750" s="136">
        <v>7</v>
      </c>
      <c r="BT750" s="267"/>
      <c r="BU750" s="267"/>
      <c r="BV750" s="267">
        <f t="shared" si="100"/>
        <v>0.25</v>
      </c>
      <c r="BW750" s="267">
        <f t="shared" si="101"/>
        <v>0.25</v>
      </c>
      <c r="BX750" s="267">
        <f t="shared" si="102"/>
        <v>0.25</v>
      </c>
      <c r="BY750" s="267">
        <f>M750/4</f>
        <v>0.25</v>
      </c>
      <c r="BZ750" s="267"/>
      <c r="CA750" s="267"/>
      <c r="CB750" s="267"/>
      <c r="CC750" s="267"/>
      <c r="CD750" s="267"/>
      <c r="CE750" s="267"/>
      <c r="CF750" s="267"/>
      <c r="CG750" s="267"/>
      <c r="CH750" s="267"/>
      <c r="CI750" s="267"/>
      <c r="CJ750" s="267"/>
      <c r="CK750" s="267"/>
      <c r="CL750" s="267"/>
      <c r="CM750" s="267"/>
      <c r="CN750" s="101">
        <f t="shared" si="97"/>
        <v>1</v>
      </c>
      <c r="CO750" s="101">
        <f t="shared" si="98"/>
        <v>1</v>
      </c>
    </row>
    <row r="751" spans="1:93" ht="13.9" customHeight="1" x14ac:dyDescent="0.2">
      <c r="A751" s="149">
        <v>7862</v>
      </c>
      <c r="B751" s="150" t="s">
        <v>1216</v>
      </c>
      <c r="C751" s="150" t="s">
        <v>2128</v>
      </c>
      <c r="D751" s="150" t="s">
        <v>2129</v>
      </c>
      <c r="E751" s="150" t="s">
        <v>326</v>
      </c>
      <c r="F751" s="149">
        <v>522956</v>
      </c>
      <c r="G751" s="149">
        <v>174649</v>
      </c>
      <c r="H751" s="150" t="s">
        <v>179</v>
      </c>
      <c r="I751" s="151"/>
      <c r="J751" s="151"/>
      <c r="K751" s="149">
        <v>2</v>
      </c>
      <c r="L751" s="149">
        <v>1</v>
      </c>
      <c r="M751" s="149">
        <v>-1</v>
      </c>
      <c r="N751" s="149">
        <v>1</v>
      </c>
      <c r="O751" s="149">
        <v>-1</v>
      </c>
      <c r="P751" s="152"/>
      <c r="Q751" s="150" t="s">
        <v>2130</v>
      </c>
      <c r="R751" s="150" t="s">
        <v>349</v>
      </c>
      <c r="S751" s="151">
        <v>44727</v>
      </c>
      <c r="T751" s="151">
        <v>44848</v>
      </c>
      <c r="U751" s="152"/>
      <c r="V751" s="150" t="s">
        <v>330</v>
      </c>
      <c r="W751" s="151"/>
      <c r="X751" s="150" t="s">
        <v>331</v>
      </c>
      <c r="Y751" s="150" t="s">
        <v>350</v>
      </c>
      <c r="Z751" s="150" t="s">
        <v>334</v>
      </c>
      <c r="AA751" s="150" t="s">
        <v>18</v>
      </c>
      <c r="AB751" s="153">
        <v>1.54E-2</v>
      </c>
      <c r="AC751" s="151"/>
      <c r="AD751" s="150"/>
      <c r="AE751" s="151"/>
      <c r="AF751" s="150" t="s">
        <v>70</v>
      </c>
      <c r="AG751" s="152" t="s">
        <v>352</v>
      </c>
      <c r="AH751" s="150" t="s">
        <v>326</v>
      </c>
      <c r="AI751" s="99"/>
      <c r="AJ751" s="149"/>
      <c r="AK751" s="99"/>
      <c r="AL751" s="149"/>
      <c r="AM751" s="99"/>
      <c r="AN751" s="149">
        <v>0</v>
      </c>
      <c r="AO751" s="149">
        <v>-1</v>
      </c>
      <c r="AP751" s="149">
        <v>-1</v>
      </c>
      <c r="AQ751" s="149">
        <v>0</v>
      </c>
      <c r="AR751" s="149">
        <v>1</v>
      </c>
      <c r="AS751" s="149">
        <v>0</v>
      </c>
      <c r="AT751" s="149">
        <v>0</v>
      </c>
      <c r="AU751" s="149">
        <v>0</v>
      </c>
      <c r="AV751" s="149">
        <v>-1</v>
      </c>
      <c r="AW751" s="149">
        <v>-1</v>
      </c>
      <c r="AX751" s="149">
        <v>0</v>
      </c>
      <c r="AY751" s="149">
        <v>1</v>
      </c>
      <c r="AZ751" s="149">
        <v>0</v>
      </c>
      <c r="BA751" s="149">
        <v>0</v>
      </c>
      <c r="BB751" s="149">
        <v>0</v>
      </c>
      <c r="BC751" s="149">
        <v>0</v>
      </c>
      <c r="BD751" s="149">
        <v>0</v>
      </c>
      <c r="BE751" s="149">
        <v>0</v>
      </c>
      <c r="BF751" s="149">
        <v>0</v>
      </c>
      <c r="BG751" s="149">
        <v>0</v>
      </c>
      <c r="BH751" s="149">
        <v>0</v>
      </c>
      <c r="BI751" s="149">
        <v>0</v>
      </c>
      <c r="BJ751" s="149">
        <v>0</v>
      </c>
      <c r="BK751" s="149">
        <v>0</v>
      </c>
      <c r="BL751" s="149">
        <v>0</v>
      </c>
      <c r="BM751" s="149">
        <v>0</v>
      </c>
      <c r="BN751" s="149">
        <v>0</v>
      </c>
      <c r="BO751" s="149">
        <v>0</v>
      </c>
      <c r="BP751" s="152"/>
      <c r="BQ751" s="152"/>
      <c r="BR751" s="154" t="s">
        <v>359</v>
      </c>
      <c r="BS751" s="136">
        <v>15</v>
      </c>
      <c r="BT751" s="267"/>
      <c r="BU751" s="267">
        <f t="shared" ref="BU751:BU759" si="104">M751/4</f>
        <v>-0.25</v>
      </c>
      <c r="BV751" s="267">
        <f t="shared" si="100"/>
        <v>-0.25</v>
      </c>
      <c r="BW751" s="267">
        <f t="shared" si="101"/>
        <v>-0.25</v>
      </c>
      <c r="BX751" s="267">
        <f t="shared" si="102"/>
        <v>-0.25</v>
      </c>
      <c r="BY751" s="267"/>
      <c r="BZ751" s="267"/>
      <c r="CA751" s="267"/>
      <c r="CB751" s="267"/>
      <c r="CC751" s="267"/>
      <c r="CD751" s="267"/>
      <c r="CE751" s="267"/>
      <c r="CF751" s="267"/>
      <c r="CG751" s="267"/>
      <c r="CH751" s="267"/>
      <c r="CI751" s="267"/>
      <c r="CJ751" s="267"/>
      <c r="CK751" s="267"/>
      <c r="CL751" s="267"/>
      <c r="CM751" s="267"/>
      <c r="CN751" s="101">
        <f t="shared" si="97"/>
        <v>-1</v>
      </c>
      <c r="CO751" s="101">
        <f t="shared" si="98"/>
        <v>-1</v>
      </c>
    </row>
    <row r="752" spans="1:93" ht="13.9" customHeight="1" x14ac:dyDescent="0.2">
      <c r="A752" s="149">
        <v>5197</v>
      </c>
      <c r="B752" s="150" t="s">
        <v>1216</v>
      </c>
      <c r="C752" s="150" t="s">
        <v>2131</v>
      </c>
      <c r="D752" s="150" t="s">
        <v>2132</v>
      </c>
      <c r="E752" s="150" t="s">
        <v>326</v>
      </c>
      <c r="F752" s="149">
        <v>526177</v>
      </c>
      <c r="G752" s="149">
        <v>172334</v>
      </c>
      <c r="H752" s="150" t="s">
        <v>176</v>
      </c>
      <c r="I752" s="151"/>
      <c r="J752" s="151"/>
      <c r="K752" s="149">
        <v>0</v>
      </c>
      <c r="L752" s="149">
        <v>2</v>
      </c>
      <c r="M752" s="149">
        <v>2</v>
      </c>
      <c r="N752" s="149">
        <v>2</v>
      </c>
      <c r="O752" s="149">
        <v>2</v>
      </c>
      <c r="P752" s="152"/>
      <c r="Q752" s="150" t="s">
        <v>2133</v>
      </c>
      <c r="R752" s="150" t="s">
        <v>349</v>
      </c>
      <c r="S752" s="151">
        <v>44755</v>
      </c>
      <c r="T752" s="151">
        <v>44809</v>
      </c>
      <c r="U752" s="152"/>
      <c r="V752" s="150" t="s">
        <v>330</v>
      </c>
      <c r="W752" s="151"/>
      <c r="X752" s="150" t="s">
        <v>331</v>
      </c>
      <c r="Y752" s="150" t="s">
        <v>491</v>
      </c>
      <c r="Z752" s="150" t="s">
        <v>334</v>
      </c>
      <c r="AA752" s="150" t="s">
        <v>413</v>
      </c>
      <c r="AB752" s="153">
        <v>4.5500000000000002E-3</v>
      </c>
      <c r="AC752" s="151"/>
      <c r="AD752" s="150"/>
      <c r="AE752" s="151"/>
      <c r="AF752" s="150" t="s">
        <v>70</v>
      </c>
      <c r="AG752" s="152" t="s">
        <v>337</v>
      </c>
      <c r="AH752" s="150" t="s">
        <v>326</v>
      </c>
      <c r="AI752" s="99"/>
      <c r="AJ752" s="149"/>
      <c r="AK752" s="99"/>
      <c r="AL752" s="149"/>
      <c r="AM752" s="99"/>
      <c r="AN752" s="149">
        <v>1</v>
      </c>
      <c r="AO752" s="149">
        <v>1</v>
      </c>
      <c r="AP752" s="149">
        <v>0</v>
      </c>
      <c r="AQ752" s="149">
        <v>0</v>
      </c>
      <c r="AR752" s="149">
        <v>0</v>
      </c>
      <c r="AS752" s="149">
        <v>0</v>
      </c>
      <c r="AT752" s="149">
        <v>0</v>
      </c>
      <c r="AU752" s="149">
        <v>1</v>
      </c>
      <c r="AV752" s="149">
        <v>1</v>
      </c>
      <c r="AW752" s="149">
        <v>0</v>
      </c>
      <c r="AX752" s="149">
        <v>0</v>
      </c>
      <c r="AY752" s="149">
        <v>0</v>
      </c>
      <c r="AZ752" s="149">
        <v>0</v>
      </c>
      <c r="BA752" s="149">
        <v>0</v>
      </c>
      <c r="BB752" s="149">
        <v>0</v>
      </c>
      <c r="BC752" s="149">
        <v>0</v>
      </c>
      <c r="BD752" s="149">
        <v>0</v>
      </c>
      <c r="BE752" s="149">
        <v>0</v>
      </c>
      <c r="BF752" s="149">
        <v>0</v>
      </c>
      <c r="BG752" s="149">
        <v>0</v>
      </c>
      <c r="BH752" s="149">
        <v>0</v>
      </c>
      <c r="BI752" s="149">
        <v>0</v>
      </c>
      <c r="BJ752" s="149">
        <v>0</v>
      </c>
      <c r="BK752" s="149">
        <v>0</v>
      </c>
      <c r="BL752" s="149">
        <v>0</v>
      </c>
      <c r="BM752" s="149">
        <v>0</v>
      </c>
      <c r="BN752" s="149">
        <v>0</v>
      </c>
      <c r="BO752" s="149">
        <v>0</v>
      </c>
      <c r="BP752" s="152"/>
      <c r="BQ752" s="152"/>
      <c r="BR752" s="154" t="s">
        <v>151</v>
      </c>
      <c r="BS752" s="136">
        <v>15</v>
      </c>
      <c r="BT752" s="267"/>
      <c r="BU752" s="267">
        <f t="shared" si="104"/>
        <v>0.5</v>
      </c>
      <c r="BV752" s="267">
        <f t="shared" si="100"/>
        <v>0.5</v>
      </c>
      <c r="BW752" s="267">
        <f t="shared" si="101"/>
        <v>0.5</v>
      </c>
      <c r="BX752" s="267">
        <f t="shared" si="102"/>
        <v>0.5</v>
      </c>
      <c r="BY752" s="267"/>
      <c r="BZ752" s="267"/>
      <c r="CA752" s="267"/>
      <c r="CB752" s="267"/>
      <c r="CC752" s="267"/>
      <c r="CD752" s="267"/>
      <c r="CE752" s="267"/>
      <c r="CF752" s="267"/>
      <c r="CG752" s="267"/>
      <c r="CH752" s="267"/>
      <c r="CI752" s="267"/>
      <c r="CJ752" s="267"/>
      <c r="CK752" s="267"/>
      <c r="CL752" s="267"/>
      <c r="CM752" s="267"/>
      <c r="CN752" s="101">
        <f t="shared" si="97"/>
        <v>2</v>
      </c>
      <c r="CO752" s="101">
        <f t="shared" si="98"/>
        <v>2</v>
      </c>
    </row>
    <row r="753" spans="1:93" ht="13.9" customHeight="1" x14ac:dyDescent="0.2">
      <c r="A753" s="149">
        <v>7867</v>
      </c>
      <c r="B753" s="150" t="s">
        <v>1216</v>
      </c>
      <c r="C753" s="150" t="s">
        <v>2134</v>
      </c>
      <c r="D753" s="150" t="s">
        <v>2135</v>
      </c>
      <c r="E753" s="150" t="s">
        <v>2136</v>
      </c>
      <c r="F753" s="149">
        <v>527266</v>
      </c>
      <c r="G753" s="149">
        <v>171375</v>
      </c>
      <c r="H753" s="150" t="s">
        <v>173</v>
      </c>
      <c r="I753" s="151"/>
      <c r="J753" s="151"/>
      <c r="K753" s="149">
        <v>2</v>
      </c>
      <c r="L753" s="149">
        <v>4</v>
      </c>
      <c r="M753" s="149">
        <v>2</v>
      </c>
      <c r="N753" s="149">
        <v>4</v>
      </c>
      <c r="O753" s="149">
        <v>2</v>
      </c>
      <c r="P753" s="152"/>
      <c r="Q753" s="150" t="s">
        <v>2137</v>
      </c>
      <c r="R753" s="150" t="s">
        <v>349</v>
      </c>
      <c r="S753" s="151">
        <v>44736</v>
      </c>
      <c r="T753" s="151">
        <v>44797</v>
      </c>
      <c r="U753" s="152"/>
      <c r="V753" s="150" t="s">
        <v>330</v>
      </c>
      <c r="W753" s="151"/>
      <c r="X753" s="150" t="s">
        <v>331</v>
      </c>
      <c r="Y753" s="150" t="s">
        <v>398</v>
      </c>
      <c r="Z753" s="150" t="s">
        <v>334</v>
      </c>
      <c r="AA753" s="150" t="s">
        <v>413</v>
      </c>
      <c r="AB753" s="153">
        <v>6.5500000000000003E-3</v>
      </c>
      <c r="AC753" s="151"/>
      <c r="AD753" s="150"/>
      <c r="AE753" s="151"/>
      <c r="AF753" s="150" t="s">
        <v>70</v>
      </c>
      <c r="AG753" s="152" t="s">
        <v>352</v>
      </c>
      <c r="AH753" s="150" t="s">
        <v>326</v>
      </c>
      <c r="AI753" s="99"/>
      <c r="AJ753" s="149"/>
      <c r="AK753" s="99"/>
      <c r="AL753" s="149"/>
      <c r="AM753" s="99"/>
      <c r="AN753" s="149">
        <v>1</v>
      </c>
      <c r="AO753" s="149">
        <v>0</v>
      </c>
      <c r="AP753" s="149">
        <v>1</v>
      </c>
      <c r="AQ753" s="149">
        <v>0</v>
      </c>
      <c r="AR753" s="149">
        <v>0</v>
      </c>
      <c r="AS753" s="149">
        <v>0</v>
      </c>
      <c r="AT753" s="149">
        <v>0</v>
      </c>
      <c r="AU753" s="149">
        <v>1</v>
      </c>
      <c r="AV753" s="149">
        <v>0</v>
      </c>
      <c r="AW753" s="149">
        <v>1</v>
      </c>
      <c r="AX753" s="149">
        <v>0</v>
      </c>
      <c r="AY753" s="149">
        <v>0</v>
      </c>
      <c r="AZ753" s="149">
        <v>0</v>
      </c>
      <c r="BA753" s="149">
        <v>0</v>
      </c>
      <c r="BB753" s="149">
        <v>0</v>
      </c>
      <c r="BC753" s="149">
        <v>0</v>
      </c>
      <c r="BD753" s="149">
        <v>0</v>
      </c>
      <c r="BE753" s="149">
        <v>0</v>
      </c>
      <c r="BF753" s="149">
        <v>0</v>
      </c>
      <c r="BG753" s="149">
        <v>0</v>
      </c>
      <c r="BH753" s="149">
        <v>0</v>
      </c>
      <c r="BI753" s="149">
        <v>0</v>
      </c>
      <c r="BJ753" s="149">
        <v>0</v>
      </c>
      <c r="BK753" s="149">
        <v>0</v>
      </c>
      <c r="BL753" s="149">
        <v>0</v>
      </c>
      <c r="BM753" s="149">
        <v>0</v>
      </c>
      <c r="BN753" s="149">
        <v>0</v>
      </c>
      <c r="BO753" s="149">
        <v>0</v>
      </c>
      <c r="BP753" s="152"/>
      <c r="BQ753" s="152"/>
      <c r="BR753" s="154" t="s">
        <v>142</v>
      </c>
      <c r="BS753" s="136">
        <v>15</v>
      </c>
      <c r="BT753" s="267"/>
      <c r="BU753" s="267">
        <f t="shared" si="104"/>
        <v>0.5</v>
      </c>
      <c r="BV753" s="267">
        <f t="shared" si="100"/>
        <v>0.5</v>
      </c>
      <c r="BW753" s="267">
        <f t="shared" si="101"/>
        <v>0.5</v>
      </c>
      <c r="BX753" s="267">
        <f t="shared" si="102"/>
        <v>0.5</v>
      </c>
      <c r="BY753" s="267"/>
      <c r="BZ753" s="267"/>
      <c r="CA753" s="267"/>
      <c r="CB753" s="267"/>
      <c r="CC753" s="267"/>
      <c r="CD753" s="267"/>
      <c r="CE753" s="267"/>
      <c r="CF753" s="267"/>
      <c r="CG753" s="267"/>
      <c r="CH753" s="267"/>
      <c r="CI753" s="267"/>
      <c r="CJ753" s="267"/>
      <c r="CK753" s="267"/>
      <c r="CL753" s="267"/>
      <c r="CM753" s="267"/>
      <c r="CN753" s="101">
        <f t="shared" si="97"/>
        <v>2</v>
      </c>
      <c r="CO753" s="101">
        <f t="shared" si="98"/>
        <v>2</v>
      </c>
    </row>
    <row r="754" spans="1:93" ht="13.9" customHeight="1" x14ac:dyDescent="0.2">
      <c r="A754" s="149">
        <v>7869</v>
      </c>
      <c r="B754" s="150" t="s">
        <v>1216</v>
      </c>
      <c r="C754" s="150" t="s">
        <v>2138</v>
      </c>
      <c r="D754" s="150" t="s">
        <v>2139</v>
      </c>
      <c r="E754" s="150" t="s">
        <v>326</v>
      </c>
      <c r="F754" s="149">
        <v>526537</v>
      </c>
      <c r="G754" s="149">
        <v>175110</v>
      </c>
      <c r="H754" s="150" t="s">
        <v>177</v>
      </c>
      <c r="I754" s="151"/>
      <c r="J754" s="151"/>
      <c r="K754" s="149">
        <v>0</v>
      </c>
      <c r="L754" s="149">
        <v>1</v>
      </c>
      <c r="M754" s="149">
        <v>1</v>
      </c>
      <c r="N754" s="149">
        <v>1</v>
      </c>
      <c r="O754" s="149">
        <v>1</v>
      </c>
      <c r="P754" s="152"/>
      <c r="Q754" s="150" t="s">
        <v>2140</v>
      </c>
      <c r="R754" s="150" t="s">
        <v>349</v>
      </c>
      <c r="S754" s="151">
        <v>44768</v>
      </c>
      <c r="T754" s="151">
        <v>44824</v>
      </c>
      <c r="U754" s="152"/>
      <c r="V754" s="150" t="s">
        <v>330</v>
      </c>
      <c r="W754" s="151"/>
      <c r="X754" s="150" t="s">
        <v>331</v>
      </c>
      <c r="Y754" s="150" t="s">
        <v>350</v>
      </c>
      <c r="Z754" s="150" t="s">
        <v>334</v>
      </c>
      <c r="AA754" s="150" t="s">
        <v>26</v>
      </c>
      <c r="AB754" s="153">
        <v>1.3599999999999999E-2</v>
      </c>
      <c r="AC754" s="151"/>
      <c r="AD754" s="150"/>
      <c r="AE754" s="151"/>
      <c r="AF754" s="150" t="s">
        <v>70</v>
      </c>
      <c r="AG754" s="152" t="s">
        <v>352</v>
      </c>
      <c r="AH754" s="150" t="s">
        <v>326</v>
      </c>
      <c r="AI754" s="99"/>
      <c r="AJ754" s="149"/>
      <c r="AK754" s="99"/>
      <c r="AL754" s="149"/>
      <c r="AM754" s="99"/>
      <c r="AN754" s="149">
        <v>0</v>
      </c>
      <c r="AO754" s="149">
        <v>0</v>
      </c>
      <c r="AP754" s="149">
        <v>0</v>
      </c>
      <c r="AQ754" s="149">
        <v>1</v>
      </c>
      <c r="AR754" s="149">
        <v>0</v>
      </c>
      <c r="AS754" s="149">
        <v>0</v>
      </c>
      <c r="AT754" s="149">
        <v>0</v>
      </c>
      <c r="AU754" s="149">
        <v>0</v>
      </c>
      <c r="AV754" s="149">
        <v>0</v>
      </c>
      <c r="AW754" s="149">
        <v>0</v>
      </c>
      <c r="AX754" s="149">
        <v>1</v>
      </c>
      <c r="AY754" s="149">
        <v>0</v>
      </c>
      <c r="AZ754" s="149">
        <v>0</v>
      </c>
      <c r="BA754" s="149">
        <v>0</v>
      </c>
      <c r="BB754" s="149">
        <v>0</v>
      </c>
      <c r="BC754" s="149">
        <v>0</v>
      </c>
      <c r="BD754" s="149">
        <v>0</v>
      </c>
      <c r="BE754" s="149">
        <v>0</v>
      </c>
      <c r="BF754" s="149">
        <v>0</v>
      </c>
      <c r="BG754" s="149">
        <v>0</v>
      </c>
      <c r="BH754" s="149">
        <v>0</v>
      </c>
      <c r="BI754" s="149">
        <v>0</v>
      </c>
      <c r="BJ754" s="149">
        <v>0</v>
      </c>
      <c r="BK754" s="149">
        <v>0</v>
      </c>
      <c r="BL754" s="149">
        <v>0</v>
      </c>
      <c r="BM754" s="149">
        <v>0</v>
      </c>
      <c r="BN754" s="149">
        <v>0</v>
      </c>
      <c r="BO754" s="149">
        <v>0</v>
      </c>
      <c r="BP754" s="152"/>
      <c r="BQ754" s="152"/>
      <c r="BR754" s="154" t="s">
        <v>359</v>
      </c>
      <c r="BS754" s="136">
        <v>15</v>
      </c>
      <c r="BT754" s="267"/>
      <c r="BU754" s="267">
        <f t="shared" si="104"/>
        <v>0.25</v>
      </c>
      <c r="BV754" s="267">
        <f t="shared" si="100"/>
        <v>0.25</v>
      </c>
      <c r="BW754" s="267">
        <f t="shared" si="101"/>
        <v>0.25</v>
      </c>
      <c r="BX754" s="267">
        <f t="shared" si="102"/>
        <v>0.25</v>
      </c>
      <c r="BY754" s="267"/>
      <c r="BZ754" s="267"/>
      <c r="CA754" s="267"/>
      <c r="CB754" s="267"/>
      <c r="CC754" s="267"/>
      <c r="CD754" s="267"/>
      <c r="CE754" s="267"/>
      <c r="CF754" s="267"/>
      <c r="CG754" s="267"/>
      <c r="CH754" s="267"/>
      <c r="CI754" s="267"/>
      <c r="CJ754" s="267"/>
      <c r="CK754" s="267"/>
      <c r="CL754" s="267"/>
      <c r="CM754" s="267"/>
      <c r="CN754" s="101">
        <f t="shared" si="97"/>
        <v>1</v>
      </c>
      <c r="CO754" s="101">
        <f t="shared" si="98"/>
        <v>1</v>
      </c>
    </row>
    <row r="755" spans="1:93" ht="13.9" customHeight="1" x14ac:dyDescent="0.2">
      <c r="A755" s="149">
        <v>6348</v>
      </c>
      <c r="B755" s="150" t="s">
        <v>1216</v>
      </c>
      <c r="C755" s="150" t="s">
        <v>2141</v>
      </c>
      <c r="D755" s="150" t="s">
        <v>2142</v>
      </c>
      <c r="E755" s="150" t="s">
        <v>326</v>
      </c>
      <c r="F755" s="149">
        <v>525098</v>
      </c>
      <c r="G755" s="149">
        <v>174608</v>
      </c>
      <c r="H755" s="150" t="s">
        <v>161</v>
      </c>
      <c r="I755" s="151"/>
      <c r="J755" s="151"/>
      <c r="K755" s="149">
        <v>0</v>
      </c>
      <c r="L755" s="149">
        <v>5</v>
      </c>
      <c r="M755" s="149">
        <v>5</v>
      </c>
      <c r="N755" s="149">
        <v>5</v>
      </c>
      <c r="O755" s="149">
        <v>5</v>
      </c>
      <c r="P755" s="152"/>
      <c r="Q755" s="150" t="s">
        <v>2143</v>
      </c>
      <c r="R755" s="150" t="s">
        <v>349</v>
      </c>
      <c r="S755" s="151">
        <v>44743</v>
      </c>
      <c r="T755" s="151">
        <v>44798</v>
      </c>
      <c r="U755" s="152"/>
      <c r="V755" s="150" t="s">
        <v>330</v>
      </c>
      <c r="W755" s="151"/>
      <c r="X755" s="150" t="s">
        <v>331</v>
      </c>
      <c r="Y755" s="150" t="s">
        <v>398</v>
      </c>
      <c r="Z755" s="150" t="s">
        <v>334</v>
      </c>
      <c r="AA755" s="150" t="s">
        <v>413</v>
      </c>
      <c r="AB755" s="153">
        <v>2.4549999999999999E-2</v>
      </c>
      <c r="AC755" s="151"/>
      <c r="AD755" s="150"/>
      <c r="AE755" s="151"/>
      <c r="AF755" s="150" t="s">
        <v>70</v>
      </c>
      <c r="AG755" s="152" t="s">
        <v>352</v>
      </c>
      <c r="AH755" s="150" t="s">
        <v>326</v>
      </c>
      <c r="AI755" s="99"/>
      <c r="AJ755" s="149"/>
      <c r="AK755" s="99"/>
      <c r="AL755" s="149"/>
      <c r="AM755" s="99"/>
      <c r="AN755" s="149">
        <v>0</v>
      </c>
      <c r="AO755" s="149">
        <v>1</v>
      </c>
      <c r="AP755" s="149">
        <v>4</v>
      </c>
      <c r="AQ755" s="149">
        <v>0</v>
      </c>
      <c r="AR755" s="149">
        <v>0</v>
      </c>
      <c r="AS755" s="149">
        <v>0</v>
      </c>
      <c r="AT755" s="149">
        <v>0</v>
      </c>
      <c r="AU755" s="149">
        <v>0</v>
      </c>
      <c r="AV755" s="149">
        <v>1</v>
      </c>
      <c r="AW755" s="149">
        <v>4</v>
      </c>
      <c r="AX755" s="149">
        <v>0</v>
      </c>
      <c r="AY755" s="149">
        <v>0</v>
      </c>
      <c r="AZ755" s="149">
        <v>0</v>
      </c>
      <c r="BA755" s="149">
        <v>0</v>
      </c>
      <c r="BB755" s="149">
        <v>0</v>
      </c>
      <c r="BC755" s="149">
        <v>0</v>
      </c>
      <c r="BD755" s="149">
        <v>0</v>
      </c>
      <c r="BE755" s="149">
        <v>0</v>
      </c>
      <c r="BF755" s="149">
        <v>0</v>
      </c>
      <c r="BG755" s="149">
        <v>0</v>
      </c>
      <c r="BH755" s="149">
        <v>0</v>
      </c>
      <c r="BI755" s="149">
        <v>0</v>
      </c>
      <c r="BJ755" s="149">
        <v>0</v>
      </c>
      <c r="BK755" s="149">
        <v>0</v>
      </c>
      <c r="BL755" s="149">
        <v>0</v>
      </c>
      <c r="BM755" s="149">
        <v>0</v>
      </c>
      <c r="BN755" s="149">
        <v>0</v>
      </c>
      <c r="BO755" s="149">
        <v>0</v>
      </c>
      <c r="BP755" s="152"/>
      <c r="BQ755" s="152"/>
      <c r="BR755" s="154" t="s">
        <v>359</v>
      </c>
      <c r="BS755" s="136">
        <v>15</v>
      </c>
      <c r="BT755" s="267"/>
      <c r="BU755" s="267">
        <f t="shared" si="104"/>
        <v>1.25</v>
      </c>
      <c r="BV755" s="267">
        <f t="shared" si="100"/>
        <v>1.25</v>
      </c>
      <c r="BW755" s="267">
        <f t="shared" si="101"/>
        <v>1.25</v>
      </c>
      <c r="BX755" s="267">
        <f t="shared" si="102"/>
        <v>1.25</v>
      </c>
      <c r="BY755" s="267"/>
      <c r="BZ755" s="267"/>
      <c r="CA755" s="267"/>
      <c r="CB755" s="267"/>
      <c r="CC755" s="267"/>
      <c r="CD755" s="267"/>
      <c r="CE755" s="267"/>
      <c r="CF755" s="267"/>
      <c r="CG755" s="267"/>
      <c r="CH755" s="267"/>
      <c r="CI755" s="267"/>
      <c r="CJ755" s="267"/>
      <c r="CK755" s="267"/>
      <c r="CL755" s="267"/>
      <c r="CM755" s="267"/>
      <c r="CN755" s="101">
        <f t="shared" si="97"/>
        <v>5</v>
      </c>
      <c r="CO755" s="101">
        <f t="shared" si="98"/>
        <v>5</v>
      </c>
    </row>
    <row r="756" spans="1:93" ht="13.9" customHeight="1" x14ac:dyDescent="0.2">
      <c r="A756" s="149">
        <v>7157</v>
      </c>
      <c r="B756" s="150" t="s">
        <v>1216</v>
      </c>
      <c r="C756" s="150" t="s">
        <v>2144</v>
      </c>
      <c r="D756" s="150" t="s">
        <v>2145</v>
      </c>
      <c r="E756" s="150" t="s">
        <v>326</v>
      </c>
      <c r="F756" s="149">
        <v>528409</v>
      </c>
      <c r="G756" s="149">
        <v>175769</v>
      </c>
      <c r="H756" s="150" t="s">
        <v>167</v>
      </c>
      <c r="I756" s="151"/>
      <c r="J756" s="151"/>
      <c r="K756" s="149">
        <v>0</v>
      </c>
      <c r="L756" s="149">
        <v>1</v>
      </c>
      <c r="M756" s="149">
        <v>1</v>
      </c>
      <c r="N756" s="149">
        <v>1</v>
      </c>
      <c r="O756" s="149">
        <v>1</v>
      </c>
      <c r="P756" s="152"/>
      <c r="Q756" s="150" t="s">
        <v>2146</v>
      </c>
      <c r="R756" s="150" t="s">
        <v>349</v>
      </c>
      <c r="S756" s="151">
        <v>44866</v>
      </c>
      <c r="T756" s="151">
        <v>44916</v>
      </c>
      <c r="U756" s="152"/>
      <c r="V756" s="150" t="s">
        <v>330</v>
      </c>
      <c r="W756" s="151"/>
      <c r="X756" s="150" t="s">
        <v>331</v>
      </c>
      <c r="Y756" s="150" t="s">
        <v>398</v>
      </c>
      <c r="Z756" s="150" t="s">
        <v>334</v>
      </c>
      <c r="AA756" s="150" t="s">
        <v>32</v>
      </c>
      <c r="AB756" s="153">
        <v>0.01</v>
      </c>
      <c r="AC756" s="151"/>
      <c r="AD756" s="150"/>
      <c r="AE756" s="151"/>
      <c r="AF756" s="150" t="s">
        <v>70</v>
      </c>
      <c r="AG756" s="152" t="s">
        <v>352</v>
      </c>
      <c r="AH756" s="150" t="s">
        <v>326</v>
      </c>
      <c r="AI756" s="99"/>
      <c r="AJ756" s="149"/>
      <c r="AK756" s="99"/>
      <c r="AL756" s="149"/>
      <c r="AM756" s="99"/>
      <c r="AN756" s="149">
        <v>0</v>
      </c>
      <c r="AO756" s="149">
        <v>1</v>
      </c>
      <c r="AP756" s="149">
        <v>0</v>
      </c>
      <c r="AQ756" s="149">
        <v>0</v>
      </c>
      <c r="AR756" s="149">
        <v>0</v>
      </c>
      <c r="AS756" s="149">
        <v>0</v>
      </c>
      <c r="AT756" s="149">
        <v>0</v>
      </c>
      <c r="AU756" s="149">
        <v>0</v>
      </c>
      <c r="AV756" s="149">
        <v>1</v>
      </c>
      <c r="AW756" s="149">
        <v>0</v>
      </c>
      <c r="AX756" s="149">
        <v>0</v>
      </c>
      <c r="AY756" s="149">
        <v>0</v>
      </c>
      <c r="AZ756" s="149">
        <v>0</v>
      </c>
      <c r="BA756" s="149">
        <v>0</v>
      </c>
      <c r="BB756" s="149">
        <v>0</v>
      </c>
      <c r="BC756" s="149">
        <v>0</v>
      </c>
      <c r="BD756" s="149">
        <v>0</v>
      </c>
      <c r="BE756" s="149">
        <v>0</v>
      </c>
      <c r="BF756" s="149">
        <v>0</v>
      </c>
      <c r="BG756" s="149">
        <v>0</v>
      </c>
      <c r="BH756" s="149">
        <v>0</v>
      </c>
      <c r="BI756" s="149">
        <v>0</v>
      </c>
      <c r="BJ756" s="149">
        <v>0</v>
      </c>
      <c r="BK756" s="149">
        <v>0</v>
      </c>
      <c r="BL756" s="149">
        <v>0</v>
      </c>
      <c r="BM756" s="149">
        <v>0</v>
      </c>
      <c r="BN756" s="149">
        <v>0</v>
      </c>
      <c r="BO756" s="149">
        <v>0</v>
      </c>
      <c r="BP756" s="152"/>
      <c r="BQ756" s="152"/>
      <c r="BR756" s="154" t="s">
        <v>359</v>
      </c>
      <c r="BS756" s="136">
        <v>15</v>
      </c>
      <c r="BT756" s="267"/>
      <c r="BU756" s="267">
        <f t="shared" si="104"/>
        <v>0.25</v>
      </c>
      <c r="BV756" s="267">
        <f t="shared" si="100"/>
        <v>0.25</v>
      </c>
      <c r="BW756" s="267">
        <f t="shared" si="101"/>
        <v>0.25</v>
      </c>
      <c r="BX756" s="267">
        <f t="shared" si="102"/>
        <v>0.25</v>
      </c>
      <c r="BY756" s="267"/>
      <c r="BZ756" s="267"/>
      <c r="CA756" s="267"/>
      <c r="CB756" s="267"/>
      <c r="CC756" s="267"/>
      <c r="CD756" s="267"/>
      <c r="CE756" s="267"/>
      <c r="CF756" s="267"/>
      <c r="CG756" s="267"/>
      <c r="CH756" s="267"/>
      <c r="CI756" s="267"/>
      <c r="CJ756" s="267"/>
      <c r="CK756" s="267"/>
      <c r="CL756" s="267"/>
      <c r="CM756" s="267"/>
      <c r="CN756" s="101">
        <f t="shared" si="97"/>
        <v>1</v>
      </c>
      <c r="CO756" s="101">
        <f t="shared" si="98"/>
        <v>1</v>
      </c>
    </row>
    <row r="757" spans="1:93" ht="13.9" customHeight="1" x14ac:dyDescent="0.2">
      <c r="A757" s="149">
        <v>4252</v>
      </c>
      <c r="B757" s="150" t="s">
        <v>1216</v>
      </c>
      <c r="C757" s="150" t="s">
        <v>2147</v>
      </c>
      <c r="D757" s="150" t="s">
        <v>2148</v>
      </c>
      <c r="E757" s="150" t="s">
        <v>326</v>
      </c>
      <c r="F757" s="149">
        <v>527344</v>
      </c>
      <c r="G757" s="149">
        <v>176643</v>
      </c>
      <c r="H757" s="150" t="s">
        <v>170</v>
      </c>
      <c r="I757" s="151"/>
      <c r="J757" s="151"/>
      <c r="K757" s="149">
        <v>0</v>
      </c>
      <c r="L757" s="149">
        <v>1</v>
      </c>
      <c r="M757" s="149">
        <v>1</v>
      </c>
      <c r="N757" s="149">
        <v>1</v>
      </c>
      <c r="O757" s="149">
        <v>1</v>
      </c>
      <c r="P757" s="152"/>
      <c r="Q757" s="150" t="s">
        <v>2149</v>
      </c>
      <c r="R757" s="150" t="s">
        <v>349</v>
      </c>
      <c r="S757" s="151">
        <v>44783</v>
      </c>
      <c r="T757" s="151">
        <v>45035</v>
      </c>
      <c r="U757" s="152" t="s">
        <v>327</v>
      </c>
      <c r="V757" s="150" t="s">
        <v>330</v>
      </c>
      <c r="W757" s="151"/>
      <c r="X757" s="150" t="s">
        <v>331</v>
      </c>
      <c r="Y757" s="150" t="s">
        <v>332</v>
      </c>
      <c r="Z757" s="150" t="s">
        <v>334</v>
      </c>
      <c r="AA757" s="150" t="s">
        <v>29</v>
      </c>
      <c r="AB757" s="153">
        <v>6.4000000000000003E-3</v>
      </c>
      <c r="AC757" s="151"/>
      <c r="AD757" s="150"/>
      <c r="AE757" s="151"/>
      <c r="AF757" s="150" t="s">
        <v>70</v>
      </c>
      <c r="AG757" s="152" t="s">
        <v>352</v>
      </c>
      <c r="AH757" s="150" t="s">
        <v>326</v>
      </c>
      <c r="AI757" s="99"/>
      <c r="AJ757" s="149"/>
      <c r="AK757" s="99"/>
      <c r="AL757" s="149"/>
      <c r="AM757" s="99"/>
      <c r="AN757" s="149">
        <v>0</v>
      </c>
      <c r="AO757" s="149">
        <v>1</v>
      </c>
      <c r="AP757" s="149">
        <v>0</v>
      </c>
      <c r="AQ757" s="149">
        <v>0</v>
      </c>
      <c r="AR757" s="149">
        <v>0</v>
      </c>
      <c r="AS757" s="149">
        <v>0</v>
      </c>
      <c r="AT757" s="149">
        <v>0</v>
      </c>
      <c r="AU757" s="149">
        <v>0</v>
      </c>
      <c r="AV757" s="149">
        <v>0</v>
      </c>
      <c r="AW757" s="149">
        <v>0</v>
      </c>
      <c r="AX757" s="149">
        <v>0</v>
      </c>
      <c r="AY757" s="149">
        <v>0</v>
      </c>
      <c r="AZ757" s="149">
        <v>0</v>
      </c>
      <c r="BA757" s="149">
        <v>0</v>
      </c>
      <c r="BB757" s="149">
        <v>0</v>
      </c>
      <c r="BC757" s="149">
        <v>1</v>
      </c>
      <c r="BD757" s="149">
        <v>0</v>
      </c>
      <c r="BE757" s="149">
        <v>0</v>
      </c>
      <c r="BF757" s="149">
        <v>0</v>
      </c>
      <c r="BG757" s="149">
        <v>0</v>
      </c>
      <c r="BH757" s="149">
        <v>0</v>
      </c>
      <c r="BI757" s="149">
        <v>0</v>
      </c>
      <c r="BJ757" s="149">
        <v>0</v>
      </c>
      <c r="BK757" s="149">
        <v>0</v>
      </c>
      <c r="BL757" s="149">
        <v>0</v>
      </c>
      <c r="BM757" s="149">
        <v>0</v>
      </c>
      <c r="BN757" s="149">
        <v>0</v>
      </c>
      <c r="BO757" s="149">
        <v>0</v>
      </c>
      <c r="BP757" s="152"/>
      <c r="BQ757" s="152"/>
      <c r="BR757" s="154" t="s">
        <v>359</v>
      </c>
      <c r="BS757" s="136">
        <v>15</v>
      </c>
      <c r="BT757" s="267"/>
      <c r="BU757" s="267">
        <f t="shared" si="104"/>
        <v>0.25</v>
      </c>
      <c r="BV757" s="267">
        <f t="shared" si="100"/>
        <v>0.25</v>
      </c>
      <c r="BW757" s="267">
        <f t="shared" si="101"/>
        <v>0.25</v>
      </c>
      <c r="BX757" s="267">
        <f t="shared" si="102"/>
        <v>0.25</v>
      </c>
      <c r="BY757" s="267"/>
      <c r="BZ757" s="267"/>
      <c r="CA757" s="267"/>
      <c r="CB757" s="267"/>
      <c r="CC757" s="267"/>
      <c r="CD757" s="267"/>
      <c r="CE757" s="267"/>
      <c r="CF757" s="267"/>
      <c r="CG757" s="267"/>
      <c r="CH757" s="267"/>
      <c r="CI757" s="267"/>
      <c r="CJ757" s="267"/>
      <c r="CK757" s="267"/>
      <c r="CL757" s="267"/>
      <c r="CM757" s="267"/>
      <c r="CN757" s="101">
        <f t="shared" si="97"/>
        <v>1</v>
      </c>
      <c r="CO757" s="101">
        <f t="shared" si="98"/>
        <v>1</v>
      </c>
    </row>
    <row r="758" spans="1:93" ht="13.9" customHeight="1" x14ac:dyDescent="0.2">
      <c r="A758" s="149">
        <v>7515</v>
      </c>
      <c r="B758" s="150" t="s">
        <v>1216</v>
      </c>
      <c r="C758" s="150" t="s">
        <v>2150</v>
      </c>
      <c r="D758" s="150" t="s">
        <v>2151</v>
      </c>
      <c r="E758" s="150" t="s">
        <v>326</v>
      </c>
      <c r="F758" s="149">
        <v>523770</v>
      </c>
      <c r="G758" s="149">
        <v>175233</v>
      </c>
      <c r="H758" s="150" t="s">
        <v>171</v>
      </c>
      <c r="I758" s="151"/>
      <c r="J758" s="151"/>
      <c r="K758" s="149">
        <v>4</v>
      </c>
      <c r="L758" s="149">
        <v>1</v>
      </c>
      <c r="M758" s="149">
        <v>-3</v>
      </c>
      <c r="N758" s="149">
        <v>1</v>
      </c>
      <c r="O758" s="149">
        <v>-3</v>
      </c>
      <c r="P758" s="152"/>
      <c r="Q758" s="150" t="s">
        <v>2152</v>
      </c>
      <c r="R758" s="150" t="s">
        <v>349</v>
      </c>
      <c r="S758" s="151">
        <v>44782</v>
      </c>
      <c r="T758" s="151">
        <v>44837</v>
      </c>
      <c r="U758" s="152"/>
      <c r="V758" s="150" t="s">
        <v>330</v>
      </c>
      <c r="W758" s="151"/>
      <c r="X758" s="150" t="s">
        <v>331</v>
      </c>
      <c r="Y758" s="150" t="s">
        <v>350</v>
      </c>
      <c r="Z758" s="150" t="s">
        <v>334</v>
      </c>
      <c r="AA758" s="150" t="s">
        <v>18</v>
      </c>
      <c r="AB758" s="153">
        <v>5.8333329999999996E-3</v>
      </c>
      <c r="AC758" s="151"/>
      <c r="AD758" s="150"/>
      <c r="AE758" s="151"/>
      <c r="AF758" s="150" t="s">
        <v>70</v>
      </c>
      <c r="AG758" s="152" t="s">
        <v>352</v>
      </c>
      <c r="AH758" s="150" t="s">
        <v>326</v>
      </c>
      <c r="AI758" s="99"/>
      <c r="AJ758" s="149"/>
      <c r="AK758" s="99"/>
      <c r="AL758" s="149"/>
      <c r="AM758" s="99"/>
      <c r="AN758" s="149">
        <v>-2</v>
      </c>
      <c r="AO758" s="149">
        <v>-2</v>
      </c>
      <c r="AP758" s="149">
        <v>0</v>
      </c>
      <c r="AQ758" s="149">
        <v>0</v>
      </c>
      <c r="AR758" s="149">
        <v>0</v>
      </c>
      <c r="AS758" s="149">
        <v>1</v>
      </c>
      <c r="AT758" s="149">
        <v>0</v>
      </c>
      <c r="AU758" s="149">
        <v>-2</v>
      </c>
      <c r="AV758" s="149">
        <v>-2</v>
      </c>
      <c r="AW758" s="149">
        <v>0</v>
      </c>
      <c r="AX758" s="149">
        <v>0</v>
      </c>
      <c r="AY758" s="149">
        <v>0</v>
      </c>
      <c r="AZ758" s="149">
        <v>0</v>
      </c>
      <c r="BA758" s="149">
        <v>0</v>
      </c>
      <c r="BB758" s="149">
        <v>0</v>
      </c>
      <c r="BC758" s="149">
        <v>0</v>
      </c>
      <c r="BD758" s="149">
        <v>0</v>
      </c>
      <c r="BE758" s="149">
        <v>0</v>
      </c>
      <c r="BF758" s="149">
        <v>0</v>
      </c>
      <c r="BG758" s="149">
        <v>1</v>
      </c>
      <c r="BH758" s="149">
        <v>0</v>
      </c>
      <c r="BI758" s="149">
        <v>0</v>
      </c>
      <c r="BJ758" s="149">
        <v>0</v>
      </c>
      <c r="BK758" s="149">
        <v>0</v>
      </c>
      <c r="BL758" s="149">
        <v>0</v>
      </c>
      <c r="BM758" s="149">
        <v>0</v>
      </c>
      <c r="BN758" s="149">
        <v>0</v>
      </c>
      <c r="BO758" s="149">
        <v>0</v>
      </c>
      <c r="BP758" s="152"/>
      <c r="BQ758" s="152"/>
      <c r="BR758" s="154" t="s">
        <v>141</v>
      </c>
      <c r="BS758" s="136">
        <v>15</v>
      </c>
      <c r="BT758" s="267"/>
      <c r="BU758" s="267">
        <f t="shared" si="104"/>
        <v>-0.75</v>
      </c>
      <c r="BV758" s="267">
        <f t="shared" si="100"/>
        <v>-0.75</v>
      </c>
      <c r="BW758" s="267">
        <f t="shared" si="101"/>
        <v>-0.75</v>
      </c>
      <c r="BX758" s="267">
        <f t="shared" si="102"/>
        <v>-0.75</v>
      </c>
      <c r="BY758" s="267"/>
      <c r="BZ758" s="267"/>
      <c r="CA758" s="267"/>
      <c r="CB758" s="267"/>
      <c r="CC758" s="267"/>
      <c r="CD758" s="267"/>
      <c r="CE758" s="267"/>
      <c r="CF758" s="267"/>
      <c r="CG758" s="267"/>
      <c r="CH758" s="267"/>
      <c r="CI758" s="267"/>
      <c r="CJ758" s="267"/>
      <c r="CK758" s="267"/>
      <c r="CL758" s="267"/>
      <c r="CM758" s="267"/>
      <c r="CN758" s="101">
        <f t="shared" si="97"/>
        <v>-3</v>
      </c>
      <c r="CO758" s="101">
        <f t="shared" si="98"/>
        <v>-3</v>
      </c>
    </row>
    <row r="759" spans="1:93" ht="13.9" customHeight="1" x14ac:dyDescent="0.2">
      <c r="A759" s="149">
        <v>7875</v>
      </c>
      <c r="B759" s="150" t="s">
        <v>1216</v>
      </c>
      <c r="C759" s="150" t="s">
        <v>2153</v>
      </c>
      <c r="D759" s="150" t="s">
        <v>2154</v>
      </c>
      <c r="E759" s="150" t="s">
        <v>326</v>
      </c>
      <c r="F759" s="149">
        <v>521424</v>
      </c>
      <c r="G759" s="149">
        <v>175172</v>
      </c>
      <c r="H759" s="150" t="s">
        <v>166</v>
      </c>
      <c r="I759" s="151"/>
      <c r="J759" s="151"/>
      <c r="K759" s="149">
        <v>2</v>
      </c>
      <c r="L759" s="149">
        <v>1</v>
      </c>
      <c r="M759" s="149">
        <v>-1</v>
      </c>
      <c r="N759" s="149">
        <v>1</v>
      </c>
      <c r="O759" s="149">
        <v>-1</v>
      </c>
      <c r="P759" s="152"/>
      <c r="Q759" s="150" t="s">
        <v>2155</v>
      </c>
      <c r="R759" s="150" t="s">
        <v>349</v>
      </c>
      <c r="S759" s="151">
        <v>44803</v>
      </c>
      <c r="T759" s="151">
        <v>44881</v>
      </c>
      <c r="U759" s="152"/>
      <c r="V759" s="150" t="s">
        <v>330</v>
      </c>
      <c r="W759" s="151"/>
      <c r="X759" s="150" t="s">
        <v>331</v>
      </c>
      <c r="Y759" s="150" t="s">
        <v>350</v>
      </c>
      <c r="Z759" s="150" t="s">
        <v>334</v>
      </c>
      <c r="AA759" s="150" t="s">
        <v>2156</v>
      </c>
      <c r="AB759" s="153">
        <v>1.8E-3</v>
      </c>
      <c r="AC759" s="151"/>
      <c r="AD759" s="150"/>
      <c r="AE759" s="151"/>
      <c r="AF759" s="150" t="s">
        <v>70</v>
      </c>
      <c r="AG759" s="152" t="s">
        <v>352</v>
      </c>
      <c r="AH759" s="150" t="s">
        <v>326</v>
      </c>
      <c r="AI759" s="99"/>
      <c r="AJ759" s="149"/>
      <c r="AK759" s="99"/>
      <c r="AL759" s="149"/>
      <c r="AM759" s="99"/>
      <c r="AN759" s="149">
        <v>-1</v>
      </c>
      <c r="AO759" s="149">
        <v>0</v>
      </c>
      <c r="AP759" s="149">
        <v>0</v>
      </c>
      <c r="AQ759" s="149">
        <v>-1</v>
      </c>
      <c r="AR759" s="149">
        <v>1</v>
      </c>
      <c r="AS759" s="149">
        <v>0</v>
      </c>
      <c r="AT759" s="149">
        <v>0</v>
      </c>
      <c r="AU759" s="149">
        <v>-1</v>
      </c>
      <c r="AV759" s="149">
        <v>0</v>
      </c>
      <c r="AW759" s="149">
        <v>0</v>
      </c>
      <c r="AX759" s="149">
        <v>0</v>
      </c>
      <c r="AY759" s="149">
        <v>0</v>
      </c>
      <c r="AZ759" s="149">
        <v>0</v>
      </c>
      <c r="BA759" s="149">
        <v>0</v>
      </c>
      <c r="BB759" s="149">
        <v>0</v>
      </c>
      <c r="BC759" s="149">
        <v>0</v>
      </c>
      <c r="BD759" s="149">
        <v>0</v>
      </c>
      <c r="BE759" s="149">
        <v>-1</v>
      </c>
      <c r="BF759" s="149">
        <v>1</v>
      </c>
      <c r="BG759" s="149">
        <v>0</v>
      </c>
      <c r="BH759" s="149">
        <v>0</v>
      </c>
      <c r="BI759" s="149">
        <v>0</v>
      </c>
      <c r="BJ759" s="149">
        <v>0</v>
      </c>
      <c r="BK759" s="149">
        <v>0</v>
      </c>
      <c r="BL759" s="149">
        <v>0</v>
      </c>
      <c r="BM759" s="149">
        <v>0</v>
      </c>
      <c r="BN759" s="149">
        <v>0</v>
      </c>
      <c r="BO759" s="149">
        <v>0</v>
      </c>
      <c r="BP759" s="152"/>
      <c r="BQ759" s="152"/>
      <c r="BR759" s="154" t="s">
        <v>359</v>
      </c>
      <c r="BS759" s="136">
        <v>15</v>
      </c>
      <c r="BT759" s="267"/>
      <c r="BU759" s="267">
        <f t="shared" si="104"/>
        <v>-0.25</v>
      </c>
      <c r="BV759" s="267">
        <f t="shared" si="100"/>
        <v>-0.25</v>
      </c>
      <c r="BW759" s="267">
        <f t="shared" si="101"/>
        <v>-0.25</v>
      </c>
      <c r="BX759" s="267">
        <f t="shared" si="102"/>
        <v>-0.25</v>
      </c>
      <c r="BY759" s="267"/>
      <c r="BZ759" s="267"/>
      <c r="CA759" s="267"/>
      <c r="CB759" s="267"/>
      <c r="CC759" s="267"/>
      <c r="CD759" s="267"/>
      <c r="CE759" s="267"/>
      <c r="CF759" s="267"/>
      <c r="CG759" s="267"/>
      <c r="CH759" s="267"/>
      <c r="CI759" s="267"/>
      <c r="CJ759" s="267"/>
      <c r="CK759" s="267"/>
      <c r="CL759" s="267"/>
      <c r="CM759" s="267"/>
      <c r="CN759" s="101">
        <f t="shared" si="97"/>
        <v>-1</v>
      </c>
      <c r="CO759" s="101">
        <f t="shared" si="98"/>
        <v>-1</v>
      </c>
    </row>
    <row r="760" spans="1:93" ht="13.9" customHeight="1" x14ac:dyDescent="0.2">
      <c r="A760" s="149">
        <v>4327</v>
      </c>
      <c r="B760" s="150" t="s">
        <v>1216</v>
      </c>
      <c r="C760" s="150" t="s">
        <v>2157</v>
      </c>
      <c r="D760" s="150" t="s">
        <v>2158</v>
      </c>
      <c r="E760" s="150" t="s">
        <v>326</v>
      </c>
      <c r="F760" s="149">
        <v>527751</v>
      </c>
      <c r="G760" s="149">
        <v>172127</v>
      </c>
      <c r="H760" s="150" t="s">
        <v>172</v>
      </c>
      <c r="I760" s="151"/>
      <c r="J760" s="151"/>
      <c r="K760" s="149">
        <v>0</v>
      </c>
      <c r="L760" s="149">
        <v>5</v>
      </c>
      <c r="M760" s="149">
        <v>5</v>
      </c>
      <c r="N760" s="149">
        <v>5</v>
      </c>
      <c r="O760" s="149">
        <v>5</v>
      </c>
      <c r="P760" s="152"/>
      <c r="Q760" s="150" t="s">
        <v>2159</v>
      </c>
      <c r="R760" s="150" t="s">
        <v>349</v>
      </c>
      <c r="S760" s="151">
        <v>44771</v>
      </c>
      <c r="T760" s="151">
        <v>44889</v>
      </c>
      <c r="U760" s="152"/>
      <c r="V760" s="150" t="s">
        <v>330</v>
      </c>
      <c r="W760" s="151"/>
      <c r="X760" s="150" t="s">
        <v>331</v>
      </c>
      <c r="Y760" s="150" t="s">
        <v>343</v>
      </c>
      <c r="Z760" s="150" t="s">
        <v>334</v>
      </c>
      <c r="AA760" s="150" t="s">
        <v>363</v>
      </c>
      <c r="AB760" s="153">
        <v>1.923333E-2</v>
      </c>
      <c r="AC760" s="151"/>
      <c r="AD760" s="150"/>
      <c r="AE760" s="151"/>
      <c r="AF760" s="150" t="s">
        <v>70</v>
      </c>
      <c r="AG760" s="152" t="s">
        <v>352</v>
      </c>
      <c r="AH760" s="150" t="s">
        <v>326</v>
      </c>
      <c r="AI760" s="99"/>
      <c r="AJ760" s="149"/>
      <c r="AK760" s="99"/>
      <c r="AL760" s="149"/>
      <c r="AM760" s="99"/>
      <c r="AN760" s="149">
        <v>0</v>
      </c>
      <c r="AO760" s="149">
        <v>0</v>
      </c>
      <c r="AP760" s="149">
        <v>0</v>
      </c>
      <c r="AQ760" s="149">
        <v>5</v>
      </c>
      <c r="AR760" s="149">
        <v>0</v>
      </c>
      <c r="AS760" s="149">
        <v>0</v>
      </c>
      <c r="AT760" s="149">
        <v>0</v>
      </c>
      <c r="AU760" s="149">
        <v>0</v>
      </c>
      <c r="AV760" s="149">
        <v>0</v>
      </c>
      <c r="AW760" s="149">
        <v>0</v>
      </c>
      <c r="AX760" s="149">
        <v>0</v>
      </c>
      <c r="AY760" s="149">
        <v>0</v>
      </c>
      <c r="AZ760" s="149">
        <v>0</v>
      </c>
      <c r="BA760" s="149">
        <v>0</v>
      </c>
      <c r="BB760" s="149">
        <v>0</v>
      </c>
      <c r="BC760" s="149">
        <v>0</v>
      </c>
      <c r="BD760" s="149">
        <v>0</v>
      </c>
      <c r="BE760" s="149">
        <v>5</v>
      </c>
      <c r="BF760" s="149">
        <v>0</v>
      </c>
      <c r="BG760" s="149">
        <v>0</v>
      </c>
      <c r="BH760" s="149">
        <v>0</v>
      </c>
      <c r="BI760" s="149">
        <v>0</v>
      </c>
      <c r="BJ760" s="149">
        <v>0</v>
      </c>
      <c r="BK760" s="149">
        <v>0</v>
      </c>
      <c r="BL760" s="149">
        <v>0</v>
      </c>
      <c r="BM760" s="149">
        <v>0</v>
      </c>
      <c r="BN760" s="149">
        <v>0</v>
      </c>
      <c r="BO760" s="149">
        <v>0</v>
      </c>
      <c r="BP760" s="152"/>
      <c r="BQ760" s="152"/>
      <c r="BR760" s="154" t="s">
        <v>359</v>
      </c>
      <c r="BS760" s="136">
        <v>7</v>
      </c>
      <c r="BT760" s="267"/>
      <c r="BU760" s="267"/>
      <c r="BV760" s="267">
        <f t="shared" si="100"/>
        <v>1.25</v>
      </c>
      <c r="BW760" s="267">
        <f t="shared" si="101"/>
        <v>1.25</v>
      </c>
      <c r="BX760" s="267">
        <f t="shared" si="102"/>
        <v>1.25</v>
      </c>
      <c r="BY760" s="267">
        <f>M760/4</f>
        <v>1.25</v>
      </c>
      <c r="BZ760" s="267"/>
      <c r="CA760" s="267"/>
      <c r="CB760" s="267"/>
      <c r="CC760" s="267"/>
      <c r="CD760" s="267"/>
      <c r="CE760" s="267"/>
      <c r="CF760" s="267"/>
      <c r="CG760" s="267"/>
      <c r="CH760" s="267"/>
      <c r="CI760" s="267"/>
      <c r="CJ760" s="267"/>
      <c r="CK760" s="267"/>
      <c r="CL760" s="267"/>
      <c r="CM760" s="267"/>
      <c r="CN760" s="101">
        <f t="shared" si="97"/>
        <v>5</v>
      </c>
      <c r="CO760" s="101">
        <f t="shared" si="98"/>
        <v>5</v>
      </c>
    </row>
    <row r="761" spans="1:93" ht="13.9" customHeight="1" x14ac:dyDescent="0.2">
      <c r="A761" s="149">
        <v>6563</v>
      </c>
      <c r="B761" s="150" t="s">
        <v>1216</v>
      </c>
      <c r="C761" s="150" t="s">
        <v>2160</v>
      </c>
      <c r="D761" s="150" t="s">
        <v>2161</v>
      </c>
      <c r="E761" s="150" t="s">
        <v>326</v>
      </c>
      <c r="F761" s="149">
        <v>526668</v>
      </c>
      <c r="G761" s="149">
        <v>176335</v>
      </c>
      <c r="H761" s="150" t="s">
        <v>170</v>
      </c>
      <c r="I761" s="151"/>
      <c r="J761" s="151"/>
      <c r="K761" s="149">
        <v>0</v>
      </c>
      <c r="L761" s="149">
        <v>9</v>
      </c>
      <c r="M761" s="149">
        <v>9</v>
      </c>
      <c r="N761" s="149">
        <v>9</v>
      </c>
      <c r="O761" s="149">
        <v>9</v>
      </c>
      <c r="P761" s="152"/>
      <c r="Q761" s="150" t="s">
        <v>2162</v>
      </c>
      <c r="R761" s="150" t="s">
        <v>427</v>
      </c>
      <c r="S761" s="151">
        <v>44776</v>
      </c>
      <c r="T761" s="151">
        <v>44844</v>
      </c>
      <c r="U761" s="152"/>
      <c r="V761" s="150" t="s">
        <v>330</v>
      </c>
      <c r="W761" s="151"/>
      <c r="X761" s="150" t="s">
        <v>331</v>
      </c>
      <c r="Y761" s="150" t="s">
        <v>332</v>
      </c>
      <c r="Z761" s="150" t="s">
        <v>334</v>
      </c>
      <c r="AA761" s="150" t="s">
        <v>29</v>
      </c>
      <c r="AB761" s="153">
        <v>7.4999999999999997E-2</v>
      </c>
      <c r="AC761" s="151"/>
      <c r="AD761" s="150"/>
      <c r="AE761" s="151"/>
      <c r="AF761" s="150" t="s">
        <v>70</v>
      </c>
      <c r="AG761" s="152" t="s">
        <v>352</v>
      </c>
      <c r="AH761" s="150" t="s">
        <v>326</v>
      </c>
      <c r="AI761" s="99"/>
      <c r="AJ761" s="149"/>
      <c r="AK761" s="99"/>
      <c r="AL761" s="149"/>
      <c r="AM761" s="99"/>
      <c r="AN761" s="149">
        <v>0</v>
      </c>
      <c r="AO761" s="149">
        <v>3</v>
      </c>
      <c r="AP761" s="149">
        <v>3</v>
      </c>
      <c r="AQ761" s="149">
        <v>3</v>
      </c>
      <c r="AR761" s="149">
        <v>0</v>
      </c>
      <c r="AS761" s="149">
        <v>0</v>
      </c>
      <c r="AT761" s="149">
        <v>0</v>
      </c>
      <c r="AU761" s="149">
        <v>0</v>
      </c>
      <c r="AV761" s="149">
        <v>3</v>
      </c>
      <c r="AW761" s="149">
        <v>3</v>
      </c>
      <c r="AX761" s="149">
        <v>3</v>
      </c>
      <c r="AY761" s="149">
        <v>0</v>
      </c>
      <c r="AZ761" s="149">
        <v>0</v>
      </c>
      <c r="BA761" s="149">
        <v>0</v>
      </c>
      <c r="BB761" s="149">
        <v>0</v>
      </c>
      <c r="BC761" s="149">
        <v>0</v>
      </c>
      <c r="BD761" s="149">
        <v>0</v>
      </c>
      <c r="BE761" s="149">
        <v>0</v>
      </c>
      <c r="BF761" s="149">
        <v>0</v>
      </c>
      <c r="BG761" s="149">
        <v>0</v>
      </c>
      <c r="BH761" s="149">
        <v>0</v>
      </c>
      <c r="BI761" s="149">
        <v>0</v>
      </c>
      <c r="BJ761" s="149">
        <v>0</v>
      </c>
      <c r="BK761" s="149">
        <v>0</v>
      </c>
      <c r="BL761" s="149">
        <v>0</v>
      </c>
      <c r="BM761" s="149">
        <v>0</v>
      </c>
      <c r="BN761" s="149">
        <v>0</v>
      </c>
      <c r="BO761" s="149">
        <v>0</v>
      </c>
      <c r="BP761" s="152"/>
      <c r="BQ761" s="152"/>
      <c r="BR761" s="154" t="s">
        <v>408</v>
      </c>
      <c r="BS761" s="136">
        <v>18</v>
      </c>
      <c r="BT761" s="267"/>
      <c r="BU761" s="267">
        <f>M761/4</f>
        <v>2.25</v>
      </c>
      <c r="BV761" s="267">
        <f t="shared" si="100"/>
        <v>2.25</v>
      </c>
      <c r="BW761" s="267">
        <f t="shared" si="101"/>
        <v>2.25</v>
      </c>
      <c r="BX761" s="267">
        <f t="shared" si="102"/>
        <v>2.25</v>
      </c>
      <c r="BY761" s="267"/>
      <c r="BZ761" s="267"/>
      <c r="CA761" s="267"/>
      <c r="CB761" s="267"/>
      <c r="CC761" s="267"/>
      <c r="CD761" s="267"/>
      <c r="CE761" s="267"/>
      <c r="CF761" s="267"/>
      <c r="CG761" s="267"/>
      <c r="CH761" s="267"/>
      <c r="CI761" s="267"/>
      <c r="CJ761" s="267"/>
      <c r="CK761" s="267"/>
      <c r="CL761" s="267"/>
      <c r="CM761" s="267"/>
      <c r="CN761" s="101">
        <f t="shared" si="97"/>
        <v>9</v>
      </c>
      <c r="CO761" s="101">
        <f t="shared" si="98"/>
        <v>9</v>
      </c>
    </row>
    <row r="762" spans="1:93" ht="13.9" customHeight="1" x14ac:dyDescent="0.2">
      <c r="A762" s="149">
        <v>5767</v>
      </c>
      <c r="B762" s="150" t="s">
        <v>1216</v>
      </c>
      <c r="C762" s="150" t="s">
        <v>2163</v>
      </c>
      <c r="D762" s="150" t="s">
        <v>2164</v>
      </c>
      <c r="E762" s="150" t="s">
        <v>326</v>
      </c>
      <c r="F762" s="149">
        <v>526797</v>
      </c>
      <c r="G762" s="149">
        <v>176325</v>
      </c>
      <c r="H762" s="150" t="s">
        <v>170</v>
      </c>
      <c r="I762" s="151"/>
      <c r="J762" s="151"/>
      <c r="K762" s="149">
        <v>0</v>
      </c>
      <c r="L762" s="149">
        <v>2</v>
      </c>
      <c r="M762" s="149">
        <v>2</v>
      </c>
      <c r="N762" s="149">
        <v>2</v>
      </c>
      <c r="O762" s="149">
        <v>2</v>
      </c>
      <c r="P762" s="152"/>
      <c r="Q762" s="150" t="s">
        <v>2165</v>
      </c>
      <c r="R762" s="150" t="s">
        <v>329</v>
      </c>
      <c r="S762" s="151">
        <v>44858</v>
      </c>
      <c r="T762" s="151">
        <v>44993</v>
      </c>
      <c r="U762" s="152"/>
      <c r="V762" s="150" t="s">
        <v>330</v>
      </c>
      <c r="W762" s="151"/>
      <c r="X762" s="150" t="s">
        <v>331</v>
      </c>
      <c r="Y762" s="150" t="s">
        <v>332</v>
      </c>
      <c r="Z762" s="150" t="s">
        <v>334</v>
      </c>
      <c r="AA762" s="150" t="s">
        <v>26</v>
      </c>
      <c r="AB762" s="153">
        <v>0.01</v>
      </c>
      <c r="AC762" s="151"/>
      <c r="AD762" s="150"/>
      <c r="AE762" s="151"/>
      <c r="AF762" s="150" t="s">
        <v>70</v>
      </c>
      <c r="AG762" s="152" t="s">
        <v>352</v>
      </c>
      <c r="AH762" s="150" t="s">
        <v>326</v>
      </c>
      <c r="AI762" s="99"/>
      <c r="AJ762" s="149"/>
      <c r="AK762" s="99"/>
      <c r="AL762" s="149"/>
      <c r="AM762" s="99"/>
      <c r="AN762" s="149">
        <v>0</v>
      </c>
      <c r="AO762" s="149">
        <v>2</v>
      </c>
      <c r="AP762" s="149">
        <v>0</v>
      </c>
      <c r="AQ762" s="149">
        <v>0</v>
      </c>
      <c r="AR762" s="149">
        <v>0</v>
      </c>
      <c r="AS762" s="149">
        <v>0</v>
      </c>
      <c r="AT762" s="149">
        <v>0</v>
      </c>
      <c r="AU762" s="149">
        <v>0</v>
      </c>
      <c r="AV762" s="149">
        <v>2</v>
      </c>
      <c r="AW762" s="149">
        <v>0</v>
      </c>
      <c r="AX762" s="149">
        <v>0</v>
      </c>
      <c r="AY762" s="149">
        <v>0</v>
      </c>
      <c r="AZ762" s="149">
        <v>0</v>
      </c>
      <c r="BA762" s="149">
        <v>0</v>
      </c>
      <c r="BB762" s="149">
        <v>0</v>
      </c>
      <c r="BC762" s="149">
        <v>0</v>
      </c>
      <c r="BD762" s="149">
        <v>0</v>
      </c>
      <c r="BE762" s="149">
        <v>0</v>
      </c>
      <c r="BF762" s="149">
        <v>0</v>
      </c>
      <c r="BG762" s="149">
        <v>0</v>
      </c>
      <c r="BH762" s="149">
        <v>0</v>
      </c>
      <c r="BI762" s="149">
        <v>0</v>
      </c>
      <c r="BJ762" s="149">
        <v>0</v>
      </c>
      <c r="BK762" s="149">
        <v>0</v>
      </c>
      <c r="BL762" s="149">
        <v>0</v>
      </c>
      <c r="BM762" s="149">
        <v>0</v>
      </c>
      <c r="BN762" s="149">
        <v>0</v>
      </c>
      <c r="BO762" s="149">
        <v>0</v>
      </c>
      <c r="BP762" s="152"/>
      <c r="BQ762" s="152"/>
      <c r="BR762" s="154" t="s">
        <v>408</v>
      </c>
      <c r="BS762" s="136">
        <v>15</v>
      </c>
      <c r="BT762" s="267"/>
      <c r="BU762" s="267">
        <f>M762/4</f>
        <v>0.5</v>
      </c>
      <c r="BV762" s="267">
        <f t="shared" si="100"/>
        <v>0.5</v>
      </c>
      <c r="BW762" s="267">
        <f t="shared" si="101"/>
        <v>0.5</v>
      </c>
      <c r="BX762" s="267">
        <f t="shared" si="102"/>
        <v>0.5</v>
      </c>
      <c r="BY762" s="267"/>
      <c r="BZ762" s="267"/>
      <c r="CA762" s="267"/>
      <c r="CB762" s="267"/>
      <c r="CC762" s="267"/>
      <c r="CD762" s="267"/>
      <c r="CE762" s="267"/>
      <c r="CF762" s="267"/>
      <c r="CG762" s="267"/>
      <c r="CH762" s="267"/>
      <c r="CI762" s="267"/>
      <c r="CJ762" s="267"/>
      <c r="CK762" s="267"/>
      <c r="CL762" s="267"/>
      <c r="CM762" s="267"/>
      <c r="CN762" s="101">
        <f t="shared" si="97"/>
        <v>2</v>
      </c>
      <c r="CO762" s="101">
        <f t="shared" si="98"/>
        <v>2</v>
      </c>
    </row>
    <row r="763" spans="1:93" ht="13.9" customHeight="1" x14ac:dyDescent="0.2">
      <c r="A763" s="149">
        <v>7828</v>
      </c>
      <c r="B763" s="150" t="s">
        <v>1216</v>
      </c>
      <c r="C763" s="150" t="s">
        <v>2166</v>
      </c>
      <c r="D763" s="150" t="s">
        <v>2167</v>
      </c>
      <c r="E763" s="150" t="s">
        <v>2168</v>
      </c>
      <c r="F763" s="149">
        <v>523617</v>
      </c>
      <c r="G763" s="149">
        <v>175404</v>
      </c>
      <c r="H763" s="150" t="s">
        <v>171</v>
      </c>
      <c r="I763" s="151">
        <v>45260</v>
      </c>
      <c r="J763" s="151"/>
      <c r="K763" s="149">
        <v>0</v>
      </c>
      <c r="L763" s="149">
        <v>7</v>
      </c>
      <c r="M763" s="149">
        <v>7</v>
      </c>
      <c r="N763" s="149">
        <v>7</v>
      </c>
      <c r="O763" s="149">
        <v>7</v>
      </c>
      <c r="P763" s="152"/>
      <c r="Q763" s="150" t="s">
        <v>2169</v>
      </c>
      <c r="R763" s="150" t="s">
        <v>349</v>
      </c>
      <c r="S763" s="151">
        <v>44785</v>
      </c>
      <c r="T763" s="151">
        <v>44915</v>
      </c>
      <c r="U763" s="152"/>
      <c r="V763" s="150" t="s">
        <v>330</v>
      </c>
      <c r="W763" s="151"/>
      <c r="X763" s="150" t="s">
        <v>331</v>
      </c>
      <c r="Y763" s="150" t="s">
        <v>343</v>
      </c>
      <c r="Z763" s="150" t="s">
        <v>334</v>
      </c>
      <c r="AA763" s="150" t="s">
        <v>363</v>
      </c>
      <c r="AB763" s="153">
        <v>4.9000000000000002E-2</v>
      </c>
      <c r="AC763" s="151"/>
      <c r="AD763" s="150"/>
      <c r="AE763" s="151"/>
      <c r="AF763" s="150" t="s">
        <v>70</v>
      </c>
      <c r="AG763" s="152" t="s">
        <v>352</v>
      </c>
      <c r="AH763" s="150" t="s">
        <v>326</v>
      </c>
      <c r="AI763" s="99"/>
      <c r="AJ763" s="149"/>
      <c r="AK763" s="138">
        <v>6</v>
      </c>
      <c r="AL763" s="149"/>
      <c r="AM763" s="138">
        <v>1</v>
      </c>
      <c r="AN763" s="149">
        <v>0</v>
      </c>
      <c r="AO763" s="149">
        <v>0</v>
      </c>
      <c r="AP763" s="149">
        <v>0</v>
      </c>
      <c r="AQ763" s="149">
        <v>0</v>
      </c>
      <c r="AR763" s="149">
        <v>6</v>
      </c>
      <c r="AS763" s="149">
        <v>1</v>
      </c>
      <c r="AT763" s="149">
        <v>0</v>
      </c>
      <c r="AU763" s="149">
        <v>0</v>
      </c>
      <c r="AV763" s="149">
        <v>0</v>
      </c>
      <c r="AW763" s="149">
        <v>0</v>
      </c>
      <c r="AX763" s="149">
        <v>0</v>
      </c>
      <c r="AY763" s="149">
        <v>0</v>
      </c>
      <c r="AZ763" s="149">
        <v>0</v>
      </c>
      <c r="BA763" s="149">
        <v>0</v>
      </c>
      <c r="BB763" s="149">
        <v>0</v>
      </c>
      <c r="BC763" s="149">
        <v>0</v>
      </c>
      <c r="BD763" s="149">
        <v>0</v>
      </c>
      <c r="BE763" s="149">
        <v>0</v>
      </c>
      <c r="BF763" s="149">
        <v>6</v>
      </c>
      <c r="BG763" s="149">
        <v>1</v>
      </c>
      <c r="BH763" s="149">
        <v>0</v>
      </c>
      <c r="BI763" s="149">
        <v>0</v>
      </c>
      <c r="BJ763" s="149">
        <v>0</v>
      </c>
      <c r="BK763" s="149">
        <v>0</v>
      </c>
      <c r="BL763" s="149">
        <v>0</v>
      </c>
      <c r="BM763" s="149">
        <v>0</v>
      </c>
      <c r="BN763" s="149">
        <v>0</v>
      </c>
      <c r="BO763" s="149">
        <v>0</v>
      </c>
      <c r="BP763" s="152"/>
      <c r="BQ763" s="152"/>
      <c r="BR763" s="154" t="s">
        <v>359</v>
      </c>
      <c r="BS763" s="136">
        <v>10</v>
      </c>
      <c r="BT763" s="267"/>
      <c r="BU763" s="267"/>
      <c r="BV763" s="267"/>
      <c r="BW763" s="267"/>
      <c r="BX763" s="267">
        <f>M763/3</f>
        <v>2.3333333333333335</v>
      </c>
      <c r="BY763" s="267">
        <f>M763/3</f>
        <v>2.3333333333333335</v>
      </c>
      <c r="BZ763" s="267">
        <f>M763/3</f>
        <v>2.3333333333333335</v>
      </c>
      <c r="CA763" s="267"/>
      <c r="CB763" s="267"/>
      <c r="CC763" s="267"/>
      <c r="CD763" s="267"/>
      <c r="CE763" s="267"/>
      <c r="CF763" s="267"/>
      <c r="CG763" s="267"/>
      <c r="CH763" s="267"/>
      <c r="CI763" s="267"/>
      <c r="CJ763" s="267"/>
      <c r="CK763" s="267"/>
      <c r="CL763" s="267"/>
      <c r="CM763" s="267"/>
      <c r="CN763" s="101">
        <f t="shared" si="97"/>
        <v>4.666666666666667</v>
      </c>
      <c r="CO763" s="101">
        <f t="shared" si="98"/>
        <v>7</v>
      </c>
    </row>
    <row r="764" spans="1:93" ht="13.9" customHeight="1" x14ac:dyDescent="0.2">
      <c r="A764" s="149">
        <v>8106</v>
      </c>
      <c r="B764" s="150" t="s">
        <v>1216</v>
      </c>
      <c r="C764" s="150" t="s">
        <v>2170</v>
      </c>
      <c r="D764" s="150" t="s">
        <v>2171</v>
      </c>
      <c r="E764" s="150" t="s">
        <v>326</v>
      </c>
      <c r="F764" s="149">
        <v>529070</v>
      </c>
      <c r="G764" s="149">
        <v>171516</v>
      </c>
      <c r="H764" s="150" t="s">
        <v>163</v>
      </c>
      <c r="I764" s="151"/>
      <c r="J764" s="151"/>
      <c r="K764" s="149">
        <v>0</v>
      </c>
      <c r="L764" s="149">
        <v>1</v>
      </c>
      <c r="M764" s="149">
        <v>1</v>
      </c>
      <c r="N764" s="149">
        <v>1</v>
      </c>
      <c r="O764" s="149">
        <v>1</v>
      </c>
      <c r="P764" s="152"/>
      <c r="Q764" s="150" t="s">
        <v>2172</v>
      </c>
      <c r="R764" s="150" t="s">
        <v>349</v>
      </c>
      <c r="S764" s="151">
        <v>44788</v>
      </c>
      <c r="T764" s="151">
        <v>44889</v>
      </c>
      <c r="U764" s="152"/>
      <c r="V764" s="150" t="s">
        <v>330</v>
      </c>
      <c r="W764" s="151"/>
      <c r="X764" s="150" t="s">
        <v>2046</v>
      </c>
      <c r="Y764" s="150" t="s">
        <v>343</v>
      </c>
      <c r="Z764" s="150" t="s">
        <v>334</v>
      </c>
      <c r="AA764" s="150" t="s">
        <v>363</v>
      </c>
      <c r="AB764" s="153">
        <v>4.0000000000000001E-3</v>
      </c>
      <c r="AC764" s="151"/>
      <c r="AD764" s="150"/>
      <c r="AE764" s="151"/>
      <c r="AF764" s="150" t="s">
        <v>70</v>
      </c>
      <c r="AG764" s="152" t="s">
        <v>352</v>
      </c>
      <c r="AH764" s="150" t="s">
        <v>326</v>
      </c>
      <c r="AI764" s="99"/>
      <c r="AJ764" s="149"/>
      <c r="AK764" s="99"/>
      <c r="AL764" s="149"/>
      <c r="AM764" s="99"/>
      <c r="AN764" s="149">
        <v>0</v>
      </c>
      <c r="AO764" s="149">
        <v>0</v>
      </c>
      <c r="AP764" s="149">
        <v>1</v>
      </c>
      <c r="AQ764" s="149">
        <v>0</v>
      </c>
      <c r="AR764" s="149">
        <v>0</v>
      </c>
      <c r="AS764" s="149">
        <v>0</v>
      </c>
      <c r="AT764" s="149">
        <v>0</v>
      </c>
      <c r="AU764" s="149">
        <v>0</v>
      </c>
      <c r="AV764" s="149">
        <v>0</v>
      </c>
      <c r="AW764" s="149">
        <v>0</v>
      </c>
      <c r="AX764" s="149">
        <v>0</v>
      </c>
      <c r="AY764" s="149">
        <v>0</v>
      </c>
      <c r="AZ764" s="149">
        <v>0</v>
      </c>
      <c r="BA764" s="149">
        <v>0</v>
      </c>
      <c r="BB764" s="149">
        <v>0</v>
      </c>
      <c r="BC764" s="149">
        <v>0</v>
      </c>
      <c r="BD764" s="149">
        <v>1</v>
      </c>
      <c r="BE764" s="149">
        <v>0</v>
      </c>
      <c r="BF764" s="149">
        <v>0</v>
      </c>
      <c r="BG764" s="149">
        <v>0</v>
      </c>
      <c r="BH764" s="149">
        <v>0</v>
      </c>
      <c r="BI764" s="149">
        <v>0</v>
      </c>
      <c r="BJ764" s="149">
        <v>0</v>
      </c>
      <c r="BK764" s="149">
        <v>0</v>
      </c>
      <c r="BL764" s="149">
        <v>0</v>
      </c>
      <c r="BM764" s="149">
        <v>0</v>
      </c>
      <c r="BN764" s="149">
        <v>0</v>
      </c>
      <c r="BO764" s="149">
        <v>0</v>
      </c>
      <c r="BP764" s="152"/>
      <c r="BQ764" s="152"/>
      <c r="BR764" s="154" t="s">
        <v>359</v>
      </c>
      <c r="BS764" s="136">
        <v>7</v>
      </c>
      <c r="BT764" s="267"/>
      <c r="BU764" s="267"/>
      <c r="BV764" s="267">
        <f>M764/4</f>
        <v>0.25</v>
      </c>
      <c r="BW764" s="267">
        <f>M764/4</f>
        <v>0.25</v>
      </c>
      <c r="BX764" s="267">
        <f>M764/4</f>
        <v>0.25</v>
      </c>
      <c r="BY764" s="267">
        <f>M764/4</f>
        <v>0.25</v>
      </c>
      <c r="BZ764" s="267"/>
      <c r="CA764" s="267"/>
      <c r="CB764" s="267"/>
      <c r="CC764" s="267"/>
      <c r="CD764" s="267"/>
      <c r="CE764" s="267"/>
      <c r="CF764" s="267"/>
      <c r="CG764" s="267"/>
      <c r="CH764" s="267"/>
      <c r="CI764" s="267"/>
      <c r="CJ764" s="267"/>
      <c r="CK764" s="267"/>
      <c r="CL764" s="267"/>
      <c r="CM764" s="267"/>
      <c r="CN764" s="101">
        <f t="shared" si="97"/>
        <v>1</v>
      </c>
      <c r="CO764" s="101">
        <f t="shared" si="98"/>
        <v>1</v>
      </c>
    </row>
    <row r="765" spans="1:93" ht="13.9" customHeight="1" x14ac:dyDescent="0.2">
      <c r="A765" s="149">
        <v>7887</v>
      </c>
      <c r="B765" s="150" t="s">
        <v>1216</v>
      </c>
      <c r="C765" s="150" t="s">
        <v>2173</v>
      </c>
      <c r="D765" s="150" t="s">
        <v>2174</v>
      </c>
      <c r="E765" s="150" t="s">
        <v>326</v>
      </c>
      <c r="F765" s="149">
        <v>521118</v>
      </c>
      <c r="G765" s="149">
        <v>174326</v>
      </c>
      <c r="H765" s="150" t="s">
        <v>166</v>
      </c>
      <c r="I765" s="151"/>
      <c r="J765" s="151"/>
      <c r="K765" s="149">
        <v>1</v>
      </c>
      <c r="L765" s="149">
        <v>1</v>
      </c>
      <c r="M765" s="149">
        <v>0</v>
      </c>
      <c r="N765" s="149">
        <v>1</v>
      </c>
      <c r="O765" s="149">
        <v>0</v>
      </c>
      <c r="P765" s="152"/>
      <c r="Q765" s="150" t="s">
        <v>2175</v>
      </c>
      <c r="R765" s="150" t="s">
        <v>349</v>
      </c>
      <c r="S765" s="151">
        <v>44817</v>
      </c>
      <c r="T765" s="151">
        <v>44937</v>
      </c>
      <c r="U765" s="152"/>
      <c r="V765" s="150" t="s">
        <v>330</v>
      </c>
      <c r="W765" s="151"/>
      <c r="X765" s="150" t="s">
        <v>331</v>
      </c>
      <c r="Y765" s="150" t="s">
        <v>343</v>
      </c>
      <c r="Z765" s="150" t="s">
        <v>334</v>
      </c>
      <c r="AA765" s="150" t="s">
        <v>363</v>
      </c>
      <c r="AB765" s="153">
        <v>2.8000000000000001E-2</v>
      </c>
      <c r="AC765" s="151"/>
      <c r="AD765" s="150"/>
      <c r="AE765" s="151"/>
      <c r="AF765" s="150" t="s">
        <v>70</v>
      </c>
      <c r="AG765" s="152" t="s">
        <v>352</v>
      </c>
      <c r="AH765" s="150" t="s">
        <v>326</v>
      </c>
      <c r="AI765" s="99"/>
      <c r="AJ765" s="149"/>
      <c r="AK765" s="99"/>
      <c r="AL765" s="149"/>
      <c r="AM765" s="99"/>
      <c r="AN765" s="149">
        <v>0</v>
      </c>
      <c r="AO765" s="149">
        <v>0</v>
      </c>
      <c r="AP765" s="149">
        <v>0</v>
      </c>
      <c r="AQ765" s="149">
        <v>0</v>
      </c>
      <c r="AR765" s="149">
        <v>-1</v>
      </c>
      <c r="AS765" s="149">
        <v>1</v>
      </c>
      <c r="AT765" s="149">
        <v>0</v>
      </c>
      <c r="AU765" s="149">
        <v>0</v>
      </c>
      <c r="AV765" s="149">
        <v>0</v>
      </c>
      <c r="AW765" s="149">
        <v>0</v>
      </c>
      <c r="AX765" s="149">
        <v>0</v>
      </c>
      <c r="AY765" s="149">
        <v>0</v>
      </c>
      <c r="AZ765" s="149">
        <v>0</v>
      </c>
      <c r="BA765" s="149">
        <v>0</v>
      </c>
      <c r="BB765" s="149">
        <v>0</v>
      </c>
      <c r="BC765" s="149">
        <v>0</v>
      </c>
      <c r="BD765" s="149">
        <v>0</v>
      </c>
      <c r="BE765" s="149">
        <v>0</v>
      </c>
      <c r="BF765" s="149">
        <v>-1</v>
      </c>
      <c r="BG765" s="149">
        <v>1</v>
      </c>
      <c r="BH765" s="149">
        <v>0</v>
      </c>
      <c r="BI765" s="149">
        <v>0</v>
      </c>
      <c r="BJ765" s="149">
        <v>0</v>
      </c>
      <c r="BK765" s="149">
        <v>0</v>
      </c>
      <c r="BL765" s="149">
        <v>0</v>
      </c>
      <c r="BM765" s="149">
        <v>0</v>
      </c>
      <c r="BN765" s="149">
        <v>0</v>
      </c>
      <c r="BO765" s="149">
        <v>0</v>
      </c>
      <c r="BP765" s="152"/>
      <c r="BQ765" s="152"/>
      <c r="BR765" s="154" t="s">
        <v>359</v>
      </c>
      <c r="BS765" s="136">
        <v>7</v>
      </c>
      <c r="BT765" s="267"/>
      <c r="BU765" s="267"/>
      <c r="BV765" s="267">
        <f>M765/4</f>
        <v>0</v>
      </c>
      <c r="BW765" s="267">
        <f>M765/4</f>
        <v>0</v>
      </c>
      <c r="BX765" s="267">
        <f>M765/4</f>
        <v>0</v>
      </c>
      <c r="BY765" s="267">
        <f>M765/4</f>
        <v>0</v>
      </c>
      <c r="BZ765" s="267"/>
      <c r="CA765" s="267"/>
      <c r="CB765" s="267"/>
      <c r="CC765" s="267"/>
      <c r="CD765" s="267"/>
      <c r="CE765" s="267"/>
      <c r="CF765" s="267"/>
      <c r="CG765" s="267"/>
      <c r="CH765" s="267"/>
      <c r="CI765" s="267"/>
      <c r="CJ765" s="267"/>
      <c r="CK765" s="267"/>
      <c r="CL765" s="267"/>
      <c r="CM765" s="267"/>
      <c r="CN765" s="101">
        <f t="shared" si="97"/>
        <v>0</v>
      </c>
      <c r="CO765" s="101">
        <f t="shared" si="98"/>
        <v>0</v>
      </c>
    </row>
    <row r="766" spans="1:93" ht="13.9" customHeight="1" x14ac:dyDescent="0.2">
      <c r="A766" s="149">
        <v>7404</v>
      </c>
      <c r="B766" s="150" t="s">
        <v>1216</v>
      </c>
      <c r="C766" s="150" t="s">
        <v>2176</v>
      </c>
      <c r="D766" s="150" t="s">
        <v>2177</v>
      </c>
      <c r="E766" s="150" t="s">
        <v>326</v>
      </c>
      <c r="F766" s="149">
        <v>527387</v>
      </c>
      <c r="G766" s="149">
        <v>177038</v>
      </c>
      <c r="H766" s="150" t="s">
        <v>160</v>
      </c>
      <c r="I766" s="151"/>
      <c r="J766" s="151"/>
      <c r="K766" s="149">
        <v>2</v>
      </c>
      <c r="L766" s="149">
        <v>1</v>
      </c>
      <c r="M766" s="149">
        <v>-1</v>
      </c>
      <c r="N766" s="149">
        <v>1</v>
      </c>
      <c r="O766" s="149">
        <v>-1</v>
      </c>
      <c r="P766" s="152"/>
      <c r="Q766" s="150" t="s">
        <v>2178</v>
      </c>
      <c r="R766" s="150" t="s">
        <v>349</v>
      </c>
      <c r="S766" s="151">
        <v>44886</v>
      </c>
      <c r="T766" s="151">
        <v>44957</v>
      </c>
      <c r="U766" s="152"/>
      <c r="V766" s="150" t="s">
        <v>330</v>
      </c>
      <c r="W766" s="151"/>
      <c r="X766" s="150" t="s">
        <v>331</v>
      </c>
      <c r="Y766" s="150" t="s">
        <v>398</v>
      </c>
      <c r="Z766" s="150" t="s">
        <v>334</v>
      </c>
      <c r="AA766" s="150" t="s">
        <v>18</v>
      </c>
      <c r="AB766" s="153">
        <v>1.2E-2</v>
      </c>
      <c r="AC766" s="151"/>
      <c r="AD766" s="150"/>
      <c r="AE766" s="151"/>
      <c r="AF766" s="150" t="s">
        <v>70</v>
      </c>
      <c r="AG766" s="152" t="s">
        <v>352</v>
      </c>
      <c r="AH766" s="150" t="s">
        <v>326</v>
      </c>
      <c r="AI766" s="99"/>
      <c r="AJ766" s="149"/>
      <c r="AK766" s="102"/>
      <c r="AL766" s="149"/>
      <c r="AM766" s="102"/>
      <c r="AN766" s="149">
        <v>0</v>
      </c>
      <c r="AO766" s="149">
        <v>-1</v>
      </c>
      <c r="AP766" s="149">
        <v>0</v>
      </c>
      <c r="AQ766" s="149">
        <v>-1</v>
      </c>
      <c r="AR766" s="149">
        <v>1</v>
      </c>
      <c r="AS766" s="149">
        <v>0</v>
      </c>
      <c r="AT766" s="149">
        <v>0</v>
      </c>
      <c r="AU766" s="149">
        <v>0</v>
      </c>
      <c r="AV766" s="149">
        <v>-1</v>
      </c>
      <c r="AW766" s="149">
        <v>0</v>
      </c>
      <c r="AX766" s="149">
        <v>-1</v>
      </c>
      <c r="AY766" s="149">
        <v>0</v>
      </c>
      <c r="AZ766" s="149">
        <v>0</v>
      </c>
      <c r="BA766" s="149">
        <v>0</v>
      </c>
      <c r="BB766" s="149">
        <v>0</v>
      </c>
      <c r="BC766" s="149">
        <v>0</v>
      </c>
      <c r="BD766" s="149">
        <v>0</v>
      </c>
      <c r="BE766" s="149">
        <v>0</v>
      </c>
      <c r="BF766" s="149">
        <v>1</v>
      </c>
      <c r="BG766" s="149">
        <v>0</v>
      </c>
      <c r="BH766" s="149">
        <v>0</v>
      </c>
      <c r="BI766" s="149">
        <v>0</v>
      </c>
      <c r="BJ766" s="149">
        <v>0</v>
      </c>
      <c r="BK766" s="149">
        <v>0</v>
      </c>
      <c r="BL766" s="149">
        <v>0</v>
      </c>
      <c r="BM766" s="149">
        <v>0</v>
      </c>
      <c r="BN766" s="149">
        <v>0</v>
      </c>
      <c r="BO766" s="149">
        <v>0</v>
      </c>
      <c r="BP766" s="152"/>
      <c r="BQ766" s="152"/>
      <c r="BR766" s="154" t="s">
        <v>359</v>
      </c>
      <c r="BS766" s="136">
        <v>15</v>
      </c>
      <c r="BT766" s="267"/>
      <c r="BU766" s="267">
        <f>M766/4</f>
        <v>-0.25</v>
      </c>
      <c r="BV766" s="267">
        <f>M766/4</f>
        <v>-0.25</v>
      </c>
      <c r="BW766" s="267">
        <f>M766/4</f>
        <v>-0.25</v>
      </c>
      <c r="BX766" s="267">
        <f>M766/4</f>
        <v>-0.25</v>
      </c>
      <c r="BY766" s="267"/>
      <c r="BZ766" s="267"/>
      <c r="CA766" s="267"/>
      <c r="CB766" s="267"/>
      <c r="CC766" s="267"/>
      <c r="CD766" s="267"/>
      <c r="CE766" s="267"/>
      <c r="CF766" s="267"/>
      <c r="CG766" s="267"/>
      <c r="CH766" s="267"/>
      <c r="CI766" s="267"/>
      <c r="CJ766" s="267"/>
      <c r="CK766" s="267"/>
      <c r="CL766" s="267"/>
      <c r="CM766" s="267"/>
      <c r="CN766" s="101">
        <f t="shared" si="97"/>
        <v>-1</v>
      </c>
      <c r="CO766" s="101">
        <f t="shared" si="98"/>
        <v>-1</v>
      </c>
    </row>
    <row r="767" spans="1:93" ht="13.9" customHeight="1" x14ac:dyDescent="0.2">
      <c r="A767" s="149">
        <v>2329</v>
      </c>
      <c r="B767" s="150" t="s">
        <v>1216</v>
      </c>
      <c r="C767" s="150" t="s">
        <v>2179</v>
      </c>
      <c r="D767" s="150" t="s">
        <v>2180</v>
      </c>
      <c r="E767" s="150" t="s">
        <v>326</v>
      </c>
      <c r="F767" s="149">
        <v>526048</v>
      </c>
      <c r="G767" s="149">
        <v>173206</v>
      </c>
      <c r="H767" s="150" t="s">
        <v>175</v>
      </c>
      <c r="I767" s="151"/>
      <c r="J767" s="151"/>
      <c r="K767" s="149">
        <v>0</v>
      </c>
      <c r="L767" s="149">
        <v>7</v>
      </c>
      <c r="M767" s="149">
        <v>7</v>
      </c>
      <c r="N767" s="149">
        <v>7</v>
      </c>
      <c r="O767" s="149">
        <v>7</v>
      </c>
      <c r="P767" s="152"/>
      <c r="Q767" s="150" t="s">
        <v>2181</v>
      </c>
      <c r="R767" s="150" t="s">
        <v>349</v>
      </c>
      <c r="S767" s="151">
        <v>44803</v>
      </c>
      <c r="T767" s="151">
        <v>45099</v>
      </c>
      <c r="U767" s="152" t="s">
        <v>327</v>
      </c>
      <c r="V767" s="150" t="s">
        <v>330</v>
      </c>
      <c r="W767" s="151"/>
      <c r="X767" s="150" t="s">
        <v>331</v>
      </c>
      <c r="Y767" s="150" t="s">
        <v>343</v>
      </c>
      <c r="Z767" s="150" t="s">
        <v>334</v>
      </c>
      <c r="AA767" s="150" t="s">
        <v>363</v>
      </c>
      <c r="AB767" s="153">
        <v>1.3142859999999999E-2</v>
      </c>
      <c r="AC767" s="151"/>
      <c r="AD767" s="150"/>
      <c r="AE767" s="151"/>
      <c r="AF767" s="150" t="s">
        <v>48</v>
      </c>
      <c r="AG767" s="152" t="s">
        <v>2182</v>
      </c>
      <c r="AH767" s="150" t="s">
        <v>326</v>
      </c>
      <c r="AI767" s="99"/>
      <c r="AJ767" s="149"/>
      <c r="AK767" s="99"/>
      <c r="AL767" s="149"/>
      <c r="AM767" s="99"/>
      <c r="AN767" s="149">
        <v>0</v>
      </c>
      <c r="AO767" s="149">
        <v>4</v>
      </c>
      <c r="AP767" s="149">
        <v>3</v>
      </c>
      <c r="AQ767" s="149">
        <v>0</v>
      </c>
      <c r="AR767" s="149">
        <v>0</v>
      </c>
      <c r="AS767" s="149">
        <v>0</v>
      </c>
      <c r="AT767" s="149">
        <v>0</v>
      </c>
      <c r="AU767" s="149">
        <v>0</v>
      </c>
      <c r="AV767" s="149">
        <v>4</v>
      </c>
      <c r="AW767" s="149">
        <v>3</v>
      </c>
      <c r="AX767" s="149">
        <v>0</v>
      </c>
      <c r="AY767" s="149">
        <v>0</v>
      </c>
      <c r="AZ767" s="149">
        <v>0</v>
      </c>
      <c r="BA767" s="149">
        <v>0</v>
      </c>
      <c r="BB767" s="149">
        <v>0</v>
      </c>
      <c r="BC767" s="149">
        <v>0</v>
      </c>
      <c r="BD767" s="149">
        <v>0</v>
      </c>
      <c r="BE767" s="149">
        <v>0</v>
      </c>
      <c r="BF767" s="149">
        <v>0</v>
      </c>
      <c r="BG767" s="149">
        <v>0</v>
      </c>
      <c r="BH767" s="149">
        <v>0</v>
      </c>
      <c r="BI767" s="149">
        <v>0</v>
      </c>
      <c r="BJ767" s="149">
        <v>0</v>
      </c>
      <c r="BK767" s="149">
        <v>0</v>
      </c>
      <c r="BL767" s="149">
        <v>0</v>
      </c>
      <c r="BM767" s="149">
        <v>0</v>
      </c>
      <c r="BN767" s="149">
        <v>0</v>
      </c>
      <c r="BO767" s="149">
        <v>0</v>
      </c>
      <c r="BP767" s="152"/>
      <c r="BQ767" s="152"/>
      <c r="BR767" s="154" t="s">
        <v>359</v>
      </c>
      <c r="BS767" s="136">
        <v>10</v>
      </c>
      <c r="BT767" s="267"/>
      <c r="BU767" s="267"/>
      <c r="BV767" s="267"/>
      <c r="BW767" s="267"/>
      <c r="BX767" s="267">
        <f>M767/3</f>
        <v>2.3333333333333335</v>
      </c>
      <c r="BY767" s="267">
        <f>M767/3</f>
        <v>2.3333333333333335</v>
      </c>
      <c r="BZ767" s="267">
        <f>M767/3</f>
        <v>2.3333333333333335</v>
      </c>
      <c r="CA767" s="267"/>
      <c r="CB767" s="267"/>
      <c r="CC767" s="267"/>
      <c r="CD767" s="267"/>
      <c r="CE767" s="267"/>
      <c r="CF767" s="267"/>
      <c r="CG767" s="267"/>
      <c r="CH767" s="267"/>
      <c r="CI767" s="267"/>
      <c r="CJ767" s="267"/>
      <c r="CK767" s="267"/>
      <c r="CL767" s="267"/>
      <c r="CM767" s="267"/>
      <c r="CN767" s="101">
        <f t="shared" si="97"/>
        <v>4.666666666666667</v>
      </c>
      <c r="CO767" s="101">
        <f t="shared" si="98"/>
        <v>7</v>
      </c>
    </row>
    <row r="768" spans="1:93" ht="13.9" customHeight="1" x14ac:dyDescent="0.2">
      <c r="A768" s="149">
        <v>2684</v>
      </c>
      <c r="B768" s="150" t="s">
        <v>1216</v>
      </c>
      <c r="C768" s="150" t="s">
        <v>2183</v>
      </c>
      <c r="D768" s="150" t="s">
        <v>2184</v>
      </c>
      <c r="E768" s="150" t="s">
        <v>326</v>
      </c>
      <c r="F768" s="149">
        <v>527849</v>
      </c>
      <c r="G768" s="149">
        <v>171347</v>
      </c>
      <c r="H768" s="150" t="s">
        <v>173</v>
      </c>
      <c r="I768" s="151"/>
      <c r="J768" s="151"/>
      <c r="K768" s="149">
        <v>0</v>
      </c>
      <c r="L768" s="149">
        <v>1</v>
      </c>
      <c r="M768" s="149">
        <v>1</v>
      </c>
      <c r="N768" s="149">
        <v>1</v>
      </c>
      <c r="O768" s="149">
        <v>1</v>
      </c>
      <c r="P768" s="152"/>
      <c r="Q768" s="150" t="s">
        <v>2185</v>
      </c>
      <c r="R768" s="150" t="s">
        <v>349</v>
      </c>
      <c r="S768" s="151">
        <v>44805</v>
      </c>
      <c r="T768" s="151">
        <v>44866</v>
      </c>
      <c r="U768" s="152"/>
      <c r="V768" s="150" t="s">
        <v>330</v>
      </c>
      <c r="W768" s="151"/>
      <c r="X768" s="150" t="s">
        <v>331</v>
      </c>
      <c r="Y768" s="150" t="s">
        <v>350</v>
      </c>
      <c r="Z768" s="150" t="s">
        <v>334</v>
      </c>
      <c r="AA768" s="150" t="s">
        <v>29</v>
      </c>
      <c r="AB768" s="153">
        <v>4.7499999999999999E-3</v>
      </c>
      <c r="AC768" s="151"/>
      <c r="AD768" s="150"/>
      <c r="AE768" s="151"/>
      <c r="AF768" s="150" t="s">
        <v>70</v>
      </c>
      <c r="AG768" s="152" t="s">
        <v>352</v>
      </c>
      <c r="AH768" s="150" t="s">
        <v>326</v>
      </c>
      <c r="AI768" s="99"/>
      <c r="AJ768" s="149"/>
      <c r="AK768" s="99"/>
      <c r="AL768" s="149"/>
      <c r="AM768" s="99"/>
      <c r="AN768" s="149">
        <v>0</v>
      </c>
      <c r="AO768" s="149">
        <v>0</v>
      </c>
      <c r="AP768" s="149">
        <v>1</v>
      </c>
      <c r="AQ768" s="149">
        <v>0</v>
      </c>
      <c r="AR768" s="149">
        <v>0</v>
      </c>
      <c r="AS768" s="149">
        <v>0</v>
      </c>
      <c r="AT768" s="149">
        <v>0</v>
      </c>
      <c r="AU768" s="149">
        <v>0</v>
      </c>
      <c r="AV768" s="149">
        <v>0</v>
      </c>
      <c r="AW768" s="149">
        <v>0</v>
      </c>
      <c r="AX768" s="149">
        <v>0</v>
      </c>
      <c r="AY768" s="149">
        <v>0</v>
      </c>
      <c r="AZ768" s="149">
        <v>0</v>
      </c>
      <c r="BA768" s="149">
        <v>0</v>
      </c>
      <c r="BB768" s="149">
        <v>0</v>
      </c>
      <c r="BC768" s="149">
        <v>0</v>
      </c>
      <c r="BD768" s="149">
        <v>1</v>
      </c>
      <c r="BE768" s="149">
        <v>0</v>
      </c>
      <c r="BF768" s="149">
        <v>0</v>
      </c>
      <c r="BG768" s="149">
        <v>0</v>
      </c>
      <c r="BH768" s="149">
        <v>0</v>
      </c>
      <c r="BI768" s="149">
        <v>0</v>
      </c>
      <c r="BJ768" s="149">
        <v>0</v>
      </c>
      <c r="BK768" s="149">
        <v>0</v>
      </c>
      <c r="BL768" s="149">
        <v>0</v>
      </c>
      <c r="BM768" s="149">
        <v>0</v>
      </c>
      <c r="BN768" s="149">
        <v>0</v>
      </c>
      <c r="BO768" s="149">
        <v>0</v>
      </c>
      <c r="BP768" s="152"/>
      <c r="BQ768" s="152"/>
      <c r="BR768" s="154" t="s">
        <v>359</v>
      </c>
      <c r="BS768" s="136">
        <v>15</v>
      </c>
      <c r="BT768" s="267"/>
      <c r="BU768" s="267">
        <f>M768/4</f>
        <v>0.25</v>
      </c>
      <c r="BV768" s="267">
        <f t="shared" ref="BV768:BV778" si="105">M768/4</f>
        <v>0.25</v>
      </c>
      <c r="BW768" s="267">
        <f t="shared" ref="BW768:BW778" si="106">M768/4</f>
        <v>0.25</v>
      </c>
      <c r="BX768" s="267">
        <f t="shared" ref="BX768:BX778" si="107">M768/4</f>
        <v>0.25</v>
      </c>
      <c r="BY768" s="267"/>
      <c r="BZ768" s="267"/>
      <c r="CA768" s="267"/>
      <c r="CB768" s="267"/>
      <c r="CC768" s="267"/>
      <c r="CD768" s="267"/>
      <c r="CE768" s="267"/>
      <c r="CF768" s="267"/>
      <c r="CG768" s="267"/>
      <c r="CH768" s="267"/>
      <c r="CI768" s="267"/>
      <c r="CJ768" s="267"/>
      <c r="CK768" s="267"/>
      <c r="CL768" s="267"/>
      <c r="CM768" s="267"/>
      <c r="CN768" s="101">
        <f t="shared" si="97"/>
        <v>1</v>
      </c>
      <c r="CO768" s="101">
        <f t="shared" si="98"/>
        <v>1</v>
      </c>
    </row>
    <row r="769" spans="1:93" ht="13.9" customHeight="1" x14ac:dyDescent="0.2">
      <c r="A769" s="149">
        <v>7888</v>
      </c>
      <c r="B769" s="150" t="s">
        <v>1216</v>
      </c>
      <c r="C769" s="150" t="s">
        <v>2186</v>
      </c>
      <c r="D769" s="150" t="s">
        <v>2187</v>
      </c>
      <c r="E769" s="150" t="s">
        <v>326</v>
      </c>
      <c r="F769" s="149">
        <v>527576</v>
      </c>
      <c r="G769" s="149">
        <v>171734</v>
      </c>
      <c r="H769" s="150" t="s">
        <v>172</v>
      </c>
      <c r="I769" s="151"/>
      <c r="J769" s="151"/>
      <c r="K769" s="149">
        <v>0</v>
      </c>
      <c r="L769" s="149">
        <v>1</v>
      </c>
      <c r="M769" s="149">
        <v>1</v>
      </c>
      <c r="N769" s="149">
        <v>1</v>
      </c>
      <c r="O769" s="149">
        <v>1</v>
      </c>
      <c r="P769" s="152"/>
      <c r="Q769" s="150" t="s">
        <v>2188</v>
      </c>
      <c r="R769" s="150" t="s">
        <v>349</v>
      </c>
      <c r="S769" s="151">
        <v>44805</v>
      </c>
      <c r="T769" s="151">
        <v>45189</v>
      </c>
      <c r="U769" s="152" t="s">
        <v>327</v>
      </c>
      <c r="V769" s="150" t="s">
        <v>330</v>
      </c>
      <c r="W769" s="151"/>
      <c r="X769" s="150" t="s">
        <v>331</v>
      </c>
      <c r="Y769" s="150" t="s">
        <v>343</v>
      </c>
      <c r="Z769" s="150" t="s">
        <v>334</v>
      </c>
      <c r="AA769" s="150" t="s">
        <v>363</v>
      </c>
      <c r="AB769" s="153">
        <v>5.0000000000000001E-3</v>
      </c>
      <c r="AC769" s="151"/>
      <c r="AD769" s="150"/>
      <c r="AE769" s="151"/>
      <c r="AF769" s="150" t="s">
        <v>70</v>
      </c>
      <c r="AG769" s="152" t="s">
        <v>352</v>
      </c>
      <c r="AH769" s="150" t="s">
        <v>326</v>
      </c>
      <c r="AI769" s="99"/>
      <c r="AJ769" s="149"/>
      <c r="AK769" s="99"/>
      <c r="AL769" s="149"/>
      <c r="AM769" s="99"/>
      <c r="AN769" s="149">
        <v>0</v>
      </c>
      <c r="AO769" s="149">
        <v>0</v>
      </c>
      <c r="AP769" s="149">
        <v>1</v>
      </c>
      <c r="AQ769" s="149">
        <v>0</v>
      </c>
      <c r="AR769" s="149">
        <v>0</v>
      </c>
      <c r="AS769" s="149">
        <v>0</v>
      </c>
      <c r="AT769" s="149">
        <v>0</v>
      </c>
      <c r="AU769" s="149">
        <v>0</v>
      </c>
      <c r="AV769" s="149">
        <v>0</v>
      </c>
      <c r="AW769" s="149">
        <v>0</v>
      </c>
      <c r="AX769" s="149">
        <v>0</v>
      </c>
      <c r="AY769" s="149">
        <v>0</v>
      </c>
      <c r="AZ769" s="149">
        <v>0</v>
      </c>
      <c r="BA769" s="149">
        <v>0</v>
      </c>
      <c r="BB769" s="149">
        <v>0</v>
      </c>
      <c r="BC769" s="149">
        <v>0</v>
      </c>
      <c r="BD769" s="149">
        <v>1</v>
      </c>
      <c r="BE769" s="149">
        <v>0</v>
      </c>
      <c r="BF769" s="149">
        <v>0</v>
      </c>
      <c r="BG769" s="149">
        <v>0</v>
      </c>
      <c r="BH769" s="149">
        <v>0</v>
      </c>
      <c r="BI769" s="149">
        <v>0</v>
      </c>
      <c r="BJ769" s="149">
        <v>0</v>
      </c>
      <c r="BK769" s="149">
        <v>0</v>
      </c>
      <c r="BL769" s="149">
        <v>0</v>
      </c>
      <c r="BM769" s="149">
        <v>0</v>
      </c>
      <c r="BN769" s="149">
        <v>0</v>
      </c>
      <c r="BO769" s="149">
        <v>0</v>
      </c>
      <c r="BP769" s="152" t="s">
        <v>142</v>
      </c>
      <c r="BQ769" s="152"/>
      <c r="BR769" s="154" t="s">
        <v>142</v>
      </c>
      <c r="BS769" s="136">
        <v>7</v>
      </c>
      <c r="BT769" s="267"/>
      <c r="BU769" s="267"/>
      <c r="BV769" s="267">
        <f t="shared" si="105"/>
        <v>0.25</v>
      </c>
      <c r="BW769" s="267">
        <f t="shared" si="106"/>
        <v>0.25</v>
      </c>
      <c r="BX769" s="267">
        <f t="shared" si="107"/>
        <v>0.25</v>
      </c>
      <c r="BY769" s="267">
        <f>M769/4</f>
        <v>0.25</v>
      </c>
      <c r="BZ769" s="267"/>
      <c r="CA769" s="267"/>
      <c r="CB769" s="267"/>
      <c r="CC769" s="267"/>
      <c r="CD769" s="267"/>
      <c r="CE769" s="267"/>
      <c r="CF769" s="267"/>
      <c r="CG769" s="267"/>
      <c r="CH769" s="267"/>
      <c r="CI769" s="267"/>
      <c r="CJ769" s="267"/>
      <c r="CK769" s="267"/>
      <c r="CL769" s="267"/>
      <c r="CM769" s="267"/>
      <c r="CN769" s="101">
        <f t="shared" si="97"/>
        <v>1</v>
      </c>
      <c r="CO769" s="101">
        <f t="shared" si="98"/>
        <v>1</v>
      </c>
    </row>
    <row r="770" spans="1:93" ht="13.9" customHeight="1" x14ac:dyDescent="0.2">
      <c r="A770" s="149">
        <v>7890</v>
      </c>
      <c r="B770" s="150" t="s">
        <v>1216</v>
      </c>
      <c r="C770" s="150" t="s">
        <v>2189</v>
      </c>
      <c r="D770" s="150" t="s">
        <v>2190</v>
      </c>
      <c r="E770" s="150" t="s">
        <v>326</v>
      </c>
      <c r="F770" s="149">
        <v>527164</v>
      </c>
      <c r="G770" s="149">
        <v>173740</v>
      </c>
      <c r="H770" s="150" t="s">
        <v>176</v>
      </c>
      <c r="I770" s="151"/>
      <c r="J770" s="151"/>
      <c r="K770" s="149">
        <v>3</v>
      </c>
      <c r="L770" s="149">
        <v>1</v>
      </c>
      <c r="M770" s="149">
        <v>-2</v>
      </c>
      <c r="N770" s="149">
        <v>1</v>
      </c>
      <c r="O770" s="149">
        <v>-2</v>
      </c>
      <c r="P770" s="152"/>
      <c r="Q770" s="150" t="s">
        <v>2191</v>
      </c>
      <c r="R770" s="150" t="s">
        <v>349</v>
      </c>
      <c r="S770" s="151">
        <v>44837</v>
      </c>
      <c r="T770" s="151">
        <v>44984</v>
      </c>
      <c r="U770" s="152"/>
      <c r="V770" s="150" t="s">
        <v>330</v>
      </c>
      <c r="W770" s="151"/>
      <c r="X770" s="150" t="s">
        <v>331</v>
      </c>
      <c r="Y770" s="150" t="s">
        <v>398</v>
      </c>
      <c r="Z770" s="150" t="s">
        <v>334</v>
      </c>
      <c r="AA770" s="150" t="s">
        <v>18</v>
      </c>
      <c r="AB770" s="153">
        <v>1.4999999999999999E-2</v>
      </c>
      <c r="AC770" s="151"/>
      <c r="AD770" s="150"/>
      <c r="AE770" s="151"/>
      <c r="AF770" s="150" t="s">
        <v>70</v>
      </c>
      <c r="AG770" s="152" t="s">
        <v>352</v>
      </c>
      <c r="AH770" s="150" t="s">
        <v>326</v>
      </c>
      <c r="AI770" s="99"/>
      <c r="AJ770" s="149"/>
      <c r="AK770" s="99"/>
      <c r="AL770" s="149"/>
      <c r="AM770" s="99"/>
      <c r="AN770" s="149">
        <v>0</v>
      </c>
      <c r="AO770" s="149">
        <v>0</v>
      </c>
      <c r="AP770" s="149">
        <v>-2</v>
      </c>
      <c r="AQ770" s="149">
        <v>-1</v>
      </c>
      <c r="AR770" s="149">
        <v>0</v>
      </c>
      <c r="AS770" s="149">
        <v>1</v>
      </c>
      <c r="AT770" s="149">
        <v>0</v>
      </c>
      <c r="AU770" s="149">
        <v>0</v>
      </c>
      <c r="AV770" s="149">
        <v>0</v>
      </c>
      <c r="AW770" s="149">
        <v>-2</v>
      </c>
      <c r="AX770" s="149">
        <v>-1</v>
      </c>
      <c r="AY770" s="149">
        <v>0</v>
      </c>
      <c r="AZ770" s="149">
        <v>0</v>
      </c>
      <c r="BA770" s="149">
        <v>0</v>
      </c>
      <c r="BB770" s="149">
        <v>0</v>
      </c>
      <c r="BC770" s="149">
        <v>0</v>
      </c>
      <c r="BD770" s="149">
        <v>0</v>
      </c>
      <c r="BE770" s="149">
        <v>0</v>
      </c>
      <c r="BF770" s="149">
        <v>0</v>
      </c>
      <c r="BG770" s="149">
        <v>1</v>
      </c>
      <c r="BH770" s="149">
        <v>0</v>
      </c>
      <c r="BI770" s="149">
        <v>0</v>
      </c>
      <c r="BJ770" s="149">
        <v>0</v>
      </c>
      <c r="BK770" s="149">
        <v>0</v>
      </c>
      <c r="BL770" s="149">
        <v>0</v>
      </c>
      <c r="BM770" s="149">
        <v>0</v>
      </c>
      <c r="BN770" s="149">
        <v>0</v>
      </c>
      <c r="BO770" s="149">
        <v>0</v>
      </c>
      <c r="BP770" s="152"/>
      <c r="BQ770" s="152"/>
      <c r="BR770" s="154" t="s">
        <v>359</v>
      </c>
      <c r="BS770" s="136">
        <v>15</v>
      </c>
      <c r="BT770" s="267"/>
      <c r="BU770" s="267">
        <f>M770/4</f>
        <v>-0.5</v>
      </c>
      <c r="BV770" s="267">
        <f t="shared" si="105"/>
        <v>-0.5</v>
      </c>
      <c r="BW770" s="267">
        <f t="shared" si="106"/>
        <v>-0.5</v>
      </c>
      <c r="BX770" s="267">
        <f t="shared" si="107"/>
        <v>-0.5</v>
      </c>
      <c r="BY770" s="267"/>
      <c r="BZ770" s="267"/>
      <c r="CA770" s="267"/>
      <c r="CB770" s="267"/>
      <c r="CC770" s="267"/>
      <c r="CD770" s="267"/>
      <c r="CE770" s="267"/>
      <c r="CF770" s="267"/>
      <c r="CG770" s="267"/>
      <c r="CH770" s="267"/>
      <c r="CI770" s="267"/>
      <c r="CJ770" s="267"/>
      <c r="CK770" s="267"/>
      <c r="CL770" s="267"/>
      <c r="CM770" s="267"/>
      <c r="CN770" s="101">
        <f t="shared" ref="CN770:CN833" si="108">SUM(BU770:BY770)</f>
        <v>-2</v>
      </c>
      <c r="CO770" s="101">
        <f t="shared" ref="CO770:CO833" si="109">SUM(BU770:CD770)</f>
        <v>-2</v>
      </c>
    </row>
    <row r="771" spans="1:93" ht="13.9" customHeight="1" x14ac:dyDescent="0.2">
      <c r="A771" s="149">
        <v>7341</v>
      </c>
      <c r="B771" s="150" t="s">
        <v>1216</v>
      </c>
      <c r="C771" s="150" t="s">
        <v>2192</v>
      </c>
      <c r="D771" s="150" t="s">
        <v>2193</v>
      </c>
      <c r="E771" s="150" t="s">
        <v>326</v>
      </c>
      <c r="F771" s="149">
        <v>526448</v>
      </c>
      <c r="G771" s="149">
        <v>175829</v>
      </c>
      <c r="H771" s="150" t="s">
        <v>170</v>
      </c>
      <c r="I771" s="151"/>
      <c r="J771" s="151"/>
      <c r="K771" s="149">
        <v>0</v>
      </c>
      <c r="L771" s="149">
        <v>1</v>
      </c>
      <c r="M771" s="149">
        <v>1</v>
      </c>
      <c r="N771" s="149">
        <v>1</v>
      </c>
      <c r="O771" s="149">
        <v>1</v>
      </c>
      <c r="P771" s="152"/>
      <c r="Q771" s="150" t="s">
        <v>2194</v>
      </c>
      <c r="R771" s="150" t="s">
        <v>427</v>
      </c>
      <c r="S771" s="151">
        <v>44806</v>
      </c>
      <c r="T771" s="151">
        <v>44855</v>
      </c>
      <c r="U771" s="152"/>
      <c r="V771" s="150" t="s">
        <v>330</v>
      </c>
      <c r="W771" s="151"/>
      <c r="X771" s="150" t="s">
        <v>331</v>
      </c>
      <c r="Y771" s="150" t="s">
        <v>332</v>
      </c>
      <c r="Z771" s="150" t="s">
        <v>334</v>
      </c>
      <c r="AA771" s="150" t="s">
        <v>29</v>
      </c>
      <c r="AB771" s="153">
        <v>6.4000000000000003E-3</v>
      </c>
      <c r="AC771" s="151"/>
      <c r="AD771" s="150"/>
      <c r="AE771" s="151"/>
      <c r="AF771" s="150" t="s">
        <v>70</v>
      </c>
      <c r="AG771" s="152" t="s">
        <v>352</v>
      </c>
      <c r="AH771" s="150" t="s">
        <v>326</v>
      </c>
      <c r="AI771" s="99"/>
      <c r="AJ771" s="149"/>
      <c r="AK771" s="99"/>
      <c r="AL771" s="149"/>
      <c r="AM771" s="99"/>
      <c r="AN771" s="149">
        <v>0</v>
      </c>
      <c r="AO771" s="149">
        <v>1</v>
      </c>
      <c r="AP771" s="149">
        <v>0</v>
      </c>
      <c r="AQ771" s="149">
        <v>0</v>
      </c>
      <c r="AR771" s="149">
        <v>0</v>
      </c>
      <c r="AS771" s="149">
        <v>0</v>
      </c>
      <c r="AT771" s="149">
        <v>0</v>
      </c>
      <c r="AU771" s="149">
        <v>0</v>
      </c>
      <c r="AV771" s="149">
        <v>1</v>
      </c>
      <c r="AW771" s="149">
        <v>0</v>
      </c>
      <c r="AX771" s="149">
        <v>0</v>
      </c>
      <c r="AY771" s="149">
        <v>0</v>
      </c>
      <c r="AZ771" s="149">
        <v>0</v>
      </c>
      <c r="BA771" s="149">
        <v>0</v>
      </c>
      <c r="BB771" s="149">
        <v>0</v>
      </c>
      <c r="BC771" s="149">
        <v>0</v>
      </c>
      <c r="BD771" s="149">
        <v>0</v>
      </c>
      <c r="BE771" s="149">
        <v>0</v>
      </c>
      <c r="BF771" s="149">
        <v>0</v>
      </c>
      <c r="BG771" s="149">
        <v>0</v>
      </c>
      <c r="BH771" s="149">
        <v>0</v>
      </c>
      <c r="BI771" s="149">
        <v>0</v>
      </c>
      <c r="BJ771" s="149">
        <v>0</v>
      </c>
      <c r="BK771" s="149">
        <v>0</v>
      </c>
      <c r="BL771" s="149">
        <v>0</v>
      </c>
      <c r="BM771" s="149">
        <v>0</v>
      </c>
      <c r="BN771" s="149">
        <v>0</v>
      </c>
      <c r="BO771" s="149">
        <v>0</v>
      </c>
      <c r="BP771" s="152"/>
      <c r="BQ771" s="152"/>
      <c r="BR771" s="154" t="s">
        <v>408</v>
      </c>
      <c r="BS771" s="136">
        <v>15</v>
      </c>
      <c r="BT771" s="267"/>
      <c r="BU771" s="267">
        <f>M771/4</f>
        <v>0.25</v>
      </c>
      <c r="BV771" s="267">
        <f t="shared" si="105"/>
        <v>0.25</v>
      </c>
      <c r="BW771" s="267">
        <f t="shared" si="106"/>
        <v>0.25</v>
      </c>
      <c r="BX771" s="267">
        <f t="shared" si="107"/>
        <v>0.25</v>
      </c>
      <c r="BY771" s="267"/>
      <c r="BZ771" s="267"/>
      <c r="CA771" s="267"/>
      <c r="CB771" s="267"/>
      <c r="CC771" s="267"/>
      <c r="CD771" s="267"/>
      <c r="CE771" s="267"/>
      <c r="CF771" s="267"/>
      <c r="CG771" s="267"/>
      <c r="CH771" s="267"/>
      <c r="CI771" s="267"/>
      <c r="CJ771" s="267"/>
      <c r="CK771" s="267"/>
      <c r="CL771" s="267"/>
      <c r="CM771" s="267"/>
      <c r="CN771" s="101">
        <f t="shared" si="108"/>
        <v>1</v>
      </c>
      <c r="CO771" s="101">
        <f t="shared" si="109"/>
        <v>1</v>
      </c>
    </row>
    <row r="772" spans="1:93" ht="13.9" customHeight="1" x14ac:dyDescent="0.2">
      <c r="A772" s="149">
        <v>7343</v>
      </c>
      <c r="B772" s="150" t="s">
        <v>1216</v>
      </c>
      <c r="C772" s="150" t="s">
        <v>2195</v>
      </c>
      <c r="D772" s="150" t="s">
        <v>2196</v>
      </c>
      <c r="E772" s="150" t="s">
        <v>326</v>
      </c>
      <c r="F772" s="149">
        <v>526450</v>
      </c>
      <c r="G772" s="149">
        <v>175834</v>
      </c>
      <c r="H772" s="150" t="s">
        <v>170</v>
      </c>
      <c r="I772" s="151"/>
      <c r="J772" s="151"/>
      <c r="K772" s="149">
        <v>0</v>
      </c>
      <c r="L772" s="149">
        <v>5</v>
      </c>
      <c r="M772" s="149">
        <v>5</v>
      </c>
      <c r="N772" s="149">
        <v>5</v>
      </c>
      <c r="O772" s="149">
        <v>5</v>
      </c>
      <c r="P772" s="152"/>
      <c r="Q772" s="150" t="s">
        <v>2197</v>
      </c>
      <c r="R772" s="150" t="s">
        <v>427</v>
      </c>
      <c r="S772" s="151">
        <v>44806</v>
      </c>
      <c r="T772" s="151">
        <v>44855</v>
      </c>
      <c r="U772" s="152"/>
      <c r="V772" s="150" t="s">
        <v>330</v>
      </c>
      <c r="W772" s="151"/>
      <c r="X772" s="150" t="s">
        <v>331</v>
      </c>
      <c r="Y772" s="150" t="s">
        <v>332</v>
      </c>
      <c r="Z772" s="150" t="s">
        <v>334</v>
      </c>
      <c r="AA772" s="150" t="s">
        <v>29</v>
      </c>
      <c r="AB772" s="153">
        <v>3.0300000000000001E-2</v>
      </c>
      <c r="AC772" s="151"/>
      <c r="AD772" s="150"/>
      <c r="AE772" s="151"/>
      <c r="AF772" s="150" t="s">
        <v>70</v>
      </c>
      <c r="AG772" s="152" t="s">
        <v>352</v>
      </c>
      <c r="AH772" s="150" t="s">
        <v>326</v>
      </c>
      <c r="AI772" s="99"/>
      <c r="AJ772" s="149"/>
      <c r="AK772" s="99"/>
      <c r="AL772" s="149"/>
      <c r="AM772" s="99"/>
      <c r="AN772" s="149">
        <v>0</v>
      </c>
      <c r="AO772" s="149">
        <v>5</v>
      </c>
      <c r="AP772" s="149">
        <v>0</v>
      </c>
      <c r="AQ772" s="149">
        <v>0</v>
      </c>
      <c r="AR772" s="149">
        <v>0</v>
      </c>
      <c r="AS772" s="149">
        <v>0</v>
      </c>
      <c r="AT772" s="149">
        <v>0</v>
      </c>
      <c r="AU772" s="149">
        <v>0</v>
      </c>
      <c r="AV772" s="149">
        <v>5</v>
      </c>
      <c r="AW772" s="149">
        <v>0</v>
      </c>
      <c r="AX772" s="149">
        <v>0</v>
      </c>
      <c r="AY772" s="149">
        <v>0</v>
      </c>
      <c r="AZ772" s="149">
        <v>0</v>
      </c>
      <c r="BA772" s="149">
        <v>0</v>
      </c>
      <c r="BB772" s="149">
        <v>0</v>
      </c>
      <c r="BC772" s="149">
        <v>0</v>
      </c>
      <c r="BD772" s="149">
        <v>0</v>
      </c>
      <c r="BE772" s="149">
        <v>0</v>
      </c>
      <c r="BF772" s="149">
        <v>0</v>
      </c>
      <c r="BG772" s="149">
        <v>0</v>
      </c>
      <c r="BH772" s="149">
        <v>0</v>
      </c>
      <c r="BI772" s="149">
        <v>0</v>
      </c>
      <c r="BJ772" s="149">
        <v>0</v>
      </c>
      <c r="BK772" s="149">
        <v>0</v>
      </c>
      <c r="BL772" s="149">
        <v>0</v>
      </c>
      <c r="BM772" s="149">
        <v>0</v>
      </c>
      <c r="BN772" s="149">
        <v>0</v>
      </c>
      <c r="BO772" s="149">
        <v>0</v>
      </c>
      <c r="BP772" s="152"/>
      <c r="BQ772" s="152"/>
      <c r="BR772" s="154" t="s">
        <v>408</v>
      </c>
      <c r="BS772" s="136">
        <v>15</v>
      </c>
      <c r="BT772" s="267"/>
      <c r="BU772" s="267">
        <f>M772/4</f>
        <v>1.25</v>
      </c>
      <c r="BV772" s="267">
        <f t="shared" si="105"/>
        <v>1.25</v>
      </c>
      <c r="BW772" s="267">
        <f t="shared" si="106"/>
        <v>1.25</v>
      </c>
      <c r="BX772" s="267">
        <f t="shared" si="107"/>
        <v>1.25</v>
      </c>
      <c r="BY772" s="267"/>
      <c r="BZ772" s="267"/>
      <c r="CA772" s="267"/>
      <c r="CB772" s="267"/>
      <c r="CC772" s="267"/>
      <c r="CD772" s="267"/>
      <c r="CE772" s="267"/>
      <c r="CF772" s="267"/>
      <c r="CG772" s="267"/>
      <c r="CH772" s="267"/>
      <c r="CI772" s="267"/>
      <c r="CJ772" s="267"/>
      <c r="CK772" s="267"/>
      <c r="CL772" s="267"/>
      <c r="CM772" s="267"/>
      <c r="CN772" s="101">
        <f t="shared" si="108"/>
        <v>5</v>
      </c>
      <c r="CO772" s="101">
        <f t="shared" si="109"/>
        <v>5</v>
      </c>
    </row>
    <row r="773" spans="1:93" ht="13.9" customHeight="1" x14ac:dyDescent="0.2">
      <c r="A773" s="149">
        <v>7913</v>
      </c>
      <c r="B773" s="150" t="s">
        <v>1216</v>
      </c>
      <c r="C773" s="150" t="s">
        <v>2198</v>
      </c>
      <c r="D773" s="150" t="s">
        <v>2199</v>
      </c>
      <c r="E773" s="150" t="s">
        <v>326</v>
      </c>
      <c r="F773" s="149">
        <v>522974</v>
      </c>
      <c r="G773" s="149">
        <v>175158</v>
      </c>
      <c r="H773" s="150" t="s">
        <v>179</v>
      </c>
      <c r="I773" s="151"/>
      <c r="J773" s="151"/>
      <c r="K773" s="149">
        <v>2</v>
      </c>
      <c r="L773" s="149">
        <v>1</v>
      </c>
      <c r="M773" s="149">
        <v>-1</v>
      </c>
      <c r="N773" s="149">
        <v>1</v>
      </c>
      <c r="O773" s="149">
        <v>-1</v>
      </c>
      <c r="P773" s="152"/>
      <c r="Q773" s="150" t="s">
        <v>2200</v>
      </c>
      <c r="R773" s="150" t="s">
        <v>349</v>
      </c>
      <c r="S773" s="151">
        <v>44881</v>
      </c>
      <c r="T773" s="151">
        <v>44952</v>
      </c>
      <c r="U773" s="152"/>
      <c r="V773" s="150" t="s">
        <v>330</v>
      </c>
      <c r="W773" s="151"/>
      <c r="X773" s="150" t="s">
        <v>331</v>
      </c>
      <c r="Y773" s="150" t="s">
        <v>398</v>
      </c>
      <c r="Z773" s="150" t="s">
        <v>334</v>
      </c>
      <c r="AA773" s="150" t="s">
        <v>18</v>
      </c>
      <c r="AB773" s="153">
        <v>6.2E-2</v>
      </c>
      <c r="AC773" s="151"/>
      <c r="AD773" s="150"/>
      <c r="AE773" s="151"/>
      <c r="AF773" s="150" t="s">
        <v>70</v>
      </c>
      <c r="AG773" s="152" t="s">
        <v>352</v>
      </c>
      <c r="AH773" s="150" t="s">
        <v>326</v>
      </c>
      <c r="AI773" s="99"/>
      <c r="AJ773" s="149"/>
      <c r="AK773" s="99"/>
      <c r="AL773" s="149"/>
      <c r="AM773" s="99"/>
      <c r="AN773" s="149">
        <v>0</v>
      </c>
      <c r="AO773" s="149">
        <v>0</v>
      </c>
      <c r="AP773" s="149">
        <v>0</v>
      </c>
      <c r="AQ773" s="149">
        <v>0</v>
      </c>
      <c r="AR773" s="149">
        <v>0</v>
      </c>
      <c r="AS773" s="149">
        <v>1</v>
      </c>
      <c r="AT773" s="149">
        <v>-2</v>
      </c>
      <c r="AU773" s="149">
        <v>0</v>
      </c>
      <c r="AV773" s="149">
        <v>0</v>
      </c>
      <c r="AW773" s="149">
        <v>0</v>
      </c>
      <c r="AX773" s="149">
        <v>0</v>
      </c>
      <c r="AY773" s="149">
        <v>0</v>
      </c>
      <c r="AZ773" s="149">
        <v>0</v>
      </c>
      <c r="BA773" s="149">
        <v>-2</v>
      </c>
      <c r="BB773" s="149">
        <v>0</v>
      </c>
      <c r="BC773" s="149">
        <v>0</v>
      </c>
      <c r="BD773" s="149">
        <v>0</v>
      </c>
      <c r="BE773" s="149">
        <v>0</v>
      </c>
      <c r="BF773" s="149">
        <v>0</v>
      </c>
      <c r="BG773" s="149">
        <v>1</v>
      </c>
      <c r="BH773" s="149">
        <v>0</v>
      </c>
      <c r="BI773" s="149">
        <v>0</v>
      </c>
      <c r="BJ773" s="149">
        <v>0</v>
      </c>
      <c r="BK773" s="149">
        <v>0</v>
      </c>
      <c r="BL773" s="149">
        <v>0</v>
      </c>
      <c r="BM773" s="149">
        <v>0</v>
      </c>
      <c r="BN773" s="149">
        <v>0</v>
      </c>
      <c r="BO773" s="149">
        <v>0</v>
      </c>
      <c r="BP773" s="152"/>
      <c r="BQ773" s="152"/>
      <c r="BR773" s="154" t="s">
        <v>359</v>
      </c>
      <c r="BS773" s="136">
        <v>15</v>
      </c>
      <c r="BT773" s="267"/>
      <c r="BU773" s="267">
        <f>M773/4</f>
        <v>-0.25</v>
      </c>
      <c r="BV773" s="267">
        <f t="shared" si="105"/>
        <v>-0.25</v>
      </c>
      <c r="BW773" s="267">
        <f t="shared" si="106"/>
        <v>-0.25</v>
      </c>
      <c r="BX773" s="267">
        <f t="shared" si="107"/>
        <v>-0.25</v>
      </c>
      <c r="BY773" s="267"/>
      <c r="BZ773" s="267"/>
      <c r="CA773" s="267"/>
      <c r="CB773" s="267"/>
      <c r="CC773" s="267"/>
      <c r="CD773" s="267"/>
      <c r="CE773" s="267"/>
      <c r="CF773" s="267"/>
      <c r="CG773" s="267"/>
      <c r="CH773" s="267"/>
      <c r="CI773" s="267"/>
      <c r="CJ773" s="267"/>
      <c r="CK773" s="267"/>
      <c r="CL773" s="267"/>
      <c r="CM773" s="267"/>
      <c r="CN773" s="101">
        <f t="shared" si="108"/>
        <v>-1</v>
      </c>
      <c r="CO773" s="101">
        <f t="shared" si="109"/>
        <v>-1</v>
      </c>
    </row>
    <row r="774" spans="1:93" ht="13.9" customHeight="1" x14ac:dyDescent="0.2">
      <c r="A774" s="149">
        <v>7900</v>
      </c>
      <c r="B774" s="150" t="s">
        <v>1216</v>
      </c>
      <c r="C774" s="150" t="s">
        <v>2201</v>
      </c>
      <c r="D774" s="150" t="s">
        <v>2202</v>
      </c>
      <c r="E774" s="150" t="s">
        <v>326</v>
      </c>
      <c r="F774" s="149">
        <v>528537</v>
      </c>
      <c r="G774" s="149">
        <v>170778</v>
      </c>
      <c r="H774" s="150" t="s">
        <v>163</v>
      </c>
      <c r="I774" s="151"/>
      <c r="J774" s="151"/>
      <c r="K774" s="149">
        <v>0</v>
      </c>
      <c r="L774" s="149">
        <v>1</v>
      </c>
      <c r="M774" s="149">
        <v>1</v>
      </c>
      <c r="N774" s="149">
        <v>1</v>
      </c>
      <c r="O774" s="149">
        <v>1</v>
      </c>
      <c r="P774" s="152"/>
      <c r="Q774" s="150" t="s">
        <v>2203</v>
      </c>
      <c r="R774" s="150" t="s">
        <v>349</v>
      </c>
      <c r="S774" s="151">
        <v>44831</v>
      </c>
      <c r="T774" s="151">
        <v>44889</v>
      </c>
      <c r="U774" s="152"/>
      <c r="V774" s="150" t="s">
        <v>330</v>
      </c>
      <c r="W774" s="151"/>
      <c r="X774" s="150" t="s">
        <v>2046</v>
      </c>
      <c r="Y774" s="150" t="s">
        <v>343</v>
      </c>
      <c r="Z774" s="150" t="s">
        <v>334</v>
      </c>
      <c r="AA774" s="150" t="s">
        <v>363</v>
      </c>
      <c r="AB774" s="153">
        <v>2.9250000000000001E-3</v>
      </c>
      <c r="AC774" s="151"/>
      <c r="AD774" s="150"/>
      <c r="AE774" s="151"/>
      <c r="AF774" s="150" t="s">
        <v>70</v>
      </c>
      <c r="AG774" s="152" t="s">
        <v>352</v>
      </c>
      <c r="AH774" s="150" t="s">
        <v>326</v>
      </c>
      <c r="AI774" s="99"/>
      <c r="AJ774" s="149"/>
      <c r="AK774" s="99"/>
      <c r="AL774" s="149"/>
      <c r="AM774" s="99"/>
      <c r="AN774" s="149">
        <v>0</v>
      </c>
      <c r="AO774" s="149">
        <v>1</v>
      </c>
      <c r="AP774" s="149">
        <v>0</v>
      </c>
      <c r="AQ774" s="149">
        <v>0</v>
      </c>
      <c r="AR774" s="149">
        <v>0</v>
      </c>
      <c r="AS774" s="149">
        <v>0</v>
      </c>
      <c r="AT774" s="149">
        <v>0</v>
      </c>
      <c r="AU774" s="149">
        <v>0</v>
      </c>
      <c r="AV774" s="149">
        <v>0</v>
      </c>
      <c r="AW774" s="149">
        <v>0</v>
      </c>
      <c r="AX774" s="149">
        <v>0</v>
      </c>
      <c r="AY774" s="149">
        <v>0</v>
      </c>
      <c r="AZ774" s="149">
        <v>0</v>
      </c>
      <c r="BA774" s="149">
        <v>0</v>
      </c>
      <c r="BB774" s="149">
        <v>0</v>
      </c>
      <c r="BC774" s="149">
        <v>1</v>
      </c>
      <c r="BD774" s="149">
        <v>0</v>
      </c>
      <c r="BE774" s="149">
        <v>0</v>
      </c>
      <c r="BF774" s="149">
        <v>0</v>
      </c>
      <c r="BG774" s="149">
        <v>0</v>
      </c>
      <c r="BH774" s="149">
        <v>0</v>
      </c>
      <c r="BI774" s="149">
        <v>0</v>
      </c>
      <c r="BJ774" s="149">
        <v>0</v>
      </c>
      <c r="BK774" s="149">
        <v>0</v>
      </c>
      <c r="BL774" s="149">
        <v>0</v>
      </c>
      <c r="BM774" s="149">
        <v>0</v>
      </c>
      <c r="BN774" s="149">
        <v>0</v>
      </c>
      <c r="BO774" s="149">
        <v>0</v>
      </c>
      <c r="BP774" s="152"/>
      <c r="BQ774" s="152"/>
      <c r="BR774" s="154" t="s">
        <v>359</v>
      </c>
      <c r="BS774" s="136">
        <v>7</v>
      </c>
      <c r="BT774" s="267"/>
      <c r="BU774" s="267"/>
      <c r="BV774" s="267">
        <f t="shared" si="105"/>
        <v>0.25</v>
      </c>
      <c r="BW774" s="267">
        <f t="shared" si="106"/>
        <v>0.25</v>
      </c>
      <c r="BX774" s="267">
        <f t="shared" si="107"/>
        <v>0.25</v>
      </c>
      <c r="BY774" s="267">
        <f>M774/4</f>
        <v>0.25</v>
      </c>
      <c r="BZ774" s="267"/>
      <c r="CA774" s="267"/>
      <c r="CB774" s="267"/>
      <c r="CC774" s="267"/>
      <c r="CD774" s="267"/>
      <c r="CE774" s="267"/>
      <c r="CF774" s="267"/>
      <c r="CG774" s="267"/>
      <c r="CH774" s="267"/>
      <c r="CI774" s="267"/>
      <c r="CJ774" s="267"/>
      <c r="CK774" s="267"/>
      <c r="CL774" s="267"/>
      <c r="CM774" s="267"/>
      <c r="CN774" s="101">
        <f t="shared" si="108"/>
        <v>1</v>
      </c>
      <c r="CO774" s="101">
        <f t="shared" si="109"/>
        <v>1</v>
      </c>
    </row>
    <row r="775" spans="1:93" ht="13.9" customHeight="1" x14ac:dyDescent="0.2">
      <c r="A775" s="149">
        <v>6817</v>
      </c>
      <c r="B775" s="150" t="s">
        <v>1216</v>
      </c>
      <c r="C775" s="150" t="s">
        <v>2204</v>
      </c>
      <c r="D775" s="150" t="s">
        <v>2205</v>
      </c>
      <c r="E775" s="150" t="s">
        <v>326</v>
      </c>
      <c r="F775" s="149">
        <v>528402</v>
      </c>
      <c r="G775" s="149">
        <v>172041</v>
      </c>
      <c r="H775" s="150" t="s">
        <v>172</v>
      </c>
      <c r="I775" s="151"/>
      <c r="J775" s="151"/>
      <c r="K775" s="149">
        <v>1</v>
      </c>
      <c r="L775" s="149">
        <v>4</v>
      </c>
      <c r="M775" s="149">
        <v>3</v>
      </c>
      <c r="N775" s="149">
        <v>4</v>
      </c>
      <c r="O775" s="149">
        <v>3</v>
      </c>
      <c r="P775" s="152"/>
      <c r="Q775" s="150" t="s">
        <v>2206</v>
      </c>
      <c r="R775" s="150" t="s">
        <v>349</v>
      </c>
      <c r="S775" s="151">
        <v>44853</v>
      </c>
      <c r="T775" s="151">
        <v>45013</v>
      </c>
      <c r="U775" s="152"/>
      <c r="V775" s="150" t="s">
        <v>330</v>
      </c>
      <c r="W775" s="151"/>
      <c r="X775" s="150" t="s">
        <v>331</v>
      </c>
      <c r="Y775" s="150" t="s">
        <v>398</v>
      </c>
      <c r="Z775" s="150" t="s">
        <v>334</v>
      </c>
      <c r="AA775" s="150" t="s">
        <v>399</v>
      </c>
      <c r="AB775" s="153">
        <v>1.4E-2</v>
      </c>
      <c r="AC775" s="151"/>
      <c r="AD775" s="150"/>
      <c r="AE775" s="151"/>
      <c r="AF775" s="150" t="s">
        <v>70</v>
      </c>
      <c r="AG775" s="152" t="s">
        <v>337</v>
      </c>
      <c r="AH775" s="150" t="s">
        <v>326</v>
      </c>
      <c r="AI775" s="99"/>
      <c r="AJ775" s="149"/>
      <c r="AK775" s="99"/>
      <c r="AL775" s="149"/>
      <c r="AM775" s="99"/>
      <c r="AN775" s="149">
        <v>3</v>
      </c>
      <c r="AO775" s="149">
        <v>0</v>
      </c>
      <c r="AP775" s="149">
        <v>0</v>
      </c>
      <c r="AQ775" s="149">
        <v>0</v>
      </c>
      <c r="AR775" s="149">
        <v>0</v>
      </c>
      <c r="AS775" s="149">
        <v>0</v>
      </c>
      <c r="AT775" s="149">
        <v>0</v>
      </c>
      <c r="AU775" s="149">
        <v>3</v>
      </c>
      <c r="AV775" s="149">
        <v>0</v>
      </c>
      <c r="AW775" s="149">
        <v>0</v>
      </c>
      <c r="AX775" s="149">
        <v>0</v>
      </c>
      <c r="AY775" s="149">
        <v>0</v>
      </c>
      <c r="AZ775" s="149">
        <v>0</v>
      </c>
      <c r="BA775" s="149">
        <v>0</v>
      </c>
      <c r="BB775" s="149">
        <v>0</v>
      </c>
      <c r="BC775" s="149">
        <v>0</v>
      </c>
      <c r="BD775" s="149">
        <v>0</v>
      </c>
      <c r="BE775" s="149">
        <v>0</v>
      </c>
      <c r="BF775" s="149">
        <v>0</v>
      </c>
      <c r="BG775" s="149">
        <v>0</v>
      </c>
      <c r="BH775" s="149">
        <v>0</v>
      </c>
      <c r="BI775" s="149">
        <v>0</v>
      </c>
      <c r="BJ775" s="149">
        <v>0</v>
      </c>
      <c r="BK775" s="149">
        <v>0</v>
      </c>
      <c r="BL775" s="149">
        <v>0</v>
      </c>
      <c r="BM775" s="149">
        <v>0</v>
      </c>
      <c r="BN775" s="149">
        <v>0</v>
      </c>
      <c r="BO775" s="149">
        <v>0</v>
      </c>
      <c r="BP775" s="152"/>
      <c r="BQ775" s="152"/>
      <c r="BR775" s="154" t="s">
        <v>359</v>
      </c>
      <c r="BS775" s="136">
        <v>15</v>
      </c>
      <c r="BT775" s="267"/>
      <c r="BU775" s="267">
        <f>M775/4</f>
        <v>0.75</v>
      </c>
      <c r="BV775" s="267">
        <f t="shared" si="105"/>
        <v>0.75</v>
      </c>
      <c r="BW775" s="267">
        <f t="shared" si="106"/>
        <v>0.75</v>
      </c>
      <c r="BX775" s="267">
        <f t="shared" si="107"/>
        <v>0.75</v>
      </c>
      <c r="BY775" s="267"/>
      <c r="BZ775" s="267"/>
      <c r="CA775" s="267"/>
      <c r="CB775" s="267"/>
      <c r="CC775" s="267"/>
      <c r="CD775" s="267"/>
      <c r="CE775" s="267"/>
      <c r="CF775" s="267"/>
      <c r="CG775" s="267"/>
      <c r="CH775" s="267"/>
      <c r="CI775" s="267"/>
      <c r="CJ775" s="267"/>
      <c r="CK775" s="267"/>
      <c r="CL775" s="267"/>
      <c r="CM775" s="267"/>
      <c r="CN775" s="101">
        <f t="shared" si="108"/>
        <v>3</v>
      </c>
      <c r="CO775" s="101">
        <f t="shared" si="109"/>
        <v>3</v>
      </c>
    </row>
    <row r="776" spans="1:93" ht="13.9" customHeight="1" x14ac:dyDescent="0.2">
      <c r="A776" s="149">
        <v>7898</v>
      </c>
      <c r="B776" s="150" t="s">
        <v>1216</v>
      </c>
      <c r="C776" s="150" t="s">
        <v>2207</v>
      </c>
      <c r="D776" s="150" t="s">
        <v>2208</v>
      </c>
      <c r="E776" s="150" t="s">
        <v>326</v>
      </c>
      <c r="F776" s="149">
        <v>528686</v>
      </c>
      <c r="G776" s="149">
        <v>173938</v>
      </c>
      <c r="H776" s="150" t="s">
        <v>139</v>
      </c>
      <c r="I776" s="151"/>
      <c r="J776" s="151"/>
      <c r="K776" s="149">
        <v>0</v>
      </c>
      <c r="L776" s="149">
        <v>1</v>
      </c>
      <c r="M776" s="149">
        <v>1</v>
      </c>
      <c r="N776" s="149">
        <v>1</v>
      </c>
      <c r="O776" s="149">
        <v>1</v>
      </c>
      <c r="P776" s="152"/>
      <c r="Q776" s="150" t="s">
        <v>2209</v>
      </c>
      <c r="R776" s="150" t="s">
        <v>427</v>
      </c>
      <c r="S776" s="151">
        <v>44839</v>
      </c>
      <c r="T776" s="151">
        <v>44894</v>
      </c>
      <c r="U776" s="152"/>
      <c r="V776" s="150" t="s">
        <v>330</v>
      </c>
      <c r="W776" s="151"/>
      <c r="X776" s="150" t="s">
        <v>331</v>
      </c>
      <c r="Y776" s="150" t="s">
        <v>332</v>
      </c>
      <c r="Z776" s="150" t="s">
        <v>334</v>
      </c>
      <c r="AA776" s="150" t="s">
        <v>29</v>
      </c>
      <c r="AB776" s="153">
        <v>1.5100000000000001E-2</v>
      </c>
      <c r="AC776" s="151"/>
      <c r="AD776" s="150"/>
      <c r="AE776" s="151"/>
      <c r="AF776" s="150" t="s">
        <v>70</v>
      </c>
      <c r="AG776" s="152" t="s">
        <v>352</v>
      </c>
      <c r="AH776" s="150" t="s">
        <v>326</v>
      </c>
      <c r="AI776" s="99"/>
      <c r="AJ776" s="149"/>
      <c r="AK776" s="99"/>
      <c r="AL776" s="149"/>
      <c r="AM776" s="99"/>
      <c r="AN776" s="149">
        <v>0</v>
      </c>
      <c r="AO776" s="149">
        <v>0</v>
      </c>
      <c r="AP776" s="149">
        <v>0</v>
      </c>
      <c r="AQ776" s="149">
        <v>1</v>
      </c>
      <c r="AR776" s="149">
        <v>0</v>
      </c>
      <c r="AS776" s="149">
        <v>0</v>
      </c>
      <c r="AT776" s="149">
        <v>0</v>
      </c>
      <c r="AU776" s="149">
        <v>0</v>
      </c>
      <c r="AV776" s="149">
        <v>0</v>
      </c>
      <c r="AW776" s="149">
        <v>0</v>
      </c>
      <c r="AX776" s="149">
        <v>1</v>
      </c>
      <c r="AY776" s="149">
        <v>0</v>
      </c>
      <c r="AZ776" s="149">
        <v>0</v>
      </c>
      <c r="BA776" s="149">
        <v>0</v>
      </c>
      <c r="BB776" s="149">
        <v>0</v>
      </c>
      <c r="BC776" s="149">
        <v>0</v>
      </c>
      <c r="BD776" s="149">
        <v>0</v>
      </c>
      <c r="BE776" s="149">
        <v>0</v>
      </c>
      <c r="BF776" s="149">
        <v>0</v>
      </c>
      <c r="BG776" s="149">
        <v>0</v>
      </c>
      <c r="BH776" s="149">
        <v>0</v>
      </c>
      <c r="BI776" s="149">
        <v>0</v>
      </c>
      <c r="BJ776" s="149">
        <v>0</v>
      </c>
      <c r="BK776" s="149">
        <v>0</v>
      </c>
      <c r="BL776" s="149">
        <v>0</v>
      </c>
      <c r="BM776" s="149">
        <v>0</v>
      </c>
      <c r="BN776" s="149">
        <v>0</v>
      </c>
      <c r="BO776" s="149">
        <v>0</v>
      </c>
      <c r="BP776" s="152"/>
      <c r="BQ776" s="152"/>
      <c r="BR776" s="154" t="s">
        <v>359</v>
      </c>
      <c r="BS776" s="136">
        <v>15</v>
      </c>
      <c r="BT776" s="267"/>
      <c r="BU776" s="267">
        <f>M776/4</f>
        <v>0.25</v>
      </c>
      <c r="BV776" s="267">
        <f t="shared" si="105"/>
        <v>0.25</v>
      </c>
      <c r="BW776" s="267">
        <f t="shared" si="106"/>
        <v>0.25</v>
      </c>
      <c r="BX776" s="267">
        <f t="shared" si="107"/>
        <v>0.25</v>
      </c>
      <c r="BY776" s="267"/>
      <c r="BZ776" s="267"/>
      <c r="CA776" s="267"/>
      <c r="CB776" s="267"/>
      <c r="CC776" s="267"/>
      <c r="CD776" s="267"/>
      <c r="CE776" s="267"/>
      <c r="CF776" s="267"/>
      <c r="CG776" s="267"/>
      <c r="CH776" s="267"/>
      <c r="CI776" s="267"/>
      <c r="CJ776" s="267"/>
      <c r="CK776" s="267"/>
      <c r="CL776" s="267"/>
      <c r="CM776" s="267"/>
      <c r="CN776" s="101">
        <f t="shared" si="108"/>
        <v>1</v>
      </c>
      <c r="CO776" s="101">
        <f t="shared" si="109"/>
        <v>1</v>
      </c>
    </row>
    <row r="777" spans="1:93" ht="13.9" customHeight="1" x14ac:dyDescent="0.2">
      <c r="A777" s="149">
        <v>7902</v>
      </c>
      <c r="B777" s="150" t="s">
        <v>1216</v>
      </c>
      <c r="C777" s="150" t="s">
        <v>2210</v>
      </c>
      <c r="D777" s="150" t="s">
        <v>2211</v>
      </c>
      <c r="E777" s="150" t="s">
        <v>326</v>
      </c>
      <c r="F777" s="149">
        <v>526640</v>
      </c>
      <c r="G777" s="149">
        <v>172690</v>
      </c>
      <c r="H777" s="150" t="s">
        <v>176</v>
      </c>
      <c r="I777" s="151"/>
      <c r="J777" s="151"/>
      <c r="K777" s="149">
        <v>0</v>
      </c>
      <c r="L777" s="149">
        <v>1</v>
      </c>
      <c r="M777" s="149">
        <v>1</v>
      </c>
      <c r="N777" s="149">
        <v>1</v>
      </c>
      <c r="O777" s="149">
        <v>1</v>
      </c>
      <c r="P777" s="152"/>
      <c r="Q777" s="150" t="s">
        <v>2212</v>
      </c>
      <c r="R777" s="150" t="s">
        <v>349</v>
      </c>
      <c r="S777" s="151">
        <v>44845</v>
      </c>
      <c r="T777" s="151">
        <v>44900</v>
      </c>
      <c r="U777" s="152"/>
      <c r="V777" s="150" t="s">
        <v>330</v>
      </c>
      <c r="W777" s="151"/>
      <c r="X777" s="150" t="s">
        <v>331</v>
      </c>
      <c r="Y777" s="150" t="s">
        <v>343</v>
      </c>
      <c r="Z777" s="150" t="s">
        <v>334</v>
      </c>
      <c r="AA777" s="150" t="s">
        <v>363</v>
      </c>
      <c r="AB777" s="153">
        <v>3.0000000000000001E-3</v>
      </c>
      <c r="AC777" s="151"/>
      <c r="AD777" s="150"/>
      <c r="AE777" s="151"/>
      <c r="AF777" s="150" t="s">
        <v>70</v>
      </c>
      <c r="AG777" s="152" t="s">
        <v>352</v>
      </c>
      <c r="AH777" s="150" t="s">
        <v>326</v>
      </c>
      <c r="AI777" s="99"/>
      <c r="AJ777" s="149"/>
      <c r="AK777" s="99"/>
      <c r="AL777" s="149"/>
      <c r="AM777" s="99"/>
      <c r="AN777" s="149">
        <v>0</v>
      </c>
      <c r="AO777" s="149">
        <v>1</v>
      </c>
      <c r="AP777" s="149">
        <v>0</v>
      </c>
      <c r="AQ777" s="149">
        <v>0</v>
      </c>
      <c r="AR777" s="149">
        <v>0</v>
      </c>
      <c r="AS777" s="149">
        <v>0</v>
      </c>
      <c r="AT777" s="149">
        <v>0</v>
      </c>
      <c r="AU777" s="149">
        <v>0</v>
      </c>
      <c r="AV777" s="149">
        <v>0</v>
      </c>
      <c r="AW777" s="149">
        <v>0</v>
      </c>
      <c r="AX777" s="149">
        <v>0</v>
      </c>
      <c r="AY777" s="149">
        <v>0</v>
      </c>
      <c r="AZ777" s="149">
        <v>0</v>
      </c>
      <c r="BA777" s="149">
        <v>0</v>
      </c>
      <c r="BB777" s="149">
        <v>0</v>
      </c>
      <c r="BC777" s="149">
        <v>1</v>
      </c>
      <c r="BD777" s="149">
        <v>0</v>
      </c>
      <c r="BE777" s="149">
        <v>0</v>
      </c>
      <c r="BF777" s="149">
        <v>0</v>
      </c>
      <c r="BG777" s="149">
        <v>0</v>
      </c>
      <c r="BH777" s="149">
        <v>0</v>
      </c>
      <c r="BI777" s="149">
        <v>0</v>
      </c>
      <c r="BJ777" s="149">
        <v>0</v>
      </c>
      <c r="BK777" s="149">
        <v>0</v>
      </c>
      <c r="BL777" s="149">
        <v>0</v>
      </c>
      <c r="BM777" s="149">
        <v>0</v>
      </c>
      <c r="BN777" s="149">
        <v>0</v>
      </c>
      <c r="BO777" s="149">
        <v>0</v>
      </c>
      <c r="BP777" s="152"/>
      <c r="BQ777" s="152"/>
      <c r="BR777" s="154" t="s">
        <v>359</v>
      </c>
      <c r="BS777" s="136">
        <v>7</v>
      </c>
      <c r="BT777" s="267"/>
      <c r="BU777" s="267"/>
      <c r="BV777" s="267">
        <f t="shared" si="105"/>
        <v>0.25</v>
      </c>
      <c r="BW777" s="267">
        <f t="shared" si="106"/>
        <v>0.25</v>
      </c>
      <c r="BX777" s="267">
        <f t="shared" si="107"/>
        <v>0.25</v>
      </c>
      <c r="BY777" s="267">
        <f>M777/4</f>
        <v>0.25</v>
      </c>
      <c r="BZ777" s="267"/>
      <c r="CA777" s="267"/>
      <c r="CB777" s="267"/>
      <c r="CC777" s="267"/>
      <c r="CD777" s="267"/>
      <c r="CE777" s="267"/>
      <c r="CF777" s="267"/>
      <c r="CG777" s="267"/>
      <c r="CH777" s="267"/>
      <c r="CI777" s="267"/>
      <c r="CJ777" s="267"/>
      <c r="CK777" s="267"/>
      <c r="CL777" s="267"/>
      <c r="CM777" s="267"/>
      <c r="CN777" s="101">
        <f t="shared" si="108"/>
        <v>1</v>
      </c>
      <c r="CO777" s="101">
        <f t="shared" si="109"/>
        <v>1</v>
      </c>
    </row>
    <row r="778" spans="1:93" ht="13.9" customHeight="1" x14ac:dyDescent="0.2">
      <c r="A778" s="149">
        <v>7910</v>
      </c>
      <c r="B778" s="150" t="s">
        <v>1216</v>
      </c>
      <c r="C778" s="150" t="s">
        <v>2213</v>
      </c>
      <c r="D778" s="150" t="s">
        <v>2214</v>
      </c>
      <c r="E778" s="150" t="s">
        <v>326</v>
      </c>
      <c r="F778" s="149">
        <v>528474</v>
      </c>
      <c r="G778" s="149">
        <v>174038</v>
      </c>
      <c r="H778" s="150" t="s">
        <v>139</v>
      </c>
      <c r="I778" s="151"/>
      <c r="J778" s="151"/>
      <c r="K778" s="149">
        <v>0</v>
      </c>
      <c r="L778" s="149">
        <v>1</v>
      </c>
      <c r="M778" s="149">
        <v>1</v>
      </c>
      <c r="N778" s="149">
        <v>1</v>
      </c>
      <c r="O778" s="149">
        <v>1</v>
      </c>
      <c r="P778" s="152"/>
      <c r="Q778" s="150" t="s">
        <v>2215</v>
      </c>
      <c r="R778" s="150" t="s">
        <v>349</v>
      </c>
      <c r="S778" s="151">
        <v>44859</v>
      </c>
      <c r="T778" s="151">
        <v>44914</v>
      </c>
      <c r="U778" s="152"/>
      <c r="V778" s="150" t="s">
        <v>330</v>
      </c>
      <c r="W778" s="151"/>
      <c r="X778" s="150" t="s">
        <v>331</v>
      </c>
      <c r="Y778" s="150" t="s">
        <v>491</v>
      </c>
      <c r="Z778" s="150" t="s">
        <v>334</v>
      </c>
      <c r="AA778" s="150" t="s">
        <v>413</v>
      </c>
      <c r="AB778" s="153">
        <v>4.3E-3</v>
      </c>
      <c r="AC778" s="151"/>
      <c r="AD778" s="150"/>
      <c r="AE778" s="151"/>
      <c r="AF778" s="150" t="s">
        <v>70</v>
      </c>
      <c r="AG778" s="152" t="s">
        <v>352</v>
      </c>
      <c r="AH778" s="150" t="s">
        <v>326</v>
      </c>
      <c r="AI778" s="99"/>
      <c r="AJ778" s="149"/>
      <c r="AK778" s="99"/>
      <c r="AL778" s="149"/>
      <c r="AM778" s="99"/>
      <c r="AN778" s="149">
        <v>0</v>
      </c>
      <c r="AO778" s="149">
        <v>1</v>
      </c>
      <c r="AP778" s="149">
        <v>0</v>
      </c>
      <c r="AQ778" s="149">
        <v>0</v>
      </c>
      <c r="AR778" s="149">
        <v>0</v>
      </c>
      <c r="AS778" s="149">
        <v>0</v>
      </c>
      <c r="AT778" s="149">
        <v>0</v>
      </c>
      <c r="AU778" s="149">
        <v>0</v>
      </c>
      <c r="AV778" s="149">
        <v>1</v>
      </c>
      <c r="AW778" s="149">
        <v>0</v>
      </c>
      <c r="AX778" s="149">
        <v>0</v>
      </c>
      <c r="AY778" s="149">
        <v>0</v>
      </c>
      <c r="AZ778" s="149">
        <v>0</v>
      </c>
      <c r="BA778" s="149">
        <v>0</v>
      </c>
      <c r="BB778" s="149">
        <v>0</v>
      </c>
      <c r="BC778" s="149">
        <v>0</v>
      </c>
      <c r="BD778" s="149">
        <v>0</v>
      </c>
      <c r="BE778" s="149">
        <v>0</v>
      </c>
      <c r="BF778" s="149">
        <v>0</v>
      </c>
      <c r="BG778" s="149">
        <v>0</v>
      </c>
      <c r="BH778" s="149">
        <v>0</v>
      </c>
      <c r="BI778" s="149">
        <v>0</v>
      </c>
      <c r="BJ778" s="149">
        <v>0</v>
      </c>
      <c r="BK778" s="149">
        <v>0</v>
      </c>
      <c r="BL778" s="149">
        <v>0</v>
      </c>
      <c r="BM778" s="149">
        <v>0</v>
      </c>
      <c r="BN778" s="149">
        <v>0</v>
      </c>
      <c r="BO778" s="149">
        <v>0</v>
      </c>
      <c r="BP778" s="152"/>
      <c r="BQ778" s="152"/>
      <c r="BR778" s="154" t="s">
        <v>359</v>
      </c>
      <c r="BS778" s="136">
        <v>15</v>
      </c>
      <c r="BT778" s="267"/>
      <c r="BU778" s="267">
        <f>M778/4</f>
        <v>0.25</v>
      </c>
      <c r="BV778" s="267">
        <f t="shared" si="105"/>
        <v>0.25</v>
      </c>
      <c r="BW778" s="267">
        <f t="shared" si="106"/>
        <v>0.25</v>
      </c>
      <c r="BX778" s="267">
        <f t="shared" si="107"/>
        <v>0.25</v>
      </c>
      <c r="BY778" s="267"/>
      <c r="BZ778" s="267"/>
      <c r="CA778" s="267"/>
      <c r="CB778" s="267"/>
      <c r="CC778" s="267"/>
      <c r="CD778" s="267"/>
      <c r="CE778" s="267"/>
      <c r="CF778" s="267"/>
      <c r="CG778" s="267"/>
      <c r="CH778" s="267"/>
      <c r="CI778" s="267"/>
      <c r="CJ778" s="267"/>
      <c r="CK778" s="267"/>
      <c r="CL778" s="267"/>
      <c r="CM778" s="267"/>
      <c r="CN778" s="101">
        <f t="shared" si="108"/>
        <v>1</v>
      </c>
      <c r="CO778" s="101">
        <f t="shared" si="109"/>
        <v>1</v>
      </c>
    </row>
    <row r="779" spans="1:93" ht="13.9" customHeight="1" x14ac:dyDescent="0.2">
      <c r="A779" s="149">
        <v>7069</v>
      </c>
      <c r="B779" s="150" t="s">
        <v>1216</v>
      </c>
      <c r="C779" s="150" t="s">
        <v>2216</v>
      </c>
      <c r="D779" s="150" t="s">
        <v>2217</v>
      </c>
      <c r="E779" s="150" t="s">
        <v>326</v>
      </c>
      <c r="F779" s="149">
        <v>525885</v>
      </c>
      <c r="G779" s="149">
        <v>175045</v>
      </c>
      <c r="H779" s="150" t="s">
        <v>177</v>
      </c>
      <c r="I779" s="151"/>
      <c r="J779" s="151"/>
      <c r="K779" s="149">
        <v>1</v>
      </c>
      <c r="L779" s="149">
        <v>65</v>
      </c>
      <c r="M779" s="149">
        <v>64</v>
      </c>
      <c r="N779" s="149">
        <v>106</v>
      </c>
      <c r="O779" s="149">
        <v>105</v>
      </c>
      <c r="P779" s="152" t="s">
        <v>327</v>
      </c>
      <c r="Q779" s="150" t="s">
        <v>2218</v>
      </c>
      <c r="R779" s="150" t="s">
        <v>329</v>
      </c>
      <c r="S779" s="151">
        <v>43439</v>
      </c>
      <c r="T779" s="151">
        <v>44693</v>
      </c>
      <c r="U779" s="152"/>
      <c r="V779" s="150" t="s">
        <v>330</v>
      </c>
      <c r="W779" s="151"/>
      <c r="X779" s="150" t="s">
        <v>331</v>
      </c>
      <c r="Y779" s="150" t="s">
        <v>343</v>
      </c>
      <c r="Z779" s="150" t="s">
        <v>343</v>
      </c>
      <c r="AA779" s="150" t="s">
        <v>334</v>
      </c>
      <c r="AB779" s="153">
        <v>0.19700000000000001</v>
      </c>
      <c r="AC779" s="151"/>
      <c r="AD779" s="150"/>
      <c r="AE779" s="151"/>
      <c r="AF779" s="150" t="s">
        <v>70</v>
      </c>
      <c r="AG779" s="152" t="s">
        <v>352</v>
      </c>
      <c r="AH779" s="150" t="s">
        <v>326</v>
      </c>
      <c r="AI779" s="99"/>
      <c r="AJ779" s="149"/>
      <c r="AK779" s="138"/>
      <c r="AL779" s="149"/>
      <c r="AM779" s="138"/>
      <c r="AN779" s="149">
        <v>12</v>
      </c>
      <c r="AO779" s="149">
        <v>25</v>
      </c>
      <c r="AP779" s="149">
        <v>24</v>
      </c>
      <c r="AQ779" s="149">
        <v>3</v>
      </c>
      <c r="AR779" s="149">
        <v>0</v>
      </c>
      <c r="AS779" s="149">
        <v>0</v>
      </c>
      <c r="AT779" s="149">
        <v>0</v>
      </c>
      <c r="AU779" s="149">
        <v>12</v>
      </c>
      <c r="AV779" s="149">
        <v>25</v>
      </c>
      <c r="AW779" s="149">
        <v>24</v>
      </c>
      <c r="AX779" s="149">
        <v>3</v>
      </c>
      <c r="AY779" s="149">
        <v>0</v>
      </c>
      <c r="AZ779" s="149">
        <v>0</v>
      </c>
      <c r="BA779" s="149">
        <v>0</v>
      </c>
      <c r="BB779" s="149">
        <v>0</v>
      </c>
      <c r="BC779" s="149">
        <v>0</v>
      </c>
      <c r="BD779" s="149">
        <v>0</v>
      </c>
      <c r="BE779" s="149">
        <v>0</v>
      </c>
      <c r="BF779" s="149">
        <v>0</v>
      </c>
      <c r="BG779" s="149">
        <v>0</v>
      </c>
      <c r="BH779" s="149">
        <v>0</v>
      </c>
      <c r="BI779" s="149">
        <v>0</v>
      </c>
      <c r="BJ779" s="149">
        <v>0</v>
      </c>
      <c r="BK779" s="149">
        <v>0</v>
      </c>
      <c r="BL779" s="149">
        <v>0</v>
      </c>
      <c r="BM779" s="149">
        <v>0</v>
      </c>
      <c r="BN779" s="149">
        <v>0</v>
      </c>
      <c r="BO779" s="149">
        <v>0</v>
      </c>
      <c r="BP779" s="152"/>
      <c r="BQ779" s="152"/>
      <c r="BR779" s="154" t="s">
        <v>463</v>
      </c>
      <c r="BS779" s="136">
        <v>8</v>
      </c>
      <c r="BT779" s="267"/>
      <c r="BU779" s="267"/>
      <c r="BV779" s="267"/>
      <c r="BW779" s="267"/>
      <c r="BX779" s="267">
        <f>M779</f>
        <v>64</v>
      </c>
      <c r="BY779" s="267"/>
      <c r="BZ779" s="267"/>
      <c r="CA779" s="267"/>
      <c r="CB779" s="267"/>
      <c r="CC779" s="267"/>
      <c r="CD779" s="267"/>
      <c r="CE779" s="267"/>
      <c r="CF779" s="267"/>
      <c r="CG779" s="267"/>
      <c r="CH779" s="267"/>
      <c r="CI779" s="267"/>
      <c r="CJ779" s="267"/>
      <c r="CK779" s="267"/>
      <c r="CL779" s="267"/>
      <c r="CM779" s="267"/>
      <c r="CN779" s="101">
        <f t="shared" si="108"/>
        <v>64</v>
      </c>
      <c r="CO779" s="101">
        <f t="shared" si="109"/>
        <v>64</v>
      </c>
    </row>
    <row r="780" spans="1:93" ht="13.9" customHeight="1" x14ac:dyDescent="0.2">
      <c r="A780" s="149">
        <v>6707</v>
      </c>
      <c r="B780" s="150" t="s">
        <v>1216</v>
      </c>
      <c r="C780" s="150" t="s">
        <v>2219</v>
      </c>
      <c r="D780" s="150" t="s">
        <v>2220</v>
      </c>
      <c r="E780" s="150" t="s">
        <v>326</v>
      </c>
      <c r="F780" s="149">
        <v>528529</v>
      </c>
      <c r="G780" s="149">
        <v>173387</v>
      </c>
      <c r="H780" s="150" t="s">
        <v>139</v>
      </c>
      <c r="I780" s="151"/>
      <c r="J780" s="151"/>
      <c r="K780" s="149">
        <v>0</v>
      </c>
      <c r="L780" s="149">
        <v>7</v>
      </c>
      <c r="M780" s="149">
        <v>7</v>
      </c>
      <c r="N780" s="149">
        <v>7</v>
      </c>
      <c r="O780" s="149">
        <v>7</v>
      </c>
      <c r="P780" s="152"/>
      <c r="Q780" s="150" t="s">
        <v>2221</v>
      </c>
      <c r="R780" s="150" t="s">
        <v>349</v>
      </c>
      <c r="S780" s="151">
        <v>44873</v>
      </c>
      <c r="T780" s="151">
        <v>44988</v>
      </c>
      <c r="U780" s="152"/>
      <c r="V780" s="150" t="s">
        <v>330</v>
      </c>
      <c r="W780" s="151"/>
      <c r="X780" s="150" t="s">
        <v>331</v>
      </c>
      <c r="Y780" s="150" t="s">
        <v>491</v>
      </c>
      <c r="Z780" s="150" t="s">
        <v>334</v>
      </c>
      <c r="AA780" s="150" t="s">
        <v>413</v>
      </c>
      <c r="AB780" s="153">
        <v>2.2349999999999998E-2</v>
      </c>
      <c r="AC780" s="151"/>
      <c r="AD780" s="150"/>
      <c r="AE780" s="151"/>
      <c r="AF780" s="150" t="s">
        <v>70</v>
      </c>
      <c r="AG780" s="152" t="s">
        <v>352</v>
      </c>
      <c r="AH780" s="150" t="s">
        <v>326</v>
      </c>
      <c r="AI780" s="99"/>
      <c r="AJ780" s="149"/>
      <c r="AK780" s="99"/>
      <c r="AL780" s="149"/>
      <c r="AM780" s="99"/>
      <c r="AN780" s="149">
        <v>0</v>
      </c>
      <c r="AO780" s="149">
        <v>3</v>
      </c>
      <c r="AP780" s="149">
        <v>4</v>
      </c>
      <c r="AQ780" s="149">
        <v>0</v>
      </c>
      <c r="AR780" s="149">
        <v>0</v>
      </c>
      <c r="AS780" s="149">
        <v>0</v>
      </c>
      <c r="AT780" s="149">
        <v>0</v>
      </c>
      <c r="AU780" s="149">
        <v>0</v>
      </c>
      <c r="AV780" s="149">
        <v>3</v>
      </c>
      <c r="AW780" s="149">
        <v>4</v>
      </c>
      <c r="AX780" s="149">
        <v>0</v>
      </c>
      <c r="AY780" s="149">
        <v>0</v>
      </c>
      <c r="AZ780" s="149">
        <v>0</v>
      </c>
      <c r="BA780" s="149">
        <v>0</v>
      </c>
      <c r="BB780" s="149">
        <v>0</v>
      </c>
      <c r="BC780" s="149">
        <v>0</v>
      </c>
      <c r="BD780" s="149">
        <v>0</v>
      </c>
      <c r="BE780" s="149">
        <v>0</v>
      </c>
      <c r="BF780" s="149">
        <v>0</v>
      </c>
      <c r="BG780" s="149">
        <v>0</v>
      </c>
      <c r="BH780" s="149">
        <v>0</v>
      </c>
      <c r="BI780" s="149">
        <v>0</v>
      </c>
      <c r="BJ780" s="149">
        <v>0</v>
      </c>
      <c r="BK780" s="149">
        <v>0</v>
      </c>
      <c r="BL780" s="149">
        <v>0</v>
      </c>
      <c r="BM780" s="149">
        <v>0</v>
      </c>
      <c r="BN780" s="149">
        <v>0</v>
      </c>
      <c r="BO780" s="149">
        <v>0</v>
      </c>
      <c r="BP780" s="152" t="s">
        <v>139</v>
      </c>
      <c r="BQ780" s="152"/>
      <c r="BR780" s="154" t="s">
        <v>139</v>
      </c>
      <c r="BS780" s="136">
        <v>18</v>
      </c>
      <c r="BT780" s="267"/>
      <c r="BU780" s="267">
        <f>M780/4</f>
        <v>1.75</v>
      </c>
      <c r="BV780" s="267">
        <f>M780/4</f>
        <v>1.75</v>
      </c>
      <c r="BW780" s="267">
        <f>M780/4</f>
        <v>1.75</v>
      </c>
      <c r="BX780" s="267">
        <f>M780/4</f>
        <v>1.75</v>
      </c>
      <c r="BY780" s="267"/>
      <c r="BZ780" s="267"/>
      <c r="CA780" s="267"/>
      <c r="CB780" s="267"/>
      <c r="CC780" s="267"/>
      <c r="CD780" s="267"/>
      <c r="CE780" s="267"/>
      <c r="CF780" s="267"/>
      <c r="CG780" s="267"/>
      <c r="CH780" s="267"/>
      <c r="CI780" s="267"/>
      <c r="CJ780" s="267"/>
      <c r="CK780" s="267"/>
      <c r="CL780" s="267"/>
      <c r="CM780" s="267"/>
      <c r="CN780" s="101">
        <f t="shared" si="108"/>
        <v>7</v>
      </c>
      <c r="CO780" s="101">
        <f t="shared" si="109"/>
        <v>7</v>
      </c>
    </row>
    <row r="781" spans="1:93" ht="13.9" customHeight="1" x14ac:dyDescent="0.2">
      <c r="A781" s="149">
        <v>7917</v>
      </c>
      <c r="B781" s="150" t="s">
        <v>1216</v>
      </c>
      <c r="C781" s="150" t="s">
        <v>2222</v>
      </c>
      <c r="D781" s="150" t="s">
        <v>2223</v>
      </c>
      <c r="E781" s="150" t="s">
        <v>326</v>
      </c>
      <c r="F781" s="149">
        <v>525238</v>
      </c>
      <c r="G781" s="149">
        <v>173816</v>
      </c>
      <c r="H781" s="150" t="s">
        <v>169</v>
      </c>
      <c r="I781" s="151"/>
      <c r="J781" s="151"/>
      <c r="K781" s="149">
        <v>0</v>
      </c>
      <c r="L781" s="149">
        <v>2</v>
      </c>
      <c r="M781" s="149">
        <v>2</v>
      </c>
      <c r="N781" s="149">
        <v>2</v>
      </c>
      <c r="O781" s="149">
        <v>2</v>
      </c>
      <c r="P781" s="152"/>
      <c r="Q781" s="150" t="s">
        <v>2224</v>
      </c>
      <c r="R781" s="150" t="s">
        <v>349</v>
      </c>
      <c r="S781" s="151">
        <v>44873</v>
      </c>
      <c r="T781" s="151">
        <v>45044</v>
      </c>
      <c r="U781" s="152" t="s">
        <v>327</v>
      </c>
      <c r="V781" s="150" t="s">
        <v>330</v>
      </c>
      <c r="W781" s="151"/>
      <c r="X781" s="150" t="s">
        <v>331</v>
      </c>
      <c r="Y781" s="150" t="s">
        <v>343</v>
      </c>
      <c r="Z781" s="150" t="s">
        <v>334</v>
      </c>
      <c r="AA781" s="150" t="s">
        <v>363</v>
      </c>
      <c r="AB781" s="153">
        <v>0.01</v>
      </c>
      <c r="AC781" s="151"/>
      <c r="AD781" s="150"/>
      <c r="AE781" s="151"/>
      <c r="AF781" s="150" t="s">
        <v>70</v>
      </c>
      <c r="AG781" s="152" t="s">
        <v>352</v>
      </c>
      <c r="AH781" s="150" t="s">
        <v>326</v>
      </c>
      <c r="AI781" s="99"/>
      <c r="AJ781" s="149"/>
      <c r="AK781" s="99"/>
      <c r="AL781" s="149"/>
      <c r="AM781" s="99"/>
      <c r="AN781" s="149">
        <v>0</v>
      </c>
      <c r="AO781" s="149">
        <v>0</v>
      </c>
      <c r="AP781" s="149">
        <v>0</v>
      </c>
      <c r="AQ781" s="149">
        <v>2</v>
      </c>
      <c r="AR781" s="149">
        <v>0</v>
      </c>
      <c r="AS781" s="149">
        <v>0</v>
      </c>
      <c r="AT781" s="149">
        <v>0</v>
      </c>
      <c r="AU781" s="149">
        <v>0</v>
      </c>
      <c r="AV781" s="149">
        <v>0</v>
      </c>
      <c r="AW781" s="149">
        <v>0</v>
      </c>
      <c r="AX781" s="149">
        <v>0</v>
      </c>
      <c r="AY781" s="149">
        <v>0</v>
      </c>
      <c r="AZ781" s="149">
        <v>0</v>
      </c>
      <c r="BA781" s="149">
        <v>0</v>
      </c>
      <c r="BB781" s="149">
        <v>0</v>
      </c>
      <c r="BC781" s="149">
        <v>0</v>
      </c>
      <c r="BD781" s="149">
        <v>0</v>
      </c>
      <c r="BE781" s="149">
        <v>2</v>
      </c>
      <c r="BF781" s="149">
        <v>0</v>
      </c>
      <c r="BG781" s="149">
        <v>0</v>
      </c>
      <c r="BH781" s="149">
        <v>0</v>
      </c>
      <c r="BI781" s="149">
        <v>0</v>
      </c>
      <c r="BJ781" s="149">
        <v>0</v>
      </c>
      <c r="BK781" s="149">
        <v>0</v>
      </c>
      <c r="BL781" s="149">
        <v>0</v>
      </c>
      <c r="BM781" s="149">
        <v>0</v>
      </c>
      <c r="BN781" s="149">
        <v>0</v>
      </c>
      <c r="BO781" s="149">
        <v>0</v>
      </c>
      <c r="BP781" s="152"/>
      <c r="BQ781" s="152"/>
      <c r="BR781" s="154" t="s">
        <v>151</v>
      </c>
      <c r="BS781" s="136">
        <v>7</v>
      </c>
      <c r="BT781" s="267"/>
      <c r="BU781" s="267"/>
      <c r="BV781" s="267">
        <f>M781/4</f>
        <v>0.5</v>
      </c>
      <c r="BW781" s="267">
        <f>M781/4</f>
        <v>0.5</v>
      </c>
      <c r="BX781" s="267">
        <f>M781/4</f>
        <v>0.5</v>
      </c>
      <c r="BY781" s="267">
        <f>M781/4</f>
        <v>0.5</v>
      </c>
      <c r="BZ781" s="267"/>
      <c r="CA781" s="267"/>
      <c r="CB781" s="267"/>
      <c r="CC781" s="267"/>
      <c r="CD781" s="267"/>
      <c r="CE781" s="267"/>
      <c r="CF781" s="267"/>
      <c r="CG781" s="267"/>
      <c r="CH781" s="267"/>
      <c r="CI781" s="267"/>
      <c r="CJ781" s="267"/>
      <c r="CK781" s="267"/>
      <c r="CL781" s="267"/>
      <c r="CM781" s="267"/>
      <c r="CN781" s="101">
        <f t="shared" si="108"/>
        <v>2</v>
      </c>
      <c r="CO781" s="101">
        <f t="shared" si="109"/>
        <v>2</v>
      </c>
    </row>
    <row r="782" spans="1:93" ht="13.9" customHeight="1" x14ac:dyDescent="0.2">
      <c r="A782" s="149">
        <v>4751</v>
      </c>
      <c r="B782" s="150" t="s">
        <v>1216</v>
      </c>
      <c r="C782" s="150" t="s">
        <v>2225</v>
      </c>
      <c r="D782" s="150" t="s">
        <v>2226</v>
      </c>
      <c r="E782" s="150" t="s">
        <v>326</v>
      </c>
      <c r="F782" s="149">
        <v>524675</v>
      </c>
      <c r="G782" s="149">
        <v>173310</v>
      </c>
      <c r="H782" s="150" t="s">
        <v>178</v>
      </c>
      <c r="I782" s="151"/>
      <c r="J782" s="151"/>
      <c r="K782" s="149">
        <v>1</v>
      </c>
      <c r="L782" s="149">
        <v>1</v>
      </c>
      <c r="M782" s="149">
        <v>0</v>
      </c>
      <c r="N782" s="149">
        <v>1</v>
      </c>
      <c r="O782" s="149">
        <v>0</v>
      </c>
      <c r="P782" s="152"/>
      <c r="Q782" s="150" t="s">
        <v>2227</v>
      </c>
      <c r="R782" s="150" t="s">
        <v>349</v>
      </c>
      <c r="S782" s="151">
        <v>44874</v>
      </c>
      <c r="T782" s="151">
        <v>45146</v>
      </c>
      <c r="U782" s="152" t="s">
        <v>327</v>
      </c>
      <c r="V782" s="150" t="s">
        <v>330</v>
      </c>
      <c r="W782" s="151"/>
      <c r="X782" s="150" t="s">
        <v>331</v>
      </c>
      <c r="Y782" s="150" t="s">
        <v>350</v>
      </c>
      <c r="Z782" s="150" t="s">
        <v>334</v>
      </c>
      <c r="AA782" s="150" t="s">
        <v>23</v>
      </c>
      <c r="AB782" s="153">
        <v>4.65E-2</v>
      </c>
      <c r="AC782" s="151"/>
      <c r="AD782" s="150"/>
      <c r="AE782" s="151"/>
      <c r="AF782" s="150" t="s">
        <v>70</v>
      </c>
      <c r="AG782" s="152" t="s">
        <v>352</v>
      </c>
      <c r="AH782" s="150" t="s">
        <v>326</v>
      </c>
      <c r="AI782" s="99"/>
      <c r="AJ782" s="149"/>
      <c r="AK782" s="99"/>
      <c r="AL782" s="149"/>
      <c r="AM782" s="99"/>
      <c r="AN782" s="149">
        <v>0</v>
      </c>
      <c r="AO782" s="149">
        <v>0</v>
      </c>
      <c r="AP782" s="149">
        <v>0</v>
      </c>
      <c r="AQ782" s="149">
        <v>0</v>
      </c>
      <c r="AR782" s="149">
        <v>0</v>
      </c>
      <c r="AS782" s="149">
        <v>0</v>
      </c>
      <c r="AT782" s="149">
        <v>0</v>
      </c>
      <c r="AU782" s="149">
        <v>0</v>
      </c>
      <c r="AV782" s="149">
        <v>0</v>
      </c>
      <c r="AW782" s="149">
        <v>0</v>
      </c>
      <c r="AX782" s="149">
        <v>0</v>
      </c>
      <c r="AY782" s="149">
        <v>0</v>
      </c>
      <c r="AZ782" s="149">
        <v>0</v>
      </c>
      <c r="BA782" s="149">
        <v>0</v>
      </c>
      <c r="BB782" s="149">
        <v>0</v>
      </c>
      <c r="BC782" s="149">
        <v>0</v>
      </c>
      <c r="BD782" s="149">
        <v>0</v>
      </c>
      <c r="BE782" s="149">
        <v>0</v>
      </c>
      <c r="BF782" s="149">
        <v>0</v>
      </c>
      <c r="BG782" s="149">
        <v>0</v>
      </c>
      <c r="BH782" s="149">
        <v>0</v>
      </c>
      <c r="BI782" s="149">
        <v>0</v>
      </c>
      <c r="BJ782" s="149">
        <v>0</v>
      </c>
      <c r="BK782" s="149">
        <v>0</v>
      </c>
      <c r="BL782" s="149">
        <v>0</v>
      </c>
      <c r="BM782" s="149">
        <v>0</v>
      </c>
      <c r="BN782" s="149">
        <v>0</v>
      </c>
      <c r="BO782" s="149">
        <v>0</v>
      </c>
      <c r="BP782" s="152"/>
      <c r="BQ782" s="152"/>
      <c r="BR782" s="154" t="s">
        <v>359</v>
      </c>
      <c r="BS782" s="136">
        <v>15</v>
      </c>
      <c r="BT782" s="267"/>
      <c r="BU782" s="267">
        <f>M782/4</f>
        <v>0</v>
      </c>
      <c r="BV782" s="267">
        <f>M782/4</f>
        <v>0</v>
      </c>
      <c r="BW782" s="267">
        <f>M782/4</f>
        <v>0</v>
      </c>
      <c r="BX782" s="267">
        <f>M782/4</f>
        <v>0</v>
      </c>
      <c r="BY782" s="267"/>
      <c r="BZ782" s="267"/>
      <c r="CA782" s="267"/>
      <c r="CB782" s="267"/>
      <c r="CC782" s="267"/>
      <c r="CD782" s="267"/>
      <c r="CE782" s="267"/>
      <c r="CF782" s="267"/>
      <c r="CG782" s="267"/>
      <c r="CH782" s="267"/>
      <c r="CI782" s="267"/>
      <c r="CJ782" s="267"/>
      <c r="CK782" s="267"/>
      <c r="CL782" s="267"/>
      <c r="CM782" s="267"/>
      <c r="CN782" s="101">
        <f t="shared" si="108"/>
        <v>0</v>
      </c>
      <c r="CO782" s="101">
        <f t="shared" si="109"/>
        <v>0</v>
      </c>
    </row>
    <row r="783" spans="1:93" ht="13.9" customHeight="1" x14ac:dyDescent="0.2">
      <c r="A783" s="149">
        <v>3621</v>
      </c>
      <c r="B783" s="150" t="s">
        <v>1216</v>
      </c>
      <c r="C783" s="150" t="s">
        <v>2228</v>
      </c>
      <c r="D783" s="150" t="s">
        <v>2229</v>
      </c>
      <c r="E783" s="150" t="s">
        <v>326</v>
      </c>
      <c r="F783" s="149">
        <v>526154</v>
      </c>
      <c r="G783" s="149">
        <v>172573</v>
      </c>
      <c r="H783" s="150" t="s">
        <v>176</v>
      </c>
      <c r="I783" s="151"/>
      <c r="J783" s="151"/>
      <c r="K783" s="149">
        <v>0</v>
      </c>
      <c r="L783" s="149">
        <v>1</v>
      </c>
      <c r="M783" s="149">
        <v>1</v>
      </c>
      <c r="N783" s="149">
        <v>1</v>
      </c>
      <c r="O783" s="149">
        <v>1</v>
      </c>
      <c r="P783" s="152"/>
      <c r="Q783" s="150" t="s">
        <v>2230</v>
      </c>
      <c r="R783" s="150" t="s">
        <v>349</v>
      </c>
      <c r="S783" s="151">
        <v>45020</v>
      </c>
      <c r="T783" s="151">
        <v>45215</v>
      </c>
      <c r="U783" s="152" t="s">
        <v>327</v>
      </c>
      <c r="V783" s="150" t="s">
        <v>330</v>
      </c>
      <c r="W783" s="151"/>
      <c r="X783" s="150" t="s">
        <v>331</v>
      </c>
      <c r="Y783" s="150" t="s">
        <v>491</v>
      </c>
      <c r="Z783" s="150" t="s">
        <v>334</v>
      </c>
      <c r="AA783" s="150" t="s">
        <v>413</v>
      </c>
      <c r="AB783" s="153">
        <v>5.9300000000000004E-3</v>
      </c>
      <c r="AC783" s="151"/>
      <c r="AD783" s="150"/>
      <c r="AE783" s="151"/>
      <c r="AF783" s="150" t="s">
        <v>70</v>
      </c>
      <c r="AG783" s="152" t="s">
        <v>352</v>
      </c>
      <c r="AH783" s="150" t="s">
        <v>326</v>
      </c>
      <c r="AI783" s="99"/>
      <c r="AJ783" s="149"/>
      <c r="AK783" s="99"/>
      <c r="AL783" s="149"/>
      <c r="AM783" s="99"/>
      <c r="AN783" s="149">
        <v>0</v>
      </c>
      <c r="AO783" s="149">
        <v>1</v>
      </c>
      <c r="AP783" s="149">
        <v>0</v>
      </c>
      <c r="AQ783" s="149">
        <v>0</v>
      </c>
      <c r="AR783" s="149">
        <v>0</v>
      </c>
      <c r="AS783" s="149">
        <v>0</v>
      </c>
      <c r="AT783" s="149">
        <v>0</v>
      </c>
      <c r="AU783" s="149">
        <v>0</v>
      </c>
      <c r="AV783" s="149">
        <v>1</v>
      </c>
      <c r="AW783" s="149">
        <v>0</v>
      </c>
      <c r="AX783" s="149">
        <v>0</v>
      </c>
      <c r="AY783" s="149">
        <v>0</v>
      </c>
      <c r="AZ783" s="149">
        <v>0</v>
      </c>
      <c r="BA783" s="149">
        <v>0</v>
      </c>
      <c r="BB783" s="149">
        <v>0</v>
      </c>
      <c r="BC783" s="149">
        <v>0</v>
      </c>
      <c r="BD783" s="149">
        <v>0</v>
      </c>
      <c r="BE783" s="149">
        <v>0</v>
      </c>
      <c r="BF783" s="149">
        <v>0</v>
      </c>
      <c r="BG783" s="149">
        <v>0</v>
      </c>
      <c r="BH783" s="149">
        <v>0</v>
      </c>
      <c r="BI783" s="149">
        <v>0</v>
      </c>
      <c r="BJ783" s="149">
        <v>0</v>
      </c>
      <c r="BK783" s="149">
        <v>0</v>
      </c>
      <c r="BL783" s="149">
        <v>0</v>
      </c>
      <c r="BM783" s="149">
        <v>0</v>
      </c>
      <c r="BN783" s="149">
        <v>0</v>
      </c>
      <c r="BO783" s="149">
        <v>0</v>
      </c>
      <c r="BP783" s="152"/>
      <c r="BQ783" s="152"/>
      <c r="BR783" s="154" t="s">
        <v>151</v>
      </c>
      <c r="BS783" s="136">
        <v>15</v>
      </c>
      <c r="BT783" s="267"/>
      <c r="BU783" s="267">
        <f>M783/4</f>
        <v>0.25</v>
      </c>
      <c r="BV783" s="267">
        <f>M783/4</f>
        <v>0.25</v>
      </c>
      <c r="BW783" s="267">
        <f>M783/4</f>
        <v>0.25</v>
      </c>
      <c r="BX783" s="267">
        <f>M783/4</f>
        <v>0.25</v>
      </c>
      <c r="BY783" s="267"/>
      <c r="BZ783" s="267"/>
      <c r="CA783" s="267"/>
      <c r="CB783" s="267"/>
      <c r="CC783" s="267"/>
      <c r="CD783" s="267"/>
      <c r="CE783" s="267"/>
      <c r="CF783" s="267"/>
      <c r="CG783" s="267"/>
      <c r="CH783" s="267"/>
      <c r="CI783" s="267"/>
      <c r="CJ783" s="267"/>
      <c r="CK783" s="267"/>
      <c r="CL783" s="267"/>
      <c r="CM783" s="267"/>
      <c r="CN783" s="101">
        <f t="shared" si="108"/>
        <v>1</v>
      </c>
      <c r="CO783" s="101">
        <f t="shared" si="109"/>
        <v>1</v>
      </c>
    </row>
    <row r="784" spans="1:93" ht="13.9" customHeight="1" x14ac:dyDescent="0.2">
      <c r="A784" s="149">
        <v>7069</v>
      </c>
      <c r="B784" s="150" t="s">
        <v>1216</v>
      </c>
      <c r="C784" s="150" t="s">
        <v>2216</v>
      </c>
      <c r="D784" s="150" t="s">
        <v>2217</v>
      </c>
      <c r="E784" s="150" t="s">
        <v>326</v>
      </c>
      <c r="F784" s="149">
        <v>525885</v>
      </c>
      <c r="G784" s="149">
        <v>175045</v>
      </c>
      <c r="H784" s="150" t="s">
        <v>177</v>
      </c>
      <c r="I784" s="151"/>
      <c r="J784" s="151"/>
      <c r="K784" s="149">
        <v>0</v>
      </c>
      <c r="L784" s="149">
        <v>21</v>
      </c>
      <c r="M784" s="149">
        <v>21</v>
      </c>
      <c r="N784" s="149">
        <v>106</v>
      </c>
      <c r="O784" s="149">
        <v>105</v>
      </c>
      <c r="P784" s="152" t="s">
        <v>327</v>
      </c>
      <c r="Q784" s="150" t="s">
        <v>2218</v>
      </c>
      <c r="R784" s="150" t="s">
        <v>329</v>
      </c>
      <c r="S784" s="151">
        <v>43439</v>
      </c>
      <c r="T784" s="151">
        <v>44693</v>
      </c>
      <c r="U784" s="152"/>
      <c r="V784" s="150" t="s">
        <v>330</v>
      </c>
      <c r="W784" s="151"/>
      <c r="X784" s="150" t="s">
        <v>331</v>
      </c>
      <c r="Y784" s="150" t="s">
        <v>343</v>
      </c>
      <c r="Z784" s="150" t="s">
        <v>343</v>
      </c>
      <c r="AA784" s="150" t="s">
        <v>334</v>
      </c>
      <c r="AB784" s="153">
        <v>0.04</v>
      </c>
      <c r="AC784" s="151"/>
      <c r="AD784" s="150"/>
      <c r="AE784" s="151"/>
      <c r="AF784" s="150" t="s">
        <v>48</v>
      </c>
      <c r="AG784" s="152" t="s">
        <v>544</v>
      </c>
      <c r="AH784" s="150" t="s">
        <v>326</v>
      </c>
      <c r="AI784" s="99"/>
      <c r="AJ784" s="149"/>
      <c r="AK784" s="138"/>
      <c r="AL784" s="149"/>
      <c r="AM784" s="138"/>
      <c r="AN784" s="149">
        <v>0</v>
      </c>
      <c r="AO784" s="149">
        <v>15</v>
      </c>
      <c r="AP784" s="149">
        <v>3</v>
      </c>
      <c r="AQ784" s="149">
        <v>3</v>
      </c>
      <c r="AR784" s="149">
        <v>0</v>
      </c>
      <c r="AS784" s="149">
        <v>0</v>
      </c>
      <c r="AT784" s="149">
        <v>0</v>
      </c>
      <c r="AU784" s="149">
        <v>0</v>
      </c>
      <c r="AV784" s="149">
        <v>15</v>
      </c>
      <c r="AW784" s="149">
        <v>3</v>
      </c>
      <c r="AX784" s="149">
        <v>3</v>
      </c>
      <c r="AY784" s="149">
        <v>0</v>
      </c>
      <c r="AZ784" s="149">
        <v>0</v>
      </c>
      <c r="BA784" s="149">
        <v>0</v>
      </c>
      <c r="BB784" s="149">
        <v>0</v>
      </c>
      <c r="BC784" s="149">
        <v>0</v>
      </c>
      <c r="BD784" s="149">
        <v>0</v>
      </c>
      <c r="BE784" s="149">
        <v>0</v>
      </c>
      <c r="BF784" s="149">
        <v>0</v>
      </c>
      <c r="BG784" s="149">
        <v>0</v>
      </c>
      <c r="BH784" s="149">
        <v>0</v>
      </c>
      <c r="BI784" s="149">
        <v>0</v>
      </c>
      <c r="BJ784" s="149">
        <v>0</v>
      </c>
      <c r="BK784" s="149">
        <v>0</v>
      </c>
      <c r="BL784" s="149">
        <v>0</v>
      </c>
      <c r="BM784" s="149">
        <v>0</v>
      </c>
      <c r="BN784" s="149">
        <v>0</v>
      </c>
      <c r="BO784" s="149">
        <v>0</v>
      </c>
      <c r="BP784" s="152"/>
      <c r="BQ784" s="152"/>
      <c r="BR784" s="154" t="s">
        <v>463</v>
      </c>
      <c r="BS784" s="136">
        <v>8</v>
      </c>
      <c r="BT784" s="267"/>
      <c r="BU784" s="267"/>
      <c r="BV784" s="267"/>
      <c r="BW784" s="267"/>
      <c r="BX784" s="267">
        <f>M784</f>
        <v>21</v>
      </c>
      <c r="BY784" s="267"/>
      <c r="BZ784" s="267"/>
      <c r="CA784" s="267"/>
      <c r="CB784" s="267"/>
      <c r="CC784" s="267"/>
      <c r="CD784" s="267"/>
      <c r="CE784" s="267"/>
      <c r="CF784" s="267"/>
      <c r="CG784" s="267"/>
      <c r="CH784" s="267"/>
      <c r="CI784" s="267"/>
      <c r="CJ784" s="267"/>
      <c r="CK784" s="267"/>
      <c r="CL784" s="267"/>
      <c r="CM784" s="267"/>
      <c r="CN784" s="101">
        <f t="shared" si="108"/>
        <v>21</v>
      </c>
      <c r="CO784" s="101">
        <f t="shared" si="109"/>
        <v>21</v>
      </c>
    </row>
    <row r="785" spans="1:93" ht="13.9" customHeight="1" x14ac:dyDescent="0.2">
      <c r="A785" s="149">
        <v>7919</v>
      </c>
      <c r="B785" s="150" t="s">
        <v>1216</v>
      </c>
      <c r="C785" s="150" t="s">
        <v>2231</v>
      </c>
      <c r="D785" s="150" t="s">
        <v>2232</v>
      </c>
      <c r="E785" s="150" t="s">
        <v>326</v>
      </c>
      <c r="F785" s="149">
        <v>527910</v>
      </c>
      <c r="G785" s="149">
        <v>176603</v>
      </c>
      <c r="H785" s="150" t="s">
        <v>160</v>
      </c>
      <c r="I785" s="151"/>
      <c r="J785" s="151"/>
      <c r="K785" s="149">
        <v>1</v>
      </c>
      <c r="L785" s="149">
        <v>1</v>
      </c>
      <c r="M785" s="149">
        <v>0</v>
      </c>
      <c r="N785" s="149">
        <v>1</v>
      </c>
      <c r="O785" s="149">
        <v>0</v>
      </c>
      <c r="P785" s="152"/>
      <c r="Q785" s="150" t="s">
        <v>2233</v>
      </c>
      <c r="R785" s="150" t="s">
        <v>349</v>
      </c>
      <c r="S785" s="151">
        <v>44879</v>
      </c>
      <c r="T785" s="151">
        <v>45022</v>
      </c>
      <c r="U785" s="152" t="s">
        <v>327</v>
      </c>
      <c r="V785" s="150" t="s">
        <v>330</v>
      </c>
      <c r="W785" s="151"/>
      <c r="X785" s="150" t="s">
        <v>331</v>
      </c>
      <c r="Y785" s="150" t="s">
        <v>343</v>
      </c>
      <c r="Z785" s="150" t="s">
        <v>334</v>
      </c>
      <c r="AA785" s="150" t="s">
        <v>363</v>
      </c>
      <c r="AB785" s="153">
        <v>2.8999999999999998E-3</v>
      </c>
      <c r="AC785" s="151"/>
      <c r="AD785" s="150"/>
      <c r="AE785" s="151"/>
      <c r="AF785" s="150" t="s">
        <v>70</v>
      </c>
      <c r="AG785" s="152" t="s">
        <v>352</v>
      </c>
      <c r="AH785" s="150" t="s">
        <v>326</v>
      </c>
      <c r="AI785" s="99"/>
      <c r="AJ785" s="149"/>
      <c r="AK785" s="99"/>
      <c r="AL785" s="149"/>
      <c r="AM785" s="99"/>
      <c r="AN785" s="149">
        <v>0</v>
      </c>
      <c r="AO785" s="149">
        <v>0</v>
      </c>
      <c r="AP785" s="149">
        <v>0</v>
      </c>
      <c r="AQ785" s="149">
        <v>0</v>
      </c>
      <c r="AR785" s="149">
        <v>0</v>
      </c>
      <c r="AS785" s="149">
        <v>0</v>
      </c>
      <c r="AT785" s="149">
        <v>0</v>
      </c>
      <c r="AU785" s="149">
        <v>0</v>
      </c>
      <c r="AV785" s="149">
        <v>0</v>
      </c>
      <c r="AW785" s="149">
        <v>0</v>
      </c>
      <c r="AX785" s="149">
        <v>0</v>
      </c>
      <c r="AY785" s="149">
        <v>0</v>
      </c>
      <c r="AZ785" s="149">
        <v>0</v>
      </c>
      <c r="BA785" s="149">
        <v>0</v>
      </c>
      <c r="BB785" s="149">
        <v>0</v>
      </c>
      <c r="BC785" s="149">
        <v>0</v>
      </c>
      <c r="BD785" s="149">
        <v>0</v>
      </c>
      <c r="BE785" s="149">
        <v>0</v>
      </c>
      <c r="BF785" s="149">
        <v>0</v>
      </c>
      <c r="BG785" s="149">
        <v>0</v>
      </c>
      <c r="BH785" s="149">
        <v>0</v>
      </c>
      <c r="BI785" s="149">
        <v>0</v>
      </c>
      <c r="BJ785" s="149">
        <v>0</v>
      </c>
      <c r="BK785" s="149">
        <v>0</v>
      </c>
      <c r="BL785" s="149">
        <v>0</v>
      </c>
      <c r="BM785" s="149">
        <v>0</v>
      </c>
      <c r="BN785" s="149">
        <v>0</v>
      </c>
      <c r="BO785" s="149">
        <v>0</v>
      </c>
      <c r="BP785" s="152"/>
      <c r="BQ785" s="152"/>
      <c r="BR785" s="154" t="s">
        <v>359</v>
      </c>
      <c r="BS785" s="136">
        <v>7</v>
      </c>
      <c r="BT785" s="267"/>
      <c r="BU785" s="267"/>
      <c r="BV785" s="267">
        <f>M785/4</f>
        <v>0</v>
      </c>
      <c r="BW785" s="267">
        <f>M785/4</f>
        <v>0</v>
      </c>
      <c r="BX785" s="267">
        <f>M785/4</f>
        <v>0</v>
      </c>
      <c r="BY785" s="267">
        <f>M785/4</f>
        <v>0</v>
      </c>
      <c r="BZ785" s="267"/>
      <c r="CA785" s="267"/>
      <c r="CB785" s="267"/>
      <c r="CC785" s="267"/>
      <c r="CD785" s="267"/>
      <c r="CE785" s="267"/>
      <c r="CF785" s="267"/>
      <c r="CG785" s="267"/>
      <c r="CH785" s="267"/>
      <c r="CI785" s="267"/>
      <c r="CJ785" s="267"/>
      <c r="CK785" s="267"/>
      <c r="CL785" s="267"/>
      <c r="CM785" s="267"/>
      <c r="CN785" s="101">
        <f t="shared" si="108"/>
        <v>0</v>
      </c>
      <c r="CO785" s="101">
        <f t="shared" si="109"/>
        <v>0</v>
      </c>
    </row>
    <row r="786" spans="1:93" ht="13.9" customHeight="1" x14ac:dyDescent="0.2">
      <c r="A786" s="149">
        <v>7134</v>
      </c>
      <c r="B786" s="150" t="s">
        <v>1216</v>
      </c>
      <c r="C786" s="150" t="s">
        <v>2234</v>
      </c>
      <c r="D786" s="150" t="s">
        <v>2235</v>
      </c>
      <c r="E786" s="150" t="s">
        <v>326</v>
      </c>
      <c r="F786" s="149">
        <v>522411</v>
      </c>
      <c r="G786" s="149">
        <v>173805</v>
      </c>
      <c r="H786" s="150" t="s">
        <v>166</v>
      </c>
      <c r="I786" s="151"/>
      <c r="J786" s="151"/>
      <c r="K786" s="149">
        <v>0</v>
      </c>
      <c r="L786" s="149">
        <v>1</v>
      </c>
      <c r="M786" s="149">
        <v>1</v>
      </c>
      <c r="N786" s="149">
        <v>1</v>
      </c>
      <c r="O786" s="149">
        <v>1</v>
      </c>
      <c r="P786" s="152"/>
      <c r="Q786" s="150" t="s">
        <v>2236</v>
      </c>
      <c r="R786" s="150" t="s">
        <v>349</v>
      </c>
      <c r="S786" s="151">
        <v>45061</v>
      </c>
      <c r="T786" s="151">
        <v>45133</v>
      </c>
      <c r="U786" s="152" t="s">
        <v>327</v>
      </c>
      <c r="V786" s="150" t="s">
        <v>330</v>
      </c>
      <c r="W786" s="151"/>
      <c r="X786" s="150" t="s">
        <v>331</v>
      </c>
      <c r="Y786" s="150" t="s">
        <v>343</v>
      </c>
      <c r="Z786" s="150" t="s">
        <v>334</v>
      </c>
      <c r="AA786" s="150" t="s">
        <v>363</v>
      </c>
      <c r="AB786" s="153">
        <v>2.8999999999999998E-3</v>
      </c>
      <c r="AC786" s="151"/>
      <c r="AD786" s="150"/>
      <c r="AE786" s="151"/>
      <c r="AF786" s="150" t="s">
        <v>70</v>
      </c>
      <c r="AG786" s="152" t="s">
        <v>352</v>
      </c>
      <c r="AH786" s="150" t="s">
        <v>326</v>
      </c>
      <c r="AI786" s="99"/>
      <c r="AJ786" s="149"/>
      <c r="AK786" s="102"/>
      <c r="AL786" s="149"/>
      <c r="AM786" s="102"/>
      <c r="AN786" s="149">
        <v>0</v>
      </c>
      <c r="AO786" s="149">
        <v>1</v>
      </c>
      <c r="AP786" s="149">
        <v>0</v>
      </c>
      <c r="AQ786" s="149">
        <v>0</v>
      </c>
      <c r="AR786" s="149">
        <v>0</v>
      </c>
      <c r="AS786" s="149">
        <v>0</v>
      </c>
      <c r="AT786" s="149">
        <v>0</v>
      </c>
      <c r="AU786" s="149">
        <v>0</v>
      </c>
      <c r="AV786" s="149">
        <v>0</v>
      </c>
      <c r="AW786" s="149">
        <v>0</v>
      </c>
      <c r="AX786" s="149">
        <v>0</v>
      </c>
      <c r="AY786" s="149">
        <v>0</v>
      </c>
      <c r="AZ786" s="149">
        <v>0</v>
      </c>
      <c r="BA786" s="149">
        <v>0</v>
      </c>
      <c r="BB786" s="149">
        <v>0</v>
      </c>
      <c r="BC786" s="149">
        <v>1</v>
      </c>
      <c r="BD786" s="149">
        <v>0</v>
      </c>
      <c r="BE786" s="149">
        <v>0</v>
      </c>
      <c r="BF786" s="149">
        <v>0</v>
      </c>
      <c r="BG786" s="149">
        <v>0</v>
      </c>
      <c r="BH786" s="149">
        <v>0</v>
      </c>
      <c r="BI786" s="149">
        <v>0</v>
      </c>
      <c r="BJ786" s="149">
        <v>0</v>
      </c>
      <c r="BK786" s="149">
        <v>0</v>
      </c>
      <c r="BL786" s="149">
        <v>0</v>
      </c>
      <c r="BM786" s="149">
        <v>0</v>
      </c>
      <c r="BN786" s="149">
        <v>0</v>
      </c>
      <c r="BO786" s="149">
        <v>0</v>
      </c>
      <c r="BP786" s="152"/>
      <c r="BQ786" s="152"/>
      <c r="BR786" s="154" t="s">
        <v>150</v>
      </c>
      <c r="BS786" s="136">
        <v>7</v>
      </c>
      <c r="BT786" s="267"/>
      <c r="BU786" s="267"/>
      <c r="BV786" s="267">
        <f>M786/4</f>
        <v>0.25</v>
      </c>
      <c r="BW786" s="267">
        <f>M786/4</f>
        <v>0.25</v>
      </c>
      <c r="BX786" s="267">
        <f>M786/4</f>
        <v>0.25</v>
      </c>
      <c r="BY786" s="267">
        <f>M786/4</f>
        <v>0.25</v>
      </c>
      <c r="BZ786" s="267"/>
      <c r="CA786" s="267"/>
      <c r="CB786" s="267"/>
      <c r="CC786" s="267"/>
      <c r="CD786" s="267"/>
      <c r="CE786" s="267"/>
      <c r="CF786" s="267"/>
      <c r="CG786" s="267"/>
      <c r="CH786" s="267"/>
      <c r="CI786" s="267"/>
      <c r="CJ786" s="267"/>
      <c r="CK786" s="267"/>
      <c r="CL786" s="267"/>
      <c r="CM786" s="267"/>
      <c r="CN786" s="101">
        <f t="shared" si="108"/>
        <v>1</v>
      </c>
      <c r="CO786" s="101">
        <f t="shared" si="109"/>
        <v>1</v>
      </c>
    </row>
    <row r="787" spans="1:93" ht="13.9" customHeight="1" x14ac:dyDescent="0.2">
      <c r="A787" s="149">
        <v>7069</v>
      </c>
      <c r="B787" s="150" t="s">
        <v>1216</v>
      </c>
      <c r="C787" s="150" t="s">
        <v>2216</v>
      </c>
      <c r="D787" s="150" t="s">
        <v>2217</v>
      </c>
      <c r="E787" s="150" t="s">
        <v>326</v>
      </c>
      <c r="F787" s="149">
        <v>525885</v>
      </c>
      <c r="G787" s="149">
        <v>175045</v>
      </c>
      <c r="H787" s="150" t="s">
        <v>177</v>
      </c>
      <c r="I787" s="151"/>
      <c r="J787" s="151"/>
      <c r="K787" s="149">
        <v>0</v>
      </c>
      <c r="L787" s="149">
        <v>20</v>
      </c>
      <c r="M787" s="149">
        <v>20</v>
      </c>
      <c r="N787" s="149">
        <v>106</v>
      </c>
      <c r="O787" s="149">
        <v>105</v>
      </c>
      <c r="P787" s="152" t="s">
        <v>327</v>
      </c>
      <c r="Q787" s="150" t="s">
        <v>2218</v>
      </c>
      <c r="R787" s="150" t="s">
        <v>329</v>
      </c>
      <c r="S787" s="151">
        <v>43439</v>
      </c>
      <c r="T787" s="151">
        <v>44693</v>
      </c>
      <c r="U787" s="152"/>
      <c r="V787" s="150" t="s">
        <v>330</v>
      </c>
      <c r="W787" s="151"/>
      <c r="X787" s="150" t="s">
        <v>331</v>
      </c>
      <c r="Y787" s="150" t="s">
        <v>343</v>
      </c>
      <c r="Z787" s="150" t="s">
        <v>343</v>
      </c>
      <c r="AA787" s="150" t="s">
        <v>334</v>
      </c>
      <c r="AB787" s="153">
        <v>4.4999999999999998E-2</v>
      </c>
      <c r="AC787" s="151"/>
      <c r="AD787" s="150"/>
      <c r="AE787" s="151"/>
      <c r="AF787" s="150" t="s">
        <v>49</v>
      </c>
      <c r="AG787" s="152" t="s">
        <v>481</v>
      </c>
      <c r="AH787" s="150" t="s">
        <v>326</v>
      </c>
      <c r="AI787" s="99"/>
      <c r="AJ787" s="149"/>
      <c r="AK787" s="138"/>
      <c r="AL787" s="149"/>
      <c r="AM787" s="138">
        <v>11</v>
      </c>
      <c r="AN787" s="149">
        <v>0</v>
      </c>
      <c r="AO787" s="149">
        <v>5</v>
      </c>
      <c r="AP787" s="149">
        <v>10</v>
      </c>
      <c r="AQ787" s="149">
        <v>5</v>
      </c>
      <c r="AR787" s="149">
        <v>0</v>
      </c>
      <c r="AS787" s="149">
        <v>0</v>
      </c>
      <c r="AT787" s="149">
        <v>0</v>
      </c>
      <c r="AU787" s="149">
        <v>0</v>
      </c>
      <c r="AV787" s="149">
        <v>5</v>
      </c>
      <c r="AW787" s="149">
        <v>10</v>
      </c>
      <c r="AX787" s="149">
        <v>5</v>
      </c>
      <c r="AY787" s="149">
        <v>0</v>
      </c>
      <c r="AZ787" s="149">
        <v>0</v>
      </c>
      <c r="BA787" s="149">
        <v>0</v>
      </c>
      <c r="BB787" s="149">
        <v>0</v>
      </c>
      <c r="BC787" s="149">
        <v>0</v>
      </c>
      <c r="BD787" s="149">
        <v>0</v>
      </c>
      <c r="BE787" s="149">
        <v>0</v>
      </c>
      <c r="BF787" s="149">
        <v>0</v>
      </c>
      <c r="BG787" s="149">
        <v>0</v>
      </c>
      <c r="BH787" s="149">
        <v>0</v>
      </c>
      <c r="BI787" s="149">
        <v>0</v>
      </c>
      <c r="BJ787" s="149">
        <v>0</v>
      </c>
      <c r="BK787" s="149">
        <v>0</v>
      </c>
      <c r="BL787" s="149">
        <v>0</v>
      </c>
      <c r="BM787" s="149">
        <v>0</v>
      </c>
      <c r="BN787" s="149">
        <v>0</v>
      </c>
      <c r="BO787" s="149">
        <v>0</v>
      </c>
      <c r="BP787" s="152"/>
      <c r="BQ787" s="152"/>
      <c r="BR787" s="154" t="s">
        <v>463</v>
      </c>
      <c r="BS787" s="136">
        <v>8</v>
      </c>
      <c r="BT787" s="267"/>
      <c r="BU787" s="267"/>
      <c r="BV787" s="267"/>
      <c r="BW787" s="267"/>
      <c r="BX787" s="267">
        <f>M787</f>
        <v>20</v>
      </c>
      <c r="BY787" s="267"/>
      <c r="BZ787" s="267"/>
      <c r="CA787" s="267"/>
      <c r="CB787" s="267"/>
      <c r="CC787" s="267"/>
      <c r="CD787" s="267"/>
      <c r="CE787" s="267"/>
      <c r="CF787" s="267"/>
      <c r="CG787" s="267"/>
      <c r="CH787" s="267"/>
      <c r="CI787" s="267"/>
      <c r="CJ787" s="267"/>
      <c r="CK787" s="267"/>
      <c r="CL787" s="267"/>
      <c r="CM787" s="267"/>
      <c r="CN787" s="101">
        <f t="shared" si="108"/>
        <v>20</v>
      </c>
      <c r="CO787" s="101">
        <f t="shared" si="109"/>
        <v>20</v>
      </c>
    </row>
    <row r="788" spans="1:93" ht="13.9" customHeight="1" x14ac:dyDescent="0.2">
      <c r="A788" s="149">
        <v>7855</v>
      </c>
      <c r="B788" s="150" t="s">
        <v>1216</v>
      </c>
      <c r="C788" s="150" t="s">
        <v>2237</v>
      </c>
      <c r="D788" s="150" t="s">
        <v>2117</v>
      </c>
      <c r="E788" s="150" t="s">
        <v>326</v>
      </c>
      <c r="F788" s="149">
        <v>527835</v>
      </c>
      <c r="G788" s="149">
        <v>171006</v>
      </c>
      <c r="H788" s="150" t="s">
        <v>173</v>
      </c>
      <c r="I788" s="151"/>
      <c r="J788" s="151"/>
      <c r="K788" s="149">
        <v>0</v>
      </c>
      <c r="L788" s="149">
        <v>1</v>
      </c>
      <c r="M788" s="149">
        <v>1</v>
      </c>
      <c r="N788" s="149">
        <v>1</v>
      </c>
      <c r="O788" s="149">
        <v>1</v>
      </c>
      <c r="P788" s="152"/>
      <c r="Q788" s="150" t="s">
        <v>2238</v>
      </c>
      <c r="R788" s="150" t="s">
        <v>349</v>
      </c>
      <c r="S788" s="151">
        <v>44894</v>
      </c>
      <c r="T788" s="151">
        <v>45000</v>
      </c>
      <c r="U788" s="152"/>
      <c r="V788" s="150" t="s">
        <v>330</v>
      </c>
      <c r="W788" s="151"/>
      <c r="X788" s="150" t="s">
        <v>331</v>
      </c>
      <c r="Y788" s="150" t="s">
        <v>350</v>
      </c>
      <c r="Z788" s="150" t="s">
        <v>334</v>
      </c>
      <c r="AA788" s="150" t="s">
        <v>29</v>
      </c>
      <c r="AB788" s="153">
        <v>5.0000000000000001E-3</v>
      </c>
      <c r="AC788" s="151"/>
      <c r="AD788" s="150"/>
      <c r="AE788" s="151"/>
      <c r="AF788" s="150" t="s">
        <v>70</v>
      </c>
      <c r="AG788" s="152" t="s">
        <v>352</v>
      </c>
      <c r="AH788" s="150" t="s">
        <v>326</v>
      </c>
      <c r="AI788" s="99"/>
      <c r="AJ788" s="149"/>
      <c r="AK788" s="99"/>
      <c r="AL788" s="149"/>
      <c r="AM788" s="99"/>
      <c r="AN788" s="149">
        <v>0</v>
      </c>
      <c r="AO788" s="149">
        <v>0</v>
      </c>
      <c r="AP788" s="149">
        <v>1</v>
      </c>
      <c r="AQ788" s="149">
        <v>0</v>
      </c>
      <c r="AR788" s="149">
        <v>0</v>
      </c>
      <c r="AS788" s="149">
        <v>0</v>
      </c>
      <c r="AT788" s="149">
        <v>0</v>
      </c>
      <c r="AU788" s="149">
        <v>0</v>
      </c>
      <c r="AV788" s="149">
        <v>0</v>
      </c>
      <c r="AW788" s="149">
        <v>0</v>
      </c>
      <c r="AX788" s="149">
        <v>0</v>
      </c>
      <c r="AY788" s="149">
        <v>0</v>
      </c>
      <c r="AZ788" s="149">
        <v>0</v>
      </c>
      <c r="BA788" s="149">
        <v>0</v>
      </c>
      <c r="BB788" s="149">
        <v>0</v>
      </c>
      <c r="BC788" s="149">
        <v>0</v>
      </c>
      <c r="BD788" s="149">
        <v>1</v>
      </c>
      <c r="BE788" s="149">
        <v>0</v>
      </c>
      <c r="BF788" s="149">
        <v>0</v>
      </c>
      <c r="BG788" s="149">
        <v>0</v>
      </c>
      <c r="BH788" s="149">
        <v>0</v>
      </c>
      <c r="BI788" s="149">
        <v>0</v>
      </c>
      <c r="BJ788" s="149">
        <v>0</v>
      </c>
      <c r="BK788" s="149">
        <v>0</v>
      </c>
      <c r="BL788" s="149">
        <v>0</v>
      </c>
      <c r="BM788" s="149">
        <v>0</v>
      </c>
      <c r="BN788" s="149">
        <v>0</v>
      </c>
      <c r="BO788" s="149">
        <v>0</v>
      </c>
      <c r="BP788" s="152"/>
      <c r="BQ788" s="152"/>
      <c r="BR788" s="154" t="s">
        <v>142</v>
      </c>
      <c r="BS788" s="136">
        <v>15</v>
      </c>
      <c r="BT788" s="267"/>
      <c r="BU788" s="267">
        <f>M788/4</f>
        <v>0.25</v>
      </c>
      <c r="BV788" s="267">
        <f t="shared" ref="BV788:BV811" si="110">M788/4</f>
        <v>0.25</v>
      </c>
      <c r="BW788" s="267">
        <f t="shared" ref="BW788:BW811" si="111">M788/4</f>
        <v>0.25</v>
      </c>
      <c r="BX788" s="267">
        <f t="shared" ref="BX788:BX811" si="112">M788/4</f>
        <v>0.25</v>
      </c>
      <c r="BY788" s="267"/>
      <c r="BZ788" s="267"/>
      <c r="CA788" s="267"/>
      <c r="CB788" s="267"/>
      <c r="CC788" s="267"/>
      <c r="CD788" s="267"/>
      <c r="CE788" s="267"/>
      <c r="CF788" s="267"/>
      <c r="CG788" s="267"/>
      <c r="CH788" s="267"/>
      <c r="CI788" s="267"/>
      <c r="CJ788" s="267"/>
      <c r="CK788" s="267"/>
      <c r="CL788" s="267"/>
      <c r="CM788" s="267"/>
      <c r="CN788" s="101">
        <f t="shared" si="108"/>
        <v>1</v>
      </c>
      <c r="CO788" s="101">
        <f t="shared" si="109"/>
        <v>1</v>
      </c>
    </row>
    <row r="789" spans="1:93" ht="13.9" customHeight="1" x14ac:dyDescent="0.2">
      <c r="A789" s="149">
        <v>7929</v>
      </c>
      <c r="B789" s="150" t="s">
        <v>1216</v>
      </c>
      <c r="C789" s="150" t="s">
        <v>2239</v>
      </c>
      <c r="D789" s="150" t="s">
        <v>2240</v>
      </c>
      <c r="E789" s="150" t="s">
        <v>326</v>
      </c>
      <c r="F789" s="149">
        <v>528018</v>
      </c>
      <c r="G789" s="149">
        <v>172759</v>
      </c>
      <c r="H789" s="150" t="s">
        <v>174</v>
      </c>
      <c r="I789" s="151"/>
      <c r="J789" s="151"/>
      <c r="K789" s="149">
        <v>1</v>
      </c>
      <c r="L789" s="149">
        <v>2</v>
      </c>
      <c r="M789" s="149">
        <v>1</v>
      </c>
      <c r="N789" s="149">
        <v>2</v>
      </c>
      <c r="O789" s="149">
        <v>1</v>
      </c>
      <c r="P789" s="152"/>
      <c r="Q789" s="150" t="s">
        <v>2241</v>
      </c>
      <c r="R789" s="150" t="s">
        <v>349</v>
      </c>
      <c r="S789" s="151">
        <v>44896</v>
      </c>
      <c r="T789" s="151">
        <v>45019</v>
      </c>
      <c r="U789" s="152" t="s">
        <v>327</v>
      </c>
      <c r="V789" s="150" t="s">
        <v>330</v>
      </c>
      <c r="W789" s="151"/>
      <c r="X789" s="150" t="s">
        <v>331</v>
      </c>
      <c r="Y789" s="150" t="s">
        <v>350</v>
      </c>
      <c r="Z789" s="150" t="s">
        <v>334</v>
      </c>
      <c r="AA789" s="150" t="s">
        <v>399</v>
      </c>
      <c r="AB789" s="153">
        <v>0.08</v>
      </c>
      <c r="AC789" s="151"/>
      <c r="AD789" s="150"/>
      <c r="AE789" s="151"/>
      <c r="AF789" s="150" t="s">
        <v>70</v>
      </c>
      <c r="AG789" s="152" t="s">
        <v>337</v>
      </c>
      <c r="AH789" s="150" t="s">
        <v>326</v>
      </c>
      <c r="AI789" s="99"/>
      <c r="AJ789" s="149"/>
      <c r="AK789" s="99"/>
      <c r="AL789" s="149"/>
      <c r="AM789" s="99"/>
      <c r="AN789" s="149">
        <v>0</v>
      </c>
      <c r="AO789" s="149">
        <v>0</v>
      </c>
      <c r="AP789" s="149">
        <v>0</v>
      </c>
      <c r="AQ789" s="149">
        <v>2</v>
      </c>
      <c r="AR789" s="149">
        <v>0</v>
      </c>
      <c r="AS789" s="149">
        <v>-1</v>
      </c>
      <c r="AT789" s="149">
        <v>0</v>
      </c>
      <c r="AU789" s="149">
        <v>0</v>
      </c>
      <c r="AV789" s="149">
        <v>0</v>
      </c>
      <c r="AW789" s="149">
        <v>0</v>
      </c>
      <c r="AX789" s="149">
        <v>2</v>
      </c>
      <c r="AY789" s="149">
        <v>0</v>
      </c>
      <c r="AZ789" s="149">
        <v>-1</v>
      </c>
      <c r="BA789" s="149">
        <v>0</v>
      </c>
      <c r="BB789" s="149">
        <v>0</v>
      </c>
      <c r="BC789" s="149">
        <v>0</v>
      </c>
      <c r="BD789" s="149">
        <v>0</v>
      </c>
      <c r="BE789" s="149">
        <v>0</v>
      </c>
      <c r="BF789" s="149">
        <v>0</v>
      </c>
      <c r="BG789" s="149">
        <v>0</v>
      </c>
      <c r="BH789" s="149">
        <v>0</v>
      </c>
      <c r="BI789" s="149">
        <v>0</v>
      </c>
      <c r="BJ789" s="149">
        <v>0</v>
      </c>
      <c r="BK789" s="149">
        <v>0</v>
      </c>
      <c r="BL789" s="149">
        <v>0</v>
      </c>
      <c r="BM789" s="149">
        <v>0</v>
      </c>
      <c r="BN789" s="149">
        <v>0</v>
      </c>
      <c r="BO789" s="149">
        <v>0</v>
      </c>
      <c r="BP789" s="152"/>
      <c r="BQ789" s="152"/>
      <c r="BR789" s="154" t="s">
        <v>359</v>
      </c>
      <c r="BS789" s="136">
        <v>15</v>
      </c>
      <c r="BT789" s="267"/>
      <c r="BU789" s="267">
        <f>M789/4</f>
        <v>0.25</v>
      </c>
      <c r="BV789" s="267">
        <f t="shared" si="110"/>
        <v>0.25</v>
      </c>
      <c r="BW789" s="267">
        <f t="shared" si="111"/>
        <v>0.25</v>
      </c>
      <c r="BX789" s="267">
        <f t="shared" si="112"/>
        <v>0.25</v>
      </c>
      <c r="BY789" s="267"/>
      <c r="BZ789" s="267"/>
      <c r="CA789" s="267"/>
      <c r="CB789" s="267"/>
      <c r="CC789" s="267"/>
      <c r="CD789" s="267"/>
      <c r="CE789" s="267"/>
      <c r="CF789" s="267"/>
      <c r="CG789" s="267"/>
      <c r="CH789" s="267"/>
      <c r="CI789" s="267"/>
      <c r="CJ789" s="267"/>
      <c r="CK789" s="267"/>
      <c r="CL789" s="267"/>
      <c r="CM789" s="267"/>
      <c r="CN789" s="101">
        <f t="shared" si="108"/>
        <v>1</v>
      </c>
      <c r="CO789" s="101">
        <f t="shared" si="109"/>
        <v>1</v>
      </c>
    </row>
    <row r="790" spans="1:93" ht="13.9" customHeight="1" x14ac:dyDescent="0.2">
      <c r="A790" s="149">
        <v>7935</v>
      </c>
      <c r="B790" s="150" t="s">
        <v>1216</v>
      </c>
      <c r="C790" s="150" t="s">
        <v>2242</v>
      </c>
      <c r="D790" s="150" t="s">
        <v>2243</v>
      </c>
      <c r="E790" s="150" t="s">
        <v>326</v>
      </c>
      <c r="F790" s="149">
        <v>528329</v>
      </c>
      <c r="G790" s="149">
        <v>175608</v>
      </c>
      <c r="H790" s="150" t="s">
        <v>164</v>
      </c>
      <c r="I790" s="151"/>
      <c r="J790" s="151"/>
      <c r="K790" s="149">
        <v>2</v>
      </c>
      <c r="L790" s="149">
        <v>1</v>
      </c>
      <c r="M790" s="149">
        <v>-1</v>
      </c>
      <c r="N790" s="149">
        <v>1</v>
      </c>
      <c r="O790" s="149">
        <v>-1</v>
      </c>
      <c r="P790" s="152"/>
      <c r="Q790" s="150" t="s">
        <v>2244</v>
      </c>
      <c r="R790" s="150" t="s">
        <v>349</v>
      </c>
      <c r="S790" s="151">
        <v>44914</v>
      </c>
      <c r="T790" s="151">
        <v>45012</v>
      </c>
      <c r="U790" s="152"/>
      <c r="V790" s="150" t="s">
        <v>330</v>
      </c>
      <c r="W790" s="151"/>
      <c r="X790" s="150" t="s">
        <v>331</v>
      </c>
      <c r="Y790" s="150" t="s">
        <v>350</v>
      </c>
      <c r="Z790" s="150" t="s">
        <v>334</v>
      </c>
      <c r="AA790" s="150" t="s">
        <v>18</v>
      </c>
      <c r="AB790" s="153">
        <v>0.05</v>
      </c>
      <c r="AC790" s="151"/>
      <c r="AD790" s="150"/>
      <c r="AE790" s="151"/>
      <c r="AF790" s="150" t="s">
        <v>70</v>
      </c>
      <c r="AG790" s="152" t="s">
        <v>352</v>
      </c>
      <c r="AH790" s="150" t="s">
        <v>326</v>
      </c>
      <c r="AI790" s="99"/>
      <c r="AJ790" s="149"/>
      <c r="AK790" s="99"/>
      <c r="AL790" s="149"/>
      <c r="AM790" s="99"/>
      <c r="AN790" s="149">
        <v>0</v>
      </c>
      <c r="AO790" s="149">
        <v>-1</v>
      </c>
      <c r="AP790" s="149">
        <v>0</v>
      </c>
      <c r="AQ790" s="149">
        <v>-1</v>
      </c>
      <c r="AR790" s="149">
        <v>0</v>
      </c>
      <c r="AS790" s="149">
        <v>1</v>
      </c>
      <c r="AT790" s="149">
        <v>0</v>
      </c>
      <c r="AU790" s="149">
        <v>0</v>
      </c>
      <c r="AV790" s="149">
        <v>-1</v>
      </c>
      <c r="AW790" s="149">
        <v>0</v>
      </c>
      <c r="AX790" s="149">
        <v>-1</v>
      </c>
      <c r="AY790" s="149">
        <v>0</v>
      </c>
      <c r="AZ790" s="149">
        <v>0</v>
      </c>
      <c r="BA790" s="149">
        <v>0</v>
      </c>
      <c r="BB790" s="149">
        <v>0</v>
      </c>
      <c r="BC790" s="149">
        <v>0</v>
      </c>
      <c r="BD790" s="149">
        <v>0</v>
      </c>
      <c r="BE790" s="149">
        <v>0</v>
      </c>
      <c r="BF790" s="149">
        <v>0</v>
      </c>
      <c r="BG790" s="149">
        <v>1</v>
      </c>
      <c r="BH790" s="149">
        <v>0</v>
      </c>
      <c r="BI790" s="149">
        <v>0</v>
      </c>
      <c r="BJ790" s="149">
        <v>0</v>
      </c>
      <c r="BK790" s="149">
        <v>0</v>
      </c>
      <c r="BL790" s="149">
        <v>0</v>
      </c>
      <c r="BM790" s="149">
        <v>0</v>
      </c>
      <c r="BN790" s="149">
        <v>0</v>
      </c>
      <c r="BO790" s="149">
        <v>0</v>
      </c>
      <c r="BP790" s="152"/>
      <c r="BQ790" s="152"/>
      <c r="BR790" s="154" t="s">
        <v>359</v>
      </c>
      <c r="BS790" s="136">
        <v>15</v>
      </c>
      <c r="BT790" s="267"/>
      <c r="BU790" s="267">
        <f>M790/4</f>
        <v>-0.25</v>
      </c>
      <c r="BV790" s="267">
        <f t="shared" si="110"/>
        <v>-0.25</v>
      </c>
      <c r="BW790" s="267">
        <f t="shared" si="111"/>
        <v>-0.25</v>
      </c>
      <c r="BX790" s="267">
        <f t="shared" si="112"/>
        <v>-0.25</v>
      </c>
      <c r="BY790" s="267"/>
      <c r="BZ790" s="267"/>
      <c r="CA790" s="267"/>
      <c r="CB790" s="267"/>
      <c r="CC790" s="267"/>
      <c r="CD790" s="267"/>
      <c r="CE790" s="267"/>
      <c r="CF790" s="267"/>
      <c r="CG790" s="267"/>
      <c r="CH790" s="267"/>
      <c r="CI790" s="267"/>
      <c r="CJ790" s="267"/>
      <c r="CK790" s="267"/>
      <c r="CL790" s="267"/>
      <c r="CM790" s="267"/>
      <c r="CN790" s="101">
        <f t="shared" si="108"/>
        <v>-1</v>
      </c>
      <c r="CO790" s="101">
        <f t="shared" si="109"/>
        <v>-1</v>
      </c>
    </row>
    <row r="791" spans="1:93" ht="13.9" customHeight="1" x14ac:dyDescent="0.2">
      <c r="A791" s="149">
        <v>7937</v>
      </c>
      <c r="B791" s="150" t="s">
        <v>1216</v>
      </c>
      <c r="C791" s="150" t="s">
        <v>2245</v>
      </c>
      <c r="D791" s="150" t="s">
        <v>2246</v>
      </c>
      <c r="E791" s="150" t="s">
        <v>326</v>
      </c>
      <c r="F791" s="149">
        <v>526929</v>
      </c>
      <c r="G791" s="149">
        <v>171778</v>
      </c>
      <c r="H791" s="150" t="s">
        <v>173</v>
      </c>
      <c r="I791" s="151"/>
      <c r="J791" s="151"/>
      <c r="K791" s="149">
        <v>1</v>
      </c>
      <c r="L791" s="149">
        <v>3</v>
      </c>
      <c r="M791" s="149">
        <v>2</v>
      </c>
      <c r="N791" s="149">
        <v>3</v>
      </c>
      <c r="O791" s="149">
        <v>2</v>
      </c>
      <c r="P791" s="152"/>
      <c r="Q791" s="150" t="s">
        <v>2247</v>
      </c>
      <c r="R791" s="150" t="s">
        <v>349</v>
      </c>
      <c r="S791" s="151">
        <v>44910</v>
      </c>
      <c r="T791" s="151">
        <v>44980</v>
      </c>
      <c r="U791" s="152"/>
      <c r="V791" s="150" t="s">
        <v>330</v>
      </c>
      <c r="W791" s="151"/>
      <c r="X791" s="150" t="s">
        <v>331</v>
      </c>
      <c r="Y791" s="150" t="s">
        <v>398</v>
      </c>
      <c r="Z791" s="150" t="s">
        <v>334</v>
      </c>
      <c r="AA791" s="150" t="s">
        <v>413</v>
      </c>
      <c r="AB791" s="153">
        <v>4.8566E-3</v>
      </c>
      <c r="AC791" s="151"/>
      <c r="AD791" s="150"/>
      <c r="AE791" s="151"/>
      <c r="AF791" s="150" t="s">
        <v>70</v>
      </c>
      <c r="AG791" s="152" t="s">
        <v>337</v>
      </c>
      <c r="AH791" s="150" t="s">
        <v>326</v>
      </c>
      <c r="AI791" s="99"/>
      <c r="AJ791" s="149"/>
      <c r="AK791" s="99"/>
      <c r="AL791" s="149"/>
      <c r="AM791" s="99"/>
      <c r="AN791" s="149">
        <v>1</v>
      </c>
      <c r="AO791" s="149">
        <v>1</v>
      </c>
      <c r="AP791" s="149">
        <v>1</v>
      </c>
      <c r="AQ791" s="149">
        <v>0</v>
      </c>
      <c r="AR791" s="149">
        <v>-1</v>
      </c>
      <c r="AS791" s="149">
        <v>0</v>
      </c>
      <c r="AT791" s="149">
        <v>0</v>
      </c>
      <c r="AU791" s="149">
        <v>1</v>
      </c>
      <c r="AV791" s="149">
        <v>1</v>
      </c>
      <c r="AW791" s="149">
        <v>1</v>
      </c>
      <c r="AX791" s="149">
        <v>0</v>
      </c>
      <c r="AY791" s="149">
        <v>-1</v>
      </c>
      <c r="AZ791" s="149">
        <v>0</v>
      </c>
      <c r="BA791" s="149">
        <v>0</v>
      </c>
      <c r="BB791" s="149">
        <v>0</v>
      </c>
      <c r="BC791" s="149">
        <v>0</v>
      </c>
      <c r="BD791" s="149">
        <v>0</v>
      </c>
      <c r="BE791" s="149">
        <v>0</v>
      </c>
      <c r="BF791" s="149">
        <v>0</v>
      </c>
      <c r="BG791" s="149">
        <v>0</v>
      </c>
      <c r="BH791" s="149">
        <v>0</v>
      </c>
      <c r="BI791" s="149">
        <v>0</v>
      </c>
      <c r="BJ791" s="149">
        <v>0</v>
      </c>
      <c r="BK791" s="149">
        <v>0</v>
      </c>
      <c r="BL791" s="149">
        <v>0</v>
      </c>
      <c r="BM791" s="149">
        <v>0</v>
      </c>
      <c r="BN791" s="149">
        <v>0</v>
      </c>
      <c r="BO791" s="149">
        <v>0</v>
      </c>
      <c r="BP791" s="152"/>
      <c r="BQ791" s="152"/>
      <c r="BR791" s="154" t="s">
        <v>359</v>
      </c>
      <c r="BS791" s="136">
        <v>15</v>
      </c>
      <c r="BT791" s="267"/>
      <c r="BU791" s="267">
        <f>M791/4</f>
        <v>0.5</v>
      </c>
      <c r="BV791" s="267">
        <f t="shared" si="110"/>
        <v>0.5</v>
      </c>
      <c r="BW791" s="267">
        <f t="shared" si="111"/>
        <v>0.5</v>
      </c>
      <c r="BX791" s="267">
        <f t="shared" si="112"/>
        <v>0.5</v>
      </c>
      <c r="BY791" s="267"/>
      <c r="BZ791" s="267"/>
      <c r="CA791" s="267"/>
      <c r="CB791" s="267"/>
      <c r="CC791" s="267"/>
      <c r="CD791" s="267"/>
      <c r="CE791" s="267"/>
      <c r="CF791" s="267"/>
      <c r="CG791" s="267"/>
      <c r="CH791" s="267"/>
      <c r="CI791" s="267"/>
      <c r="CJ791" s="267"/>
      <c r="CK791" s="267"/>
      <c r="CL791" s="267"/>
      <c r="CM791" s="267"/>
      <c r="CN791" s="101">
        <f t="shared" si="108"/>
        <v>2</v>
      </c>
      <c r="CO791" s="101">
        <f t="shared" si="109"/>
        <v>2</v>
      </c>
    </row>
    <row r="792" spans="1:93" ht="13.9" customHeight="1" x14ac:dyDescent="0.2">
      <c r="A792" s="149">
        <v>6940</v>
      </c>
      <c r="B792" s="150" t="s">
        <v>1216</v>
      </c>
      <c r="C792" s="150" t="s">
        <v>2248</v>
      </c>
      <c r="D792" s="150" t="s">
        <v>2249</v>
      </c>
      <c r="E792" s="150" t="s">
        <v>326</v>
      </c>
      <c r="F792" s="149">
        <v>523949</v>
      </c>
      <c r="G792" s="149">
        <v>174717</v>
      </c>
      <c r="H792" s="150" t="s">
        <v>161</v>
      </c>
      <c r="I792" s="151"/>
      <c r="J792" s="151"/>
      <c r="K792" s="149">
        <v>0</v>
      </c>
      <c r="L792" s="149">
        <v>3</v>
      </c>
      <c r="M792" s="149">
        <v>3</v>
      </c>
      <c r="N792" s="149">
        <v>3</v>
      </c>
      <c r="O792" s="149">
        <v>3</v>
      </c>
      <c r="P792" s="152"/>
      <c r="Q792" s="150" t="s">
        <v>2250</v>
      </c>
      <c r="R792" s="150" t="s">
        <v>349</v>
      </c>
      <c r="S792" s="151">
        <v>44911</v>
      </c>
      <c r="T792" s="151">
        <v>45224</v>
      </c>
      <c r="U792" s="152" t="s">
        <v>327</v>
      </c>
      <c r="V792" s="150" t="s">
        <v>330</v>
      </c>
      <c r="W792" s="151"/>
      <c r="X792" s="150" t="s">
        <v>331</v>
      </c>
      <c r="Y792" s="150" t="s">
        <v>343</v>
      </c>
      <c r="Z792" s="150" t="s">
        <v>334</v>
      </c>
      <c r="AA792" s="150" t="s">
        <v>363</v>
      </c>
      <c r="AB792" s="153">
        <v>6.5000000000000002E-2</v>
      </c>
      <c r="AC792" s="151"/>
      <c r="AD792" s="150"/>
      <c r="AE792" s="151"/>
      <c r="AF792" s="150" t="s">
        <v>70</v>
      </c>
      <c r="AG792" s="152" t="s">
        <v>352</v>
      </c>
      <c r="AH792" s="150" t="s">
        <v>326</v>
      </c>
      <c r="AI792" s="99"/>
      <c r="AJ792" s="149"/>
      <c r="AK792" s="99"/>
      <c r="AL792" s="149"/>
      <c r="AM792" s="99"/>
      <c r="AN792" s="149">
        <v>0</v>
      </c>
      <c r="AO792" s="149">
        <v>0</v>
      </c>
      <c r="AP792" s="149">
        <v>2</v>
      </c>
      <c r="AQ792" s="149">
        <v>1</v>
      </c>
      <c r="AR792" s="149">
        <v>0</v>
      </c>
      <c r="AS792" s="149">
        <v>0</v>
      </c>
      <c r="AT792" s="149">
        <v>0</v>
      </c>
      <c r="AU792" s="149">
        <v>0</v>
      </c>
      <c r="AV792" s="149">
        <v>0</v>
      </c>
      <c r="AW792" s="149">
        <v>2</v>
      </c>
      <c r="AX792" s="149">
        <v>1</v>
      </c>
      <c r="AY792" s="149">
        <v>0</v>
      </c>
      <c r="AZ792" s="149">
        <v>0</v>
      </c>
      <c r="BA792" s="149">
        <v>0</v>
      </c>
      <c r="BB792" s="149">
        <v>0</v>
      </c>
      <c r="BC792" s="149">
        <v>0</v>
      </c>
      <c r="BD792" s="149">
        <v>0</v>
      </c>
      <c r="BE792" s="149">
        <v>0</v>
      </c>
      <c r="BF792" s="149">
        <v>0</v>
      </c>
      <c r="BG792" s="149">
        <v>0</v>
      </c>
      <c r="BH792" s="149">
        <v>0</v>
      </c>
      <c r="BI792" s="149">
        <v>0</v>
      </c>
      <c r="BJ792" s="149">
        <v>0</v>
      </c>
      <c r="BK792" s="149">
        <v>0</v>
      </c>
      <c r="BL792" s="149">
        <v>0</v>
      </c>
      <c r="BM792" s="149">
        <v>0</v>
      </c>
      <c r="BN792" s="149">
        <v>0</v>
      </c>
      <c r="BO792" s="149">
        <v>0</v>
      </c>
      <c r="BP792" s="152"/>
      <c r="BQ792" s="152"/>
      <c r="BR792" s="154" t="s">
        <v>359</v>
      </c>
      <c r="BS792" s="136">
        <v>7</v>
      </c>
      <c r="BT792" s="267"/>
      <c r="BU792" s="267"/>
      <c r="BV792" s="267">
        <f t="shared" si="110"/>
        <v>0.75</v>
      </c>
      <c r="BW792" s="267">
        <f t="shared" si="111"/>
        <v>0.75</v>
      </c>
      <c r="BX792" s="267">
        <f t="shared" si="112"/>
        <v>0.75</v>
      </c>
      <c r="BY792" s="267">
        <f>M792/4</f>
        <v>0.75</v>
      </c>
      <c r="BZ792" s="267"/>
      <c r="CA792" s="267"/>
      <c r="CB792" s="267"/>
      <c r="CC792" s="267"/>
      <c r="CD792" s="267"/>
      <c r="CE792" s="267"/>
      <c r="CF792" s="267"/>
      <c r="CG792" s="267"/>
      <c r="CH792" s="267"/>
      <c r="CI792" s="267"/>
      <c r="CJ792" s="267"/>
      <c r="CK792" s="267"/>
      <c r="CL792" s="267"/>
      <c r="CM792" s="267"/>
      <c r="CN792" s="101">
        <f t="shared" si="108"/>
        <v>3</v>
      </c>
      <c r="CO792" s="101">
        <f t="shared" si="109"/>
        <v>3</v>
      </c>
    </row>
    <row r="793" spans="1:93" ht="13.9" customHeight="1" x14ac:dyDescent="0.2">
      <c r="A793" s="149">
        <v>7513</v>
      </c>
      <c r="B793" s="150" t="s">
        <v>1216</v>
      </c>
      <c r="C793" s="150" t="s">
        <v>2251</v>
      </c>
      <c r="D793" s="150" t="s">
        <v>2252</v>
      </c>
      <c r="E793" s="150" t="s">
        <v>326</v>
      </c>
      <c r="F793" s="149">
        <v>523758</v>
      </c>
      <c r="G793" s="149">
        <v>173893</v>
      </c>
      <c r="H793" s="150" t="s">
        <v>161</v>
      </c>
      <c r="I793" s="151"/>
      <c r="J793" s="151"/>
      <c r="K793" s="149">
        <v>0</v>
      </c>
      <c r="L793" s="149">
        <v>6</v>
      </c>
      <c r="M793" s="149">
        <v>6</v>
      </c>
      <c r="N793" s="149">
        <v>6</v>
      </c>
      <c r="O793" s="149">
        <v>6</v>
      </c>
      <c r="P793" s="152"/>
      <c r="Q793" s="150" t="s">
        <v>2253</v>
      </c>
      <c r="R793" s="150" t="s">
        <v>349</v>
      </c>
      <c r="S793" s="151">
        <v>44917</v>
      </c>
      <c r="T793" s="151">
        <v>45098</v>
      </c>
      <c r="U793" s="152" t="s">
        <v>327</v>
      </c>
      <c r="V793" s="150" t="s">
        <v>330</v>
      </c>
      <c r="W793" s="151"/>
      <c r="X793" s="150" t="s">
        <v>331</v>
      </c>
      <c r="Y793" s="150" t="s">
        <v>491</v>
      </c>
      <c r="Z793" s="150" t="s">
        <v>334</v>
      </c>
      <c r="AA793" s="150" t="s">
        <v>413</v>
      </c>
      <c r="AB793" s="153">
        <v>0.193</v>
      </c>
      <c r="AC793" s="151"/>
      <c r="AD793" s="150"/>
      <c r="AE793" s="151"/>
      <c r="AF793" s="150" t="s">
        <v>70</v>
      </c>
      <c r="AG793" s="152" t="s">
        <v>352</v>
      </c>
      <c r="AH793" s="150" t="s">
        <v>326</v>
      </c>
      <c r="AI793" s="99"/>
      <c r="AJ793" s="149"/>
      <c r="AK793" s="99"/>
      <c r="AL793" s="149"/>
      <c r="AM793" s="99"/>
      <c r="AN793" s="149">
        <v>0</v>
      </c>
      <c r="AO793" s="149">
        <v>2</v>
      </c>
      <c r="AP793" s="149">
        <v>2</v>
      </c>
      <c r="AQ793" s="149">
        <v>2</v>
      </c>
      <c r="AR793" s="149">
        <v>0</v>
      </c>
      <c r="AS793" s="149">
        <v>0</v>
      </c>
      <c r="AT793" s="149">
        <v>0</v>
      </c>
      <c r="AU793" s="149">
        <v>0</v>
      </c>
      <c r="AV793" s="149">
        <v>2</v>
      </c>
      <c r="AW793" s="149">
        <v>2</v>
      </c>
      <c r="AX793" s="149">
        <v>2</v>
      </c>
      <c r="AY793" s="149">
        <v>0</v>
      </c>
      <c r="AZ793" s="149">
        <v>0</v>
      </c>
      <c r="BA793" s="149">
        <v>0</v>
      </c>
      <c r="BB793" s="149">
        <v>0</v>
      </c>
      <c r="BC793" s="149">
        <v>0</v>
      </c>
      <c r="BD793" s="149">
        <v>0</v>
      </c>
      <c r="BE793" s="149">
        <v>0</v>
      </c>
      <c r="BF793" s="149">
        <v>0</v>
      </c>
      <c r="BG793" s="149">
        <v>0</v>
      </c>
      <c r="BH793" s="149">
        <v>0</v>
      </c>
      <c r="BI793" s="149">
        <v>0</v>
      </c>
      <c r="BJ793" s="149">
        <v>0</v>
      </c>
      <c r="BK793" s="149">
        <v>0</v>
      </c>
      <c r="BL793" s="149">
        <v>0</v>
      </c>
      <c r="BM793" s="149">
        <v>0</v>
      </c>
      <c r="BN793" s="149">
        <v>0</v>
      </c>
      <c r="BO793" s="149">
        <v>0</v>
      </c>
      <c r="BP793" s="152"/>
      <c r="BQ793" s="152"/>
      <c r="BR793" s="154" t="s">
        <v>359</v>
      </c>
      <c r="BS793" s="136">
        <v>18</v>
      </c>
      <c r="BT793" s="267"/>
      <c r="BU793" s="267">
        <f>M793/4</f>
        <v>1.5</v>
      </c>
      <c r="BV793" s="267">
        <f t="shared" si="110"/>
        <v>1.5</v>
      </c>
      <c r="BW793" s="267">
        <f t="shared" si="111"/>
        <v>1.5</v>
      </c>
      <c r="BX793" s="267">
        <f t="shared" si="112"/>
        <v>1.5</v>
      </c>
      <c r="BY793" s="267"/>
      <c r="BZ793" s="267"/>
      <c r="CA793" s="267"/>
      <c r="CB793" s="267"/>
      <c r="CC793" s="267"/>
      <c r="CD793" s="267"/>
      <c r="CE793" s="267"/>
      <c r="CF793" s="267"/>
      <c r="CG793" s="267"/>
      <c r="CH793" s="267"/>
      <c r="CI793" s="267"/>
      <c r="CJ793" s="267"/>
      <c r="CK793" s="267"/>
      <c r="CL793" s="267"/>
      <c r="CM793" s="267"/>
      <c r="CN793" s="101">
        <f t="shared" si="108"/>
        <v>6</v>
      </c>
      <c r="CO793" s="101">
        <f t="shared" si="109"/>
        <v>6</v>
      </c>
    </row>
    <row r="794" spans="1:93" ht="13.9" customHeight="1" x14ac:dyDescent="0.2">
      <c r="A794" s="149">
        <v>7938</v>
      </c>
      <c r="B794" s="150" t="s">
        <v>1216</v>
      </c>
      <c r="C794" s="150" t="s">
        <v>2254</v>
      </c>
      <c r="D794" s="150" t="s">
        <v>2255</v>
      </c>
      <c r="E794" s="150" t="s">
        <v>326</v>
      </c>
      <c r="F794" s="149">
        <v>526194</v>
      </c>
      <c r="G794" s="149">
        <v>172318</v>
      </c>
      <c r="H794" s="150" t="s">
        <v>176</v>
      </c>
      <c r="I794" s="151"/>
      <c r="J794" s="151"/>
      <c r="K794" s="149">
        <v>0</v>
      </c>
      <c r="L794" s="149">
        <v>5</v>
      </c>
      <c r="M794" s="149">
        <v>5</v>
      </c>
      <c r="N794" s="149">
        <v>5</v>
      </c>
      <c r="O794" s="149">
        <v>5</v>
      </c>
      <c r="P794" s="152"/>
      <c r="Q794" s="150" t="s">
        <v>2256</v>
      </c>
      <c r="R794" s="150" t="s">
        <v>349</v>
      </c>
      <c r="S794" s="151">
        <v>44917</v>
      </c>
      <c r="T794" s="151">
        <v>45098</v>
      </c>
      <c r="U794" s="152" t="s">
        <v>327</v>
      </c>
      <c r="V794" s="150" t="s">
        <v>330</v>
      </c>
      <c r="W794" s="151"/>
      <c r="X794" s="150" t="s">
        <v>331</v>
      </c>
      <c r="Y794" s="150" t="s">
        <v>343</v>
      </c>
      <c r="Z794" s="150" t="s">
        <v>334</v>
      </c>
      <c r="AA794" s="150" t="s">
        <v>363</v>
      </c>
      <c r="AB794" s="153">
        <v>7.3200000000000001E-2</v>
      </c>
      <c r="AC794" s="151"/>
      <c r="AD794" s="150"/>
      <c r="AE794" s="151"/>
      <c r="AF794" s="150" t="s">
        <v>70</v>
      </c>
      <c r="AG794" s="152" t="s">
        <v>337</v>
      </c>
      <c r="AH794" s="150" t="s">
        <v>326</v>
      </c>
      <c r="AI794" s="99"/>
      <c r="AJ794" s="149"/>
      <c r="AK794" s="99"/>
      <c r="AL794" s="149"/>
      <c r="AM794" s="99"/>
      <c r="AN794" s="149">
        <v>0</v>
      </c>
      <c r="AO794" s="149">
        <v>0</v>
      </c>
      <c r="AP794" s="149">
        <v>1</v>
      </c>
      <c r="AQ794" s="149">
        <v>0</v>
      </c>
      <c r="AR794" s="149">
        <v>0</v>
      </c>
      <c r="AS794" s="149">
        <v>4</v>
      </c>
      <c r="AT794" s="149">
        <v>0</v>
      </c>
      <c r="AU794" s="149">
        <v>0</v>
      </c>
      <c r="AV794" s="149">
        <v>0</v>
      </c>
      <c r="AW794" s="149">
        <v>0</v>
      </c>
      <c r="AX794" s="149">
        <v>0</v>
      </c>
      <c r="AY794" s="149">
        <v>0</v>
      </c>
      <c r="AZ794" s="149">
        <v>0</v>
      </c>
      <c r="BA794" s="149">
        <v>0</v>
      </c>
      <c r="BB794" s="149">
        <v>0</v>
      </c>
      <c r="BC794" s="149">
        <v>0</v>
      </c>
      <c r="BD794" s="149">
        <v>1</v>
      </c>
      <c r="BE794" s="149">
        <v>0</v>
      </c>
      <c r="BF794" s="149">
        <v>0</v>
      </c>
      <c r="BG794" s="149">
        <v>4</v>
      </c>
      <c r="BH794" s="149">
        <v>0</v>
      </c>
      <c r="BI794" s="149">
        <v>0</v>
      </c>
      <c r="BJ794" s="149">
        <v>0</v>
      </c>
      <c r="BK794" s="149">
        <v>0</v>
      </c>
      <c r="BL794" s="149">
        <v>0</v>
      </c>
      <c r="BM794" s="149">
        <v>0</v>
      </c>
      <c r="BN794" s="149">
        <v>0</v>
      </c>
      <c r="BO794" s="149">
        <v>0</v>
      </c>
      <c r="BP794" s="152"/>
      <c r="BQ794" s="152"/>
      <c r="BR794" s="154" t="s">
        <v>151</v>
      </c>
      <c r="BS794" s="136">
        <v>7</v>
      </c>
      <c r="BT794" s="267"/>
      <c r="BU794" s="267"/>
      <c r="BV794" s="267">
        <f t="shared" si="110"/>
        <v>1.25</v>
      </c>
      <c r="BW794" s="267">
        <f t="shared" si="111"/>
        <v>1.25</v>
      </c>
      <c r="BX794" s="267">
        <f t="shared" si="112"/>
        <v>1.25</v>
      </c>
      <c r="BY794" s="267">
        <f>M794/4</f>
        <v>1.25</v>
      </c>
      <c r="BZ794" s="267"/>
      <c r="CA794" s="267"/>
      <c r="CB794" s="267"/>
      <c r="CC794" s="267"/>
      <c r="CD794" s="267"/>
      <c r="CE794" s="267"/>
      <c r="CF794" s="267"/>
      <c r="CG794" s="267"/>
      <c r="CH794" s="267"/>
      <c r="CI794" s="267"/>
      <c r="CJ794" s="267"/>
      <c r="CK794" s="267"/>
      <c r="CL794" s="267"/>
      <c r="CM794" s="267"/>
      <c r="CN794" s="101">
        <f t="shared" si="108"/>
        <v>5</v>
      </c>
      <c r="CO794" s="101">
        <f t="shared" si="109"/>
        <v>5</v>
      </c>
    </row>
    <row r="795" spans="1:93" ht="13.9" customHeight="1" x14ac:dyDescent="0.2">
      <c r="A795" s="149">
        <v>3809</v>
      </c>
      <c r="B795" s="150" t="s">
        <v>1216</v>
      </c>
      <c r="C795" s="150" t="s">
        <v>2257</v>
      </c>
      <c r="D795" s="150" t="s">
        <v>2258</v>
      </c>
      <c r="E795" s="150" t="s">
        <v>326</v>
      </c>
      <c r="F795" s="149">
        <v>527098</v>
      </c>
      <c r="G795" s="149">
        <v>174975</v>
      </c>
      <c r="H795" s="150" t="s">
        <v>164</v>
      </c>
      <c r="I795" s="151"/>
      <c r="J795" s="151"/>
      <c r="K795" s="149">
        <v>5</v>
      </c>
      <c r="L795" s="149">
        <v>6</v>
      </c>
      <c r="M795" s="149">
        <v>1</v>
      </c>
      <c r="N795" s="149">
        <v>6</v>
      </c>
      <c r="O795" s="149">
        <v>1</v>
      </c>
      <c r="P795" s="152"/>
      <c r="Q795" s="150" t="s">
        <v>2259</v>
      </c>
      <c r="R795" s="150" t="s">
        <v>349</v>
      </c>
      <c r="S795" s="151">
        <v>44923</v>
      </c>
      <c r="T795" s="151">
        <v>45051</v>
      </c>
      <c r="U795" s="152" t="s">
        <v>327</v>
      </c>
      <c r="V795" s="150" t="s">
        <v>330</v>
      </c>
      <c r="W795" s="151"/>
      <c r="X795" s="150" t="s">
        <v>331</v>
      </c>
      <c r="Y795" s="150" t="s">
        <v>398</v>
      </c>
      <c r="Z795" s="150" t="s">
        <v>334</v>
      </c>
      <c r="AA795" s="150" t="s">
        <v>399</v>
      </c>
      <c r="AB795" s="153">
        <v>1.2E-2</v>
      </c>
      <c r="AC795" s="151"/>
      <c r="AD795" s="150"/>
      <c r="AE795" s="151"/>
      <c r="AF795" s="150" t="s">
        <v>70</v>
      </c>
      <c r="AG795" s="152" t="s">
        <v>352</v>
      </c>
      <c r="AH795" s="150" t="s">
        <v>326</v>
      </c>
      <c r="AI795" s="99"/>
      <c r="AJ795" s="149"/>
      <c r="AK795" s="99"/>
      <c r="AL795" s="149"/>
      <c r="AM795" s="99"/>
      <c r="AN795" s="149">
        <v>-1</v>
      </c>
      <c r="AO795" s="149">
        <v>5</v>
      </c>
      <c r="AP795" s="149">
        <v>-3</v>
      </c>
      <c r="AQ795" s="149">
        <v>0</v>
      </c>
      <c r="AR795" s="149">
        <v>0</v>
      </c>
      <c r="AS795" s="149">
        <v>0</v>
      </c>
      <c r="AT795" s="149">
        <v>0</v>
      </c>
      <c r="AU795" s="149">
        <v>-1</v>
      </c>
      <c r="AV795" s="149">
        <v>5</v>
      </c>
      <c r="AW795" s="149">
        <v>-3</v>
      </c>
      <c r="AX795" s="149">
        <v>0</v>
      </c>
      <c r="AY795" s="149">
        <v>0</v>
      </c>
      <c r="AZ795" s="149">
        <v>0</v>
      </c>
      <c r="BA795" s="149">
        <v>0</v>
      </c>
      <c r="BB795" s="149">
        <v>0</v>
      </c>
      <c r="BC795" s="149">
        <v>0</v>
      </c>
      <c r="BD795" s="149">
        <v>0</v>
      </c>
      <c r="BE795" s="149">
        <v>0</v>
      </c>
      <c r="BF795" s="149">
        <v>0</v>
      </c>
      <c r="BG795" s="149">
        <v>0</v>
      </c>
      <c r="BH795" s="149">
        <v>0</v>
      </c>
      <c r="BI795" s="149">
        <v>0</v>
      </c>
      <c r="BJ795" s="149">
        <v>0</v>
      </c>
      <c r="BK795" s="149">
        <v>0</v>
      </c>
      <c r="BL795" s="149">
        <v>0</v>
      </c>
      <c r="BM795" s="149">
        <v>0</v>
      </c>
      <c r="BN795" s="149">
        <v>0</v>
      </c>
      <c r="BO795" s="149">
        <v>0</v>
      </c>
      <c r="BP795" s="152"/>
      <c r="BQ795" s="152"/>
      <c r="BR795" s="154" t="s">
        <v>359</v>
      </c>
      <c r="BS795" s="136">
        <v>18</v>
      </c>
      <c r="BT795" s="267"/>
      <c r="BU795" s="267">
        <f t="shared" ref="BU795:BU809" si="113">M795/4</f>
        <v>0.25</v>
      </c>
      <c r="BV795" s="267">
        <f t="shared" si="110"/>
        <v>0.25</v>
      </c>
      <c r="BW795" s="267">
        <f t="shared" si="111"/>
        <v>0.25</v>
      </c>
      <c r="BX795" s="267">
        <f t="shared" si="112"/>
        <v>0.25</v>
      </c>
      <c r="BY795" s="267"/>
      <c r="BZ795" s="267"/>
      <c r="CA795" s="267"/>
      <c r="CB795" s="267"/>
      <c r="CC795" s="267"/>
      <c r="CD795" s="267"/>
      <c r="CE795" s="267"/>
      <c r="CF795" s="267"/>
      <c r="CG795" s="267"/>
      <c r="CH795" s="267"/>
      <c r="CI795" s="267"/>
      <c r="CJ795" s="267"/>
      <c r="CK795" s="267"/>
      <c r="CL795" s="267"/>
      <c r="CM795" s="267"/>
      <c r="CN795" s="101">
        <f t="shared" si="108"/>
        <v>1</v>
      </c>
      <c r="CO795" s="101">
        <f t="shared" si="109"/>
        <v>1</v>
      </c>
    </row>
    <row r="796" spans="1:93" ht="13.9" customHeight="1" x14ac:dyDescent="0.2">
      <c r="A796" s="149">
        <v>7943</v>
      </c>
      <c r="B796" s="150" t="s">
        <v>1216</v>
      </c>
      <c r="C796" s="150" t="s">
        <v>2260</v>
      </c>
      <c r="D796" s="150" t="s">
        <v>2261</v>
      </c>
      <c r="E796" s="150" t="s">
        <v>326</v>
      </c>
      <c r="F796" s="149">
        <v>529132</v>
      </c>
      <c r="G796" s="149">
        <v>173982</v>
      </c>
      <c r="H796" s="150" t="s">
        <v>139</v>
      </c>
      <c r="I796" s="151"/>
      <c r="J796" s="151"/>
      <c r="K796" s="149">
        <v>5</v>
      </c>
      <c r="L796" s="149">
        <v>3</v>
      </c>
      <c r="M796" s="149">
        <v>-2</v>
      </c>
      <c r="N796" s="149">
        <v>3</v>
      </c>
      <c r="O796" s="149">
        <v>-2</v>
      </c>
      <c r="P796" s="152"/>
      <c r="Q796" s="150" t="s">
        <v>2262</v>
      </c>
      <c r="R796" s="150" t="s">
        <v>349</v>
      </c>
      <c r="S796" s="151">
        <v>44923</v>
      </c>
      <c r="T796" s="151">
        <v>45033</v>
      </c>
      <c r="U796" s="152" t="s">
        <v>327</v>
      </c>
      <c r="V796" s="150" t="s">
        <v>330</v>
      </c>
      <c r="W796" s="151"/>
      <c r="X796" s="150" t="s">
        <v>331</v>
      </c>
      <c r="Y796" s="150" t="s">
        <v>398</v>
      </c>
      <c r="Z796" s="150" t="s">
        <v>334</v>
      </c>
      <c r="AA796" s="150" t="s">
        <v>413</v>
      </c>
      <c r="AB796" s="153">
        <v>5.3999999999999999E-2</v>
      </c>
      <c r="AC796" s="151"/>
      <c r="AD796" s="150"/>
      <c r="AE796" s="151"/>
      <c r="AF796" s="150" t="s">
        <v>70</v>
      </c>
      <c r="AG796" s="152" t="s">
        <v>337</v>
      </c>
      <c r="AH796" s="150" t="s">
        <v>326</v>
      </c>
      <c r="AI796" s="99"/>
      <c r="AJ796" s="149"/>
      <c r="AK796" s="99"/>
      <c r="AL796" s="149"/>
      <c r="AM796" s="99"/>
      <c r="AN796" s="149">
        <v>-5</v>
      </c>
      <c r="AO796" s="149">
        <v>2</v>
      </c>
      <c r="AP796" s="149">
        <v>0</v>
      </c>
      <c r="AQ796" s="149">
        <v>1</v>
      </c>
      <c r="AR796" s="149">
        <v>0</v>
      </c>
      <c r="AS796" s="149">
        <v>0</v>
      </c>
      <c r="AT796" s="149">
        <v>0</v>
      </c>
      <c r="AU796" s="149">
        <v>-5</v>
      </c>
      <c r="AV796" s="149">
        <v>2</v>
      </c>
      <c r="AW796" s="149">
        <v>0</v>
      </c>
      <c r="AX796" s="149">
        <v>1</v>
      </c>
      <c r="AY796" s="149">
        <v>0</v>
      </c>
      <c r="AZ796" s="149">
        <v>0</v>
      </c>
      <c r="BA796" s="149">
        <v>0</v>
      </c>
      <c r="BB796" s="149">
        <v>0</v>
      </c>
      <c r="BC796" s="149">
        <v>0</v>
      </c>
      <c r="BD796" s="149">
        <v>0</v>
      </c>
      <c r="BE796" s="149">
        <v>0</v>
      </c>
      <c r="BF796" s="149">
        <v>0</v>
      </c>
      <c r="BG796" s="149">
        <v>0</v>
      </c>
      <c r="BH796" s="149">
        <v>0</v>
      </c>
      <c r="BI796" s="149">
        <v>0</v>
      </c>
      <c r="BJ796" s="149">
        <v>0</v>
      </c>
      <c r="BK796" s="149">
        <v>0</v>
      </c>
      <c r="BL796" s="149">
        <v>0</v>
      </c>
      <c r="BM796" s="149">
        <v>0</v>
      </c>
      <c r="BN796" s="149">
        <v>0</v>
      </c>
      <c r="BO796" s="149">
        <v>0</v>
      </c>
      <c r="BP796" s="152"/>
      <c r="BQ796" s="152"/>
      <c r="BR796" s="154" t="s">
        <v>359</v>
      </c>
      <c r="BS796" s="136">
        <v>15</v>
      </c>
      <c r="BT796" s="267"/>
      <c r="BU796" s="267">
        <f t="shared" si="113"/>
        <v>-0.5</v>
      </c>
      <c r="BV796" s="267">
        <f t="shared" si="110"/>
        <v>-0.5</v>
      </c>
      <c r="BW796" s="267">
        <f t="shared" si="111"/>
        <v>-0.5</v>
      </c>
      <c r="BX796" s="267">
        <f t="shared" si="112"/>
        <v>-0.5</v>
      </c>
      <c r="BY796" s="267"/>
      <c r="BZ796" s="267"/>
      <c r="CA796" s="267"/>
      <c r="CB796" s="267"/>
      <c r="CC796" s="267"/>
      <c r="CD796" s="267"/>
      <c r="CE796" s="267"/>
      <c r="CF796" s="267"/>
      <c r="CG796" s="267"/>
      <c r="CH796" s="267"/>
      <c r="CI796" s="267"/>
      <c r="CJ796" s="267"/>
      <c r="CK796" s="267"/>
      <c r="CL796" s="267"/>
      <c r="CM796" s="267"/>
      <c r="CN796" s="101">
        <f t="shared" si="108"/>
        <v>-2</v>
      </c>
      <c r="CO796" s="101">
        <f t="shared" si="109"/>
        <v>-2</v>
      </c>
    </row>
    <row r="797" spans="1:93" ht="13.9" customHeight="1" x14ac:dyDescent="0.2">
      <c r="A797" s="149">
        <v>7025</v>
      </c>
      <c r="B797" s="150" t="s">
        <v>1216</v>
      </c>
      <c r="C797" s="150" t="s">
        <v>2263</v>
      </c>
      <c r="D797" s="150" t="s">
        <v>2264</v>
      </c>
      <c r="E797" s="150" t="s">
        <v>326</v>
      </c>
      <c r="F797" s="149">
        <v>528764</v>
      </c>
      <c r="G797" s="149">
        <v>173063</v>
      </c>
      <c r="H797" s="150" t="s">
        <v>168</v>
      </c>
      <c r="I797" s="151"/>
      <c r="J797" s="151"/>
      <c r="K797" s="149">
        <v>0</v>
      </c>
      <c r="L797" s="149">
        <v>2</v>
      </c>
      <c r="M797" s="149">
        <v>2</v>
      </c>
      <c r="N797" s="149">
        <v>2</v>
      </c>
      <c r="O797" s="149">
        <v>2</v>
      </c>
      <c r="P797" s="152"/>
      <c r="Q797" s="150" t="s">
        <v>2265</v>
      </c>
      <c r="R797" s="150" t="s">
        <v>349</v>
      </c>
      <c r="S797" s="151">
        <v>44977</v>
      </c>
      <c r="T797" s="151">
        <v>45170</v>
      </c>
      <c r="U797" s="152" t="s">
        <v>327</v>
      </c>
      <c r="V797" s="150" t="s">
        <v>330</v>
      </c>
      <c r="W797" s="151"/>
      <c r="X797" s="150" t="s">
        <v>331</v>
      </c>
      <c r="Y797" s="150" t="s">
        <v>491</v>
      </c>
      <c r="Z797" s="150" t="s">
        <v>334</v>
      </c>
      <c r="AA797" s="150" t="s">
        <v>413</v>
      </c>
      <c r="AB797" s="153">
        <v>7.7000000000000002E-3</v>
      </c>
      <c r="AC797" s="151"/>
      <c r="AD797" s="150"/>
      <c r="AE797" s="151"/>
      <c r="AF797" s="150" t="s">
        <v>70</v>
      </c>
      <c r="AG797" s="152" t="s">
        <v>352</v>
      </c>
      <c r="AH797" s="150" t="s">
        <v>326</v>
      </c>
      <c r="AI797" s="99"/>
      <c r="AJ797" s="149"/>
      <c r="AK797" s="99"/>
      <c r="AL797" s="149"/>
      <c r="AM797" s="99"/>
      <c r="AN797" s="149">
        <v>0</v>
      </c>
      <c r="AO797" s="149">
        <v>0</v>
      </c>
      <c r="AP797" s="149">
        <v>2</v>
      </c>
      <c r="AQ797" s="149">
        <v>0</v>
      </c>
      <c r="AR797" s="149">
        <v>0</v>
      </c>
      <c r="AS797" s="149">
        <v>0</v>
      </c>
      <c r="AT797" s="149">
        <v>0</v>
      </c>
      <c r="AU797" s="149">
        <v>0</v>
      </c>
      <c r="AV797" s="149">
        <v>0</v>
      </c>
      <c r="AW797" s="149">
        <v>2</v>
      </c>
      <c r="AX797" s="149">
        <v>0</v>
      </c>
      <c r="AY797" s="149">
        <v>0</v>
      </c>
      <c r="AZ797" s="149">
        <v>0</v>
      </c>
      <c r="BA797" s="149">
        <v>0</v>
      </c>
      <c r="BB797" s="149">
        <v>0</v>
      </c>
      <c r="BC797" s="149">
        <v>0</v>
      </c>
      <c r="BD797" s="149">
        <v>0</v>
      </c>
      <c r="BE797" s="149">
        <v>0</v>
      </c>
      <c r="BF797" s="149">
        <v>0</v>
      </c>
      <c r="BG797" s="149">
        <v>0</v>
      </c>
      <c r="BH797" s="149">
        <v>0</v>
      </c>
      <c r="BI797" s="149">
        <v>0</v>
      </c>
      <c r="BJ797" s="149">
        <v>0</v>
      </c>
      <c r="BK797" s="149">
        <v>0</v>
      </c>
      <c r="BL797" s="149">
        <v>0</v>
      </c>
      <c r="BM797" s="149">
        <v>0</v>
      </c>
      <c r="BN797" s="149">
        <v>0</v>
      </c>
      <c r="BO797" s="149">
        <v>0</v>
      </c>
      <c r="BP797" s="152"/>
      <c r="BQ797" s="152"/>
      <c r="BR797" s="154" t="s">
        <v>359</v>
      </c>
      <c r="BS797" s="136">
        <v>15</v>
      </c>
      <c r="BT797" s="267"/>
      <c r="BU797" s="267">
        <f t="shared" si="113"/>
        <v>0.5</v>
      </c>
      <c r="BV797" s="267">
        <f t="shared" si="110"/>
        <v>0.5</v>
      </c>
      <c r="BW797" s="267">
        <f t="shared" si="111"/>
        <v>0.5</v>
      </c>
      <c r="BX797" s="267">
        <f t="shared" si="112"/>
        <v>0.5</v>
      </c>
      <c r="BY797" s="267"/>
      <c r="BZ797" s="267"/>
      <c r="CA797" s="267"/>
      <c r="CB797" s="267"/>
      <c r="CC797" s="267"/>
      <c r="CD797" s="267"/>
      <c r="CE797" s="267"/>
      <c r="CF797" s="267"/>
      <c r="CG797" s="267"/>
      <c r="CH797" s="267"/>
      <c r="CI797" s="267"/>
      <c r="CJ797" s="267"/>
      <c r="CK797" s="267"/>
      <c r="CL797" s="267"/>
      <c r="CM797" s="267"/>
      <c r="CN797" s="101">
        <f t="shared" si="108"/>
        <v>2</v>
      </c>
      <c r="CO797" s="101">
        <f t="shared" si="109"/>
        <v>2</v>
      </c>
    </row>
    <row r="798" spans="1:93" ht="13.9" customHeight="1" x14ac:dyDescent="0.2">
      <c r="A798" s="149">
        <v>2689</v>
      </c>
      <c r="B798" s="150" t="s">
        <v>1216</v>
      </c>
      <c r="C798" s="150" t="s">
        <v>2266</v>
      </c>
      <c r="D798" s="150" t="s">
        <v>2267</v>
      </c>
      <c r="E798" s="150" t="s">
        <v>326</v>
      </c>
      <c r="F798" s="149">
        <v>526166</v>
      </c>
      <c r="G798" s="149">
        <v>172343</v>
      </c>
      <c r="H798" s="150" t="s">
        <v>176</v>
      </c>
      <c r="I798" s="151"/>
      <c r="J798" s="151"/>
      <c r="K798" s="149">
        <v>0</v>
      </c>
      <c r="L798" s="149">
        <v>1</v>
      </c>
      <c r="M798" s="149">
        <v>1</v>
      </c>
      <c r="N798" s="149">
        <v>1</v>
      </c>
      <c r="O798" s="149">
        <v>1</v>
      </c>
      <c r="P798" s="152"/>
      <c r="Q798" s="150" t="s">
        <v>2268</v>
      </c>
      <c r="R798" s="150" t="s">
        <v>349</v>
      </c>
      <c r="S798" s="151">
        <v>44942</v>
      </c>
      <c r="T798" s="151">
        <v>44998</v>
      </c>
      <c r="U798" s="152"/>
      <c r="V798" s="150" t="s">
        <v>330</v>
      </c>
      <c r="W798" s="151"/>
      <c r="X798" s="150" t="s">
        <v>331</v>
      </c>
      <c r="Y798" s="150" t="s">
        <v>491</v>
      </c>
      <c r="Z798" s="150" t="s">
        <v>334</v>
      </c>
      <c r="AA798" s="150" t="s">
        <v>413</v>
      </c>
      <c r="AB798" s="153">
        <v>3.5000000000000003E-2</v>
      </c>
      <c r="AC798" s="151"/>
      <c r="AD798" s="150"/>
      <c r="AE798" s="151"/>
      <c r="AF798" s="150" t="s">
        <v>70</v>
      </c>
      <c r="AG798" s="152" t="s">
        <v>337</v>
      </c>
      <c r="AH798" s="150" t="s">
        <v>326</v>
      </c>
      <c r="AI798" s="99"/>
      <c r="AJ798" s="149"/>
      <c r="AK798" s="99"/>
      <c r="AL798" s="149"/>
      <c r="AM798" s="99"/>
      <c r="AN798" s="149">
        <v>0</v>
      </c>
      <c r="AO798" s="149">
        <v>0</v>
      </c>
      <c r="AP798" s="149">
        <v>1</v>
      </c>
      <c r="AQ798" s="149">
        <v>0</v>
      </c>
      <c r="AR798" s="149">
        <v>0</v>
      </c>
      <c r="AS798" s="149">
        <v>0</v>
      </c>
      <c r="AT798" s="149">
        <v>0</v>
      </c>
      <c r="AU798" s="149">
        <v>0</v>
      </c>
      <c r="AV798" s="149">
        <v>0</v>
      </c>
      <c r="AW798" s="149">
        <v>1</v>
      </c>
      <c r="AX798" s="149">
        <v>0</v>
      </c>
      <c r="AY798" s="149">
        <v>0</v>
      </c>
      <c r="AZ798" s="149">
        <v>0</v>
      </c>
      <c r="BA798" s="149">
        <v>0</v>
      </c>
      <c r="BB798" s="149">
        <v>0</v>
      </c>
      <c r="BC798" s="149">
        <v>0</v>
      </c>
      <c r="BD798" s="149">
        <v>0</v>
      </c>
      <c r="BE798" s="149">
        <v>0</v>
      </c>
      <c r="BF798" s="149">
        <v>0</v>
      </c>
      <c r="BG798" s="149">
        <v>0</v>
      </c>
      <c r="BH798" s="149">
        <v>0</v>
      </c>
      <c r="BI798" s="149">
        <v>0</v>
      </c>
      <c r="BJ798" s="149">
        <v>0</v>
      </c>
      <c r="BK798" s="149">
        <v>0</v>
      </c>
      <c r="BL798" s="149">
        <v>0</v>
      </c>
      <c r="BM798" s="149">
        <v>0</v>
      </c>
      <c r="BN798" s="149">
        <v>0</v>
      </c>
      <c r="BO798" s="149">
        <v>0</v>
      </c>
      <c r="BP798" s="152"/>
      <c r="BQ798" s="152"/>
      <c r="BR798" s="154" t="s">
        <v>151</v>
      </c>
      <c r="BS798" s="136">
        <v>15</v>
      </c>
      <c r="BT798" s="267"/>
      <c r="BU798" s="267">
        <f t="shared" si="113"/>
        <v>0.25</v>
      </c>
      <c r="BV798" s="267">
        <f t="shared" si="110"/>
        <v>0.25</v>
      </c>
      <c r="BW798" s="267">
        <f t="shared" si="111"/>
        <v>0.25</v>
      </c>
      <c r="BX798" s="267">
        <f t="shared" si="112"/>
        <v>0.25</v>
      </c>
      <c r="BY798" s="267"/>
      <c r="BZ798" s="267"/>
      <c r="CA798" s="267"/>
      <c r="CB798" s="267"/>
      <c r="CC798" s="267"/>
      <c r="CD798" s="267"/>
      <c r="CE798" s="267"/>
      <c r="CF798" s="267"/>
      <c r="CG798" s="267"/>
      <c r="CH798" s="267"/>
      <c r="CI798" s="267"/>
      <c r="CJ798" s="267"/>
      <c r="CK798" s="267"/>
      <c r="CL798" s="267"/>
      <c r="CM798" s="267"/>
      <c r="CN798" s="101">
        <f t="shared" si="108"/>
        <v>1</v>
      </c>
      <c r="CO798" s="101">
        <f t="shared" si="109"/>
        <v>1</v>
      </c>
    </row>
    <row r="799" spans="1:93" ht="13.9" customHeight="1" x14ac:dyDescent="0.2">
      <c r="A799" s="149">
        <v>4263</v>
      </c>
      <c r="B799" s="150" t="s">
        <v>1216</v>
      </c>
      <c r="C799" s="150" t="s">
        <v>2269</v>
      </c>
      <c r="D799" s="150" t="s">
        <v>2270</v>
      </c>
      <c r="E799" s="150" t="s">
        <v>326</v>
      </c>
      <c r="F799" s="149">
        <v>526950</v>
      </c>
      <c r="G799" s="149">
        <v>171750</v>
      </c>
      <c r="H799" s="150" t="s">
        <v>173</v>
      </c>
      <c r="I799" s="151"/>
      <c r="J799" s="151"/>
      <c r="K799" s="149">
        <v>0</v>
      </c>
      <c r="L799" s="149">
        <v>1</v>
      </c>
      <c r="M799" s="149">
        <v>1</v>
      </c>
      <c r="N799" s="149">
        <v>1</v>
      </c>
      <c r="O799" s="149">
        <v>1</v>
      </c>
      <c r="P799" s="152"/>
      <c r="Q799" s="150" t="s">
        <v>2271</v>
      </c>
      <c r="R799" s="150" t="s">
        <v>349</v>
      </c>
      <c r="S799" s="151">
        <v>44946</v>
      </c>
      <c r="T799" s="151">
        <v>45043</v>
      </c>
      <c r="U799" s="152" t="s">
        <v>327</v>
      </c>
      <c r="V799" s="150" t="s">
        <v>330</v>
      </c>
      <c r="W799" s="151"/>
      <c r="X799" s="150" t="s">
        <v>331</v>
      </c>
      <c r="Y799" s="150" t="s">
        <v>350</v>
      </c>
      <c r="Z799" s="150" t="s">
        <v>334</v>
      </c>
      <c r="AA799" s="150" t="s">
        <v>26</v>
      </c>
      <c r="AB799" s="153">
        <v>4.8999999999999998E-3</v>
      </c>
      <c r="AC799" s="151"/>
      <c r="AD799" s="150"/>
      <c r="AE799" s="151"/>
      <c r="AF799" s="150" t="s">
        <v>70</v>
      </c>
      <c r="AG799" s="152" t="s">
        <v>352</v>
      </c>
      <c r="AH799" s="150" t="s">
        <v>326</v>
      </c>
      <c r="AI799" s="99"/>
      <c r="AJ799" s="149"/>
      <c r="AK799" s="99"/>
      <c r="AL799" s="149"/>
      <c r="AM799" s="99"/>
      <c r="AN799" s="149">
        <v>1</v>
      </c>
      <c r="AO799" s="149">
        <v>0</v>
      </c>
      <c r="AP799" s="149">
        <v>0</v>
      </c>
      <c r="AQ799" s="149">
        <v>0</v>
      </c>
      <c r="AR799" s="149">
        <v>0</v>
      </c>
      <c r="AS799" s="149">
        <v>0</v>
      </c>
      <c r="AT799" s="149">
        <v>0</v>
      </c>
      <c r="AU799" s="149">
        <v>1</v>
      </c>
      <c r="AV799" s="149">
        <v>0</v>
      </c>
      <c r="AW799" s="149">
        <v>0</v>
      </c>
      <c r="AX799" s="149">
        <v>0</v>
      </c>
      <c r="AY799" s="149">
        <v>0</v>
      </c>
      <c r="AZ799" s="149">
        <v>0</v>
      </c>
      <c r="BA799" s="149">
        <v>0</v>
      </c>
      <c r="BB799" s="149">
        <v>0</v>
      </c>
      <c r="BC799" s="149">
        <v>0</v>
      </c>
      <c r="BD799" s="149">
        <v>0</v>
      </c>
      <c r="BE799" s="149">
        <v>0</v>
      </c>
      <c r="BF799" s="149">
        <v>0</v>
      </c>
      <c r="BG799" s="149">
        <v>0</v>
      </c>
      <c r="BH799" s="149">
        <v>0</v>
      </c>
      <c r="BI799" s="149">
        <v>0</v>
      </c>
      <c r="BJ799" s="149">
        <v>0</v>
      </c>
      <c r="BK799" s="149">
        <v>0</v>
      </c>
      <c r="BL799" s="149">
        <v>0</v>
      </c>
      <c r="BM799" s="149">
        <v>0</v>
      </c>
      <c r="BN799" s="149">
        <v>0</v>
      </c>
      <c r="BO799" s="149">
        <v>0</v>
      </c>
      <c r="BP799" s="152"/>
      <c r="BQ799" s="152"/>
      <c r="BR799" s="154" t="s">
        <v>359</v>
      </c>
      <c r="BS799" s="136">
        <v>15</v>
      </c>
      <c r="BT799" s="267"/>
      <c r="BU799" s="267">
        <f t="shared" si="113"/>
        <v>0.25</v>
      </c>
      <c r="BV799" s="267">
        <f t="shared" si="110"/>
        <v>0.25</v>
      </c>
      <c r="BW799" s="267">
        <f t="shared" si="111"/>
        <v>0.25</v>
      </c>
      <c r="BX799" s="267">
        <f t="shared" si="112"/>
        <v>0.25</v>
      </c>
      <c r="BY799" s="267"/>
      <c r="BZ799" s="267"/>
      <c r="CA799" s="267"/>
      <c r="CB799" s="267"/>
      <c r="CC799" s="267"/>
      <c r="CD799" s="267"/>
      <c r="CE799" s="267"/>
      <c r="CF799" s="267"/>
      <c r="CG799" s="267"/>
      <c r="CH799" s="267"/>
      <c r="CI799" s="267"/>
      <c r="CJ799" s="267"/>
      <c r="CK799" s="267"/>
      <c r="CL799" s="267"/>
      <c r="CM799" s="267"/>
      <c r="CN799" s="101">
        <f t="shared" si="108"/>
        <v>1</v>
      </c>
      <c r="CO799" s="101">
        <f t="shared" si="109"/>
        <v>1</v>
      </c>
    </row>
    <row r="800" spans="1:93" ht="13.9" customHeight="1" x14ac:dyDescent="0.2">
      <c r="A800" s="149">
        <v>7909</v>
      </c>
      <c r="B800" s="150" t="s">
        <v>1216</v>
      </c>
      <c r="C800" s="150" t="s">
        <v>2272</v>
      </c>
      <c r="D800" s="150" t="s">
        <v>2273</v>
      </c>
      <c r="E800" s="150" t="s">
        <v>326</v>
      </c>
      <c r="F800" s="149">
        <v>525938</v>
      </c>
      <c r="G800" s="149">
        <v>173403</v>
      </c>
      <c r="H800" s="150" t="s">
        <v>175</v>
      </c>
      <c r="I800" s="151"/>
      <c r="J800" s="151"/>
      <c r="K800" s="149">
        <v>1</v>
      </c>
      <c r="L800" s="149">
        <v>3</v>
      </c>
      <c r="M800" s="149">
        <v>2</v>
      </c>
      <c r="N800" s="149">
        <v>3</v>
      </c>
      <c r="O800" s="149">
        <v>2</v>
      </c>
      <c r="P800" s="152"/>
      <c r="Q800" s="150" t="s">
        <v>2274</v>
      </c>
      <c r="R800" s="150" t="s">
        <v>349</v>
      </c>
      <c r="S800" s="151">
        <v>44950</v>
      </c>
      <c r="T800" s="151">
        <v>45099</v>
      </c>
      <c r="U800" s="152" t="s">
        <v>327</v>
      </c>
      <c r="V800" s="150" t="s">
        <v>330</v>
      </c>
      <c r="W800" s="151"/>
      <c r="X800" s="150" t="s">
        <v>331</v>
      </c>
      <c r="Y800" s="150" t="s">
        <v>491</v>
      </c>
      <c r="Z800" s="150" t="s">
        <v>334</v>
      </c>
      <c r="AA800" s="150" t="s">
        <v>413</v>
      </c>
      <c r="AB800" s="153">
        <v>8.0000000000000002E-3</v>
      </c>
      <c r="AC800" s="151"/>
      <c r="AD800" s="150"/>
      <c r="AE800" s="151"/>
      <c r="AF800" s="150" t="s">
        <v>70</v>
      </c>
      <c r="AG800" s="152" t="s">
        <v>352</v>
      </c>
      <c r="AH800" s="150" t="s">
        <v>326</v>
      </c>
      <c r="AI800" s="99"/>
      <c r="AJ800" s="149"/>
      <c r="AK800" s="102"/>
      <c r="AL800" s="149"/>
      <c r="AM800" s="102"/>
      <c r="AN800" s="149">
        <v>0</v>
      </c>
      <c r="AO800" s="149">
        <v>3</v>
      </c>
      <c r="AP800" s="149">
        <v>-1</v>
      </c>
      <c r="AQ800" s="149">
        <v>0</v>
      </c>
      <c r="AR800" s="149">
        <v>0</v>
      </c>
      <c r="AS800" s="149">
        <v>0</v>
      </c>
      <c r="AT800" s="149">
        <v>0</v>
      </c>
      <c r="AU800" s="149">
        <v>0</v>
      </c>
      <c r="AV800" s="149">
        <v>3</v>
      </c>
      <c r="AW800" s="149">
        <v>-1</v>
      </c>
      <c r="AX800" s="149">
        <v>0</v>
      </c>
      <c r="AY800" s="149">
        <v>0</v>
      </c>
      <c r="AZ800" s="149">
        <v>0</v>
      </c>
      <c r="BA800" s="149">
        <v>0</v>
      </c>
      <c r="BB800" s="149">
        <v>0</v>
      </c>
      <c r="BC800" s="149">
        <v>0</v>
      </c>
      <c r="BD800" s="149">
        <v>0</v>
      </c>
      <c r="BE800" s="149">
        <v>0</v>
      </c>
      <c r="BF800" s="149">
        <v>0</v>
      </c>
      <c r="BG800" s="149">
        <v>0</v>
      </c>
      <c r="BH800" s="149">
        <v>0</v>
      </c>
      <c r="BI800" s="149">
        <v>0</v>
      </c>
      <c r="BJ800" s="149">
        <v>0</v>
      </c>
      <c r="BK800" s="149">
        <v>0</v>
      </c>
      <c r="BL800" s="149">
        <v>0</v>
      </c>
      <c r="BM800" s="149">
        <v>0</v>
      </c>
      <c r="BN800" s="149">
        <v>0</v>
      </c>
      <c r="BO800" s="149">
        <v>0</v>
      </c>
      <c r="BP800" s="152"/>
      <c r="BQ800" s="152"/>
      <c r="BR800" s="154" t="s">
        <v>151</v>
      </c>
      <c r="BS800" s="136">
        <v>15</v>
      </c>
      <c r="BT800" s="267"/>
      <c r="BU800" s="267">
        <f t="shared" si="113"/>
        <v>0.5</v>
      </c>
      <c r="BV800" s="267">
        <f t="shared" si="110"/>
        <v>0.5</v>
      </c>
      <c r="BW800" s="267">
        <f t="shared" si="111"/>
        <v>0.5</v>
      </c>
      <c r="BX800" s="267">
        <f t="shared" si="112"/>
        <v>0.5</v>
      </c>
      <c r="BY800" s="267"/>
      <c r="BZ800" s="267"/>
      <c r="CA800" s="267"/>
      <c r="CB800" s="267"/>
      <c r="CC800" s="267"/>
      <c r="CD800" s="267"/>
      <c r="CE800" s="267"/>
      <c r="CF800" s="267"/>
      <c r="CG800" s="267"/>
      <c r="CH800" s="267"/>
      <c r="CI800" s="267"/>
      <c r="CJ800" s="267"/>
      <c r="CK800" s="267"/>
      <c r="CL800" s="267"/>
      <c r="CM800" s="267"/>
      <c r="CN800" s="101">
        <f t="shared" si="108"/>
        <v>2</v>
      </c>
      <c r="CO800" s="101">
        <f t="shared" si="109"/>
        <v>2</v>
      </c>
    </row>
    <row r="801" spans="1:93" ht="13.9" customHeight="1" x14ac:dyDescent="0.2">
      <c r="A801" s="149">
        <v>7953</v>
      </c>
      <c r="B801" s="150" t="s">
        <v>1216</v>
      </c>
      <c r="C801" s="150" t="s">
        <v>2275</v>
      </c>
      <c r="D801" s="150" t="s">
        <v>2276</v>
      </c>
      <c r="E801" s="150" t="s">
        <v>326</v>
      </c>
      <c r="F801" s="149">
        <v>527838</v>
      </c>
      <c r="G801" s="149">
        <v>170943</v>
      </c>
      <c r="H801" s="150" t="s">
        <v>173</v>
      </c>
      <c r="I801" s="151"/>
      <c r="J801" s="151"/>
      <c r="K801" s="149">
        <v>1</v>
      </c>
      <c r="L801" s="149">
        <v>1</v>
      </c>
      <c r="M801" s="149">
        <v>0</v>
      </c>
      <c r="N801" s="149">
        <v>1</v>
      </c>
      <c r="O801" s="149">
        <v>0</v>
      </c>
      <c r="P801" s="152"/>
      <c r="Q801" s="150" t="s">
        <v>2277</v>
      </c>
      <c r="R801" s="150" t="s">
        <v>349</v>
      </c>
      <c r="S801" s="151">
        <v>44958</v>
      </c>
      <c r="T801" s="151">
        <v>45014</v>
      </c>
      <c r="U801" s="152"/>
      <c r="V801" s="150" t="s">
        <v>330</v>
      </c>
      <c r="W801" s="151"/>
      <c r="X801" s="150" t="s">
        <v>331</v>
      </c>
      <c r="Y801" s="150" t="s">
        <v>398</v>
      </c>
      <c r="Z801" s="150" t="s">
        <v>334</v>
      </c>
      <c r="AA801" s="150" t="s">
        <v>413</v>
      </c>
      <c r="AB801" s="153">
        <v>5.45E-3</v>
      </c>
      <c r="AC801" s="151"/>
      <c r="AD801" s="150"/>
      <c r="AE801" s="151"/>
      <c r="AF801" s="150" t="s">
        <v>70</v>
      </c>
      <c r="AG801" s="152" t="s">
        <v>337</v>
      </c>
      <c r="AH801" s="150" t="s">
        <v>326</v>
      </c>
      <c r="AI801" s="99"/>
      <c r="AJ801" s="149"/>
      <c r="AK801" s="99"/>
      <c r="AL801" s="149"/>
      <c r="AM801" s="99"/>
      <c r="AN801" s="149">
        <v>0</v>
      </c>
      <c r="AO801" s="149">
        <v>0</v>
      </c>
      <c r="AP801" s="149">
        <v>-1</v>
      </c>
      <c r="AQ801" s="149">
        <v>0</v>
      </c>
      <c r="AR801" s="149">
        <v>1</v>
      </c>
      <c r="AS801" s="149">
        <v>0</v>
      </c>
      <c r="AT801" s="149">
        <v>0</v>
      </c>
      <c r="AU801" s="149">
        <v>0</v>
      </c>
      <c r="AV801" s="149">
        <v>0</v>
      </c>
      <c r="AW801" s="149">
        <v>-1</v>
      </c>
      <c r="AX801" s="149">
        <v>0</v>
      </c>
      <c r="AY801" s="149">
        <v>1</v>
      </c>
      <c r="AZ801" s="149">
        <v>0</v>
      </c>
      <c r="BA801" s="149">
        <v>0</v>
      </c>
      <c r="BB801" s="149">
        <v>0</v>
      </c>
      <c r="BC801" s="149">
        <v>0</v>
      </c>
      <c r="BD801" s="149">
        <v>0</v>
      </c>
      <c r="BE801" s="149">
        <v>0</v>
      </c>
      <c r="BF801" s="149">
        <v>0</v>
      </c>
      <c r="BG801" s="149">
        <v>0</v>
      </c>
      <c r="BH801" s="149">
        <v>0</v>
      </c>
      <c r="BI801" s="149">
        <v>0</v>
      </c>
      <c r="BJ801" s="149">
        <v>0</v>
      </c>
      <c r="BK801" s="149">
        <v>0</v>
      </c>
      <c r="BL801" s="149">
        <v>0</v>
      </c>
      <c r="BM801" s="149">
        <v>0</v>
      </c>
      <c r="BN801" s="149">
        <v>0</v>
      </c>
      <c r="BO801" s="149">
        <v>0</v>
      </c>
      <c r="BP801" s="152"/>
      <c r="BQ801" s="152"/>
      <c r="BR801" s="154" t="s">
        <v>359</v>
      </c>
      <c r="BS801" s="136">
        <v>15</v>
      </c>
      <c r="BT801" s="267"/>
      <c r="BU801" s="267">
        <f t="shared" si="113"/>
        <v>0</v>
      </c>
      <c r="BV801" s="267">
        <f t="shared" si="110"/>
        <v>0</v>
      </c>
      <c r="BW801" s="267">
        <f t="shared" si="111"/>
        <v>0</v>
      </c>
      <c r="BX801" s="267">
        <f t="shared" si="112"/>
        <v>0</v>
      </c>
      <c r="BY801" s="267"/>
      <c r="BZ801" s="267"/>
      <c r="CA801" s="267"/>
      <c r="CB801" s="267"/>
      <c r="CC801" s="267"/>
      <c r="CD801" s="267"/>
      <c r="CE801" s="267"/>
      <c r="CF801" s="267"/>
      <c r="CG801" s="267"/>
      <c r="CH801" s="267"/>
      <c r="CI801" s="267"/>
      <c r="CJ801" s="267"/>
      <c r="CK801" s="267"/>
      <c r="CL801" s="267"/>
      <c r="CM801" s="267"/>
      <c r="CN801" s="101">
        <f t="shared" si="108"/>
        <v>0</v>
      </c>
      <c r="CO801" s="101">
        <f t="shared" si="109"/>
        <v>0</v>
      </c>
    </row>
    <row r="802" spans="1:93" ht="13.9" customHeight="1" x14ac:dyDescent="0.2">
      <c r="A802" s="149">
        <v>5855</v>
      </c>
      <c r="B802" s="150" t="s">
        <v>1216</v>
      </c>
      <c r="C802" s="150" t="s">
        <v>2278</v>
      </c>
      <c r="D802" s="150" t="s">
        <v>2279</v>
      </c>
      <c r="E802" s="150" t="s">
        <v>326</v>
      </c>
      <c r="F802" s="149">
        <v>527771</v>
      </c>
      <c r="G802" s="149">
        <v>171157</v>
      </c>
      <c r="H802" s="150" t="s">
        <v>173</v>
      </c>
      <c r="I802" s="151"/>
      <c r="J802" s="151"/>
      <c r="K802" s="149">
        <v>1</v>
      </c>
      <c r="L802" s="149">
        <v>1</v>
      </c>
      <c r="M802" s="149">
        <v>0</v>
      </c>
      <c r="N802" s="149">
        <v>1</v>
      </c>
      <c r="O802" s="149">
        <v>0</v>
      </c>
      <c r="P802" s="152"/>
      <c r="Q802" s="150" t="s">
        <v>2280</v>
      </c>
      <c r="R802" s="150" t="s">
        <v>349</v>
      </c>
      <c r="S802" s="151">
        <v>44970</v>
      </c>
      <c r="T802" s="151">
        <v>45022</v>
      </c>
      <c r="U802" s="152" t="s">
        <v>327</v>
      </c>
      <c r="V802" s="150" t="s">
        <v>330</v>
      </c>
      <c r="W802" s="151"/>
      <c r="X802" s="150" t="s">
        <v>331</v>
      </c>
      <c r="Y802" s="150" t="s">
        <v>350</v>
      </c>
      <c r="Z802" s="150" t="s">
        <v>334</v>
      </c>
      <c r="AA802" s="150" t="s">
        <v>413</v>
      </c>
      <c r="AB802" s="153">
        <v>3.8666669999999998E-3</v>
      </c>
      <c r="AC802" s="151"/>
      <c r="AD802" s="150"/>
      <c r="AE802" s="151"/>
      <c r="AF802" s="150" t="s">
        <v>70</v>
      </c>
      <c r="AG802" s="152" t="s">
        <v>337</v>
      </c>
      <c r="AH802" s="150" t="s">
        <v>326</v>
      </c>
      <c r="AI802" s="99"/>
      <c r="AJ802" s="149"/>
      <c r="AK802" s="99"/>
      <c r="AL802" s="149"/>
      <c r="AM802" s="99"/>
      <c r="AN802" s="149">
        <v>0</v>
      </c>
      <c r="AO802" s="149">
        <v>0</v>
      </c>
      <c r="AP802" s="149">
        <v>0</v>
      </c>
      <c r="AQ802" s="149">
        <v>-1</v>
      </c>
      <c r="AR802" s="149">
        <v>0</v>
      </c>
      <c r="AS802" s="149">
        <v>1</v>
      </c>
      <c r="AT802" s="149">
        <v>0</v>
      </c>
      <c r="AU802" s="149">
        <v>0</v>
      </c>
      <c r="AV802" s="149">
        <v>0</v>
      </c>
      <c r="AW802" s="149">
        <v>0</v>
      </c>
      <c r="AX802" s="149">
        <v>-1</v>
      </c>
      <c r="AY802" s="149">
        <v>0</v>
      </c>
      <c r="AZ802" s="149">
        <v>1</v>
      </c>
      <c r="BA802" s="149">
        <v>0</v>
      </c>
      <c r="BB802" s="149">
        <v>0</v>
      </c>
      <c r="BC802" s="149">
        <v>0</v>
      </c>
      <c r="BD802" s="149">
        <v>0</v>
      </c>
      <c r="BE802" s="149">
        <v>0</v>
      </c>
      <c r="BF802" s="149">
        <v>0</v>
      </c>
      <c r="BG802" s="149">
        <v>0</v>
      </c>
      <c r="BH802" s="149">
        <v>0</v>
      </c>
      <c r="BI802" s="149">
        <v>0</v>
      </c>
      <c r="BJ802" s="149">
        <v>0</v>
      </c>
      <c r="BK802" s="149">
        <v>0</v>
      </c>
      <c r="BL802" s="149">
        <v>0</v>
      </c>
      <c r="BM802" s="149">
        <v>0</v>
      </c>
      <c r="BN802" s="149">
        <v>0</v>
      </c>
      <c r="BO802" s="149">
        <v>0</v>
      </c>
      <c r="BP802" s="152" t="s">
        <v>142</v>
      </c>
      <c r="BQ802" s="152"/>
      <c r="BR802" s="154" t="s">
        <v>142</v>
      </c>
      <c r="BS802" s="136">
        <v>15</v>
      </c>
      <c r="BT802" s="267"/>
      <c r="BU802" s="267">
        <f t="shared" si="113"/>
        <v>0</v>
      </c>
      <c r="BV802" s="267">
        <f t="shared" si="110"/>
        <v>0</v>
      </c>
      <c r="BW802" s="267">
        <f t="shared" si="111"/>
        <v>0</v>
      </c>
      <c r="BX802" s="267">
        <f t="shared" si="112"/>
        <v>0</v>
      </c>
      <c r="BY802" s="267"/>
      <c r="BZ802" s="267"/>
      <c r="CA802" s="267"/>
      <c r="CB802" s="267"/>
      <c r="CC802" s="267"/>
      <c r="CD802" s="267"/>
      <c r="CE802" s="267"/>
      <c r="CF802" s="267"/>
      <c r="CG802" s="267"/>
      <c r="CH802" s="267"/>
      <c r="CI802" s="267"/>
      <c r="CJ802" s="267"/>
      <c r="CK802" s="267"/>
      <c r="CL802" s="267"/>
      <c r="CM802" s="267"/>
      <c r="CN802" s="101">
        <f t="shared" si="108"/>
        <v>0</v>
      </c>
      <c r="CO802" s="101">
        <f t="shared" si="109"/>
        <v>0</v>
      </c>
    </row>
    <row r="803" spans="1:93" ht="13.9" customHeight="1" x14ac:dyDescent="0.2">
      <c r="A803" s="149">
        <v>7958</v>
      </c>
      <c r="B803" s="150" t="s">
        <v>1216</v>
      </c>
      <c r="C803" s="150" t="s">
        <v>2281</v>
      </c>
      <c r="D803" s="150" t="s">
        <v>2282</v>
      </c>
      <c r="E803" s="150" t="s">
        <v>326</v>
      </c>
      <c r="F803" s="149">
        <v>528485</v>
      </c>
      <c r="G803" s="149">
        <v>172355</v>
      </c>
      <c r="H803" s="150" t="s">
        <v>168</v>
      </c>
      <c r="I803" s="151"/>
      <c r="J803" s="151"/>
      <c r="K803" s="149">
        <v>1</v>
      </c>
      <c r="L803" s="149">
        <v>2</v>
      </c>
      <c r="M803" s="149">
        <v>1</v>
      </c>
      <c r="N803" s="149">
        <v>2</v>
      </c>
      <c r="O803" s="149">
        <v>1</v>
      </c>
      <c r="P803" s="152"/>
      <c r="Q803" s="150" t="s">
        <v>2283</v>
      </c>
      <c r="R803" s="150" t="s">
        <v>349</v>
      </c>
      <c r="S803" s="151">
        <v>44980</v>
      </c>
      <c r="T803" s="151">
        <v>45055</v>
      </c>
      <c r="U803" s="152" t="s">
        <v>327</v>
      </c>
      <c r="V803" s="150" t="s">
        <v>330</v>
      </c>
      <c r="W803" s="151"/>
      <c r="X803" s="150" t="s">
        <v>331</v>
      </c>
      <c r="Y803" s="150" t="s">
        <v>398</v>
      </c>
      <c r="Z803" s="150" t="s">
        <v>334</v>
      </c>
      <c r="AA803" s="150" t="s">
        <v>413</v>
      </c>
      <c r="AB803" s="153">
        <v>1.2500000000000001E-2</v>
      </c>
      <c r="AC803" s="151"/>
      <c r="AD803" s="150"/>
      <c r="AE803" s="151"/>
      <c r="AF803" s="150" t="s">
        <v>70</v>
      </c>
      <c r="AG803" s="152" t="s">
        <v>352</v>
      </c>
      <c r="AH803" s="150" t="s">
        <v>326</v>
      </c>
      <c r="AI803" s="99"/>
      <c r="AJ803" s="149"/>
      <c r="AK803" s="99"/>
      <c r="AL803" s="149"/>
      <c r="AM803" s="99"/>
      <c r="AN803" s="149">
        <v>0</v>
      </c>
      <c r="AO803" s="149">
        <v>0</v>
      </c>
      <c r="AP803" s="149">
        <v>1</v>
      </c>
      <c r="AQ803" s="149">
        <v>0</v>
      </c>
      <c r="AR803" s="149">
        <v>0</v>
      </c>
      <c r="AS803" s="149">
        <v>0</v>
      </c>
      <c r="AT803" s="149">
        <v>0</v>
      </c>
      <c r="AU803" s="149">
        <v>0</v>
      </c>
      <c r="AV803" s="149">
        <v>0</v>
      </c>
      <c r="AW803" s="149">
        <v>1</v>
      </c>
      <c r="AX803" s="149">
        <v>0</v>
      </c>
      <c r="AY803" s="149">
        <v>0</v>
      </c>
      <c r="AZ803" s="149">
        <v>0</v>
      </c>
      <c r="BA803" s="149">
        <v>0</v>
      </c>
      <c r="BB803" s="149">
        <v>0</v>
      </c>
      <c r="BC803" s="149">
        <v>0</v>
      </c>
      <c r="BD803" s="149">
        <v>0</v>
      </c>
      <c r="BE803" s="149">
        <v>0</v>
      </c>
      <c r="BF803" s="149">
        <v>0</v>
      </c>
      <c r="BG803" s="149">
        <v>0</v>
      </c>
      <c r="BH803" s="149">
        <v>0</v>
      </c>
      <c r="BI803" s="149">
        <v>0</v>
      </c>
      <c r="BJ803" s="149">
        <v>0</v>
      </c>
      <c r="BK803" s="149">
        <v>0</v>
      </c>
      <c r="BL803" s="149">
        <v>0</v>
      </c>
      <c r="BM803" s="149">
        <v>0</v>
      </c>
      <c r="BN803" s="149">
        <v>0</v>
      </c>
      <c r="BO803" s="149">
        <v>0</v>
      </c>
      <c r="BP803" s="152"/>
      <c r="BQ803" s="152"/>
      <c r="BR803" s="154" t="s">
        <v>359</v>
      </c>
      <c r="BS803" s="136">
        <v>15</v>
      </c>
      <c r="BT803" s="267"/>
      <c r="BU803" s="267">
        <f t="shared" si="113"/>
        <v>0.25</v>
      </c>
      <c r="BV803" s="267">
        <f t="shared" si="110"/>
        <v>0.25</v>
      </c>
      <c r="BW803" s="267">
        <f t="shared" si="111"/>
        <v>0.25</v>
      </c>
      <c r="BX803" s="267">
        <f t="shared" si="112"/>
        <v>0.25</v>
      </c>
      <c r="BY803" s="267"/>
      <c r="BZ803" s="267"/>
      <c r="CA803" s="267"/>
      <c r="CB803" s="267"/>
      <c r="CC803" s="267"/>
      <c r="CD803" s="267"/>
      <c r="CE803" s="267"/>
      <c r="CF803" s="267"/>
      <c r="CG803" s="267"/>
      <c r="CH803" s="267"/>
      <c r="CI803" s="267"/>
      <c r="CJ803" s="267"/>
      <c r="CK803" s="267"/>
      <c r="CL803" s="267"/>
      <c r="CM803" s="267"/>
      <c r="CN803" s="101">
        <f t="shared" si="108"/>
        <v>1</v>
      </c>
      <c r="CO803" s="101">
        <f t="shared" si="109"/>
        <v>1</v>
      </c>
    </row>
    <row r="804" spans="1:93" ht="13.9" customHeight="1" x14ac:dyDescent="0.2">
      <c r="A804" s="149">
        <v>4535</v>
      </c>
      <c r="B804" s="150" t="s">
        <v>1216</v>
      </c>
      <c r="C804" s="150" t="s">
        <v>2284</v>
      </c>
      <c r="D804" s="150" t="s">
        <v>2285</v>
      </c>
      <c r="E804" s="150" t="s">
        <v>326</v>
      </c>
      <c r="F804" s="149">
        <v>525151</v>
      </c>
      <c r="G804" s="149">
        <v>174981</v>
      </c>
      <c r="H804" s="150" t="s">
        <v>161</v>
      </c>
      <c r="I804" s="151"/>
      <c r="J804" s="151"/>
      <c r="K804" s="149">
        <v>0</v>
      </c>
      <c r="L804" s="149">
        <v>1</v>
      </c>
      <c r="M804" s="149">
        <v>1</v>
      </c>
      <c r="N804" s="149">
        <v>1</v>
      </c>
      <c r="O804" s="149">
        <v>1</v>
      </c>
      <c r="P804" s="152"/>
      <c r="Q804" s="150" t="s">
        <v>2286</v>
      </c>
      <c r="R804" s="150" t="s">
        <v>349</v>
      </c>
      <c r="S804" s="151">
        <v>44970</v>
      </c>
      <c r="T804" s="151">
        <v>45063</v>
      </c>
      <c r="U804" s="152" t="s">
        <v>327</v>
      </c>
      <c r="V804" s="150" t="s">
        <v>330</v>
      </c>
      <c r="W804" s="151"/>
      <c r="X804" s="150" t="s">
        <v>331</v>
      </c>
      <c r="Y804" s="150" t="s">
        <v>398</v>
      </c>
      <c r="Z804" s="150" t="s">
        <v>334</v>
      </c>
      <c r="AA804" s="150" t="s">
        <v>29</v>
      </c>
      <c r="AB804" s="153">
        <v>8.9999999999999993E-3</v>
      </c>
      <c r="AC804" s="151"/>
      <c r="AD804" s="150"/>
      <c r="AE804" s="151"/>
      <c r="AF804" s="150" t="s">
        <v>70</v>
      </c>
      <c r="AG804" s="152" t="s">
        <v>352</v>
      </c>
      <c r="AH804" s="150" t="s">
        <v>326</v>
      </c>
      <c r="AI804" s="99"/>
      <c r="AJ804" s="149"/>
      <c r="AK804" s="99"/>
      <c r="AL804" s="149"/>
      <c r="AM804" s="99"/>
      <c r="AN804" s="149">
        <v>0</v>
      </c>
      <c r="AO804" s="149">
        <v>0</v>
      </c>
      <c r="AP804" s="149">
        <v>0</v>
      </c>
      <c r="AQ804" s="149">
        <v>0</v>
      </c>
      <c r="AR804" s="149">
        <v>1</v>
      </c>
      <c r="AS804" s="149">
        <v>0</v>
      </c>
      <c r="AT804" s="149">
        <v>0</v>
      </c>
      <c r="AU804" s="149">
        <v>0</v>
      </c>
      <c r="AV804" s="149">
        <v>0</v>
      </c>
      <c r="AW804" s="149">
        <v>0</v>
      </c>
      <c r="AX804" s="149">
        <v>0</v>
      </c>
      <c r="AY804" s="149">
        <v>0</v>
      </c>
      <c r="AZ804" s="149">
        <v>0</v>
      </c>
      <c r="BA804" s="149">
        <v>0</v>
      </c>
      <c r="BB804" s="149">
        <v>0</v>
      </c>
      <c r="BC804" s="149">
        <v>0</v>
      </c>
      <c r="BD804" s="149">
        <v>0</v>
      </c>
      <c r="BE804" s="149">
        <v>0</v>
      </c>
      <c r="BF804" s="149">
        <v>1</v>
      </c>
      <c r="BG804" s="149">
        <v>0</v>
      </c>
      <c r="BH804" s="149">
        <v>0</v>
      </c>
      <c r="BI804" s="149">
        <v>0</v>
      </c>
      <c r="BJ804" s="149">
        <v>0</v>
      </c>
      <c r="BK804" s="149">
        <v>0</v>
      </c>
      <c r="BL804" s="149">
        <v>0</v>
      </c>
      <c r="BM804" s="149">
        <v>0</v>
      </c>
      <c r="BN804" s="149">
        <v>0</v>
      </c>
      <c r="BO804" s="149">
        <v>0</v>
      </c>
      <c r="BP804" s="152"/>
      <c r="BQ804" s="152"/>
      <c r="BR804" s="154" t="s">
        <v>463</v>
      </c>
      <c r="BS804" s="136">
        <v>15</v>
      </c>
      <c r="BT804" s="267"/>
      <c r="BU804" s="267">
        <f t="shared" si="113"/>
        <v>0.25</v>
      </c>
      <c r="BV804" s="267">
        <f t="shared" si="110"/>
        <v>0.25</v>
      </c>
      <c r="BW804" s="267">
        <f t="shared" si="111"/>
        <v>0.25</v>
      </c>
      <c r="BX804" s="267">
        <f t="shared" si="112"/>
        <v>0.25</v>
      </c>
      <c r="BY804" s="267"/>
      <c r="BZ804" s="267"/>
      <c r="CA804" s="267"/>
      <c r="CB804" s="267"/>
      <c r="CC804" s="267"/>
      <c r="CD804" s="267"/>
      <c r="CE804" s="267"/>
      <c r="CF804" s="267"/>
      <c r="CG804" s="267"/>
      <c r="CH804" s="267"/>
      <c r="CI804" s="267"/>
      <c r="CJ804" s="267"/>
      <c r="CK804" s="267"/>
      <c r="CL804" s="267"/>
      <c r="CM804" s="267"/>
      <c r="CN804" s="101">
        <f t="shared" si="108"/>
        <v>1</v>
      </c>
      <c r="CO804" s="101">
        <f t="shared" si="109"/>
        <v>1</v>
      </c>
    </row>
    <row r="805" spans="1:93" ht="13.9" customHeight="1" x14ac:dyDescent="0.2">
      <c r="A805" s="149">
        <v>6497</v>
      </c>
      <c r="B805" s="150" t="s">
        <v>1216</v>
      </c>
      <c r="C805" s="150" t="s">
        <v>2287</v>
      </c>
      <c r="D805" s="150" t="s">
        <v>2288</v>
      </c>
      <c r="E805" s="150" t="s">
        <v>326</v>
      </c>
      <c r="F805" s="149">
        <v>527487</v>
      </c>
      <c r="G805" s="149">
        <v>175150</v>
      </c>
      <c r="H805" s="150" t="s">
        <v>164</v>
      </c>
      <c r="I805" s="151"/>
      <c r="J805" s="151"/>
      <c r="K805" s="149">
        <v>2</v>
      </c>
      <c r="L805" s="149">
        <v>0</v>
      </c>
      <c r="M805" s="149">
        <v>-2</v>
      </c>
      <c r="N805" s="149">
        <v>0</v>
      </c>
      <c r="O805" s="149">
        <v>-2</v>
      </c>
      <c r="P805" s="152"/>
      <c r="Q805" s="150" t="s">
        <v>2289</v>
      </c>
      <c r="R805" s="150" t="s">
        <v>349</v>
      </c>
      <c r="S805" s="151">
        <v>44986</v>
      </c>
      <c r="T805" s="151">
        <v>45224</v>
      </c>
      <c r="U805" s="152" t="s">
        <v>327</v>
      </c>
      <c r="V805" s="150" t="s">
        <v>330</v>
      </c>
      <c r="W805" s="151"/>
      <c r="X805" s="150" t="s">
        <v>331</v>
      </c>
      <c r="Y805" s="150" t="s">
        <v>398</v>
      </c>
      <c r="Z805" s="150" t="s">
        <v>334</v>
      </c>
      <c r="AA805" s="150" t="s">
        <v>351</v>
      </c>
      <c r="AB805" s="153">
        <v>1.4999999999999999E-2</v>
      </c>
      <c r="AC805" s="151"/>
      <c r="AD805" s="150"/>
      <c r="AE805" s="151"/>
      <c r="AF805" s="150" t="s">
        <v>70</v>
      </c>
      <c r="AG805" s="152" t="s">
        <v>352</v>
      </c>
      <c r="AH805" s="150" t="s">
        <v>326</v>
      </c>
      <c r="AI805" s="99"/>
      <c r="AJ805" s="149"/>
      <c r="AK805" s="99"/>
      <c r="AL805" s="149"/>
      <c r="AM805" s="99"/>
      <c r="AN805" s="149">
        <v>0</v>
      </c>
      <c r="AO805" s="149">
        <v>0</v>
      </c>
      <c r="AP805" s="149">
        <v>0</v>
      </c>
      <c r="AQ805" s="149">
        <v>-1</v>
      </c>
      <c r="AR805" s="149">
        <v>0</v>
      </c>
      <c r="AS805" s="149">
        <v>-1</v>
      </c>
      <c r="AT805" s="149">
        <v>0</v>
      </c>
      <c r="AU805" s="149">
        <v>0</v>
      </c>
      <c r="AV805" s="149">
        <v>0</v>
      </c>
      <c r="AW805" s="149">
        <v>0</v>
      </c>
      <c r="AX805" s="149">
        <v>-1</v>
      </c>
      <c r="AY805" s="149">
        <v>0</v>
      </c>
      <c r="AZ805" s="149">
        <v>-1</v>
      </c>
      <c r="BA805" s="149">
        <v>0</v>
      </c>
      <c r="BB805" s="149">
        <v>0</v>
      </c>
      <c r="BC805" s="149">
        <v>0</v>
      </c>
      <c r="BD805" s="149">
        <v>0</v>
      </c>
      <c r="BE805" s="149">
        <v>0</v>
      </c>
      <c r="BF805" s="149">
        <v>0</v>
      </c>
      <c r="BG805" s="149">
        <v>0</v>
      </c>
      <c r="BH805" s="149">
        <v>0</v>
      </c>
      <c r="BI805" s="149">
        <v>0</v>
      </c>
      <c r="BJ805" s="149">
        <v>0</v>
      </c>
      <c r="BK805" s="149">
        <v>0</v>
      </c>
      <c r="BL805" s="149">
        <v>0</v>
      </c>
      <c r="BM805" s="149">
        <v>0</v>
      </c>
      <c r="BN805" s="149">
        <v>0</v>
      </c>
      <c r="BO805" s="149">
        <v>0</v>
      </c>
      <c r="BP805" s="152" t="s">
        <v>140</v>
      </c>
      <c r="BQ805" s="152"/>
      <c r="BR805" s="154" t="s">
        <v>148</v>
      </c>
      <c r="BS805" s="136">
        <v>15</v>
      </c>
      <c r="BT805" s="267"/>
      <c r="BU805" s="267">
        <f t="shared" si="113"/>
        <v>-0.5</v>
      </c>
      <c r="BV805" s="267">
        <f t="shared" si="110"/>
        <v>-0.5</v>
      </c>
      <c r="BW805" s="267">
        <f t="shared" si="111"/>
        <v>-0.5</v>
      </c>
      <c r="BX805" s="267">
        <f t="shared" si="112"/>
        <v>-0.5</v>
      </c>
      <c r="BY805" s="267"/>
      <c r="BZ805" s="267"/>
      <c r="CA805" s="267"/>
      <c r="CB805" s="267"/>
      <c r="CC805" s="267"/>
      <c r="CD805" s="267"/>
      <c r="CE805" s="267"/>
      <c r="CF805" s="267"/>
      <c r="CG805" s="267"/>
      <c r="CH805" s="267"/>
      <c r="CI805" s="267"/>
      <c r="CJ805" s="267"/>
      <c r="CK805" s="267"/>
      <c r="CL805" s="267"/>
      <c r="CM805" s="267"/>
      <c r="CN805" s="101">
        <f t="shared" si="108"/>
        <v>-2</v>
      </c>
      <c r="CO805" s="101">
        <f t="shared" si="109"/>
        <v>-2</v>
      </c>
    </row>
    <row r="806" spans="1:93" ht="13.9" customHeight="1" x14ac:dyDescent="0.2">
      <c r="A806" s="149">
        <v>5138</v>
      </c>
      <c r="B806" s="150" t="s">
        <v>1216</v>
      </c>
      <c r="C806" s="150" t="s">
        <v>2290</v>
      </c>
      <c r="D806" s="150" t="s">
        <v>2291</v>
      </c>
      <c r="E806" s="150" t="s">
        <v>326</v>
      </c>
      <c r="F806" s="149">
        <v>523115</v>
      </c>
      <c r="G806" s="149">
        <v>175074</v>
      </c>
      <c r="H806" s="150" t="s">
        <v>179</v>
      </c>
      <c r="I806" s="151"/>
      <c r="J806" s="151"/>
      <c r="K806" s="149">
        <v>5</v>
      </c>
      <c r="L806" s="149">
        <v>6</v>
      </c>
      <c r="M806" s="149">
        <v>1</v>
      </c>
      <c r="N806" s="149">
        <v>6</v>
      </c>
      <c r="O806" s="149">
        <v>1</v>
      </c>
      <c r="P806" s="152"/>
      <c r="Q806" s="150" t="s">
        <v>2292</v>
      </c>
      <c r="R806" s="150" t="s">
        <v>349</v>
      </c>
      <c r="S806" s="151">
        <v>44978</v>
      </c>
      <c r="T806" s="151">
        <v>45161</v>
      </c>
      <c r="U806" s="152" t="s">
        <v>327</v>
      </c>
      <c r="V806" s="150" t="s">
        <v>330</v>
      </c>
      <c r="W806" s="151"/>
      <c r="X806" s="150" t="s">
        <v>331</v>
      </c>
      <c r="Y806" s="150" t="s">
        <v>491</v>
      </c>
      <c r="Z806" s="150" t="s">
        <v>334</v>
      </c>
      <c r="AA806" s="150" t="s">
        <v>413</v>
      </c>
      <c r="AB806" s="153">
        <v>1.7933330000000001E-2</v>
      </c>
      <c r="AC806" s="151"/>
      <c r="AD806" s="150"/>
      <c r="AE806" s="151"/>
      <c r="AF806" s="150" t="s">
        <v>70</v>
      </c>
      <c r="AG806" s="152" t="s">
        <v>352</v>
      </c>
      <c r="AH806" s="150" t="s">
        <v>326</v>
      </c>
      <c r="AI806" s="99"/>
      <c r="AJ806" s="149"/>
      <c r="AK806" s="99"/>
      <c r="AL806" s="149"/>
      <c r="AM806" s="99"/>
      <c r="AN806" s="149">
        <v>0</v>
      </c>
      <c r="AO806" s="149">
        <v>0</v>
      </c>
      <c r="AP806" s="149">
        <v>1</v>
      </c>
      <c r="AQ806" s="149">
        <v>-1</v>
      </c>
      <c r="AR806" s="149">
        <v>1</v>
      </c>
      <c r="AS806" s="149">
        <v>0</v>
      </c>
      <c r="AT806" s="149">
        <v>0</v>
      </c>
      <c r="AU806" s="149">
        <v>0</v>
      </c>
      <c r="AV806" s="149">
        <v>0</v>
      </c>
      <c r="AW806" s="149">
        <v>1</v>
      </c>
      <c r="AX806" s="149">
        <v>-1</v>
      </c>
      <c r="AY806" s="149">
        <v>0</v>
      </c>
      <c r="AZ806" s="149">
        <v>0</v>
      </c>
      <c r="BA806" s="149">
        <v>0</v>
      </c>
      <c r="BB806" s="149">
        <v>0</v>
      </c>
      <c r="BC806" s="149">
        <v>0</v>
      </c>
      <c r="BD806" s="149">
        <v>0</v>
      </c>
      <c r="BE806" s="149">
        <v>0</v>
      </c>
      <c r="BF806" s="149">
        <v>1</v>
      </c>
      <c r="BG806" s="149">
        <v>0</v>
      </c>
      <c r="BH806" s="149">
        <v>0</v>
      </c>
      <c r="BI806" s="149">
        <v>0</v>
      </c>
      <c r="BJ806" s="149">
        <v>0</v>
      </c>
      <c r="BK806" s="149">
        <v>0</v>
      </c>
      <c r="BL806" s="149">
        <v>0</v>
      </c>
      <c r="BM806" s="149">
        <v>0</v>
      </c>
      <c r="BN806" s="149">
        <v>0</v>
      </c>
      <c r="BO806" s="149">
        <v>0</v>
      </c>
      <c r="BP806" s="152"/>
      <c r="BQ806" s="152"/>
      <c r="BR806" s="154" t="s">
        <v>359</v>
      </c>
      <c r="BS806" s="136">
        <v>15</v>
      </c>
      <c r="BT806" s="267"/>
      <c r="BU806" s="267">
        <f t="shared" si="113"/>
        <v>0.25</v>
      </c>
      <c r="BV806" s="267">
        <f t="shared" si="110"/>
        <v>0.25</v>
      </c>
      <c r="BW806" s="267">
        <f t="shared" si="111"/>
        <v>0.25</v>
      </c>
      <c r="BX806" s="267">
        <f t="shared" si="112"/>
        <v>0.25</v>
      </c>
      <c r="BY806" s="267"/>
      <c r="BZ806" s="267"/>
      <c r="CA806" s="267"/>
      <c r="CB806" s="267"/>
      <c r="CC806" s="267"/>
      <c r="CD806" s="267"/>
      <c r="CE806" s="267"/>
      <c r="CF806" s="267"/>
      <c r="CG806" s="267"/>
      <c r="CH806" s="267"/>
      <c r="CI806" s="267"/>
      <c r="CJ806" s="267"/>
      <c r="CK806" s="267"/>
      <c r="CL806" s="267"/>
      <c r="CM806" s="267"/>
      <c r="CN806" s="101">
        <f t="shared" si="108"/>
        <v>1</v>
      </c>
      <c r="CO806" s="101">
        <f t="shared" si="109"/>
        <v>1</v>
      </c>
    </row>
    <row r="807" spans="1:93" ht="13.9" customHeight="1" x14ac:dyDescent="0.2">
      <c r="A807" s="149">
        <v>7920</v>
      </c>
      <c r="B807" s="150" t="s">
        <v>1216</v>
      </c>
      <c r="C807" s="150" t="s">
        <v>2293</v>
      </c>
      <c r="D807" s="150" t="s">
        <v>2294</v>
      </c>
      <c r="E807" s="150" t="s">
        <v>326</v>
      </c>
      <c r="F807" s="149">
        <v>525886</v>
      </c>
      <c r="G807" s="149">
        <v>173713</v>
      </c>
      <c r="H807" s="150" t="s">
        <v>175</v>
      </c>
      <c r="I807" s="151"/>
      <c r="J807" s="151"/>
      <c r="K807" s="149">
        <v>1</v>
      </c>
      <c r="L807" s="149">
        <v>2</v>
      </c>
      <c r="M807" s="149">
        <v>1</v>
      </c>
      <c r="N807" s="149">
        <v>2</v>
      </c>
      <c r="O807" s="149">
        <v>1</v>
      </c>
      <c r="P807" s="152"/>
      <c r="Q807" s="150" t="s">
        <v>2295</v>
      </c>
      <c r="R807" s="150" t="s">
        <v>349</v>
      </c>
      <c r="S807" s="151">
        <v>44979</v>
      </c>
      <c r="T807" s="151">
        <v>45035</v>
      </c>
      <c r="U807" s="152" t="s">
        <v>327</v>
      </c>
      <c r="V807" s="150" t="s">
        <v>330</v>
      </c>
      <c r="W807" s="151"/>
      <c r="X807" s="150" t="s">
        <v>331</v>
      </c>
      <c r="Y807" s="150" t="s">
        <v>398</v>
      </c>
      <c r="Z807" s="150" t="s">
        <v>334</v>
      </c>
      <c r="AA807" s="150" t="s">
        <v>399</v>
      </c>
      <c r="AB807" s="153">
        <v>0</v>
      </c>
      <c r="AC807" s="151"/>
      <c r="AD807" s="150"/>
      <c r="AE807" s="151"/>
      <c r="AF807" s="150" t="s">
        <v>70</v>
      </c>
      <c r="AG807" s="152" t="s">
        <v>337</v>
      </c>
      <c r="AH807" s="150" t="s">
        <v>326</v>
      </c>
      <c r="AI807" s="99"/>
      <c r="AJ807" s="149"/>
      <c r="AK807" s="99"/>
      <c r="AL807" s="149"/>
      <c r="AM807" s="99"/>
      <c r="AN807" s="149">
        <v>0</v>
      </c>
      <c r="AO807" s="149">
        <v>2</v>
      </c>
      <c r="AP807" s="149">
        <v>0</v>
      </c>
      <c r="AQ807" s="149">
        <v>0</v>
      </c>
      <c r="AR807" s="149">
        <v>0</v>
      </c>
      <c r="AS807" s="149">
        <v>-1</v>
      </c>
      <c r="AT807" s="149">
        <v>0</v>
      </c>
      <c r="AU807" s="149">
        <v>0</v>
      </c>
      <c r="AV807" s="149">
        <v>2</v>
      </c>
      <c r="AW807" s="149">
        <v>0</v>
      </c>
      <c r="AX807" s="149">
        <v>0</v>
      </c>
      <c r="AY807" s="149">
        <v>0</v>
      </c>
      <c r="AZ807" s="149">
        <v>-1</v>
      </c>
      <c r="BA807" s="149">
        <v>0</v>
      </c>
      <c r="BB807" s="149">
        <v>0</v>
      </c>
      <c r="BC807" s="149">
        <v>0</v>
      </c>
      <c r="BD807" s="149">
        <v>0</v>
      </c>
      <c r="BE807" s="149">
        <v>0</v>
      </c>
      <c r="BF807" s="149">
        <v>0</v>
      </c>
      <c r="BG807" s="149">
        <v>0</v>
      </c>
      <c r="BH807" s="149">
        <v>0</v>
      </c>
      <c r="BI807" s="149">
        <v>0</v>
      </c>
      <c r="BJ807" s="149">
        <v>0</v>
      </c>
      <c r="BK807" s="149">
        <v>0</v>
      </c>
      <c r="BL807" s="149">
        <v>0</v>
      </c>
      <c r="BM807" s="149">
        <v>0</v>
      </c>
      <c r="BN807" s="149">
        <v>0</v>
      </c>
      <c r="BO807" s="149">
        <v>0</v>
      </c>
      <c r="BP807" s="152"/>
      <c r="BQ807" s="152"/>
      <c r="BR807" s="154" t="s">
        <v>151</v>
      </c>
      <c r="BS807" s="136">
        <v>15</v>
      </c>
      <c r="BT807" s="267"/>
      <c r="BU807" s="267">
        <f t="shared" si="113"/>
        <v>0.25</v>
      </c>
      <c r="BV807" s="267">
        <f t="shared" si="110"/>
        <v>0.25</v>
      </c>
      <c r="BW807" s="267">
        <f t="shared" si="111"/>
        <v>0.25</v>
      </c>
      <c r="BX807" s="267">
        <f t="shared" si="112"/>
        <v>0.25</v>
      </c>
      <c r="BY807" s="267"/>
      <c r="BZ807" s="267"/>
      <c r="CA807" s="267"/>
      <c r="CB807" s="267"/>
      <c r="CC807" s="267"/>
      <c r="CD807" s="267"/>
      <c r="CE807" s="267"/>
      <c r="CF807" s="267"/>
      <c r="CG807" s="267"/>
      <c r="CH807" s="267"/>
      <c r="CI807" s="267"/>
      <c r="CJ807" s="267"/>
      <c r="CK807" s="267"/>
      <c r="CL807" s="267"/>
      <c r="CM807" s="267"/>
      <c r="CN807" s="101">
        <f t="shared" si="108"/>
        <v>1</v>
      </c>
      <c r="CO807" s="101">
        <f t="shared" si="109"/>
        <v>1</v>
      </c>
    </row>
    <row r="808" spans="1:93" ht="13.9" customHeight="1" x14ac:dyDescent="0.2">
      <c r="A808" s="149">
        <v>5682</v>
      </c>
      <c r="B808" s="150" t="s">
        <v>1216</v>
      </c>
      <c r="C808" s="150" t="s">
        <v>2296</v>
      </c>
      <c r="D808" s="150" t="s">
        <v>2297</v>
      </c>
      <c r="E808" s="150" t="s">
        <v>326</v>
      </c>
      <c r="F808" s="149">
        <v>528537</v>
      </c>
      <c r="G808" s="149">
        <v>175740</v>
      </c>
      <c r="H808" s="150" t="s">
        <v>164</v>
      </c>
      <c r="I808" s="151"/>
      <c r="J808" s="151"/>
      <c r="K808" s="149">
        <v>1</v>
      </c>
      <c r="L808" s="149">
        <v>1</v>
      </c>
      <c r="M808" s="149">
        <v>0</v>
      </c>
      <c r="N808" s="149">
        <v>1</v>
      </c>
      <c r="O808" s="149">
        <v>0</v>
      </c>
      <c r="P808" s="152"/>
      <c r="Q808" s="150" t="s">
        <v>2298</v>
      </c>
      <c r="R808" s="150" t="s">
        <v>349</v>
      </c>
      <c r="S808" s="151">
        <v>45012</v>
      </c>
      <c r="T808" s="151">
        <v>45068</v>
      </c>
      <c r="U808" s="152" t="s">
        <v>327</v>
      </c>
      <c r="V808" s="150" t="s">
        <v>330</v>
      </c>
      <c r="W808" s="151"/>
      <c r="X808" s="150" t="s">
        <v>331</v>
      </c>
      <c r="Y808" s="150" t="s">
        <v>350</v>
      </c>
      <c r="Z808" s="150" t="s">
        <v>334</v>
      </c>
      <c r="AA808" s="150" t="s">
        <v>413</v>
      </c>
      <c r="AB808" s="153">
        <v>7.2899999999999996E-3</v>
      </c>
      <c r="AC808" s="151"/>
      <c r="AD808" s="150"/>
      <c r="AE808" s="151"/>
      <c r="AF808" s="150" t="s">
        <v>70</v>
      </c>
      <c r="AG808" s="152" t="s">
        <v>352</v>
      </c>
      <c r="AH808" s="150" t="s">
        <v>326</v>
      </c>
      <c r="AI808" s="99"/>
      <c r="AJ808" s="149"/>
      <c r="AK808" s="99"/>
      <c r="AL808" s="149"/>
      <c r="AM808" s="99"/>
      <c r="AN808" s="149">
        <v>0</v>
      </c>
      <c r="AO808" s="149">
        <v>-1</v>
      </c>
      <c r="AP808" s="149">
        <v>1</v>
      </c>
      <c r="AQ808" s="149">
        <v>0</v>
      </c>
      <c r="AR808" s="149">
        <v>0</v>
      </c>
      <c r="AS808" s="149">
        <v>0</v>
      </c>
      <c r="AT808" s="149">
        <v>0</v>
      </c>
      <c r="AU808" s="149">
        <v>0</v>
      </c>
      <c r="AV808" s="149">
        <v>-1</v>
      </c>
      <c r="AW808" s="149">
        <v>1</v>
      </c>
      <c r="AX808" s="149">
        <v>0</v>
      </c>
      <c r="AY808" s="149">
        <v>0</v>
      </c>
      <c r="AZ808" s="149">
        <v>0</v>
      </c>
      <c r="BA808" s="149">
        <v>0</v>
      </c>
      <c r="BB808" s="149">
        <v>0</v>
      </c>
      <c r="BC808" s="149">
        <v>0</v>
      </c>
      <c r="BD808" s="149">
        <v>0</v>
      </c>
      <c r="BE808" s="149">
        <v>0</v>
      </c>
      <c r="BF808" s="149">
        <v>0</v>
      </c>
      <c r="BG808" s="149">
        <v>0</v>
      </c>
      <c r="BH808" s="149">
        <v>0</v>
      </c>
      <c r="BI808" s="149">
        <v>0</v>
      </c>
      <c r="BJ808" s="149">
        <v>0</v>
      </c>
      <c r="BK808" s="149">
        <v>0</v>
      </c>
      <c r="BL808" s="149">
        <v>0</v>
      </c>
      <c r="BM808" s="149">
        <v>0</v>
      </c>
      <c r="BN808" s="149">
        <v>0</v>
      </c>
      <c r="BO808" s="149">
        <v>0</v>
      </c>
      <c r="BP808" s="152"/>
      <c r="BQ808" s="152"/>
      <c r="BR808" s="154" t="s">
        <v>359</v>
      </c>
      <c r="BS808" s="136">
        <v>15</v>
      </c>
      <c r="BT808" s="267"/>
      <c r="BU808" s="267">
        <f t="shared" si="113"/>
        <v>0</v>
      </c>
      <c r="BV808" s="267">
        <f t="shared" si="110"/>
        <v>0</v>
      </c>
      <c r="BW808" s="267">
        <f t="shared" si="111"/>
        <v>0</v>
      </c>
      <c r="BX808" s="267">
        <f t="shared" si="112"/>
        <v>0</v>
      </c>
      <c r="BY808" s="267"/>
      <c r="BZ808" s="267"/>
      <c r="CA808" s="267"/>
      <c r="CB808" s="267"/>
      <c r="CC808" s="267"/>
      <c r="CD808" s="267"/>
      <c r="CE808" s="267"/>
      <c r="CF808" s="267"/>
      <c r="CG808" s="267"/>
      <c r="CH808" s="267"/>
      <c r="CI808" s="267"/>
      <c r="CJ808" s="267"/>
      <c r="CK808" s="267"/>
      <c r="CL808" s="267"/>
      <c r="CM808" s="267"/>
      <c r="CN808" s="101">
        <f t="shared" si="108"/>
        <v>0</v>
      </c>
      <c r="CO808" s="101">
        <f t="shared" si="109"/>
        <v>0</v>
      </c>
    </row>
    <row r="809" spans="1:93" ht="13.9" customHeight="1" x14ac:dyDescent="0.2">
      <c r="A809" s="149">
        <v>7927</v>
      </c>
      <c r="B809" s="150" t="s">
        <v>1216</v>
      </c>
      <c r="C809" s="150" t="s">
        <v>2299</v>
      </c>
      <c r="D809" s="150" t="s">
        <v>2300</v>
      </c>
      <c r="E809" s="150" t="s">
        <v>326</v>
      </c>
      <c r="F809" s="149">
        <v>528410</v>
      </c>
      <c r="G809" s="149">
        <v>175764</v>
      </c>
      <c r="H809" s="150" t="s">
        <v>167</v>
      </c>
      <c r="I809" s="151"/>
      <c r="J809" s="151"/>
      <c r="K809" s="149">
        <v>1</v>
      </c>
      <c r="L809" s="149">
        <v>3</v>
      </c>
      <c r="M809" s="149">
        <v>2</v>
      </c>
      <c r="N809" s="149">
        <v>3</v>
      </c>
      <c r="O809" s="149">
        <v>2</v>
      </c>
      <c r="P809" s="152"/>
      <c r="Q809" s="150" t="s">
        <v>2301</v>
      </c>
      <c r="R809" s="150" t="s">
        <v>349</v>
      </c>
      <c r="S809" s="151">
        <v>45000</v>
      </c>
      <c r="T809" s="151">
        <v>45056</v>
      </c>
      <c r="U809" s="152" t="s">
        <v>327</v>
      </c>
      <c r="V809" s="150" t="s">
        <v>330</v>
      </c>
      <c r="W809" s="151"/>
      <c r="X809" s="150" t="s">
        <v>331</v>
      </c>
      <c r="Y809" s="150" t="s">
        <v>491</v>
      </c>
      <c r="Z809" s="150" t="s">
        <v>334</v>
      </c>
      <c r="AA809" s="150" t="s">
        <v>413</v>
      </c>
      <c r="AB809" s="153">
        <v>4.4999999999999997E-3</v>
      </c>
      <c r="AC809" s="151"/>
      <c r="AD809" s="150"/>
      <c r="AE809" s="151"/>
      <c r="AF809" s="150" t="s">
        <v>70</v>
      </c>
      <c r="AG809" s="152" t="s">
        <v>352</v>
      </c>
      <c r="AH809" s="150" t="s">
        <v>326</v>
      </c>
      <c r="AI809" s="99"/>
      <c r="AJ809" s="149"/>
      <c r="AK809" s="99"/>
      <c r="AL809" s="149"/>
      <c r="AM809" s="99"/>
      <c r="AN809" s="149">
        <v>0</v>
      </c>
      <c r="AO809" s="149">
        <v>3</v>
      </c>
      <c r="AP809" s="149">
        <v>0</v>
      </c>
      <c r="AQ809" s="149">
        <v>-1</v>
      </c>
      <c r="AR809" s="149">
        <v>0</v>
      </c>
      <c r="AS809" s="149">
        <v>0</v>
      </c>
      <c r="AT809" s="149">
        <v>0</v>
      </c>
      <c r="AU809" s="149">
        <v>0</v>
      </c>
      <c r="AV809" s="149">
        <v>3</v>
      </c>
      <c r="AW809" s="149">
        <v>0</v>
      </c>
      <c r="AX809" s="149">
        <v>-1</v>
      </c>
      <c r="AY809" s="149">
        <v>0</v>
      </c>
      <c r="AZ809" s="149">
        <v>0</v>
      </c>
      <c r="BA809" s="149">
        <v>0</v>
      </c>
      <c r="BB809" s="149">
        <v>0</v>
      </c>
      <c r="BC809" s="149">
        <v>0</v>
      </c>
      <c r="BD809" s="149">
        <v>0</v>
      </c>
      <c r="BE809" s="149">
        <v>0</v>
      </c>
      <c r="BF809" s="149">
        <v>0</v>
      </c>
      <c r="BG809" s="149">
        <v>0</v>
      </c>
      <c r="BH809" s="149">
        <v>0</v>
      </c>
      <c r="BI809" s="149">
        <v>0</v>
      </c>
      <c r="BJ809" s="149">
        <v>0</v>
      </c>
      <c r="BK809" s="149">
        <v>0</v>
      </c>
      <c r="BL809" s="149">
        <v>0</v>
      </c>
      <c r="BM809" s="149">
        <v>0</v>
      </c>
      <c r="BN809" s="149">
        <v>0</v>
      </c>
      <c r="BO809" s="149">
        <v>0</v>
      </c>
      <c r="BP809" s="152"/>
      <c r="BQ809" s="152"/>
      <c r="BR809" s="154" t="s">
        <v>359</v>
      </c>
      <c r="BS809" s="136">
        <v>15</v>
      </c>
      <c r="BT809" s="267"/>
      <c r="BU809" s="267">
        <f t="shared" si="113"/>
        <v>0.5</v>
      </c>
      <c r="BV809" s="267">
        <f t="shared" si="110"/>
        <v>0.5</v>
      </c>
      <c r="BW809" s="267">
        <f t="shared" si="111"/>
        <v>0.5</v>
      </c>
      <c r="BX809" s="267">
        <f t="shared" si="112"/>
        <v>0.5</v>
      </c>
      <c r="BY809" s="267"/>
      <c r="BZ809" s="267"/>
      <c r="CA809" s="267"/>
      <c r="CB809" s="267"/>
      <c r="CC809" s="267"/>
      <c r="CD809" s="267"/>
      <c r="CE809" s="267"/>
      <c r="CF809" s="267"/>
      <c r="CG809" s="267"/>
      <c r="CH809" s="267"/>
      <c r="CI809" s="267"/>
      <c r="CJ809" s="267"/>
      <c r="CK809" s="267"/>
      <c r="CL809" s="267"/>
      <c r="CM809" s="267"/>
      <c r="CN809" s="101">
        <f t="shared" si="108"/>
        <v>2</v>
      </c>
      <c r="CO809" s="101">
        <f t="shared" si="109"/>
        <v>2</v>
      </c>
    </row>
    <row r="810" spans="1:93" ht="13.9" customHeight="1" x14ac:dyDescent="0.2">
      <c r="A810" s="149">
        <v>7959</v>
      </c>
      <c r="B810" s="150" t="s">
        <v>1216</v>
      </c>
      <c r="C810" s="150" t="s">
        <v>2302</v>
      </c>
      <c r="D810" s="150" t="s">
        <v>2303</v>
      </c>
      <c r="E810" s="150" t="s">
        <v>326</v>
      </c>
      <c r="F810" s="149">
        <v>528025</v>
      </c>
      <c r="G810" s="149">
        <v>175251</v>
      </c>
      <c r="H810" s="150" t="s">
        <v>164</v>
      </c>
      <c r="I810" s="151"/>
      <c r="J810" s="151"/>
      <c r="K810" s="149">
        <v>0</v>
      </c>
      <c r="L810" s="149">
        <v>1</v>
      </c>
      <c r="M810" s="149">
        <v>1</v>
      </c>
      <c r="N810" s="149">
        <v>1</v>
      </c>
      <c r="O810" s="149">
        <v>1</v>
      </c>
      <c r="P810" s="152"/>
      <c r="Q810" s="150" t="s">
        <v>2304</v>
      </c>
      <c r="R810" s="150" t="s">
        <v>349</v>
      </c>
      <c r="S810" s="151">
        <v>45007</v>
      </c>
      <c r="T810" s="151">
        <v>45103</v>
      </c>
      <c r="U810" s="152" t="s">
        <v>327</v>
      </c>
      <c r="V810" s="150" t="s">
        <v>330</v>
      </c>
      <c r="W810" s="151"/>
      <c r="X810" s="150" t="s">
        <v>331</v>
      </c>
      <c r="Y810" s="150" t="s">
        <v>343</v>
      </c>
      <c r="Z810" s="150" t="s">
        <v>334</v>
      </c>
      <c r="AA810" s="150" t="s">
        <v>363</v>
      </c>
      <c r="AB810" s="153">
        <v>5.7999999999999996E-3</v>
      </c>
      <c r="AC810" s="151"/>
      <c r="AD810" s="150"/>
      <c r="AE810" s="151"/>
      <c r="AF810" s="150" t="s">
        <v>70</v>
      </c>
      <c r="AG810" s="152" t="s">
        <v>352</v>
      </c>
      <c r="AH810" s="150" t="s">
        <v>326</v>
      </c>
      <c r="AI810" s="99"/>
      <c r="AJ810" s="149"/>
      <c r="AK810" s="99"/>
      <c r="AL810" s="149"/>
      <c r="AM810" s="99"/>
      <c r="AN810" s="149">
        <v>0</v>
      </c>
      <c r="AO810" s="149">
        <v>0</v>
      </c>
      <c r="AP810" s="149">
        <v>0</v>
      </c>
      <c r="AQ810" s="149">
        <v>1</v>
      </c>
      <c r="AR810" s="149">
        <v>0</v>
      </c>
      <c r="AS810" s="149">
        <v>0</v>
      </c>
      <c r="AT810" s="149">
        <v>0</v>
      </c>
      <c r="AU810" s="149">
        <v>0</v>
      </c>
      <c r="AV810" s="149">
        <v>0</v>
      </c>
      <c r="AW810" s="149">
        <v>0</v>
      </c>
      <c r="AX810" s="149">
        <v>0</v>
      </c>
      <c r="AY810" s="149">
        <v>0</v>
      </c>
      <c r="AZ810" s="149">
        <v>0</v>
      </c>
      <c r="BA810" s="149">
        <v>0</v>
      </c>
      <c r="BB810" s="149">
        <v>0</v>
      </c>
      <c r="BC810" s="149">
        <v>0</v>
      </c>
      <c r="BD810" s="149">
        <v>0</v>
      </c>
      <c r="BE810" s="149">
        <v>1</v>
      </c>
      <c r="BF810" s="149">
        <v>0</v>
      </c>
      <c r="BG810" s="149">
        <v>0</v>
      </c>
      <c r="BH810" s="149">
        <v>0</v>
      </c>
      <c r="BI810" s="149">
        <v>0</v>
      </c>
      <c r="BJ810" s="149">
        <v>0</v>
      </c>
      <c r="BK810" s="149">
        <v>0</v>
      </c>
      <c r="BL810" s="149">
        <v>0</v>
      </c>
      <c r="BM810" s="149">
        <v>0</v>
      </c>
      <c r="BN810" s="149">
        <v>0</v>
      </c>
      <c r="BO810" s="149">
        <v>0</v>
      </c>
      <c r="BP810" s="152"/>
      <c r="BQ810" s="152"/>
      <c r="BR810" s="154" t="s">
        <v>359</v>
      </c>
      <c r="BS810" s="136">
        <v>7</v>
      </c>
      <c r="BT810" s="267"/>
      <c r="BU810" s="267"/>
      <c r="BV810" s="267">
        <f t="shared" si="110"/>
        <v>0.25</v>
      </c>
      <c r="BW810" s="267">
        <f t="shared" si="111"/>
        <v>0.25</v>
      </c>
      <c r="BX810" s="267">
        <f t="shared" si="112"/>
        <v>0.25</v>
      </c>
      <c r="BY810" s="267">
        <f>M810/4</f>
        <v>0.25</v>
      </c>
      <c r="BZ810" s="267"/>
      <c r="CA810" s="267"/>
      <c r="CB810" s="267"/>
      <c r="CC810" s="267"/>
      <c r="CD810" s="267"/>
      <c r="CE810" s="267"/>
      <c r="CF810" s="267"/>
      <c r="CG810" s="267"/>
      <c r="CH810" s="267"/>
      <c r="CI810" s="267"/>
      <c r="CJ810" s="267"/>
      <c r="CK810" s="267"/>
      <c r="CL810" s="267"/>
      <c r="CM810" s="267"/>
      <c r="CN810" s="101">
        <f t="shared" si="108"/>
        <v>1</v>
      </c>
      <c r="CO810" s="101">
        <f t="shared" si="109"/>
        <v>1</v>
      </c>
    </row>
    <row r="811" spans="1:93" ht="13.9" customHeight="1" x14ac:dyDescent="0.2">
      <c r="A811" s="149">
        <v>7970</v>
      </c>
      <c r="B811" s="150" t="s">
        <v>1216</v>
      </c>
      <c r="C811" s="150" t="s">
        <v>2305</v>
      </c>
      <c r="D811" s="150" t="s">
        <v>2306</v>
      </c>
      <c r="E811" s="150" t="s">
        <v>326</v>
      </c>
      <c r="F811" s="149">
        <v>527803</v>
      </c>
      <c r="G811" s="149">
        <v>171659</v>
      </c>
      <c r="H811" s="150" t="s">
        <v>172</v>
      </c>
      <c r="I811" s="151"/>
      <c r="J811" s="151"/>
      <c r="K811" s="149">
        <v>1</v>
      </c>
      <c r="L811" s="149">
        <v>1</v>
      </c>
      <c r="M811" s="149">
        <v>0</v>
      </c>
      <c r="N811" s="149">
        <v>1</v>
      </c>
      <c r="O811" s="149">
        <v>0</v>
      </c>
      <c r="P811" s="152"/>
      <c r="Q811" s="150" t="s">
        <v>2307</v>
      </c>
      <c r="R811" s="150" t="s">
        <v>349</v>
      </c>
      <c r="S811" s="151">
        <v>45013</v>
      </c>
      <c r="T811" s="151">
        <v>45096</v>
      </c>
      <c r="U811" s="152" t="s">
        <v>327</v>
      </c>
      <c r="V811" s="150" t="s">
        <v>330</v>
      </c>
      <c r="W811" s="151"/>
      <c r="X811" s="150" t="s">
        <v>331</v>
      </c>
      <c r="Y811" s="150" t="s">
        <v>350</v>
      </c>
      <c r="Z811" s="150" t="s">
        <v>334</v>
      </c>
      <c r="AA811" s="150" t="s">
        <v>413</v>
      </c>
      <c r="AB811" s="153">
        <v>5.4000000000000003E-3</v>
      </c>
      <c r="AC811" s="151"/>
      <c r="AD811" s="150"/>
      <c r="AE811" s="151"/>
      <c r="AF811" s="150" t="s">
        <v>70</v>
      </c>
      <c r="AG811" s="152" t="s">
        <v>337</v>
      </c>
      <c r="AH811" s="150" t="s">
        <v>326</v>
      </c>
      <c r="AI811" s="99"/>
      <c r="AJ811" s="149"/>
      <c r="AK811" s="99"/>
      <c r="AL811" s="149"/>
      <c r="AM811" s="99"/>
      <c r="AN811" s="149">
        <v>0</v>
      </c>
      <c r="AO811" s="149">
        <v>0</v>
      </c>
      <c r="AP811" s="149">
        <v>0</v>
      </c>
      <c r="AQ811" s="149">
        <v>0</v>
      </c>
      <c r="AR811" s="149">
        <v>-1</v>
      </c>
      <c r="AS811" s="149">
        <v>1</v>
      </c>
      <c r="AT811" s="149">
        <v>0</v>
      </c>
      <c r="AU811" s="149">
        <v>0</v>
      </c>
      <c r="AV811" s="149">
        <v>0</v>
      </c>
      <c r="AW811" s="149">
        <v>0</v>
      </c>
      <c r="AX811" s="149">
        <v>0</v>
      </c>
      <c r="AY811" s="149">
        <v>0</v>
      </c>
      <c r="AZ811" s="149">
        <v>0</v>
      </c>
      <c r="BA811" s="149">
        <v>0</v>
      </c>
      <c r="BB811" s="149">
        <v>0</v>
      </c>
      <c r="BC811" s="149">
        <v>0</v>
      </c>
      <c r="BD811" s="149">
        <v>0</v>
      </c>
      <c r="BE811" s="149">
        <v>0</v>
      </c>
      <c r="BF811" s="149">
        <v>-1</v>
      </c>
      <c r="BG811" s="149">
        <v>1</v>
      </c>
      <c r="BH811" s="149">
        <v>0</v>
      </c>
      <c r="BI811" s="149">
        <v>0</v>
      </c>
      <c r="BJ811" s="149">
        <v>0</v>
      </c>
      <c r="BK811" s="149">
        <v>0</v>
      </c>
      <c r="BL811" s="149">
        <v>0</v>
      </c>
      <c r="BM811" s="149">
        <v>0</v>
      </c>
      <c r="BN811" s="149">
        <v>0</v>
      </c>
      <c r="BO811" s="149">
        <v>0</v>
      </c>
      <c r="BP811" s="152"/>
      <c r="BQ811" s="152"/>
      <c r="BR811" s="154" t="s">
        <v>359</v>
      </c>
      <c r="BS811" s="136">
        <v>15</v>
      </c>
      <c r="BT811" s="267"/>
      <c r="BU811" s="267">
        <f>M811/4</f>
        <v>0</v>
      </c>
      <c r="BV811" s="267">
        <f t="shared" si="110"/>
        <v>0</v>
      </c>
      <c r="BW811" s="267">
        <f t="shared" si="111"/>
        <v>0</v>
      </c>
      <c r="BX811" s="267">
        <f t="shared" si="112"/>
        <v>0</v>
      </c>
      <c r="BY811" s="267"/>
      <c r="BZ811" s="267"/>
      <c r="CA811" s="267"/>
      <c r="CB811" s="267"/>
      <c r="CC811" s="267"/>
      <c r="CD811" s="267"/>
      <c r="CE811" s="267"/>
      <c r="CF811" s="267"/>
      <c r="CG811" s="267"/>
      <c r="CH811" s="267"/>
      <c r="CI811" s="267"/>
      <c r="CJ811" s="267"/>
      <c r="CK811" s="267"/>
      <c r="CL811" s="267"/>
      <c r="CM811" s="267"/>
      <c r="CN811" s="101">
        <f t="shared" si="108"/>
        <v>0</v>
      </c>
      <c r="CO811" s="101">
        <f t="shared" si="109"/>
        <v>0</v>
      </c>
    </row>
    <row r="812" spans="1:93" ht="13.9" customHeight="1" x14ac:dyDescent="0.2">
      <c r="A812" s="149">
        <v>7974</v>
      </c>
      <c r="B812" s="150" t="s">
        <v>1216</v>
      </c>
      <c r="C812" s="150" t="s">
        <v>2308</v>
      </c>
      <c r="D812" s="150" t="s">
        <v>2309</v>
      </c>
      <c r="E812" s="150" t="s">
        <v>326</v>
      </c>
      <c r="F812" s="149">
        <v>524424</v>
      </c>
      <c r="G812" s="149">
        <v>173204</v>
      </c>
      <c r="H812" s="150" t="s">
        <v>178</v>
      </c>
      <c r="I812" s="151"/>
      <c r="J812" s="151"/>
      <c r="K812" s="149">
        <v>0</v>
      </c>
      <c r="L812" s="149">
        <v>9</v>
      </c>
      <c r="M812" s="149">
        <v>9</v>
      </c>
      <c r="N812" s="149">
        <v>9</v>
      </c>
      <c r="O812" s="149">
        <v>9</v>
      </c>
      <c r="P812" s="152"/>
      <c r="Q812" s="150" t="s">
        <v>2310</v>
      </c>
      <c r="R812" s="150" t="s">
        <v>349</v>
      </c>
      <c r="S812" s="151">
        <v>45009</v>
      </c>
      <c r="T812" s="151">
        <v>45169</v>
      </c>
      <c r="U812" s="152" t="s">
        <v>327</v>
      </c>
      <c r="V812" s="150" t="s">
        <v>330</v>
      </c>
      <c r="W812" s="151"/>
      <c r="X812" s="150" t="s">
        <v>331</v>
      </c>
      <c r="Y812" s="150" t="s">
        <v>343</v>
      </c>
      <c r="Z812" s="150" t="s">
        <v>334</v>
      </c>
      <c r="AA812" s="150" t="s">
        <v>363</v>
      </c>
      <c r="AB812" s="153">
        <v>2.1999999999999999E-2</v>
      </c>
      <c r="AC812" s="151"/>
      <c r="AD812" s="150"/>
      <c r="AE812" s="151"/>
      <c r="AF812" s="150" t="s">
        <v>70</v>
      </c>
      <c r="AG812" s="152" t="s">
        <v>352</v>
      </c>
      <c r="AH812" s="150" t="s">
        <v>326</v>
      </c>
      <c r="AI812" s="99"/>
      <c r="AJ812" s="149"/>
      <c r="AK812" s="99"/>
      <c r="AL812" s="149"/>
      <c r="AM812" s="99"/>
      <c r="AN812" s="149">
        <v>0</v>
      </c>
      <c r="AO812" s="149">
        <v>2</v>
      </c>
      <c r="AP812" s="149">
        <v>7</v>
      </c>
      <c r="AQ812" s="149">
        <v>0</v>
      </c>
      <c r="AR812" s="149">
        <v>0</v>
      </c>
      <c r="AS812" s="149">
        <v>0</v>
      </c>
      <c r="AT812" s="149">
        <v>0</v>
      </c>
      <c r="AU812" s="149">
        <v>0</v>
      </c>
      <c r="AV812" s="149">
        <v>2</v>
      </c>
      <c r="AW812" s="149">
        <v>7</v>
      </c>
      <c r="AX812" s="149">
        <v>0</v>
      </c>
      <c r="AY812" s="149">
        <v>0</v>
      </c>
      <c r="AZ812" s="149">
        <v>0</v>
      </c>
      <c r="BA812" s="149">
        <v>0</v>
      </c>
      <c r="BB812" s="149">
        <v>0</v>
      </c>
      <c r="BC812" s="149">
        <v>0</v>
      </c>
      <c r="BD812" s="149">
        <v>0</v>
      </c>
      <c r="BE812" s="149">
        <v>0</v>
      </c>
      <c r="BF812" s="149">
        <v>0</v>
      </c>
      <c r="BG812" s="149">
        <v>0</v>
      </c>
      <c r="BH812" s="149">
        <v>0</v>
      </c>
      <c r="BI812" s="149">
        <v>0</v>
      </c>
      <c r="BJ812" s="149">
        <v>0</v>
      </c>
      <c r="BK812" s="149">
        <v>0</v>
      </c>
      <c r="BL812" s="149">
        <v>0</v>
      </c>
      <c r="BM812" s="149">
        <v>0</v>
      </c>
      <c r="BN812" s="149">
        <v>0</v>
      </c>
      <c r="BO812" s="149">
        <v>0</v>
      </c>
      <c r="BP812" s="152"/>
      <c r="BQ812" s="152"/>
      <c r="BR812" s="154" t="s">
        <v>359</v>
      </c>
      <c r="BS812" s="136">
        <v>10</v>
      </c>
      <c r="BT812" s="267"/>
      <c r="BU812" s="267"/>
      <c r="BV812" s="267"/>
      <c r="BW812" s="267"/>
      <c r="BX812" s="267">
        <f>M812/3</f>
        <v>3</v>
      </c>
      <c r="BY812" s="267">
        <f>M812/3</f>
        <v>3</v>
      </c>
      <c r="BZ812" s="267">
        <f>M812/3</f>
        <v>3</v>
      </c>
      <c r="CA812" s="267"/>
      <c r="CB812" s="267"/>
      <c r="CC812" s="267"/>
      <c r="CD812" s="267"/>
      <c r="CE812" s="267"/>
      <c r="CF812" s="267"/>
      <c r="CG812" s="267"/>
      <c r="CH812" s="267"/>
      <c r="CI812" s="267"/>
      <c r="CJ812" s="267"/>
      <c r="CK812" s="267"/>
      <c r="CL812" s="267"/>
      <c r="CM812" s="267"/>
      <c r="CN812" s="101">
        <f t="shared" si="108"/>
        <v>6</v>
      </c>
      <c r="CO812" s="101">
        <f t="shared" si="109"/>
        <v>9</v>
      </c>
    </row>
    <row r="813" spans="1:93" ht="13.9" customHeight="1" x14ac:dyDescent="0.2">
      <c r="A813" s="149">
        <v>7975</v>
      </c>
      <c r="B813" s="150" t="s">
        <v>1216</v>
      </c>
      <c r="C813" s="150" t="s">
        <v>2311</v>
      </c>
      <c r="D813" s="150" t="s">
        <v>2312</v>
      </c>
      <c r="E813" s="150" t="s">
        <v>326</v>
      </c>
      <c r="F813" s="149">
        <v>527030</v>
      </c>
      <c r="G813" s="149">
        <v>176160</v>
      </c>
      <c r="H813" s="150" t="s">
        <v>170</v>
      </c>
      <c r="I813" s="151"/>
      <c r="J813" s="151"/>
      <c r="K813" s="149">
        <v>1</v>
      </c>
      <c r="L813" s="149">
        <v>3</v>
      </c>
      <c r="M813" s="149">
        <v>2</v>
      </c>
      <c r="N813" s="149">
        <v>3</v>
      </c>
      <c r="O813" s="149">
        <v>2</v>
      </c>
      <c r="P813" s="152"/>
      <c r="Q813" s="150" t="s">
        <v>2313</v>
      </c>
      <c r="R813" s="150" t="s">
        <v>349</v>
      </c>
      <c r="S813" s="151">
        <v>45016</v>
      </c>
      <c r="T813" s="151">
        <v>45169</v>
      </c>
      <c r="U813" s="152" t="s">
        <v>327</v>
      </c>
      <c r="V813" s="150" t="s">
        <v>330</v>
      </c>
      <c r="W813" s="151"/>
      <c r="X813" s="150" t="s">
        <v>331</v>
      </c>
      <c r="Y813" s="150" t="s">
        <v>398</v>
      </c>
      <c r="Z813" s="150" t="s">
        <v>334</v>
      </c>
      <c r="AA813" s="150" t="s">
        <v>413</v>
      </c>
      <c r="AB813" s="153">
        <v>4.7999999999999996E-3</v>
      </c>
      <c r="AC813" s="151"/>
      <c r="AD813" s="150"/>
      <c r="AE813" s="151"/>
      <c r="AF813" s="150" t="s">
        <v>70</v>
      </c>
      <c r="AG813" s="152" t="s">
        <v>352</v>
      </c>
      <c r="AH813" s="150" t="s">
        <v>326</v>
      </c>
      <c r="AI813" s="99"/>
      <c r="AJ813" s="149"/>
      <c r="AK813" s="99"/>
      <c r="AL813" s="149"/>
      <c r="AM813" s="99"/>
      <c r="AN813" s="149">
        <v>0</v>
      </c>
      <c r="AO813" s="149">
        <v>3</v>
      </c>
      <c r="AP813" s="149">
        <v>-1</v>
      </c>
      <c r="AQ813" s="149">
        <v>0</v>
      </c>
      <c r="AR813" s="149">
        <v>0</v>
      </c>
      <c r="AS813" s="149">
        <v>0</v>
      </c>
      <c r="AT813" s="149">
        <v>0</v>
      </c>
      <c r="AU813" s="149">
        <v>0</v>
      </c>
      <c r="AV813" s="149">
        <v>3</v>
      </c>
      <c r="AW813" s="149">
        <v>-1</v>
      </c>
      <c r="AX813" s="149">
        <v>0</v>
      </c>
      <c r="AY813" s="149">
        <v>0</v>
      </c>
      <c r="AZ813" s="149">
        <v>0</v>
      </c>
      <c r="BA813" s="149">
        <v>0</v>
      </c>
      <c r="BB813" s="149">
        <v>0</v>
      </c>
      <c r="BC813" s="149">
        <v>0</v>
      </c>
      <c r="BD813" s="149">
        <v>0</v>
      </c>
      <c r="BE813" s="149">
        <v>0</v>
      </c>
      <c r="BF813" s="149">
        <v>0</v>
      </c>
      <c r="BG813" s="149">
        <v>0</v>
      </c>
      <c r="BH813" s="149">
        <v>0</v>
      </c>
      <c r="BI813" s="149">
        <v>0</v>
      </c>
      <c r="BJ813" s="149">
        <v>0</v>
      </c>
      <c r="BK813" s="149">
        <v>0</v>
      </c>
      <c r="BL813" s="149">
        <v>0</v>
      </c>
      <c r="BM813" s="149">
        <v>0</v>
      </c>
      <c r="BN813" s="149">
        <v>0</v>
      </c>
      <c r="BO813" s="149">
        <v>0</v>
      </c>
      <c r="BP813" s="152"/>
      <c r="BQ813" s="152"/>
      <c r="BR813" s="154" t="s">
        <v>359</v>
      </c>
      <c r="BS813" s="136">
        <v>15</v>
      </c>
      <c r="BT813" s="267"/>
      <c r="BU813" s="267">
        <f>M813/4</f>
        <v>0.5</v>
      </c>
      <c r="BV813" s="267">
        <f>M813/4</f>
        <v>0.5</v>
      </c>
      <c r="BW813" s="267">
        <f>M813/4</f>
        <v>0.5</v>
      </c>
      <c r="BX813" s="267">
        <f>M813/4</f>
        <v>0.5</v>
      </c>
      <c r="BY813" s="267"/>
      <c r="BZ813" s="267"/>
      <c r="CA813" s="267"/>
      <c r="CB813" s="267"/>
      <c r="CC813" s="267"/>
      <c r="CD813" s="267"/>
      <c r="CE813" s="267"/>
      <c r="CF813" s="267"/>
      <c r="CG813" s="267"/>
      <c r="CH813" s="267"/>
      <c r="CI813" s="267"/>
      <c r="CJ813" s="267"/>
      <c r="CK813" s="267"/>
      <c r="CL813" s="267"/>
      <c r="CM813" s="267"/>
      <c r="CN813" s="101">
        <f t="shared" si="108"/>
        <v>2</v>
      </c>
      <c r="CO813" s="101">
        <f t="shared" si="109"/>
        <v>2</v>
      </c>
    </row>
    <row r="814" spans="1:93" ht="13.9" customHeight="1" x14ac:dyDescent="0.2">
      <c r="A814" s="149">
        <v>7965</v>
      </c>
      <c r="B814" s="150" t="s">
        <v>1216</v>
      </c>
      <c r="C814" s="150" t="s">
        <v>2314</v>
      </c>
      <c r="D814" s="150" t="s">
        <v>2315</v>
      </c>
      <c r="E814" s="150" t="s">
        <v>326</v>
      </c>
      <c r="F814" s="149">
        <v>524661</v>
      </c>
      <c r="G814" s="149">
        <v>173871</v>
      </c>
      <c r="H814" s="150" t="s">
        <v>161</v>
      </c>
      <c r="I814" s="151"/>
      <c r="J814" s="151"/>
      <c r="K814" s="149">
        <v>1</v>
      </c>
      <c r="L814" s="149">
        <v>7</v>
      </c>
      <c r="M814" s="149">
        <v>6</v>
      </c>
      <c r="N814" s="149">
        <v>7</v>
      </c>
      <c r="O814" s="149">
        <v>6</v>
      </c>
      <c r="P814" s="152"/>
      <c r="Q814" s="150" t="s">
        <v>2316</v>
      </c>
      <c r="R814" s="150" t="s">
        <v>349</v>
      </c>
      <c r="S814" s="151">
        <v>45021</v>
      </c>
      <c r="T814" s="151">
        <v>45274</v>
      </c>
      <c r="U814" s="152" t="s">
        <v>327</v>
      </c>
      <c r="V814" s="150" t="s">
        <v>330</v>
      </c>
      <c r="W814" s="151"/>
      <c r="X814" s="150" t="s">
        <v>2046</v>
      </c>
      <c r="Y814" s="150" t="s">
        <v>343</v>
      </c>
      <c r="Z814" s="150" t="s">
        <v>334</v>
      </c>
      <c r="AA814" s="150" t="s">
        <v>363</v>
      </c>
      <c r="AB814" s="153">
        <v>1.95E-2</v>
      </c>
      <c r="AC814" s="151"/>
      <c r="AD814" s="150"/>
      <c r="AE814" s="151"/>
      <c r="AF814" s="150" t="s">
        <v>70</v>
      </c>
      <c r="AG814" s="152" t="s">
        <v>352</v>
      </c>
      <c r="AH814" s="150" t="s">
        <v>326</v>
      </c>
      <c r="AI814" s="99"/>
      <c r="AJ814" s="149"/>
      <c r="AK814" s="99"/>
      <c r="AL814" s="149"/>
      <c r="AM814" s="99"/>
      <c r="AN814" s="149">
        <v>0</v>
      </c>
      <c r="AO814" s="149">
        <v>1</v>
      </c>
      <c r="AP814" s="149">
        <v>4</v>
      </c>
      <c r="AQ814" s="149">
        <v>1</v>
      </c>
      <c r="AR814" s="149">
        <v>0</v>
      </c>
      <c r="AS814" s="149">
        <v>0</v>
      </c>
      <c r="AT814" s="149">
        <v>0</v>
      </c>
      <c r="AU814" s="149">
        <v>0</v>
      </c>
      <c r="AV814" s="149">
        <v>1</v>
      </c>
      <c r="AW814" s="149">
        <v>4</v>
      </c>
      <c r="AX814" s="149">
        <v>2</v>
      </c>
      <c r="AY814" s="149">
        <v>0</v>
      </c>
      <c r="AZ814" s="149">
        <v>0</v>
      </c>
      <c r="BA814" s="149">
        <v>0</v>
      </c>
      <c r="BB814" s="149">
        <v>0</v>
      </c>
      <c r="BC814" s="149">
        <v>0</v>
      </c>
      <c r="BD814" s="149">
        <v>0</v>
      </c>
      <c r="BE814" s="149">
        <v>-1</v>
      </c>
      <c r="BF814" s="149">
        <v>0</v>
      </c>
      <c r="BG814" s="149">
        <v>0</v>
      </c>
      <c r="BH814" s="149">
        <v>0</v>
      </c>
      <c r="BI814" s="149">
        <v>0</v>
      </c>
      <c r="BJ814" s="149">
        <v>0</v>
      </c>
      <c r="BK814" s="149">
        <v>0</v>
      </c>
      <c r="BL814" s="149">
        <v>0</v>
      </c>
      <c r="BM814" s="149">
        <v>0</v>
      </c>
      <c r="BN814" s="149">
        <v>0</v>
      </c>
      <c r="BO814" s="149">
        <v>0</v>
      </c>
      <c r="BP814" s="152"/>
      <c r="BQ814" s="152"/>
      <c r="BR814" s="154" t="s">
        <v>359</v>
      </c>
      <c r="BS814" s="136">
        <v>10</v>
      </c>
      <c r="BT814" s="267"/>
      <c r="BU814" s="267"/>
      <c r="BV814" s="267"/>
      <c r="BW814" s="267"/>
      <c r="BX814" s="267">
        <f>M814/3</f>
        <v>2</v>
      </c>
      <c r="BY814" s="267">
        <f>M814/3</f>
        <v>2</v>
      </c>
      <c r="BZ814" s="267">
        <f>M814/3</f>
        <v>2</v>
      </c>
      <c r="CA814" s="267"/>
      <c r="CB814" s="267"/>
      <c r="CC814" s="267"/>
      <c r="CD814" s="267"/>
      <c r="CE814" s="267"/>
      <c r="CF814" s="267"/>
      <c r="CG814" s="267"/>
      <c r="CH814" s="267"/>
      <c r="CI814" s="267"/>
      <c r="CJ814" s="267"/>
      <c r="CK814" s="267"/>
      <c r="CL814" s="267"/>
      <c r="CM814" s="267"/>
      <c r="CN814" s="101">
        <f t="shared" si="108"/>
        <v>4</v>
      </c>
      <c r="CO814" s="101">
        <f t="shared" si="109"/>
        <v>6</v>
      </c>
    </row>
    <row r="815" spans="1:93" ht="13.9" customHeight="1" x14ac:dyDescent="0.2">
      <c r="A815" s="149">
        <v>7966</v>
      </c>
      <c r="B815" s="150" t="s">
        <v>1216</v>
      </c>
      <c r="C815" s="150" t="s">
        <v>2317</v>
      </c>
      <c r="D815" s="150" t="s">
        <v>2318</v>
      </c>
      <c r="E815" s="150" t="s">
        <v>326</v>
      </c>
      <c r="F815" s="149">
        <v>525328</v>
      </c>
      <c r="G815" s="149">
        <v>174358</v>
      </c>
      <c r="H815" s="150" t="s">
        <v>161</v>
      </c>
      <c r="I815" s="151"/>
      <c r="J815" s="151"/>
      <c r="K815" s="149">
        <v>0</v>
      </c>
      <c r="L815" s="149">
        <v>1</v>
      </c>
      <c r="M815" s="149">
        <v>1</v>
      </c>
      <c r="N815" s="149">
        <v>1</v>
      </c>
      <c r="O815" s="149">
        <v>1</v>
      </c>
      <c r="P815" s="152"/>
      <c r="Q815" s="150" t="s">
        <v>2319</v>
      </c>
      <c r="R815" s="150" t="s">
        <v>349</v>
      </c>
      <c r="S815" s="151">
        <v>45027</v>
      </c>
      <c r="T815" s="151">
        <v>45107</v>
      </c>
      <c r="U815" s="152" t="s">
        <v>327</v>
      </c>
      <c r="V815" s="150" t="s">
        <v>330</v>
      </c>
      <c r="W815" s="151"/>
      <c r="X815" s="150" t="s">
        <v>2046</v>
      </c>
      <c r="Y815" s="150" t="s">
        <v>343</v>
      </c>
      <c r="Z815" s="150" t="s">
        <v>334</v>
      </c>
      <c r="AA815" s="150" t="s">
        <v>363</v>
      </c>
      <c r="AB815" s="153">
        <v>7.1999999999999998E-3</v>
      </c>
      <c r="AC815" s="151"/>
      <c r="AD815" s="150"/>
      <c r="AE815" s="151"/>
      <c r="AF815" s="150" t="s">
        <v>70</v>
      </c>
      <c r="AG815" s="152" t="s">
        <v>352</v>
      </c>
      <c r="AH815" s="150" t="s">
        <v>326</v>
      </c>
      <c r="AI815" s="99"/>
      <c r="AJ815" s="149"/>
      <c r="AK815" s="99"/>
      <c r="AL815" s="149"/>
      <c r="AM815" s="99"/>
      <c r="AN815" s="149">
        <v>0</v>
      </c>
      <c r="AO815" s="149">
        <v>0</v>
      </c>
      <c r="AP815" s="149">
        <v>0</v>
      </c>
      <c r="AQ815" s="149">
        <v>1</v>
      </c>
      <c r="AR815" s="149">
        <v>0</v>
      </c>
      <c r="AS815" s="149">
        <v>0</v>
      </c>
      <c r="AT815" s="149">
        <v>0</v>
      </c>
      <c r="AU815" s="149">
        <v>0</v>
      </c>
      <c r="AV815" s="149">
        <v>0</v>
      </c>
      <c r="AW815" s="149">
        <v>0</v>
      </c>
      <c r="AX815" s="149">
        <v>0</v>
      </c>
      <c r="AY815" s="149">
        <v>0</v>
      </c>
      <c r="AZ815" s="149">
        <v>0</v>
      </c>
      <c r="BA815" s="149">
        <v>0</v>
      </c>
      <c r="BB815" s="149">
        <v>0</v>
      </c>
      <c r="BC815" s="149">
        <v>0</v>
      </c>
      <c r="BD815" s="149">
        <v>0</v>
      </c>
      <c r="BE815" s="149">
        <v>1</v>
      </c>
      <c r="BF815" s="149">
        <v>0</v>
      </c>
      <c r="BG815" s="149">
        <v>0</v>
      </c>
      <c r="BH815" s="149">
        <v>0</v>
      </c>
      <c r="BI815" s="149">
        <v>0</v>
      </c>
      <c r="BJ815" s="149">
        <v>0</v>
      </c>
      <c r="BK815" s="149">
        <v>0</v>
      </c>
      <c r="BL815" s="149">
        <v>0</v>
      </c>
      <c r="BM815" s="149">
        <v>0</v>
      </c>
      <c r="BN815" s="149">
        <v>0</v>
      </c>
      <c r="BO815" s="149">
        <v>0</v>
      </c>
      <c r="BP815" s="152"/>
      <c r="BQ815" s="152"/>
      <c r="BR815" s="154" t="s">
        <v>463</v>
      </c>
      <c r="BS815" s="136">
        <v>7</v>
      </c>
      <c r="BT815" s="267"/>
      <c r="BU815" s="267"/>
      <c r="BV815" s="267">
        <f>M815/4</f>
        <v>0.25</v>
      </c>
      <c r="BW815" s="267">
        <f>M815/4</f>
        <v>0.25</v>
      </c>
      <c r="BX815" s="267">
        <f>M815/4</f>
        <v>0.25</v>
      </c>
      <c r="BY815" s="267">
        <f>M815/4</f>
        <v>0.25</v>
      </c>
      <c r="BZ815" s="267"/>
      <c r="CA815" s="267"/>
      <c r="CB815" s="267"/>
      <c r="CC815" s="267"/>
      <c r="CD815" s="267"/>
      <c r="CE815" s="267"/>
      <c r="CF815" s="267"/>
      <c r="CG815" s="267"/>
      <c r="CH815" s="267"/>
      <c r="CI815" s="267"/>
      <c r="CJ815" s="267"/>
      <c r="CK815" s="267"/>
      <c r="CL815" s="267"/>
      <c r="CM815" s="267"/>
      <c r="CN815" s="101">
        <f t="shared" si="108"/>
        <v>1</v>
      </c>
      <c r="CO815" s="101">
        <f t="shared" si="109"/>
        <v>1</v>
      </c>
    </row>
    <row r="816" spans="1:93" ht="13.9" customHeight="1" x14ac:dyDescent="0.2">
      <c r="A816" s="149">
        <v>419</v>
      </c>
      <c r="B816" s="150" t="s">
        <v>1216</v>
      </c>
      <c r="C816" s="150" t="s">
        <v>2320</v>
      </c>
      <c r="D816" s="150" t="s">
        <v>2321</v>
      </c>
      <c r="E816" s="150" t="s">
        <v>326</v>
      </c>
      <c r="F816" s="149">
        <v>527797</v>
      </c>
      <c r="G816" s="149">
        <v>172208</v>
      </c>
      <c r="H816" s="150" t="s">
        <v>172</v>
      </c>
      <c r="I816" s="151"/>
      <c r="J816" s="151"/>
      <c r="K816" s="149">
        <v>0</v>
      </c>
      <c r="L816" s="149">
        <v>7</v>
      </c>
      <c r="M816" s="149">
        <v>7</v>
      </c>
      <c r="N816" s="149">
        <v>7</v>
      </c>
      <c r="O816" s="149">
        <v>7</v>
      </c>
      <c r="P816" s="152"/>
      <c r="Q816" s="150" t="s">
        <v>2322</v>
      </c>
      <c r="R816" s="150" t="s">
        <v>349</v>
      </c>
      <c r="S816" s="151">
        <v>45036</v>
      </c>
      <c r="T816" s="151">
        <v>45275</v>
      </c>
      <c r="U816" s="152" t="s">
        <v>327</v>
      </c>
      <c r="V816" s="150" t="s">
        <v>330</v>
      </c>
      <c r="W816" s="151"/>
      <c r="X816" s="150" t="s">
        <v>331</v>
      </c>
      <c r="Y816" s="150" t="s">
        <v>343</v>
      </c>
      <c r="Z816" s="150" t="s">
        <v>334</v>
      </c>
      <c r="AA816" s="150" t="s">
        <v>363</v>
      </c>
      <c r="AB816" s="153">
        <v>2.1999999999999999E-2</v>
      </c>
      <c r="AC816" s="151"/>
      <c r="AD816" s="150"/>
      <c r="AE816" s="151"/>
      <c r="AF816" s="150" t="s">
        <v>70</v>
      </c>
      <c r="AG816" s="152" t="s">
        <v>352</v>
      </c>
      <c r="AH816" s="150" t="s">
        <v>326</v>
      </c>
      <c r="AI816" s="99"/>
      <c r="AJ816" s="149"/>
      <c r="AK816" s="99"/>
      <c r="AL816" s="149"/>
      <c r="AM816" s="99"/>
      <c r="AN816" s="149">
        <v>0</v>
      </c>
      <c r="AO816" s="149">
        <v>4</v>
      </c>
      <c r="AP816" s="149">
        <v>2</v>
      </c>
      <c r="AQ816" s="149">
        <v>1</v>
      </c>
      <c r="AR816" s="149">
        <v>0</v>
      </c>
      <c r="AS816" s="149">
        <v>0</v>
      </c>
      <c r="AT816" s="149">
        <v>0</v>
      </c>
      <c r="AU816" s="149">
        <v>0</v>
      </c>
      <c r="AV816" s="149">
        <v>4</v>
      </c>
      <c r="AW816" s="149">
        <v>2</v>
      </c>
      <c r="AX816" s="149">
        <v>1</v>
      </c>
      <c r="AY816" s="149">
        <v>0</v>
      </c>
      <c r="AZ816" s="149">
        <v>0</v>
      </c>
      <c r="BA816" s="149">
        <v>0</v>
      </c>
      <c r="BB816" s="149">
        <v>0</v>
      </c>
      <c r="BC816" s="149">
        <v>0</v>
      </c>
      <c r="BD816" s="149">
        <v>0</v>
      </c>
      <c r="BE816" s="149">
        <v>0</v>
      </c>
      <c r="BF816" s="149">
        <v>0</v>
      </c>
      <c r="BG816" s="149">
        <v>0</v>
      </c>
      <c r="BH816" s="149">
        <v>0</v>
      </c>
      <c r="BI816" s="149">
        <v>0</v>
      </c>
      <c r="BJ816" s="149">
        <v>0</v>
      </c>
      <c r="BK816" s="149">
        <v>0</v>
      </c>
      <c r="BL816" s="149">
        <v>0</v>
      </c>
      <c r="BM816" s="149">
        <v>0</v>
      </c>
      <c r="BN816" s="149">
        <v>0</v>
      </c>
      <c r="BO816" s="149">
        <v>0</v>
      </c>
      <c r="BP816" s="152"/>
      <c r="BQ816" s="152"/>
      <c r="BR816" s="154" t="s">
        <v>359</v>
      </c>
      <c r="BS816" s="136">
        <v>10</v>
      </c>
      <c r="BT816" s="267"/>
      <c r="BU816" s="267"/>
      <c r="BV816" s="267"/>
      <c r="BW816" s="267"/>
      <c r="BX816" s="267">
        <f>M816/3</f>
        <v>2.3333333333333335</v>
      </c>
      <c r="BY816" s="267">
        <f>M816/3</f>
        <v>2.3333333333333335</v>
      </c>
      <c r="BZ816" s="267">
        <f>M816/3</f>
        <v>2.3333333333333335</v>
      </c>
      <c r="CA816" s="267"/>
      <c r="CB816" s="267"/>
      <c r="CC816" s="267"/>
      <c r="CD816" s="267"/>
      <c r="CE816" s="267"/>
      <c r="CF816" s="267"/>
      <c r="CG816" s="267"/>
      <c r="CH816" s="267"/>
      <c r="CI816" s="267"/>
      <c r="CJ816" s="267"/>
      <c r="CK816" s="267"/>
      <c r="CL816" s="267"/>
      <c r="CM816" s="267"/>
      <c r="CN816" s="101">
        <f t="shared" si="108"/>
        <v>4.666666666666667</v>
      </c>
      <c r="CO816" s="101">
        <f t="shared" si="109"/>
        <v>7</v>
      </c>
    </row>
    <row r="817" spans="1:93" ht="13.9" customHeight="1" x14ac:dyDescent="0.2">
      <c r="A817" s="149">
        <v>7463</v>
      </c>
      <c r="B817" s="150" t="s">
        <v>1216</v>
      </c>
      <c r="C817" s="150" t="s">
        <v>2323</v>
      </c>
      <c r="D817" s="150" t="s">
        <v>2324</v>
      </c>
      <c r="E817" s="150" t="s">
        <v>2325</v>
      </c>
      <c r="F817" s="149">
        <v>525270</v>
      </c>
      <c r="G817" s="149">
        <v>174719</v>
      </c>
      <c r="H817" s="150" t="s">
        <v>161</v>
      </c>
      <c r="I817" s="151">
        <v>44792</v>
      </c>
      <c r="J817" s="151"/>
      <c r="K817" s="149">
        <v>0</v>
      </c>
      <c r="L817" s="149">
        <v>5</v>
      </c>
      <c r="M817" s="149">
        <v>5</v>
      </c>
      <c r="N817" s="149">
        <v>9</v>
      </c>
      <c r="O817" s="149">
        <v>9</v>
      </c>
      <c r="P817" s="152"/>
      <c r="Q817" s="150" t="s">
        <v>2326</v>
      </c>
      <c r="R817" s="150" t="s">
        <v>349</v>
      </c>
      <c r="S817" s="151">
        <v>44187</v>
      </c>
      <c r="T817" s="151">
        <v>44308</v>
      </c>
      <c r="U817" s="152"/>
      <c r="V817" s="150" t="s">
        <v>330</v>
      </c>
      <c r="W817" s="151"/>
      <c r="X817" s="150" t="s">
        <v>331</v>
      </c>
      <c r="Y817" s="150" t="s">
        <v>343</v>
      </c>
      <c r="Z817" s="150" t="s">
        <v>334</v>
      </c>
      <c r="AA817" s="150" t="s">
        <v>363</v>
      </c>
      <c r="AB817" s="153">
        <v>2.5000000000000001E-2</v>
      </c>
      <c r="AC817" s="151"/>
      <c r="AD817" s="150"/>
      <c r="AE817" s="151"/>
      <c r="AF817" s="150" t="s">
        <v>70</v>
      </c>
      <c r="AG817" s="152" t="s">
        <v>352</v>
      </c>
      <c r="AH817" s="150" t="s">
        <v>326</v>
      </c>
      <c r="AI817" s="99"/>
      <c r="AJ817" s="149"/>
      <c r="AK817" s="99"/>
      <c r="AL817" s="149"/>
      <c r="AM817" s="99"/>
      <c r="AN817" s="149">
        <v>2</v>
      </c>
      <c r="AO817" s="149">
        <v>2</v>
      </c>
      <c r="AP817" s="149">
        <v>1</v>
      </c>
      <c r="AQ817" s="149">
        <v>0</v>
      </c>
      <c r="AR817" s="149">
        <v>0</v>
      </c>
      <c r="AS817" s="149">
        <v>0</v>
      </c>
      <c r="AT817" s="149">
        <v>0</v>
      </c>
      <c r="AU817" s="149">
        <v>2</v>
      </c>
      <c r="AV817" s="149">
        <v>2</v>
      </c>
      <c r="AW817" s="149">
        <v>1</v>
      </c>
      <c r="AX817" s="149">
        <v>0</v>
      </c>
      <c r="AY817" s="149">
        <v>0</v>
      </c>
      <c r="AZ817" s="149">
        <v>0</v>
      </c>
      <c r="BA817" s="149">
        <v>0</v>
      </c>
      <c r="BB817" s="149">
        <v>0</v>
      </c>
      <c r="BC817" s="149">
        <v>0</v>
      </c>
      <c r="BD817" s="149">
        <v>0</v>
      </c>
      <c r="BE817" s="149">
        <v>0</v>
      </c>
      <c r="BF817" s="149">
        <v>0</v>
      </c>
      <c r="BG817" s="149">
        <v>0</v>
      </c>
      <c r="BH817" s="149">
        <v>0</v>
      </c>
      <c r="BI817" s="149">
        <v>0</v>
      </c>
      <c r="BJ817" s="149">
        <v>0</v>
      </c>
      <c r="BK817" s="149">
        <v>0</v>
      </c>
      <c r="BL817" s="149">
        <v>0</v>
      </c>
      <c r="BM817" s="149">
        <v>0</v>
      </c>
      <c r="BN817" s="149">
        <v>0</v>
      </c>
      <c r="BO817" s="149">
        <v>0</v>
      </c>
      <c r="BP817" s="152"/>
      <c r="BQ817" s="152"/>
      <c r="BR817" s="154" t="s">
        <v>463</v>
      </c>
      <c r="BS817" s="136">
        <v>8</v>
      </c>
      <c r="BT817" s="267"/>
      <c r="BU817" s="267"/>
      <c r="BV817" s="267">
        <f>M817</f>
        <v>5</v>
      </c>
      <c r="BW817" s="267"/>
      <c r="BX817" s="267"/>
      <c r="BY817" s="267"/>
      <c r="BZ817" s="267"/>
      <c r="CA817" s="267"/>
      <c r="CB817" s="267"/>
      <c r="CC817" s="267"/>
      <c r="CD817" s="267"/>
      <c r="CE817" s="267"/>
      <c r="CF817" s="267"/>
      <c r="CG817" s="267"/>
      <c r="CH817" s="267"/>
      <c r="CI817" s="267"/>
      <c r="CJ817" s="267"/>
      <c r="CK817" s="267"/>
      <c r="CL817" s="267"/>
      <c r="CM817" s="267"/>
      <c r="CN817" s="101">
        <f t="shared" si="108"/>
        <v>5</v>
      </c>
      <c r="CO817" s="101">
        <f t="shared" si="109"/>
        <v>5</v>
      </c>
    </row>
    <row r="818" spans="1:93" ht="13.9" customHeight="1" x14ac:dyDescent="0.2">
      <c r="A818" s="149">
        <v>7463</v>
      </c>
      <c r="B818" s="150" t="s">
        <v>1216</v>
      </c>
      <c r="C818" s="150" t="s">
        <v>2323</v>
      </c>
      <c r="D818" s="150" t="s">
        <v>2324</v>
      </c>
      <c r="E818" s="150" t="s">
        <v>2327</v>
      </c>
      <c r="F818" s="149">
        <v>525270</v>
      </c>
      <c r="G818" s="149">
        <v>174719</v>
      </c>
      <c r="H818" s="150" t="s">
        <v>161</v>
      </c>
      <c r="I818" s="151">
        <v>44792</v>
      </c>
      <c r="J818" s="151"/>
      <c r="K818" s="149">
        <v>0</v>
      </c>
      <c r="L818" s="149">
        <v>3</v>
      </c>
      <c r="M818" s="149">
        <v>3</v>
      </c>
      <c r="N818" s="149">
        <v>9</v>
      </c>
      <c r="O818" s="149">
        <v>9</v>
      </c>
      <c r="P818" s="152"/>
      <c r="Q818" s="150" t="s">
        <v>2326</v>
      </c>
      <c r="R818" s="150" t="s">
        <v>349</v>
      </c>
      <c r="S818" s="151">
        <v>44187</v>
      </c>
      <c r="T818" s="151">
        <v>44308</v>
      </c>
      <c r="U818" s="152"/>
      <c r="V818" s="150" t="s">
        <v>330</v>
      </c>
      <c r="W818" s="151"/>
      <c r="X818" s="150" t="s">
        <v>331</v>
      </c>
      <c r="Y818" s="150" t="s">
        <v>343</v>
      </c>
      <c r="Z818" s="150" t="s">
        <v>334</v>
      </c>
      <c r="AA818" s="150" t="s">
        <v>363</v>
      </c>
      <c r="AB818" s="153">
        <v>2.1000000000000001E-2</v>
      </c>
      <c r="AC818" s="151"/>
      <c r="AD818" s="150"/>
      <c r="AE818" s="151"/>
      <c r="AF818" s="150" t="s">
        <v>70</v>
      </c>
      <c r="AG818" s="152" t="s">
        <v>352</v>
      </c>
      <c r="AH818" s="150" t="s">
        <v>326</v>
      </c>
      <c r="AI818" s="99"/>
      <c r="AJ818" s="149"/>
      <c r="AK818" s="99"/>
      <c r="AL818" s="149"/>
      <c r="AM818" s="99"/>
      <c r="AN818" s="149">
        <v>0</v>
      </c>
      <c r="AO818" s="149">
        <v>0</v>
      </c>
      <c r="AP818" s="149">
        <v>3</v>
      </c>
      <c r="AQ818" s="149">
        <v>0</v>
      </c>
      <c r="AR818" s="149">
        <v>0</v>
      </c>
      <c r="AS818" s="149">
        <v>0</v>
      </c>
      <c r="AT818" s="149">
        <v>0</v>
      </c>
      <c r="AU818" s="149">
        <v>0</v>
      </c>
      <c r="AV818" s="149">
        <v>0</v>
      </c>
      <c r="AW818" s="149">
        <v>3</v>
      </c>
      <c r="AX818" s="149">
        <v>0</v>
      </c>
      <c r="AY818" s="149">
        <v>0</v>
      </c>
      <c r="AZ818" s="149">
        <v>0</v>
      </c>
      <c r="BA818" s="149">
        <v>0</v>
      </c>
      <c r="BB818" s="149">
        <v>0</v>
      </c>
      <c r="BC818" s="149">
        <v>0</v>
      </c>
      <c r="BD818" s="149">
        <v>0</v>
      </c>
      <c r="BE818" s="149">
        <v>0</v>
      </c>
      <c r="BF818" s="149">
        <v>0</v>
      </c>
      <c r="BG818" s="149">
        <v>0</v>
      </c>
      <c r="BH818" s="149">
        <v>0</v>
      </c>
      <c r="BI818" s="149">
        <v>0</v>
      </c>
      <c r="BJ818" s="149">
        <v>0</v>
      </c>
      <c r="BK818" s="149">
        <v>0</v>
      </c>
      <c r="BL818" s="149">
        <v>0</v>
      </c>
      <c r="BM818" s="149">
        <v>0</v>
      </c>
      <c r="BN818" s="149">
        <v>0</v>
      </c>
      <c r="BO818" s="149">
        <v>0</v>
      </c>
      <c r="BP818" s="152"/>
      <c r="BQ818" s="152"/>
      <c r="BR818" s="154" t="s">
        <v>463</v>
      </c>
      <c r="BS818" s="136">
        <v>8</v>
      </c>
      <c r="BT818" s="267"/>
      <c r="BU818" s="267"/>
      <c r="BV818" s="267">
        <f>M818</f>
        <v>3</v>
      </c>
      <c r="BW818" s="267"/>
      <c r="BX818" s="267"/>
      <c r="BY818" s="267"/>
      <c r="BZ818" s="267"/>
      <c r="CA818" s="267"/>
      <c r="CB818" s="267"/>
      <c r="CC818" s="267"/>
      <c r="CD818" s="267"/>
      <c r="CE818" s="267"/>
      <c r="CF818" s="267"/>
      <c r="CG818" s="267"/>
      <c r="CH818" s="267"/>
      <c r="CI818" s="267"/>
      <c r="CJ818" s="267"/>
      <c r="CK818" s="267"/>
      <c r="CL818" s="267"/>
      <c r="CM818" s="267"/>
      <c r="CN818" s="101">
        <f t="shared" si="108"/>
        <v>3</v>
      </c>
      <c r="CO818" s="101">
        <f t="shared" si="109"/>
        <v>3</v>
      </c>
    </row>
    <row r="819" spans="1:93" ht="13.9" customHeight="1" x14ac:dyDescent="0.2">
      <c r="A819" s="149">
        <v>7994</v>
      </c>
      <c r="B819" s="150" t="s">
        <v>1216</v>
      </c>
      <c r="C819" s="150" t="s">
        <v>2328</v>
      </c>
      <c r="D819" s="150" t="s">
        <v>2329</v>
      </c>
      <c r="E819" s="150" t="s">
        <v>326</v>
      </c>
      <c r="F819" s="149">
        <v>526228</v>
      </c>
      <c r="G819" s="149">
        <v>174320</v>
      </c>
      <c r="H819" s="150" t="s">
        <v>177</v>
      </c>
      <c r="I819" s="151"/>
      <c r="J819" s="151"/>
      <c r="K819" s="149">
        <v>1</v>
      </c>
      <c r="L819" s="149">
        <v>2</v>
      </c>
      <c r="M819" s="149">
        <v>1</v>
      </c>
      <c r="N819" s="149">
        <v>2</v>
      </c>
      <c r="O819" s="149">
        <v>1</v>
      </c>
      <c r="P819" s="152"/>
      <c r="Q819" s="150" t="s">
        <v>2330</v>
      </c>
      <c r="R819" s="150" t="s">
        <v>349</v>
      </c>
      <c r="S819" s="151">
        <v>45096</v>
      </c>
      <c r="T819" s="151">
        <v>45167</v>
      </c>
      <c r="U819" s="152" t="s">
        <v>327</v>
      </c>
      <c r="V819" s="150" t="s">
        <v>330</v>
      </c>
      <c r="W819" s="151"/>
      <c r="X819" s="150" t="s">
        <v>331</v>
      </c>
      <c r="Y819" s="150" t="s">
        <v>398</v>
      </c>
      <c r="Z819" s="150" t="s">
        <v>334</v>
      </c>
      <c r="AA819" s="150" t="s">
        <v>32</v>
      </c>
      <c r="AB819" s="153">
        <v>0.01</v>
      </c>
      <c r="AC819" s="151"/>
      <c r="AD819" s="150"/>
      <c r="AE819" s="151"/>
      <c r="AF819" s="150" t="s">
        <v>70</v>
      </c>
      <c r="AG819" s="152" t="s">
        <v>337</v>
      </c>
      <c r="AH819" s="150" t="s">
        <v>326</v>
      </c>
      <c r="AI819" s="99"/>
      <c r="AJ819" s="149"/>
      <c r="AK819" s="99"/>
      <c r="AL819" s="149"/>
      <c r="AM819" s="99"/>
      <c r="AN819" s="149">
        <v>0</v>
      </c>
      <c r="AO819" s="149">
        <v>0</v>
      </c>
      <c r="AP819" s="149">
        <v>0</v>
      </c>
      <c r="AQ819" s="149">
        <v>1</v>
      </c>
      <c r="AR819" s="149">
        <v>0</v>
      </c>
      <c r="AS819" s="149">
        <v>0</v>
      </c>
      <c r="AT819" s="149">
        <v>0</v>
      </c>
      <c r="AU819" s="149">
        <v>0</v>
      </c>
      <c r="AV819" s="149">
        <v>0</v>
      </c>
      <c r="AW819" s="149">
        <v>0</v>
      </c>
      <c r="AX819" s="149">
        <v>1</v>
      </c>
      <c r="AY819" s="149">
        <v>0</v>
      </c>
      <c r="AZ819" s="149">
        <v>0</v>
      </c>
      <c r="BA819" s="149">
        <v>0</v>
      </c>
      <c r="BB819" s="149">
        <v>0</v>
      </c>
      <c r="BC819" s="149">
        <v>0</v>
      </c>
      <c r="BD819" s="149">
        <v>0</v>
      </c>
      <c r="BE819" s="149">
        <v>0</v>
      </c>
      <c r="BF819" s="149">
        <v>0</v>
      </c>
      <c r="BG819" s="149">
        <v>0</v>
      </c>
      <c r="BH819" s="149">
        <v>0</v>
      </c>
      <c r="BI819" s="149">
        <v>0</v>
      </c>
      <c r="BJ819" s="149">
        <v>0</v>
      </c>
      <c r="BK819" s="149">
        <v>0</v>
      </c>
      <c r="BL819" s="149">
        <v>0</v>
      </c>
      <c r="BM819" s="149">
        <v>0</v>
      </c>
      <c r="BN819" s="149">
        <v>0</v>
      </c>
      <c r="BO819" s="149">
        <v>0</v>
      </c>
      <c r="BP819" s="152"/>
      <c r="BQ819" s="152"/>
      <c r="BR819" s="154" t="s">
        <v>359</v>
      </c>
      <c r="BS819" s="136">
        <v>15</v>
      </c>
      <c r="BT819" s="267"/>
      <c r="BU819" s="267">
        <f>M819/4</f>
        <v>0.25</v>
      </c>
      <c r="BV819" s="267">
        <f t="shared" ref="BV819:BV835" si="114">M819/4</f>
        <v>0.25</v>
      </c>
      <c r="BW819" s="267">
        <f t="shared" ref="BW819:BW835" si="115">M819/4</f>
        <v>0.25</v>
      </c>
      <c r="BX819" s="267">
        <f t="shared" ref="BX819:BX835" si="116">M819/4</f>
        <v>0.25</v>
      </c>
      <c r="BY819" s="267"/>
      <c r="BZ819" s="267"/>
      <c r="CA819" s="267"/>
      <c r="CB819" s="267"/>
      <c r="CC819" s="267"/>
      <c r="CD819" s="267"/>
      <c r="CE819" s="267"/>
      <c r="CF819" s="267"/>
      <c r="CG819" s="267"/>
      <c r="CH819" s="267"/>
      <c r="CI819" s="267"/>
      <c r="CJ819" s="267"/>
      <c r="CK819" s="267"/>
      <c r="CL819" s="267"/>
      <c r="CM819" s="267"/>
      <c r="CN819" s="101">
        <f t="shared" si="108"/>
        <v>1</v>
      </c>
      <c r="CO819" s="101">
        <f t="shared" si="109"/>
        <v>1</v>
      </c>
    </row>
    <row r="820" spans="1:93" ht="13.9" customHeight="1" x14ac:dyDescent="0.2">
      <c r="A820" s="149">
        <v>7985</v>
      </c>
      <c r="B820" s="150" t="s">
        <v>1216</v>
      </c>
      <c r="C820" s="150" t="s">
        <v>2331</v>
      </c>
      <c r="D820" s="150" t="s">
        <v>2332</v>
      </c>
      <c r="E820" s="150" t="s">
        <v>326</v>
      </c>
      <c r="F820" s="149">
        <v>527526</v>
      </c>
      <c r="G820" s="149">
        <v>171007</v>
      </c>
      <c r="H820" s="150" t="s">
        <v>173</v>
      </c>
      <c r="I820" s="151"/>
      <c r="J820" s="151"/>
      <c r="K820" s="149">
        <v>1</v>
      </c>
      <c r="L820" s="149">
        <v>2</v>
      </c>
      <c r="M820" s="149">
        <v>1</v>
      </c>
      <c r="N820" s="149">
        <v>2</v>
      </c>
      <c r="O820" s="149">
        <v>1</v>
      </c>
      <c r="P820" s="152"/>
      <c r="Q820" s="150" t="s">
        <v>2333</v>
      </c>
      <c r="R820" s="150" t="s">
        <v>349</v>
      </c>
      <c r="S820" s="151">
        <v>45042</v>
      </c>
      <c r="T820" s="151">
        <v>45154</v>
      </c>
      <c r="U820" s="152" t="s">
        <v>327</v>
      </c>
      <c r="V820" s="150" t="s">
        <v>330</v>
      </c>
      <c r="W820" s="151"/>
      <c r="X820" s="150" t="s">
        <v>331</v>
      </c>
      <c r="Y820" s="150" t="s">
        <v>398</v>
      </c>
      <c r="Z820" s="150" t="s">
        <v>334</v>
      </c>
      <c r="AA820" s="150" t="s">
        <v>413</v>
      </c>
      <c r="AB820" s="153">
        <v>0.01</v>
      </c>
      <c r="AC820" s="151"/>
      <c r="AD820" s="150"/>
      <c r="AE820" s="151"/>
      <c r="AF820" s="150" t="s">
        <v>70</v>
      </c>
      <c r="AG820" s="152" t="s">
        <v>352</v>
      </c>
      <c r="AH820" s="150" t="s">
        <v>326</v>
      </c>
      <c r="AI820" s="99"/>
      <c r="AJ820" s="149"/>
      <c r="AK820" s="99"/>
      <c r="AL820" s="149"/>
      <c r="AM820" s="99"/>
      <c r="AN820" s="149">
        <v>0</v>
      </c>
      <c r="AO820" s="149">
        <v>0</v>
      </c>
      <c r="AP820" s="149">
        <v>1</v>
      </c>
      <c r="AQ820" s="149">
        <v>0</v>
      </c>
      <c r="AR820" s="149">
        <v>0</v>
      </c>
      <c r="AS820" s="149">
        <v>0</v>
      </c>
      <c r="AT820" s="149">
        <v>0</v>
      </c>
      <c r="AU820" s="149">
        <v>0</v>
      </c>
      <c r="AV820" s="149">
        <v>0</v>
      </c>
      <c r="AW820" s="149">
        <v>1</v>
      </c>
      <c r="AX820" s="149">
        <v>0</v>
      </c>
      <c r="AY820" s="149">
        <v>0</v>
      </c>
      <c r="AZ820" s="149">
        <v>0</v>
      </c>
      <c r="BA820" s="149">
        <v>0</v>
      </c>
      <c r="BB820" s="149">
        <v>0</v>
      </c>
      <c r="BC820" s="149">
        <v>0</v>
      </c>
      <c r="BD820" s="149">
        <v>0</v>
      </c>
      <c r="BE820" s="149">
        <v>0</v>
      </c>
      <c r="BF820" s="149">
        <v>0</v>
      </c>
      <c r="BG820" s="149">
        <v>0</v>
      </c>
      <c r="BH820" s="149">
        <v>0</v>
      </c>
      <c r="BI820" s="149">
        <v>0</v>
      </c>
      <c r="BJ820" s="149">
        <v>0</v>
      </c>
      <c r="BK820" s="149">
        <v>0</v>
      </c>
      <c r="BL820" s="149">
        <v>0</v>
      </c>
      <c r="BM820" s="149">
        <v>0</v>
      </c>
      <c r="BN820" s="149">
        <v>0</v>
      </c>
      <c r="BO820" s="149">
        <v>0</v>
      </c>
      <c r="BP820" s="152"/>
      <c r="BQ820" s="152"/>
      <c r="BR820" s="154" t="s">
        <v>359</v>
      </c>
      <c r="BS820" s="136">
        <v>15</v>
      </c>
      <c r="BT820" s="267"/>
      <c r="BU820" s="267">
        <f>M820/4</f>
        <v>0.25</v>
      </c>
      <c r="BV820" s="267">
        <f t="shared" si="114"/>
        <v>0.25</v>
      </c>
      <c r="BW820" s="267">
        <f t="shared" si="115"/>
        <v>0.25</v>
      </c>
      <c r="BX820" s="267">
        <f t="shared" si="116"/>
        <v>0.25</v>
      </c>
      <c r="BY820" s="267"/>
      <c r="BZ820" s="267"/>
      <c r="CA820" s="267"/>
      <c r="CB820" s="267"/>
      <c r="CC820" s="267"/>
      <c r="CD820" s="267"/>
      <c r="CE820" s="267"/>
      <c r="CF820" s="267"/>
      <c r="CG820" s="267"/>
      <c r="CH820" s="267"/>
      <c r="CI820" s="267"/>
      <c r="CJ820" s="267"/>
      <c r="CK820" s="267"/>
      <c r="CL820" s="267"/>
      <c r="CM820" s="267"/>
      <c r="CN820" s="101">
        <f t="shared" si="108"/>
        <v>1</v>
      </c>
      <c r="CO820" s="101">
        <f t="shared" si="109"/>
        <v>1</v>
      </c>
    </row>
    <row r="821" spans="1:93" ht="13.9" customHeight="1" x14ac:dyDescent="0.2">
      <c r="A821" s="149">
        <v>7982</v>
      </c>
      <c r="B821" s="150" t="s">
        <v>1216</v>
      </c>
      <c r="C821" s="150" t="s">
        <v>2334</v>
      </c>
      <c r="D821" s="150" t="s">
        <v>2335</v>
      </c>
      <c r="E821" s="150" t="s">
        <v>326</v>
      </c>
      <c r="F821" s="149">
        <v>528565</v>
      </c>
      <c r="G821" s="149">
        <v>173378</v>
      </c>
      <c r="H821" s="150" t="s">
        <v>139</v>
      </c>
      <c r="I821" s="151"/>
      <c r="J821" s="151"/>
      <c r="K821" s="149">
        <v>0</v>
      </c>
      <c r="L821" s="149">
        <v>3</v>
      </c>
      <c r="M821" s="149">
        <v>3</v>
      </c>
      <c r="N821" s="149">
        <v>3</v>
      </c>
      <c r="O821" s="149">
        <v>3</v>
      </c>
      <c r="P821" s="152"/>
      <c r="Q821" s="150" t="s">
        <v>2336</v>
      </c>
      <c r="R821" s="150" t="s">
        <v>349</v>
      </c>
      <c r="S821" s="151">
        <v>45044</v>
      </c>
      <c r="T821" s="151">
        <v>45100</v>
      </c>
      <c r="U821" s="152" t="s">
        <v>327</v>
      </c>
      <c r="V821" s="150" t="s">
        <v>330</v>
      </c>
      <c r="W821" s="151"/>
      <c r="X821" s="150" t="s">
        <v>331</v>
      </c>
      <c r="Y821" s="150" t="s">
        <v>350</v>
      </c>
      <c r="Z821" s="150" t="s">
        <v>334</v>
      </c>
      <c r="AA821" s="150" t="s">
        <v>29</v>
      </c>
      <c r="AB821" s="153">
        <v>8.633333E-3</v>
      </c>
      <c r="AC821" s="151"/>
      <c r="AD821" s="150"/>
      <c r="AE821" s="151"/>
      <c r="AF821" s="150" t="s">
        <v>70</v>
      </c>
      <c r="AG821" s="152" t="s">
        <v>352</v>
      </c>
      <c r="AH821" s="150" t="s">
        <v>326</v>
      </c>
      <c r="AI821" s="99"/>
      <c r="AJ821" s="149"/>
      <c r="AK821" s="99"/>
      <c r="AL821" s="149"/>
      <c r="AM821" s="99"/>
      <c r="AN821" s="149">
        <v>0</v>
      </c>
      <c r="AO821" s="149">
        <v>0</v>
      </c>
      <c r="AP821" s="149">
        <v>1</v>
      </c>
      <c r="AQ821" s="149">
        <v>2</v>
      </c>
      <c r="AR821" s="149">
        <v>0</v>
      </c>
      <c r="AS821" s="149">
        <v>0</v>
      </c>
      <c r="AT821" s="149">
        <v>0</v>
      </c>
      <c r="AU821" s="149">
        <v>0</v>
      </c>
      <c r="AV821" s="149">
        <v>0</v>
      </c>
      <c r="AW821" s="149">
        <v>1</v>
      </c>
      <c r="AX821" s="149">
        <v>2</v>
      </c>
      <c r="AY821" s="149">
        <v>0</v>
      </c>
      <c r="AZ821" s="149">
        <v>0</v>
      </c>
      <c r="BA821" s="149">
        <v>0</v>
      </c>
      <c r="BB821" s="149">
        <v>0</v>
      </c>
      <c r="BC821" s="149">
        <v>0</v>
      </c>
      <c r="BD821" s="149">
        <v>0</v>
      </c>
      <c r="BE821" s="149">
        <v>0</v>
      </c>
      <c r="BF821" s="149">
        <v>0</v>
      </c>
      <c r="BG821" s="149">
        <v>0</v>
      </c>
      <c r="BH821" s="149">
        <v>0</v>
      </c>
      <c r="BI821" s="149">
        <v>0</v>
      </c>
      <c r="BJ821" s="149">
        <v>0</v>
      </c>
      <c r="BK821" s="149">
        <v>0</v>
      </c>
      <c r="BL821" s="149">
        <v>0</v>
      </c>
      <c r="BM821" s="149">
        <v>0</v>
      </c>
      <c r="BN821" s="149">
        <v>0</v>
      </c>
      <c r="BO821" s="149">
        <v>0</v>
      </c>
      <c r="BP821" s="152" t="s">
        <v>139</v>
      </c>
      <c r="BQ821" s="152"/>
      <c r="BR821" s="154" t="s">
        <v>139</v>
      </c>
      <c r="BS821" s="136">
        <v>15</v>
      </c>
      <c r="BT821" s="267"/>
      <c r="BU821" s="267">
        <f>M821/4</f>
        <v>0.75</v>
      </c>
      <c r="BV821" s="267">
        <f t="shared" si="114"/>
        <v>0.75</v>
      </c>
      <c r="BW821" s="267">
        <f t="shared" si="115"/>
        <v>0.75</v>
      </c>
      <c r="BX821" s="267">
        <f t="shared" si="116"/>
        <v>0.75</v>
      </c>
      <c r="BY821" s="267"/>
      <c r="BZ821" s="267"/>
      <c r="CA821" s="267"/>
      <c r="CB821" s="267"/>
      <c r="CC821" s="267"/>
      <c r="CD821" s="267"/>
      <c r="CE821" s="267"/>
      <c r="CF821" s="267"/>
      <c r="CG821" s="267"/>
      <c r="CH821" s="267"/>
      <c r="CI821" s="267"/>
      <c r="CJ821" s="267"/>
      <c r="CK821" s="267"/>
      <c r="CL821" s="267"/>
      <c r="CM821" s="267"/>
      <c r="CN821" s="101">
        <f t="shared" si="108"/>
        <v>3</v>
      </c>
      <c r="CO821" s="101">
        <f t="shared" si="109"/>
        <v>3</v>
      </c>
    </row>
    <row r="822" spans="1:93" ht="13.9" customHeight="1" x14ac:dyDescent="0.2">
      <c r="A822" s="149">
        <v>5143</v>
      </c>
      <c r="B822" s="150" t="s">
        <v>1216</v>
      </c>
      <c r="C822" s="150" t="s">
        <v>2337</v>
      </c>
      <c r="D822" s="150" t="s">
        <v>2338</v>
      </c>
      <c r="E822" s="150" t="s">
        <v>326</v>
      </c>
      <c r="F822" s="149">
        <v>523713</v>
      </c>
      <c r="G822" s="149">
        <v>174783</v>
      </c>
      <c r="H822" s="150" t="s">
        <v>179</v>
      </c>
      <c r="I822" s="151"/>
      <c r="J822" s="151"/>
      <c r="K822" s="149">
        <v>0</v>
      </c>
      <c r="L822" s="149">
        <v>1</v>
      </c>
      <c r="M822" s="149">
        <v>1</v>
      </c>
      <c r="N822" s="149">
        <v>1</v>
      </c>
      <c r="O822" s="149">
        <v>1</v>
      </c>
      <c r="P822" s="152"/>
      <c r="Q822" s="150" t="s">
        <v>2339</v>
      </c>
      <c r="R822" s="150" t="s">
        <v>349</v>
      </c>
      <c r="S822" s="151">
        <v>45058</v>
      </c>
      <c r="T822" s="151">
        <v>45117</v>
      </c>
      <c r="U822" s="152" t="s">
        <v>327</v>
      </c>
      <c r="V822" s="150" t="s">
        <v>330</v>
      </c>
      <c r="W822" s="151"/>
      <c r="X822" s="150" t="s">
        <v>331</v>
      </c>
      <c r="Y822" s="150" t="s">
        <v>491</v>
      </c>
      <c r="Z822" s="150" t="s">
        <v>334</v>
      </c>
      <c r="AA822" s="150" t="s">
        <v>413</v>
      </c>
      <c r="AB822" s="153">
        <v>7.0000000000000001E-3</v>
      </c>
      <c r="AC822" s="151"/>
      <c r="AD822" s="150"/>
      <c r="AE822" s="151"/>
      <c r="AF822" s="150" t="s">
        <v>70</v>
      </c>
      <c r="AG822" s="152" t="s">
        <v>352</v>
      </c>
      <c r="AH822" s="150" t="s">
        <v>326</v>
      </c>
      <c r="AI822" s="99"/>
      <c r="AJ822" s="149"/>
      <c r="AK822" s="99"/>
      <c r="AL822" s="149"/>
      <c r="AM822" s="99"/>
      <c r="AN822" s="149">
        <v>1</v>
      </c>
      <c r="AO822" s="149">
        <v>0</v>
      </c>
      <c r="AP822" s="149">
        <v>0</v>
      </c>
      <c r="AQ822" s="149">
        <v>0</v>
      </c>
      <c r="AR822" s="149">
        <v>0</v>
      </c>
      <c r="AS822" s="149">
        <v>0</v>
      </c>
      <c r="AT822" s="149">
        <v>0</v>
      </c>
      <c r="AU822" s="149">
        <v>1</v>
      </c>
      <c r="AV822" s="149">
        <v>0</v>
      </c>
      <c r="AW822" s="149">
        <v>0</v>
      </c>
      <c r="AX822" s="149">
        <v>0</v>
      </c>
      <c r="AY822" s="149">
        <v>0</v>
      </c>
      <c r="AZ822" s="149">
        <v>0</v>
      </c>
      <c r="BA822" s="149">
        <v>0</v>
      </c>
      <c r="BB822" s="149">
        <v>0</v>
      </c>
      <c r="BC822" s="149">
        <v>0</v>
      </c>
      <c r="BD822" s="149">
        <v>0</v>
      </c>
      <c r="BE822" s="149">
        <v>0</v>
      </c>
      <c r="BF822" s="149">
        <v>0</v>
      </c>
      <c r="BG822" s="149">
        <v>0</v>
      </c>
      <c r="BH822" s="149">
        <v>0</v>
      </c>
      <c r="BI822" s="149">
        <v>0</v>
      </c>
      <c r="BJ822" s="149">
        <v>0</v>
      </c>
      <c r="BK822" s="149">
        <v>0</v>
      </c>
      <c r="BL822" s="149">
        <v>0</v>
      </c>
      <c r="BM822" s="149">
        <v>0</v>
      </c>
      <c r="BN822" s="149">
        <v>0</v>
      </c>
      <c r="BO822" s="149">
        <v>0</v>
      </c>
      <c r="BP822" s="152"/>
      <c r="BQ822" s="152"/>
      <c r="BR822" s="154" t="s">
        <v>359</v>
      </c>
      <c r="BS822" s="136">
        <v>15</v>
      </c>
      <c r="BT822" s="267"/>
      <c r="BU822" s="267">
        <f>M822/4</f>
        <v>0.25</v>
      </c>
      <c r="BV822" s="267">
        <f t="shared" si="114"/>
        <v>0.25</v>
      </c>
      <c r="BW822" s="267">
        <f t="shared" si="115"/>
        <v>0.25</v>
      </c>
      <c r="BX822" s="267">
        <f t="shared" si="116"/>
        <v>0.25</v>
      </c>
      <c r="BY822" s="267"/>
      <c r="BZ822" s="267"/>
      <c r="CA822" s="267"/>
      <c r="CB822" s="267"/>
      <c r="CC822" s="267"/>
      <c r="CD822" s="267"/>
      <c r="CE822" s="267"/>
      <c r="CF822" s="267"/>
      <c r="CG822" s="267"/>
      <c r="CH822" s="267"/>
      <c r="CI822" s="267"/>
      <c r="CJ822" s="267"/>
      <c r="CK822" s="267"/>
      <c r="CL822" s="267"/>
      <c r="CM822" s="267"/>
      <c r="CN822" s="101">
        <f t="shared" si="108"/>
        <v>1</v>
      </c>
      <c r="CO822" s="101">
        <f t="shared" si="109"/>
        <v>1</v>
      </c>
    </row>
    <row r="823" spans="1:93" ht="13.9" customHeight="1" x14ac:dyDescent="0.2">
      <c r="A823" s="149">
        <v>7170</v>
      </c>
      <c r="B823" s="150" t="s">
        <v>1216</v>
      </c>
      <c r="C823" s="150" t="s">
        <v>2340</v>
      </c>
      <c r="D823" s="150" t="s">
        <v>2341</v>
      </c>
      <c r="E823" s="150" t="s">
        <v>326</v>
      </c>
      <c r="F823" s="149">
        <v>526060</v>
      </c>
      <c r="G823" s="149">
        <v>174693</v>
      </c>
      <c r="H823" s="150" t="s">
        <v>177</v>
      </c>
      <c r="I823" s="151"/>
      <c r="J823" s="151"/>
      <c r="K823" s="149">
        <v>3</v>
      </c>
      <c r="L823" s="149">
        <v>3</v>
      </c>
      <c r="M823" s="149">
        <v>0</v>
      </c>
      <c r="N823" s="149">
        <v>3</v>
      </c>
      <c r="O823" s="149">
        <v>0</v>
      </c>
      <c r="P823" s="152"/>
      <c r="Q823" s="150" t="s">
        <v>2342</v>
      </c>
      <c r="R823" s="150" t="s">
        <v>349</v>
      </c>
      <c r="S823" s="151">
        <v>45063</v>
      </c>
      <c r="T823" s="151">
        <v>45233</v>
      </c>
      <c r="U823" s="152" t="s">
        <v>327</v>
      </c>
      <c r="V823" s="150" t="s">
        <v>330</v>
      </c>
      <c r="W823" s="151"/>
      <c r="X823" s="150" t="s">
        <v>331</v>
      </c>
      <c r="Y823" s="150" t="s">
        <v>491</v>
      </c>
      <c r="Z823" s="150" t="s">
        <v>334</v>
      </c>
      <c r="AA823" s="150" t="s">
        <v>413</v>
      </c>
      <c r="AB823" s="153">
        <v>6.6940000000000003E-3</v>
      </c>
      <c r="AC823" s="151"/>
      <c r="AD823" s="150"/>
      <c r="AE823" s="151"/>
      <c r="AF823" s="150" t="s">
        <v>70</v>
      </c>
      <c r="AG823" s="152" t="s">
        <v>352</v>
      </c>
      <c r="AH823" s="150" t="s">
        <v>326</v>
      </c>
      <c r="AI823" s="99"/>
      <c r="AJ823" s="149"/>
      <c r="AK823" s="99"/>
      <c r="AL823" s="149"/>
      <c r="AM823" s="99"/>
      <c r="AN823" s="149">
        <v>-1</v>
      </c>
      <c r="AO823" s="149">
        <v>1</v>
      </c>
      <c r="AP823" s="149">
        <v>0</v>
      </c>
      <c r="AQ823" s="149">
        <v>0</v>
      </c>
      <c r="AR823" s="149">
        <v>0</v>
      </c>
      <c r="AS823" s="149">
        <v>0</v>
      </c>
      <c r="AT823" s="149">
        <v>0</v>
      </c>
      <c r="AU823" s="149">
        <v>-1</v>
      </c>
      <c r="AV823" s="149">
        <v>1</v>
      </c>
      <c r="AW823" s="149">
        <v>0</v>
      </c>
      <c r="AX823" s="149">
        <v>0</v>
      </c>
      <c r="AY823" s="149">
        <v>0</v>
      </c>
      <c r="AZ823" s="149">
        <v>0</v>
      </c>
      <c r="BA823" s="149">
        <v>0</v>
      </c>
      <c r="BB823" s="149">
        <v>0</v>
      </c>
      <c r="BC823" s="149">
        <v>0</v>
      </c>
      <c r="BD823" s="149">
        <v>0</v>
      </c>
      <c r="BE823" s="149">
        <v>0</v>
      </c>
      <c r="BF823" s="149">
        <v>0</v>
      </c>
      <c r="BG823" s="149">
        <v>0</v>
      </c>
      <c r="BH823" s="149">
        <v>0</v>
      </c>
      <c r="BI823" s="149">
        <v>0</v>
      </c>
      <c r="BJ823" s="149">
        <v>0</v>
      </c>
      <c r="BK823" s="149">
        <v>0</v>
      </c>
      <c r="BL823" s="149">
        <v>0</v>
      </c>
      <c r="BM823" s="149">
        <v>0</v>
      </c>
      <c r="BN823" s="149">
        <v>0</v>
      </c>
      <c r="BO823" s="149">
        <v>0</v>
      </c>
      <c r="BP823" s="152"/>
      <c r="BQ823" s="152"/>
      <c r="BR823" s="154" t="s">
        <v>359</v>
      </c>
      <c r="BS823" s="136">
        <v>15</v>
      </c>
      <c r="BT823" s="267"/>
      <c r="BU823" s="267">
        <f>M823/4</f>
        <v>0</v>
      </c>
      <c r="BV823" s="267">
        <f t="shared" si="114"/>
        <v>0</v>
      </c>
      <c r="BW823" s="267">
        <f t="shared" si="115"/>
        <v>0</v>
      </c>
      <c r="BX823" s="267">
        <f t="shared" si="116"/>
        <v>0</v>
      </c>
      <c r="BY823" s="267"/>
      <c r="BZ823" s="267"/>
      <c r="CA823" s="267"/>
      <c r="CB823" s="267"/>
      <c r="CC823" s="267"/>
      <c r="CD823" s="267"/>
      <c r="CE823" s="267"/>
      <c r="CF823" s="267"/>
      <c r="CG823" s="267"/>
      <c r="CH823" s="267"/>
      <c r="CI823" s="267"/>
      <c r="CJ823" s="267"/>
      <c r="CK823" s="267"/>
      <c r="CL823" s="267"/>
      <c r="CM823" s="267"/>
      <c r="CN823" s="101">
        <f t="shared" si="108"/>
        <v>0</v>
      </c>
      <c r="CO823" s="101">
        <f t="shared" si="109"/>
        <v>0</v>
      </c>
    </row>
    <row r="824" spans="1:93" ht="13.9" customHeight="1" x14ac:dyDescent="0.2">
      <c r="A824" s="149">
        <v>5734</v>
      </c>
      <c r="B824" s="150" t="s">
        <v>1216</v>
      </c>
      <c r="C824" s="150" t="s">
        <v>2343</v>
      </c>
      <c r="D824" s="150" t="s">
        <v>2344</v>
      </c>
      <c r="E824" s="150" t="s">
        <v>326</v>
      </c>
      <c r="F824" s="149">
        <v>527231</v>
      </c>
      <c r="G824" s="149">
        <v>171411</v>
      </c>
      <c r="H824" s="150" t="s">
        <v>173</v>
      </c>
      <c r="I824" s="151"/>
      <c r="J824" s="151"/>
      <c r="K824" s="149">
        <v>2</v>
      </c>
      <c r="L824" s="149">
        <v>5</v>
      </c>
      <c r="M824" s="149">
        <v>3</v>
      </c>
      <c r="N824" s="149">
        <v>5</v>
      </c>
      <c r="O824" s="149">
        <v>3</v>
      </c>
      <c r="P824" s="152"/>
      <c r="Q824" s="150" t="s">
        <v>2345</v>
      </c>
      <c r="R824" s="150" t="s">
        <v>349</v>
      </c>
      <c r="S824" s="151">
        <v>45063</v>
      </c>
      <c r="T824" s="151">
        <v>45119</v>
      </c>
      <c r="U824" s="152" t="s">
        <v>327</v>
      </c>
      <c r="V824" s="150" t="s">
        <v>330</v>
      </c>
      <c r="W824" s="151"/>
      <c r="X824" s="150" t="s">
        <v>331</v>
      </c>
      <c r="Y824" s="150" t="s">
        <v>343</v>
      </c>
      <c r="Z824" s="150" t="s">
        <v>334</v>
      </c>
      <c r="AA824" s="150" t="s">
        <v>363</v>
      </c>
      <c r="AB824" s="153">
        <v>1.78E-2</v>
      </c>
      <c r="AC824" s="151"/>
      <c r="AD824" s="150"/>
      <c r="AE824" s="151"/>
      <c r="AF824" s="150" t="s">
        <v>70</v>
      </c>
      <c r="AG824" s="152" t="s">
        <v>352</v>
      </c>
      <c r="AH824" s="150" t="s">
        <v>326</v>
      </c>
      <c r="AI824" s="99"/>
      <c r="AJ824" s="149"/>
      <c r="AK824" s="149">
        <v>4</v>
      </c>
      <c r="AL824" s="149"/>
      <c r="AM824" s="149">
        <v>1</v>
      </c>
      <c r="AN824" s="149">
        <v>0</v>
      </c>
      <c r="AO824" s="149">
        <v>0</v>
      </c>
      <c r="AP824" s="149">
        <v>4</v>
      </c>
      <c r="AQ824" s="149">
        <v>-1</v>
      </c>
      <c r="AR824" s="149">
        <v>0</v>
      </c>
      <c r="AS824" s="149">
        <v>0</v>
      </c>
      <c r="AT824" s="149">
        <v>0</v>
      </c>
      <c r="AU824" s="149">
        <v>0</v>
      </c>
      <c r="AV824" s="149">
        <v>0</v>
      </c>
      <c r="AW824" s="149">
        <v>4</v>
      </c>
      <c r="AX824" s="149">
        <v>-1</v>
      </c>
      <c r="AY824" s="149">
        <v>0</v>
      </c>
      <c r="AZ824" s="149">
        <v>0</v>
      </c>
      <c r="BA824" s="149">
        <v>0</v>
      </c>
      <c r="BB824" s="149">
        <v>0</v>
      </c>
      <c r="BC824" s="149">
        <v>0</v>
      </c>
      <c r="BD824" s="149">
        <v>0</v>
      </c>
      <c r="BE824" s="149">
        <v>0</v>
      </c>
      <c r="BF824" s="149">
        <v>0</v>
      </c>
      <c r="BG824" s="149">
        <v>0</v>
      </c>
      <c r="BH824" s="149">
        <v>0</v>
      </c>
      <c r="BI824" s="149">
        <v>0</v>
      </c>
      <c r="BJ824" s="149">
        <v>0</v>
      </c>
      <c r="BK824" s="149">
        <v>0</v>
      </c>
      <c r="BL824" s="149">
        <v>0</v>
      </c>
      <c r="BM824" s="149">
        <v>0</v>
      </c>
      <c r="BN824" s="149">
        <v>0</v>
      </c>
      <c r="BO824" s="149">
        <v>0</v>
      </c>
      <c r="BP824" s="152"/>
      <c r="BQ824" s="152"/>
      <c r="BR824" s="154" t="s">
        <v>142</v>
      </c>
      <c r="BS824" s="136">
        <v>7</v>
      </c>
      <c r="BT824" s="267"/>
      <c r="BU824" s="267"/>
      <c r="BV824" s="267">
        <f t="shared" si="114"/>
        <v>0.75</v>
      </c>
      <c r="BW824" s="267">
        <f t="shared" si="115"/>
        <v>0.75</v>
      </c>
      <c r="BX824" s="267">
        <f t="shared" si="116"/>
        <v>0.75</v>
      </c>
      <c r="BY824" s="267">
        <f>M824/4</f>
        <v>0.75</v>
      </c>
      <c r="BZ824" s="267"/>
      <c r="CA824" s="267"/>
      <c r="CB824" s="267"/>
      <c r="CC824" s="267"/>
      <c r="CD824" s="267"/>
      <c r="CE824" s="267"/>
      <c r="CF824" s="267"/>
      <c r="CG824" s="267"/>
      <c r="CH824" s="267"/>
      <c r="CI824" s="267"/>
      <c r="CJ824" s="267"/>
      <c r="CK824" s="267"/>
      <c r="CL824" s="267"/>
      <c r="CM824" s="267"/>
      <c r="CN824" s="101">
        <f t="shared" si="108"/>
        <v>3</v>
      </c>
      <c r="CO824" s="101">
        <f t="shared" si="109"/>
        <v>3</v>
      </c>
    </row>
    <row r="825" spans="1:93" ht="13.9" customHeight="1" x14ac:dyDescent="0.2">
      <c r="A825" s="149">
        <v>8000</v>
      </c>
      <c r="B825" s="150" t="s">
        <v>1216</v>
      </c>
      <c r="C825" s="150" t="s">
        <v>2346</v>
      </c>
      <c r="D825" s="150" t="s">
        <v>2347</v>
      </c>
      <c r="E825" s="150" t="s">
        <v>326</v>
      </c>
      <c r="F825" s="149">
        <v>527637</v>
      </c>
      <c r="G825" s="149">
        <v>175787</v>
      </c>
      <c r="H825" s="150" t="s">
        <v>167</v>
      </c>
      <c r="I825" s="151"/>
      <c r="J825" s="151"/>
      <c r="K825" s="149">
        <v>0</v>
      </c>
      <c r="L825" s="149">
        <v>1</v>
      </c>
      <c r="M825" s="149">
        <v>1</v>
      </c>
      <c r="N825" s="149">
        <v>1</v>
      </c>
      <c r="O825" s="149">
        <v>1</v>
      </c>
      <c r="P825" s="152"/>
      <c r="Q825" s="150" t="s">
        <v>2348</v>
      </c>
      <c r="R825" s="150" t="s">
        <v>358</v>
      </c>
      <c r="S825" s="151">
        <v>45068</v>
      </c>
      <c r="T825" s="151">
        <v>45121</v>
      </c>
      <c r="U825" s="152" t="s">
        <v>327</v>
      </c>
      <c r="V825" s="150" t="s">
        <v>330</v>
      </c>
      <c r="W825" s="151"/>
      <c r="X825" s="150" t="s">
        <v>331</v>
      </c>
      <c r="Y825" s="150" t="s">
        <v>332</v>
      </c>
      <c r="Z825" s="150" t="s">
        <v>334</v>
      </c>
      <c r="AA825" s="150" t="s">
        <v>18</v>
      </c>
      <c r="AB825" s="153">
        <v>4.4999999999999997E-3</v>
      </c>
      <c r="AC825" s="151"/>
      <c r="AD825" s="150"/>
      <c r="AE825" s="151"/>
      <c r="AF825" s="150" t="s">
        <v>70</v>
      </c>
      <c r="AG825" s="152" t="s">
        <v>352</v>
      </c>
      <c r="AH825" s="150" t="s">
        <v>326</v>
      </c>
      <c r="AI825" s="99"/>
      <c r="AJ825" s="149"/>
      <c r="AK825" s="99"/>
      <c r="AL825" s="149"/>
      <c r="AM825" s="99"/>
      <c r="AN825" s="149">
        <v>0</v>
      </c>
      <c r="AO825" s="149">
        <v>0</v>
      </c>
      <c r="AP825" s="149">
        <v>0</v>
      </c>
      <c r="AQ825" s="149">
        <v>1</v>
      </c>
      <c r="AR825" s="149">
        <v>0</v>
      </c>
      <c r="AS825" s="149">
        <v>0</v>
      </c>
      <c r="AT825" s="149">
        <v>0</v>
      </c>
      <c r="AU825" s="149">
        <v>0</v>
      </c>
      <c r="AV825" s="149">
        <v>0</v>
      </c>
      <c r="AW825" s="149">
        <v>0</v>
      </c>
      <c r="AX825" s="149">
        <v>0</v>
      </c>
      <c r="AY825" s="149">
        <v>0</v>
      </c>
      <c r="AZ825" s="149">
        <v>0</v>
      </c>
      <c r="BA825" s="149">
        <v>0</v>
      </c>
      <c r="BB825" s="149">
        <v>0</v>
      </c>
      <c r="BC825" s="149">
        <v>0</v>
      </c>
      <c r="BD825" s="149">
        <v>0</v>
      </c>
      <c r="BE825" s="149">
        <v>1</v>
      </c>
      <c r="BF825" s="149">
        <v>0</v>
      </c>
      <c r="BG825" s="149">
        <v>0</v>
      </c>
      <c r="BH825" s="149">
        <v>0</v>
      </c>
      <c r="BI825" s="149">
        <v>0</v>
      </c>
      <c r="BJ825" s="149">
        <v>0</v>
      </c>
      <c r="BK825" s="149">
        <v>0</v>
      </c>
      <c r="BL825" s="149">
        <v>0</v>
      </c>
      <c r="BM825" s="149">
        <v>0</v>
      </c>
      <c r="BN825" s="149">
        <v>0</v>
      </c>
      <c r="BO825" s="149">
        <v>0</v>
      </c>
      <c r="BP825" s="152"/>
      <c r="BQ825" s="152"/>
      <c r="BR825" s="154" t="s">
        <v>148</v>
      </c>
      <c r="BS825" s="136">
        <v>15</v>
      </c>
      <c r="BT825" s="267"/>
      <c r="BU825" s="267">
        <f t="shared" ref="BU825:BU830" si="117">M825/4</f>
        <v>0.25</v>
      </c>
      <c r="BV825" s="267">
        <f t="shared" si="114"/>
        <v>0.25</v>
      </c>
      <c r="BW825" s="267">
        <f t="shared" si="115"/>
        <v>0.25</v>
      </c>
      <c r="BX825" s="267">
        <f t="shared" si="116"/>
        <v>0.25</v>
      </c>
      <c r="BY825" s="267"/>
      <c r="BZ825" s="267"/>
      <c r="CA825" s="267"/>
      <c r="CB825" s="267"/>
      <c r="CC825" s="267"/>
      <c r="CD825" s="267"/>
      <c r="CE825" s="267"/>
      <c r="CF825" s="267"/>
      <c r="CG825" s="267"/>
      <c r="CH825" s="267"/>
      <c r="CI825" s="267"/>
      <c r="CJ825" s="267"/>
      <c r="CK825" s="267"/>
      <c r="CL825" s="267"/>
      <c r="CM825" s="267"/>
      <c r="CN825" s="101">
        <f t="shared" si="108"/>
        <v>1</v>
      </c>
      <c r="CO825" s="101">
        <f t="shared" si="109"/>
        <v>1</v>
      </c>
    </row>
    <row r="826" spans="1:93" ht="13.9" customHeight="1" x14ac:dyDescent="0.2">
      <c r="A826" s="149">
        <v>8088</v>
      </c>
      <c r="B826" s="150" t="s">
        <v>1216</v>
      </c>
      <c r="C826" s="150" t="s">
        <v>2349</v>
      </c>
      <c r="D826" s="150" t="s">
        <v>2350</v>
      </c>
      <c r="E826" s="150" t="s">
        <v>326</v>
      </c>
      <c r="F826" s="149">
        <v>526189</v>
      </c>
      <c r="G826" s="149">
        <v>172026</v>
      </c>
      <c r="H826" s="150" t="s">
        <v>176</v>
      </c>
      <c r="I826" s="151"/>
      <c r="J826" s="151"/>
      <c r="K826" s="149">
        <v>0</v>
      </c>
      <c r="L826" s="149">
        <v>3</v>
      </c>
      <c r="M826" s="149">
        <v>3</v>
      </c>
      <c r="N826" s="149">
        <v>3</v>
      </c>
      <c r="O826" s="149">
        <v>3</v>
      </c>
      <c r="P826" s="152"/>
      <c r="Q826" s="150" t="s">
        <v>2351</v>
      </c>
      <c r="R826" s="150" t="s">
        <v>349</v>
      </c>
      <c r="S826" s="151">
        <v>45120</v>
      </c>
      <c r="T826" s="151">
        <v>45306</v>
      </c>
      <c r="U826" s="152" t="s">
        <v>327</v>
      </c>
      <c r="V826" s="150" t="s">
        <v>330</v>
      </c>
      <c r="W826" s="151"/>
      <c r="X826" s="150" t="s">
        <v>331</v>
      </c>
      <c r="Y826" s="150" t="s">
        <v>332</v>
      </c>
      <c r="Z826" s="150" t="s">
        <v>334</v>
      </c>
      <c r="AA826" s="150" t="s">
        <v>32</v>
      </c>
      <c r="AB826" s="153">
        <v>1.7000000000000001E-2</v>
      </c>
      <c r="AC826" s="151"/>
      <c r="AD826" s="150"/>
      <c r="AE826" s="151"/>
      <c r="AF826" s="150" t="s">
        <v>70</v>
      </c>
      <c r="AG826" s="152" t="s">
        <v>352</v>
      </c>
      <c r="AH826" s="150" t="s">
        <v>326</v>
      </c>
      <c r="AI826" s="99"/>
      <c r="AJ826" s="149"/>
      <c r="AK826" s="99"/>
      <c r="AL826" s="149"/>
      <c r="AM826" s="99"/>
      <c r="AN826" s="149">
        <v>0</v>
      </c>
      <c r="AO826" s="149">
        <v>1</v>
      </c>
      <c r="AP826" s="149">
        <v>1</v>
      </c>
      <c r="AQ826" s="149">
        <v>1</v>
      </c>
      <c r="AR826" s="149">
        <v>0</v>
      </c>
      <c r="AS826" s="149">
        <v>0</v>
      </c>
      <c r="AT826" s="149">
        <v>0</v>
      </c>
      <c r="AU826" s="149">
        <v>0</v>
      </c>
      <c r="AV826" s="149">
        <v>1</v>
      </c>
      <c r="AW826" s="149">
        <v>1</v>
      </c>
      <c r="AX826" s="149">
        <v>1</v>
      </c>
      <c r="AY826" s="149">
        <v>0</v>
      </c>
      <c r="AZ826" s="149">
        <v>0</v>
      </c>
      <c r="BA826" s="149">
        <v>0</v>
      </c>
      <c r="BB826" s="149">
        <v>0</v>
      </c>
      <c r="BC826" s="149">
        <v>0</v>
      </c>
      <c r="BD826" s="149">
        <v>0</v>
      </c>
      <c r="BE826" s="149">
        <v>0</v>
      </c>
      <c r="BF826" s="149">
        <v>0</v>
      </c>
      <c r="BG826" s="149">
        <v>0</v>
      </c>
      <c r="BH826" s="149">
        <v>0</v>
      </c>
      <c r="BI826" s="149">
        <v>0</v>
      </c>
      <c r="BJ826" s="149">
        <v>0</v>
      </c>
      <c r="BK826" s="149">
        <v>0</v>
      </c>
      <c r="BL826" s="149">
        <v>0</v>
      </c>
      <c r="BM826" s="149">
        <v>0</v>
      </c>
      <c r="BN826" s="149">
        <v>0</v>
      </c>
      <c r="BO826" s="149">
        <v>0</v>
      </c>
      <c r="BP826" s="152"/>
      <c r="BQ826" s="152"/>
      <c r="BR826" s="154" t="s">
        <v>151</v>
      </c>
      <c r="BS826" s="136">
        <v>15</v>
      </c>
      <c r="BT826" s="267"/>
      <c r="BU826" s="267">
        <f t="shared" si="117"/>
        <v>0.75</v>
      </c>
      <c r="BV826" s="267">
        <f t="shared" si="114"/>
        <v>0.75</v>
      </c>
      <c r="BW826" s="267">
        <f t="shared" si="115"/>
        <v>0.75</v>
      </c>
      <c r="BX826" s="267">
        <f t="shared" si="116"/>
        <v>0.75</v>
      </c>
      <c r="BY826" s="267"/>
      <c r="BZ826" s="267"/>
      <c r="CA826" s="267"/>
      <c r="CB826" s="267"/>
      <c r="CC826" s="267"/>
      <c r="CD826" s="267"/>
      <c r="CE826" s="267"/>
      <c r="CF826" s="267"/>
      <c r="CG826" s="267"/>
      <c r="CH826" s="267"/>
      <c r="CI826" s="267"/>
      <c r="CJ826" s="267"/>
      <c r="CK826" s="267"/>
      <c r="CL826" s="267"/>
      <c r="CM826" s="267"/>
      <c r="CN826" s="101">
        <f t="shared" si="108"/>
        <v>3</v>
      </c>
      <c r="CO826" s="101">
        <f t="shared" si="109"/>
        <v>3</v>
      </c>
    </row>
    <row r="827" spans="1:93" ht="13.9" customHeight="1" x14ac:dyDescent="0.2">
      <c r="A827" s="149">
        <v>6142</v>
      </c>
      <c r="B827" s="150" t="s">
        <v>1216</v>
      </c>
      <c r="C827" s="150" t="s">
        <v>2352</v>
      </c>
      <c r="D827" s="150" t="s">
        <v>2353</v>
      </c>
      <c r="E827" s="150" t="s">
        <v>326</v>
      </c>
      <c r="F827" s="149">
        <v>525109</v>
      </c>
      <c r="G827" s="149">
        <v>175279</v>
      </c>
      <c r="H827" s="150" t="s">
        <v>171</v>
      </c>
      <c r="I827" s="151"/>
      <c r="J827" s="151"/>
      <c r="K827" s="149">
        <v>0</v>
      </c>
      <c r="L827" s="149">
        <v>1</v>
      </c>
      <c r="M827" s="149">
        <v>1</v>
      </c>
      <c r="N827" s="149">
        <v>1</v>
      </c>
      <c r="O827" s="149">
        <v>1</v>
      </c>
      <c r="P827" s="152"/>
      <c r="Q827" s="150" t="s">
        <v>2354</v>
      </c>
      <c r="R827" s="150" t="s">
        <v>349</v>
      </c>
      <c r="S827" s="151">
        <v>45085</v>
      </c>
      <c r="T827" s="151">
        <v>45246</v>
      </c>
      <c r="U827" s="152" t="s">
        <v>327</v>
      </c>
      <c r="V827" s="150" t="s">
        <v>330</v>
      </c>
      <c r="W827" s="151"/>
      <c r="X827" s="150" t="s">
        <v>331</v>
      </c>
      <c r="Y827" s="150" t="s">
        <v>332</v>
      </c>
      <c r="Z827" s="150" t="s">
        <v>334</v>
      </c>
      <c r="AA827" s="150" t="s">
        <v>29</v>
      </c>
      <c r="AB827" s="153">
        <v>7.9000000000000008E-3</v>
      </c>
      <c r="AC827" s="151"/>
      <c r="AD827" s="150"/>
      <c r="AE827" s="151"/>
      <c r="AF827" s="150" t="s">
        <v>70</v>
      </c>
      <c r="AG827" s="152" t="s">
        <v>352</v>
      </c>
      <c r="AH827" s="150" t="s">
        <v>326</v>
      </c>
      <c r="AI827" s="99"/>
      <c r="AJ827" s="149"/>
      <c r="AK827" s="99"/>
      <c r="AL827" s="149"/>
      <c r="AM827" s="99"/>
      <c r="AN827" s="149">
        <v>0</v>
      </c>
      <c r="AO827" s="149">
        <v>0</v>
      </c>
      <c r="AP827" s="149">
        <v>1</v>
      </c>
      <c r="AQ827" s="149">
        <v>0</v>
      </c>
      <c r="AR827" s="149">
        <v>0</v>
      </c>
      <c r="AS827" s="149">
        <v>0</v>
      </c>
      <c r="AT827" s="149">
        <v>0</v>
      </c>
      <c r="AU827" s="149">
        <v>0</v>
      </c>
      <c r="AV827" s="149">
        <v>0</v>
      </c>
      <c r="AW827" s="149">
        <v>1</v>
      </c>
      <c r="AX827" s="149">
        <v>0</v>
      </c>
      <c r="AY827" s="149">
        <v>0</v>
      </c>
      <c r="AZ827" s="149">
        <v>0</v>
      </c>
      <c r="BA827" s="149">
        <v>0</v>
      </c>
      <c r="BB827" s="149">
        <v>0</v>
      </c>
      <c r="BC827" s="149">
        <v>0</v>
      </c>
      <c r="BD827" s="149">
        <v>0</v>
      </c>
      <c r="BE827" s="149">
        <v>0</v>
      </c>
      <c r="BF827" s="149">
        <v>0</v>
      </c>
      <c r="BG827" s="149">
        <v>0</v>
      </c>
      <c r="BH827" s="149">
        <v>0</v>
      </c>
      <c r="BI827" s="149">
        <v>0</v>
      </c>
      <c r="BJ827" s="149">
        <v>0</v>
      </c>
      <c r="BK827" s="149">
        <v>0</v>
      </c>
      <c r="BL827" s="149">
        <v>0</v>
      </c>
      <c r="BM827" s="149">
        <v>0</v>
      </c>
      <c r="BN827" s="149">
        <v>0</v>
      </c>
      <c r="BO827" s="149">
        <v>0</v>
      </c>
      <c r="BP827" s="152"/>
      <c r="BQ827" s="152"/>
      <c r="BR827" s="154" t="s">
        <v>463</v>
      </c>
      <c r="BS827" s="136">
        <v>15</v>
      </c>
      <c r="BT827" s="267"/>
      <c r="BU827" s="267">
        <f t="shared" si="117"/>
        <v>0.25</v>
      </c>
      <c r="BV827" s="267">
        <f t="shared" si="114"/>
        <v>0.25</v>
      </c>
      <c r="BW827" s="267">
        <f t="shared" si="115"/>
        <v>0.25</v>
      </c>
      <c r="BX827" s="267">
        <f t="shared" si="116"/>
        <v>0.25</v>
      </c>
      <c r="BY827" s="267"/>
      <c r="BZ827" s="267"/>
      <c r="CA827" s="267"/>
      <c r="CB827" s="267"/>
      <c r="CC827" s="267"/>
      <c r="CD827" s="267"/>
      <c r="CE827" s="267"/>
      <c r="CF827" s="267"/>
      <c r="CG827" s="267"/>
      <c r="CH827" s="267"/>
      <c r="CI827" s="267"/>
      <c r="CJ827" s="267"/>
      <c r="CK827" s="267"/>
      <c r="CL827" s="267"/>
      <c r="CM827" s="267"/>
      <c r="CN827" s="101">
        <f t="shared" si="108"/>
        <v>1</v>
      </c>
      <c r="CO827" s="101">
        <f t="shared" si="109"/>
        <v>1</v>
      </c>
    </row>
    <row r="828" spans="1:93" ht="13.9" customHeight="1" x14ac:dyDescent="0.2">
      <c r="A828" s="149">
        <v>7996</v>
      </c>
      <c r="B828" s="150" t="s">
        <v>1216</v>
      </c>
      <c r="C828" s="150" t="s">
        <v>2355</v>
      </c>
      <c r="D828" s="150" t="s">
        <v>2356</v>
      </c>
      <c r="E828" s="150" t="s">
        <v>326</v>
      </c>
      <c r="F828" s="149">
        <v>523833</v>
      </c>
      <c r="G828" s="149">
        <v>175787</v>
      </c>
      <c r="H828" s="150" t="s">
        <v>171</v>
      </c>
      <c r="I828" s="151"/>
      <c r="J828" s="151"/>
      <c r="K828" s="149">
        <v>2</v>
      </c>
      <c r="L828" s="149">
        <v>1</v>
      </c>
      <c r="M828" s="149">
        <v>-1</v>
      </c>
      <c r="N828" s="149">
        <v>1</v>
      </c>
      <c r="O828" s="149">
        <v>-1</v>
      </c>
      <c r="P828" s="152"/>
      <c r="Q828" s="150" t="s">
        <v>2357</v>
      </c>
      <c r="R828" s="150" t="s">
        <v>349</v>
      </c>
      <c r="S828" s="151">
        <v>45085</v>
      </c>
      <c r="T828" s="151">
        <v>45145</v>
      </c>
      <c r="U828" s="152" t="s">
        <v>327</v>
      </c>
      <c r="V828" s="150" t="s">
        <v>330</v>
      </c>
      <c r="W828" s="151"/>
      <c r="X828" s="150" t="s">
        <v>331</v>
      </c>
      <c r="Y828" s="150" t="s">
        <v>350</v>
      </c>
      <c r="Z828" s="150" t="s">
        <v>334</v>
      </c>
      <c r="AA828" s="150" t="s">
        <v>18</v>
      </c>
      <c r="AB828" s="153">
        <v>4.3E-3</v>
      </c>
      <c r="AC828" s="151"/>
      <c r="AD828" s="150"/>
      <c r="AE828" s="151"/>
      <c r="AF828" s="150" t="s">
        <v>70</v>
      </c>
      <c r="AG828" s="152" t="s">
        <v>352</v>
      </c>
      <c r="AH828" s="150" t="s">
        <v>326</v>
      </c>
      <c r="AI828" s="99"/>
      <c r="AJ828" s="149"/>
      <c r="AK828" s="99"/>
      <c r="AL828" s="149"/>
      <c r="AM828" s="99"/>
      <c r="AN828" s="149">
        <v>0</v>
      </c>
      <c r="AO828" s="149">
        <v>-1</v>
      </c>
      <c r="AP828" s="149">
        <v>0</v>
      </c>
      <c r="AQ828" s="149">
        <v>-1</v>
      </c>
      <c r="AR828" s="149">
        <v>1</v>
      </c>
      <c r="AS828" s="149">
        <v>0</v>
      </c>
      <c r="AT828" s="149">
        <v>0</v>
      </c>
      <c r="AU828" s="149">
        <v>0</v>
      </c>
      <c r="AV828" s="149">
        <v>-1</v>
      </c>
      <c r="AW828" s="149">
        <v>0</v>
      </c>
      <c r="AX828" s="149">
        <v>-1</v>
      </c>
      <c r="AY828" s="149">
        <v>0</v>
      </c>
      <c r="AZ828" s="149">
        <v>0</v>
      </c>
      <c r="BA828" s="149">
        <v>0</v>
      </c>
      <c r="BB828" s="149">
        <v>0</v>
      </c>
      <c r="BC828" s="149">
        <v>0</v>
      </c>
      <c r="BD828" s="149">
        <v>0</v>
      </c>
      <c r="BE828" s="149">
        <v>0</v>
      </c>
      <c r="BF828" s="149">
        <v>1</v>
      </c>
      <c r="BG828" s="149">
        <v>0</v>
      </c>
      <c r="BH828" s="149">
        <v>0</v>
      </c>
      <c r="BI828" s="149">
        <v>0</v>
      </c>
      <c r="BJ828" s="149">
        <v>0</v>
      </c>
      <c r="BK828" s="149">
        <v>0</v>
      </c>
      <c r="BL828" s="149">
        <v>0</v>
      </c>
      <c r="BM828" s="149">
        <v>0</v>
      </c>
      <c r="BN828" s="149">
        <v>0</v>
      </c>
      <c r="BO828" s="149">
        <v>0</v>
      </c>
      <c r="BP828" s="152"/>
      <c r="BQ828" s="152"/>
      <c r="BR828" s="154" t="s">
        <v>408</v>
      </c>
      <c r="BS828" s="136">
        <v>15</v>
      </c>
      <c r="BT828" s="267"/>
      <c r="BU828" s="267">
        <f t="shared" si="117"/>
        <v>-0.25</v>
      </c>
      <c r="BV828" s="267">
        <f t="shared" si="114"/>
        <v>-0.25</v>
      </c>
      <c r="BW828" s="267">
        <f t="shared" si="115"/>
        <v>-0.25</v>
      </c>
      <c r="BX828" s="267">
        <f t="shared" si="116"/>
        <v>-0.25</v>
      </c>
      <c r="BY828" s="267"/>
      <c r="BZ828" s="267"/>
      <c r="CA828" s="267"/>
      <c r="CB828" s="267"/>
      <c r="CC828" s="267"/>
      <c r="CD828" s="267"/>
      <c r="CE828" s="267"/>
      <c r="CF828" s="267"/>
      <c r="CG828" s="267"/>
      <c r="CH828" s="267"/>
      <c r="CI828" s="267"/>
      <c r="CJ828" s="267"/>
      <c r="CK828" s="267"/>
      <c r="CL828" s="267"/>
      <c r="CM828" s="267"/>
      <c r="CN828" s="101">
        <f t="shared" si="108"/>
        <v>-1</v>
      </c>
      <c r="CO828" s="101">
        <f t="shared" si="109"/>
        <v>-1</v>
      </c>
    </row>
    <row r="829" spans="1:93" ht="13.9" customHeight="1" x14ac:dyDescent="0.2">
      <c r="A829" s="149">
        <v>7850</v>
      </c>
      <c r="B829" s="150" t="s">
        <v>1216</v>
      </c>
      <c r="C829" s="150" t="s">
        <v>2358</v>
      </c>
      <c r="D829" s="150" t="s">
        <v>2359</v>
      </c>
      <c r="E829" s="150" t="s">
        <v>326</v>
      </c>
      <c r="F829" s="149">
        <v>525311</v>
      </c>
      <c r="G829" s="149">
        <v>174644</v>
      </c>
      <c r="H829" s="150" t="s">
        <v>177</v>
      </c>
      <c r="I829" s="151"/>
      <c r="J829" s="151"/>
      <c r="K829" s="149">
        <v>0</v>
      </c>
      <c r="L829" s="149">
        <v>2</v>
      </c>
      <c r="M829" s="149">
        <v>2</v>
      </c>
      <c r="N829" s="149">
        <v>2</v>
      </c>
      <c r="O829" s="149">
        <v>2</v>
      </c>
      <c r="P829" s="152"/>
      <c r="Q829" s="150" t="s">
        <v>2360</v>
      </c>
      <c r="R829" s="150" t="s">
        <v>342</v>
      </c>
      <c r="S829" s="151">
        <v>45103</v>
      </c>
      <c r="T829" s="151">
        <v>45159</v>
      </c>
      <c r="U829" s="152" t="s">
        <v>327</v>
      </c>
      <c r="V829" s="150" t="s">
        <v>330</v>
      </c>
      <c r="W829" s="151"/>
      <c r="X829" s="150" t="s">
        <v>331</v>
      </c>
      <c r="Y829" s="150" t="s">
        <v>398</v>
      </c>
      <c r="Z829" s="150" t="s">
        <v>334</v>
      </c>
      <c r="AA829" s="150" t="s">
        <v>29</v>
      </c>
      <c r="AB829" s="153">
        <v>1.189E-2</v>
      </c>
      <c r="AC829" s="151"/>
      <c r="AD829" s="150"/>
      <c r="AE829" s="151"/>
      <c r="AF829" s="150" t="s">
        <v>70</v>
      </c>
      <c r="AG829" s="152" t="s">
        <v>352</v>
      </c>
      <c r="AH829" s="150" t="s">
        <v>2361</v>
      </c>
      <c r="AI829" s="99"/>
      <c r="AJ829" s="149"/>
      <c r="AK829" s="99"/>
      <c r="AL829" s="149"/>
      <c r="AM829" s="99"/>
      <c r="AN829" s="149">
        <v>0</v>
      </c>
      <c r="AO829" s="149">
        <v>0</v>
      </c>
      <c r="AP829" s="149">
        <v>1</v>
      </c>
      <c r="AQ829" s="149">
        <v>1</v>
      </c>
      <c r="AR829" s="149">
        <v>0</v>
      </c>
      <c r="AS829" s="149">
        <v>0</v>
      </c>
      <c r="AT829" s="149">
        <v>0</v>
      </c>
      <c r="AU829" s="149">
        <v>0</v>
      </c>
      <c r="AV829" s="149">
        <v>0</v>
      </c>
      <c r="AW829" s="149">
        <v>1</v>
      </c>
      <c r="AX829" s="149">
        <v>0</v>
      </c>
      <c r="AY829" s="149">
        <v>0</v>
      </c>
      <c r="AZ829" s="149">
        <v>0</v>
      </c>
      <c r="BA829" s="149">
        <v>0</v>
      </c>
      <c r="BB829" s="149">
        <v>0</v>
      </c>
      <c r="BC829" s="149">
        <v>0</v>
      </c>
      <c r="BD829" s="149">
        <v>0</v>
      </c>
      <c r="BE829" s="149">
        <v>1</v>
      </c>
      <c r="BF829" s="149">
        <v>0</v>
      </c>
      <c r="BG829" s="149">
        <v>0</v>
      </c>
      <c r="BH829" s="149">
        <v>0</v>
      </c>
      <c r="BI829" s="149">
        <v>0</v>
      </c>
      <c r="BJ829" s="149">
        <v>0</v>
      </c>
      <c r="BK829" s="149">
        <v>0</v>
      </c>
      <c r="BL829" s="149">
        <v>0</v>
      </c>
      <c r="BM829" s="149">
        <v>0</v>
      </c>
      <c r="BN829" s="149">
        <v>0</v>
      </c>
      <c r="BO829" s="149">
        <v>0</v>
      </c>
      <c r="BP829" s="152" t="s">
        <v>143</v>
      </c>
      <c r="BQ829" s="152"/>
      <c r="BR829" s="154" t="s">
        <v>463</v>
      </c>
      <c r="BS829" s="136">
        <v>15</v>
      </c>
      <c r="BT829" s="267"/>
      <c r="BU829" s="267">
        <f t="shared" si="117"/>
        <v>0.5</v>
      </c>
      <c r="BV829" s="267">
        <f t="shared" si="114"/>
        <v>0.5</v>
      </c>
      <c r="BW829" s="267">
        <f t="shared" si="115"/>
        <v>0.5</v>
      </c>
      <c r="BX829" s="267">
        <f t="shared" si="116"/>
        <v>0.5</v>
      </c>
      <c r="BY829" s="267"/>
      <c r="BZ829" s="267"/>
      <c r="CA829" s="267"/>
      <c r="CB829" s="267"/>
      <c r="CC829" s="267"/>
      <c r="CD829" s="267"/>
      <c r="CE829" s="267"/>
      <c r="CF829" s="267"/>
      <c r="CG829" s="267"/>
      <c r="CH829" s="267"/>
      <c r="CI829" s="267"/>
      <c r="CJ829" s="267"/>
      <c r="CK829" s="267"/>
      <c r="CL829" s="267"/>
      <c r="CM829" s="267"/>
      <c r="CN829" s="101">
        <f t="shared" si="108"/>
        <v>2</v>
      </c>
      <c r="CO829" s="101">
        <f t="shared" si="109"/>
        <v>2</v>
      </c>
    </row>
    <row r="830" spans="1:93" ht="13.9" customHeight="1" x14ac:dyDescent="0.2">
      <c r="A830" s="149">
        <v>2411</v>
      </c>
      <c r="B830" s="150" t="s">
        <v>1216</v>
      </c>
      <c r="C830" s="150" t="s">
        <v>2362</v>
      </c>
      <c r="D830" s="150" t="s">
        <v>1090</v>
      </c>
      <c r="E830" s="150" t="s">
        <v>326</v>
      </c>
      <c r="F830" s="149">
        <v>528934</v>
      </c>
      <c r="G830" s="149">
        <v>177496</v>
      </c>
      <c r="H830" s="150" t="s">
        <v>149</v>
      </c>
      <c r="I830" s="151"/>
      <c r="J830" s="151"/>
      <c r="K830" s="149">
        <v>2</v>
      </c>
      <c r="L830" s="149">
        <v>1</v>
      </c>
      <c r="M830" s="149">
        <v>-1</v>
      </c>
      <c r="N830" s="149">
        <v>1</v>
      </c>
      <c r="O830" s="149">
        <v>-1</v>
      </c>
      <c r="P830" s="152"/>
      <c r="Q830" s="150" t="s">
        <v>2363</v>
      </c>
      <c r="R830" s="150" t="s">
        <v>349</v>
      </c>
      <c r="S830" s="151">
        <v>45100</v>
      </c>
      <c r="T830" s="151">
        <v>45155</v>
      </c>
      <c r="U830" s="152" t="s">
        <v>327</v>
      </c>
      <c r="V830" s="150" t="s">
        <v>330</v>
      </c>
      <c r="W830" s="151"/>
      <c r="X830" s="150" t="s">
        <v>331</v>
      </c>
      <c r="Y830" s="150" t="s">
        <v>350</v>
      </c>
      <c r="Z830" s="150" t="s">
        <v>334</v>
      </c>
      <c r="AA830" s="150" t="s">
        <v>351</v>
      </c>
      <c r="AB830" s="153">
        <v>0</v>
      </c>
      <c r="AC830" s="151"/>
      <c r="AD830" s="150"/>
      <c r="AE830" s="151"/>
      <c r="AF830" s="150" t="s">
        <v>70</v>
      </c>
      <c r="AG830" s="152" t="s">
        <v>352</v>
      </c>
      <c r="AH830" s="150" t="s">
        <v>1093</v>
      </c>
      <c r="AI830" s="99"/>
      <c r="AJ830" s="149"/>
      <c r="AK830" s="99"/>
      <c r="AL830" s="149"/>
      <c r="AM830" s="99"/>
      <c r="AN830" s="149">
        <v>0</v>
      </c>
      <c r="AO830" s="149">
        <v>0</v>
      </c>
      <c r="AP830" s="149">
        <v>-2</v>
      </c>
      <c r="AQ830" s="149">
        <v>1</v>
      </c>
      <c r="AR830" s="149">
        <v>0</v>
      </c>
      <c r="AS830" s="149">
        <v>0</v>
      </c>
      <c r="AT830" s="149">
        <v>0</v>
      </c>
      <c r="AU830" s="149">
        <v>0</v>
      </c>
      <c r="AV830" s="149">
        <v>0</v>
      </c>
      <c r="AW830" s="149">
        <v>-2</v>
      </c>
      <c r="AX830" s="149">
        <v>1</v>
      </c>
      <c r="AY830" s="149">
        <v>0</v>
      </c>
      <c r="AZ830" s="149">
        <v>0</v>
      </c>
      <c r="BA830" s="149">
        <v>0</v>
      </c>
      <c r="BB830" s="149">
        <v>0</v>
      </c>
      <c r="BC830" s="149">
        <v>0</v>
      </c>
      <c r="BD830" s="149">
        <v>0</v>
      </c>
      <c r="BE830" s="149">
        <v>0</v>
      </c>
      <c r="BF830" s="149">
        <v>0</v>
      </c>
      <c r="BG830" s="149">
        <v>0</v>
      </c>
      <c r="BH830" s="149">
        <v>0</v>
      </c>
      <c r="BI830" s="149">
        <v>0</v>
      </c>
      <c r="BJ830" s="149">
        <v>0</v>
      </c>
      <c r="BK830" s="149">
        <v>0</v>
      </c>
      <c r="BL830" s="149">
        <v>0</v>
      </c>
      <c r="BM830" s="149">
        <v>0</v>
      </c>
      <c r="BN830" s="149">
        <v>0</v>
      </c>
      <c r="BO830" s="149">
        <v>0</v>
      </c>
      <c r="BP830" s="152"/>
      <c r="BQ830" s="152" t="s">
        <v>327</v>
      </c>
      <c r="BR830" s="154" t="s">
        <v>149</v>
      </c>
      <c r="BS830" s="136">
        <v>15</v>
      </c>
      <c r="BT830" s="267"/>
      <c r="BU830" s="267">
        <f t="shared" si="117"/>
        <v>-0.25</v>
      </c>
      <c r="BV830" s="267">
        <f t="shared" si="114"/>
        <v>-0.25</v>
      </c>
      <c r="BW830" s="267">
        <f t="shared" si="115"/>
        <v>-0.25</v>
      </c>
      <c r="BX830" s="267">
        <f t="shared" si="116"/>
        <v>-0.25</v>
      </c>
      <c r="BY830" s="267"/>
      <c r="BZ830" s="267"/>
      <c r="CA830" s="267"/>
      <c r="CB830" s="267"/>
      <c r="CC830" s="267"/>
      <c r="CD830" s="267"/>
      <c r="CE830" s="267"/>
      <c r="CF830" s="267"/>
      <c r="CG830" s="267"/>
      <c r="CH830" s="267"/>
      <c r="CI830" s="267"/>
      <c r="CJ830" s="267"/>
      <c r="CK830" s="267"/>
      <c r="CL830" s="267"/>
      <c r="CM830" s="267"/>
      <c r="CN830" s="101">
        <f t="shared" si="108"/>
        <v>-1</v>
      </c>
      <c r="CO830" s="101">
        <f t="shared" si="109"/>
        <v>-1</v>
      </c>
    </row>
    <row r="831" spans="1:93" ht="13.9" customHeight="1" x14ac:dyDescent="0.2">
      <c r="A831" s="149">
        <v>5</v>
      </c>
      <c r="B831" s="150" t="s">
        <v>1216</v>
      </c>
      <c r="C831" s="150" t="s">
        <v>2364</v>
      </c>
      <c r="D831" s="150" t="s">
        <v>2365</v>
      </c>
      <c r="E831" s="150" t="s">
        <v>326</v>
      </c>
      <c r="F831" s="149">
        <v>528521</v>
      </c>
      <c r="G831" s="149">
        <v>174234</v>
      </c>
      <c r="H831" s="150" t="s">
        <v>139</v>
      </c>
      <c r="I831" s="151"/>
      <c r="J831" s="151"/>
      <c r="K831" s="149">
        <v>0</v>
      </c>
      <c r="L831" s="149">
        <v>2</v>
      </c>
      <c r="M831" s="149">
        <v>2</v>
      </c>
      <c r="N831" s="149">
        <v>2</v>
      </c>
      <c r="O831" s="149">
        <v>2</v>
      </c>
      <c r="P831" s="152"/>
      <c r="Q831" s="150" t="s">
        <v>2366</v>
      </c>
      <c r="R831" s="150" t="s">
        <v>349</v>
      </c>
      <c r="S831" s="151">
        <v>45093</v>
      </c>
      <c r="T831" s="151">
        <v>45237</v>
      </c>
      <c r="U831" s="152" t="s">
        <v>327</v>
      </c>
      <c r="V831" s="150" t="s">
        <v>330</v>
      </c>
      <c r="W831" s="151"/>
      <c r="X831" s="150" t="s">
        <v>331</v>
      </c>
      <c r="Y831" s="150" t="s">
        <v>343</v>
      </c>
      <c r="Z831" s="150" t="s">
        <v>334</v>
      </c>
      <c r="AA831" s="150" t="s">
        <v>363</v>
      </c>
      <c r="AB831" s="153">
        <v>4.4999999999999997E-3</v>
      </c>
      <c r="AC831" s="151"/>
      <c r="AD831" s="150"/>
      <c r="AE831" s="151"/>
      <c r="AF831" s="150" t="s">
        <v>48</v>
      </c>
      <c r="AG831" s="152" t="s">
        <v>992</v>
      </c>
      <c r="AH831" s="150" t="s">
        <v>326</v>
      </c>
      <c r="AI831" s="99"/>
      <c r="AJ831" s="149"/>
      <c r="AK831" s="99"/>
      <c r="AL831" s="149"/>
      <c r="AM831" s="99"/>
      <c r="AN831" s="149">
        <v>2</v>
      </c>
      <c r="AO831" s="149">
        <v>0</v>
      </c>
      <c r="AP831" s="149">
        <v>0</v>
      </c>
      <c r="AQ831" s="149">
        <v>0</v>
      </c>
      <c r="AR831" s="149">
        <v>0</v>
      </c>
      <c r="AS831" s="149">
        <v>0</v>
      </c>
      <c r="AT831" s="149">
        <v>0</v>
      </c>
      <c r="AU831" s="149">
        <v>2</v>
      </c>
      <c r="AV831" s="149">
        <v>0</v>
      </c>
      <c r="AW831" s="149">
        <v>0</v>
      </c>
      <c r="AX831" s="149">
        <v>0</v>
      </c>
      <c r="AY831" s="149">
        <v>0</v>
      </c>
      <c r="AZ831" s="149">
        <v>0</v>
      </c>
      <c r="BA831" s="149">
        <v>0</v>
      </c>
      <c r="BB831" s="149">
        <v>0</v>
      </c>
      <c r="BC831" s="149">
        <v>0</v>
      </c>
      <c r="BD831" s="149">
        <v>0</v>
      </c>
      <c r="BE831" s="149">
        <v>0</v>
      </c>
      <c r="BF831" s="149">
        <v>0</v>
      </c>
      <c r="BG831" s="149">
        <v>0</v>
      </c>
      <c r="BH831" s="149">
        <v>0</v>
      </c>
      <c r="BI831" s="149">
        <v>0</v>
      </c>
      <c r="BJ831" s="149">
        <v>0</v>
      </c>
      <c r="BK831" s="149">
        <v>0</v>
      </c>
      <c r="BL831" s="149">
        <v>0</v>
      </c>
      <c r="BM831" s="149">
        <v>0</v>
      </c>
      <c r="BN831" s="149">
        <v>0</v>
      </c>
      <c r="BO831" s="149">
        <v>0</v>
      </c>
      <c r="BP831" s="152"/>
      <c r="BQ831" s="152"/>
      <c r="BR831" s="154" t="s">
        <v>359</v>
      </c>
      <c r="BS831" s="136">
        <v>7</v>
      </c>
      <c r="BT831" s="267"/>
      <c r="BU831" s="267"/>
      <c r="BV831" s="267">
        <f t="shared" si="114"/>
        <v>0.5</v>
      </c>
      <c r="BW831" s="267">
        <f t="shared" si="115"/>
        <v>0.5</v>
      </c>
      <c r="BX831" s="267">
        <f t="shared" si="116"/>
        <v>0.5</v>
      </c>
      <c r="BY831" s="267">
        <f>M831/4</f>
        <v>0.5</v>
      </c>
      <c r="BZ831" s="267"/>
      <c r="CA831" s="267"/>
      <c r="CB831" s="267"/>
      <c r="CC831" s="267"/>
      <c r="CD831" s="267"/>
      <c r="CE831" s="267"/>
      <c r="CF831" s="267"/>
      <c r="CG831" s="267"/>
      <c r="CH831" s="267"/>
      <c r="CI831" s="267"/>
      <c r="CJ831" s="267"/>
      <c r="CK831" s="267"/>
      <c r="CL831" s="267"/>
      <c r="CM831" s="267"/>
      <c r="CN831" s="101">
        <f t="shared" si="108"/>
        <v>2</v>
      </c>
      <c r="CO831" s="101">
        <f t="shared" si="109"/>
        <v>2</v>
      </c>
    </row>
    <row r="832" spans="1:93" ht="13.9" customHeight="1" x14ac:dyDescent="0.2">
      <c r="A832" s="149">
        <v>4135</v>
      </c>
      <c r="B832" s="150" t="s">
        <v>1216</v>
      </c>
      <c r="C832" s="150" t="s">
        <v>2367</v>
      </c>
      <c r="D832" s="150" t="s">
        <v>2368</v>
      </c>
      <c r="E832" s="150" t="s">
        <v>326</v>
      </c>
      <c r="F832" s="149">
        <v>525885</v>
      </c>
      <c r="G832" s="149">
        <v>173983</v>
      </c>
      <c r="H832" s="150" t="s">
        <v>175</v>
      </c>
      <c r="I832" s="151"/>
      <c r="J832" s="151"/>
      <c r="K832" s="149">
        <v>1</v>
      </c>
      <c r="L832" s="149">
        <v>3</v>
      </c>
      <c r="M832" s="149">
        <v>2</v>
      </c>
      <c r="N832" s="149">
        <v>3</v>
      </c>
      <c r="O832" s="149">
        <v>2</v>
      </c>
      <c r="P832" s="152"/>
      <c r="Q832" s="150" t="s">
        <v>2369</v>
      </c>
      <c r="R832" s="150" t="s">
        <v>349</v>
      </c>
      <c r="S832" s="151">
        <v>45111</v>
      </c>
      <c r="T832" s="151">
        <v>45167</v>
      </c>
      <c r="U832" s="152" t="s">
        <v>327</v>
      </c>
      <c r="V832" s="150" t="s">
        <v>330</v>
      </c>
      <c r="W832" s="151"/>
      <c r="X832" s="150" t="s">
        <v>331</v>
      </c>
      <c r="Y832" s="150" t="s">
        <v>350</v>
      </c>
      <c r="Z832" s="150" t="s">
        <v>334</v>
      </c>
      <c r="AA832" s="150" t="s">
        <v>399</v>
      </c>
      <c r="AB832" s="153">
        <v>5.0000000000000001E-3</v>
      </c>
      <c r="AC832" s="151"/>
      <c r="AD832" s="150"/>
      <c r="AE832" s="151"/>
      <c r="AF832" s="150" t="s">
        <v>70</v>
      </c>
      <c r="AG832" s="152" t="s">
        <v>352</v>
      </c>
      <c r="AH832" s="150" t="s">
        <v>326</v>
      </c>
      <c r="AI832" s="99"/>
      <c r="AJ832" s="149"/>
      <c r="AK832" s="99"/>
      <c r="AL832" s="149"/>
      <c r="AM832" s="99"/>
      <c r="AN832" s="149">
        <v>0</v>
      </c>
      <c r="AO832" s="149">
        <v>3</v>
      </c>
      <c r="AP832" s="149">
        <v>0</v>
      </c>
      <c r="AQ832" s="149">
        <v>-1</v>
      </c>
      <c r="AR832" s="149">
        <v>0</v>
      </c>
      <c r="AS832" s="149">
        <v>0</v>
      </c>
      <c r="AT832" s="149">
        <v>0</v>
      </c>
      <c r="AU832" s="149">
        <v>0</v>
      </c>
      <c r="AV832" s="149">
        <v>3</v>
      </c>
      <c r="AW832" s="149">
        <v>0</v>
      </c>
      <c r="AX832" s="149">
        <v>-1</v>
      </c>
      <c r="AY832" s="149">
        <v>0</v>
      </c>
      <c r="AZ832" s="149">
        <v>0</v>
      </c>
      <c r="BA832" s="149">
        <v>0</v>
      </c>
      <c r="BB832" s="149">
        <v>0</v>
      </c>
      <c r="BC832" s="149">
        <v>0</v>
      </c>
      <c r="BD832" s="149">
        <v>0</v>
      </c>
      <c r="BE832" s="149">
        <v>0</v>
      </c>
      <c r="BF832" s="149">
        <v>0</v>
      </c>
      <c r="BG832" s="149">
        <v>0</v>
      </c>
      <c r="BH832" s="149">
        <v>0</v>
      </c>
      <c r="BI832" s="149">
        <v>0</v>
      </c>
      <c r="BJ832" s="149">
        <v>0</v>
      </c>
      <c r="BK832" s="149">
        <v>0</v>
      </c>
      <c r="BL832" s="149">
        <v>0</v>
      </c>
      <c r="BM832" s="149">
        <v>0</v>
      </c>
      <c r="BN832" s="149">
        <v>0</v>
      </c>
      <c r="BO832" s="149">
        <v>0</v>
      </c>
      <c r="BP832" s="152"/>
      <c r="BQ832" s="152"/>
      <c r="BR832" s="154" t="s">
        <v>151</v>
      </c>
      <c r="BS832" s="136">
        <v>15</v>
      </c>
      <c r="BT832" s="267"/>
      <c r="BU832" s="267">
        <f>M832/4</f>
        <v>0.5</v>
      </c>
      <c r="BV832" s="267">
        <f t="shared" si="114"/>
        <v>0.5</v>
      </c>
      <c r="BW832" s="267">
        <f t="shared" si="115"/>
        <v>0.5</v>
      </c>
      <c r="BX832" s="267">
        <f t="shared" si="116"/>
        <v>0.5</v>
      </c>
      <c r="BY832" s="267"/>
      <c r="BZ832" s="267"/>
      <c r="CA832" s="267"/>
      <c r="CB832" s="267"/>
      <c r="CC832" s="267"/>
      <c r="CD832" s="267"/>
      <c r="CE832" s="267"/>
      <c r="CF832" s="267"/>
      <c r="CG832" s="267"/>
      <c r="CH832" s="267"/>
      <c r="CI832" s="267"/>
      <c r="CJ832" s="267"/>
      <c r="CK832" s="267"/>
      <c r="CL832" s="267"/>
      <c r="CM832" s="267"/>
      <c r="CN832" s="101">
        <f t="shared" si="108"/>
        <v>2</v>
      </c>
      <c r="CO832" s="101">
        <f t="shared" si="109"/>
        <v>2</v>
      </c>
    </row>
    <row r="833" spans="1:93" ht="13.9" customHeight="1" x14ac:dyDescent="0.2">
      <c r="A833" s="149">
        <v>8015</v>
      </c>
      <c r="B833" s="150" t="s">
        <v>1216</v>
      </c>
      <c r="C833" s="150" t="s">
        <v>2370</v>
      </c>
      <c r="D833" s="150" t="s">
        <v>2371</v>
      </c>
      <c r="E833" s="150" t="s">
        <v>326</v>
      </c>
      <c r="F833" s="149">
        <v>527675</v>
      </c>
      <c r="G833" s="149">
        <v>176499</v>
      </c>
      <c r="H833" s="150" t="s">
        <v>160</v>
      </c>
      <c r="I833" s="151"/>
      <c r="J833" s="151"/>
      <c r="K833" s="149">
        <v>1</v>
      </c>
      <c r="L833" s="149">
        <v>1</v>
      </c>
      <c r="M833" s="149">
        <v>0</v>
      </c>
      <c r="N833" s="149">
        <v>1</v>
      </c>
      <c r="O833" s="149">
        <v>0</v>
      </c>
      <c r="P833" s="152"/>
      <c r="Q833" s="150" t="s">
        <v>2372</v>
      </c>
      <c r="R833" s="150" t="s">
        <v>349</v>
      </c>
      <c r="S833" s="151">
        <v>45104</v>
      </c>
      <c r="T833" s="151">
        <v>45232</v>
      </c>
      <c r="U833" s="152" t="s">
        <v>327</v>
      </c>
      <c r="V833" s="150" t="s">
        <v>330</v>
      </c>
      <c r="W833" s="151"/>
      <c r="X833" s="150" t="s">
        <v>331</v>
      </c>
      <c r="Y833" s="150" t="s">
        <v>343</v>
      </c>
      <c r="Z833" s="150" t="s">
        <v>334</v>
      </c>
      <c r="AA833" s="150" t="s">
        <v>363</v>
      </c>
      <c r="AB833" s="153">
        <v>2.1873E-2</v>
      </c>
      <c r="AC833" s="151"/>
      <c r="AD833" s="150"/>
      <c r="AE833" s="151"/>
      <c r="AF833" s="150" t="s">
        <v>70</v>
      </c>
      <c r="AG833" s="152" t="s">
        <v>352</v>
      </c>
      <c r="AH833" s="150" t="s">
        <v>326</v>
      </c>
      <c r="AI833" s="99"/>
      <c r="AJ833" s="149"/>
      <c r="AK833" s="99"/>
      <c r="AL833" s="149"/>
      <c r="AM833" s="99"/>
      <c r="AN833" s="149">
        <v>0</v>
      </c>
      <c r="AO833" s="149">
        <v>0</v>
      </c>
      <c r="AP833" s="149">
        <v>0</v>
      </c>
      <c r="AQ833" s="149">
        <v>-1</v>
      </c>
      <c r="AR833" s="149">
        <v>0</v>
      </c>
      <c r="AS833" s="149">
        <v>1</v>
      </c>
      <c r="AT833" s="149">
        <v>0</v>
      </c>
      <c r="AU833" s="149">
        <v>0</v>
      </c>
      <c r="AV833" s="149">
        <v>0</v>
      </c>
      <c r="AW833" s="149">
        <v>0</v>
      </c>
      <c r="AX833" s="149">
        <v>0</v>
      </c>
      <c r="AY833" s="149">
        <v>0</v>
      </c>
      <c r="AZ833" s="149">
        <v>0</v>
      </c>
      <c r="BA833" s="149">
        <v>0</v>
      </c>
      <c r="BB833" s="149">
        <v>0</v>
      </c>
      <c r="BC833" s="149">
        <v>0</v>
      </c>
      <c r="BD833" s="149">
        <v>0</v>
      </c>
      <c r="BE833" s="149">
        <v>-1</v>
      </c>
      <c r="BF833" s="149">
        <v>0</v>
      </c>
      <c r="BG833" s="149">
        <v>1</v>
      </c>
      <c r="BH833" s="149">
        <v>0</v>
      </c>
      <c r="BI833" s="149">
        <v>0</v>
      </c>
      <c r="BJ833" s="149">
        <v>0</v>
      </c>
      <c r="BK833" s="149">
        <v>0</v>
      </c>
      <c r="BL833" s="149">
        <v>0</v>
      </c>
      <c r="BM833" s="149">
        <v>0</v>
      </c>
      <c r="BN833" s="149">
        <v>0</v>
      </c>
      <c r="BO833" s="149">
        <v>0</v>
      </c>
      <c r="BP833" s="152"/>
      <c r="BQ833" s="152"/>
      <c r="BR833" s="154" t="s">
        <v>359</v>
      </c>
      <c r="BS833" s="136">
        <v>7</v>
      </c>
      <c r="BT833" s="267"/>
      <c r="BU833" s="267"/>
      <c r="BV833" s="267">
        <f t="shared" si="114"/>
        <v>0</v>
      </c>
      <c r="BW833" s="267">
        <f t="shared" si="115"/>
        <v>0</v>
      </c>
      <c r="BX833" s="267">
        <f t="shared" si="116"/>
        <v>0</v>
      </c>
      <c r="BY833" s="267">
        <f>M833/4</f>
        <v>0</v>
      </c>
      <c r="BZ833" s="267"/>
      <c r="CA833" s="267"/>
      <c r="CB833" s="267"/>
      <c r="CC833" s="267"/>
      <c r="CD833" s="267"/>
      <c r="CE833" s="267"/>
      <c r="CF833" s="267"/>
      <c r="CG833" s="267"/>
      <c r="CH833" s="267"/>
      <c r="CI833" s="267"/>
      <c r="CJ833" s="267"/>
      <c r="CK833" s="267"/>
      <c r="CL833" s="267"/>
      <c r="CM833" s="267"/>
      <c r="CN833" s="101">
        <f t="shared" si="108"/>
        <v>0</v>
      </c>
      <c r="CO833" s="101">
        <f t="shared" si="109"/>
        <v>0</v>
      </c>
    </row>
    <row r="834" spans="1:93" ht="13.9" customHeight="1" x14ac:dyDescent="0.2">
      <c r="A834" s="149">
        <v>7168</v>
      </c>
      <c r="B834" s="150" t="s">
        <v>1216</v>
      </c>
      <c r="C834" s="150" t="s">
        <v>2373</v>
      </c>
      <c r="D834" s="150" t="s">
        <v>2374</v>
      </c>
      <c r="E834" s="150" t="s">
        <v>326</v>
      </c>
      <c r="F834" s="149">
        <v>528231</v>
      </c>
      <c r="G834" s="149">
        <v>173208</v>
      </c>
      <c r="H834" s="150" t="s">
        <v>174</v>
      </c>
      <c r="I834" s="151"/>
      <c r="J834" s="151"/>
      <c r="K834" s="149">
        <v>0</v>
      </c>
      <c r="L834" s="149">
        <v>3</v>
      </c>
      <c r="M834" s="149">
        <v>3</v>
      </c>
      <c r="N834" s="149">
        <v>3</v>
      </c>
      <c r="O834" s="149">
        <v>3</v>
      </c>
      <c r="P834" s="152"/>
      <c r="Q834" s="150" t="s">
        <v>2375</v>
      </c>
      <c r="R834" s="150" t="s">
        <v>349</v>
      </c>
      <c r="S834" s="151">
        <v>45120</v>
      </c>
      <c r="T834" s="151">
        <v>45212</v>
      </c>
      <c r="U834" s="152" t="s">
        <v>327</v>
      </c>
      <c r="V834" s="150" t="s">
        <v>330</v>
      </c>
      <c r="W834" s="151"/>
      <c r="X834" s="150" t="s">
        <v>331</v>
      </c>
      <c r="Y834" s="150" t="s">
        <v>398</v>
      </c>
      <c r="Z834" s="150" t="s">
        <v>334</v>
      </c>
      <c r="AA834" s="150" t="s">
        <v>413</v>
      </c>
      <c r="AB834" s="153">
        <v>1.0999999999999999E-2</v>
      </c>
      <c r="AC834" s="151"/>
      <c r="AD834" s="150"/>
      <c r="AE834" s="151"/>
      <c r="AF834" s="150" t="s">
        <v>70</v>
      </c>
      <c r="AG834" s="152" t="s">
        <v>352</v>
      </c>
      <c r="AH834" s="150" t="s">
        <v>326</v>
      </c>
      <c r="AI834" s="99"/>
      <c r="AJ834" s="149"/>
      <c r="AK834" s="99"/>
      <c r="AL834" s="149"/>
      <c r="AM834" s="99"/>
      <c r="AN834" s="149">
        <v>0</v>
      </c>
      <c r="AO834" s="149">
        <v>1</v>
      </c>
      <c r="AP834" s="149">
        <v>2</v>
      </c>
      <c r="AQ834" s="149">
        <v>0</v>
      </c>
      <c r="AR834" s="149">
        <v>0</v>
      </c>
      <c r="AS834" s="149">
        <v>0</v>
      </c>
      <c r="AT834" s="149">
        <v>0</v>
      </c>
      <c r="AU834" s="149">
        <v>0</v>
      </c>
      <c r="AV834" s="149">
        <v>1</v>
      </c>
      <c r="AW834" s="149">
        <v>2</v>
      </c>
      <c r="AX834" s="149">
        <v>0</v>
      </c>
      <c r="AY834" s="149">
        <v>0</v>
      </c>
      <c r="AZ834" s="149">
        <v>0</v>
      </c>
      <c r="BA834" s="149">
        <v>0</v>
      </c>
      <c r="BB834" s="149">
        <v>0</v>
      </c>
      <c r="BC834" s="149">
        <v>0</v>
      </c>
      <c r="BD834" s="149">
        <v>0</v>
      </c>
      <c r="BE834" s="149">
        <v>0</v>
      </c>
      <c r="BF834" s="149">
        <v>0</v>
      </c>
      <c r="BG834" s="149">
        <v>0</v>
      </c>
      <c r="BH834" s="149">
        <v>0</v>
      </c>
      <c r="BI834" s="149">
        <v>0</v>
      </c>
      <c r="BJ834" s="149">
        <v>0</v>
      </c>
      <c r="BK834" s="149">
        <v>0</v>
      </c>
      <c r="BL834" s="149">
        <v>0</v>
      </c>
      <c r="BM834" s="149">
        <v>0</v>
      </c>
      <c r="BN834" s="149">
        <v>0</v>
      </c>
      <c r="BO834" s="149">
        <v>0</v>
      </c>
      <c r="BP834" s="152"/>
      <c r="BQ834" s="152"/>
      <c r="BR834" s="154" t="s">
        <v>359</v>
      </c>
      <c r="BS834" s="136">
        <v>15</v>
      </c>
      <c r="BT834" s="267"/>
      <c r="BU834" s="267">
        <f>M834/4</f>
        <v>0.75</v>
      </c>
      <c r="BV834" s="267">
        <f t="shared" si="114"/>
        <v>0.75</v>
      </c>
      <c r="BW834" s="267">
        <f t="shared" si="115"/>
        <v>0.75</v>
      </c>
      <c r="BX834" s="267">
        <f t="shared" si="116"/>
        <v>0.75</v>
      </c>
      <c r="BY834" s="267"/>
      <c r="BZ834" s="267"/>
      <c r="CA834" s="267"/>
      <c r="CB834" s="267"/>
      <c r="CC834" s="267"/>
      <c r="CD834" s="267"/>
      <c r="CE834" s="267"/>
      <c r="CF834" s="267"/>
      <c r="CG834" s="267"/>
      <c r="CH834" s="267"/>
      <c r="CI834" s="267"/>
      <c r="CJ834" s="267"/>
      <c r="CK834" s="267"/>
      <c r="CL834" s="267"/>
      <c r="CM834" s="267"/>
      <c r="CN834" s="101">
        <f t="shared" ref="CN834:CN897" si="118">SUM(BU834:BY834)</f>
        <v>3</v>
      </c>
      <c r="CO834" s="101">
        <f t="shared" ref="CO834:CO897" si="119">SUM(BU834:CD834)</f>
        <v>3</v>
      </c>
    </row>
    <row r="835" spans="1:93" ht="13.9" customHeight="1" x14ac:dyDescent="0.2">
      <c r="A835" s="149">
        <v>8018</v>
      </c>
      <c r="B835" s="150" t="s">
        <v>1216</v>
      </c>
      <c r="C835" s="150" t="s">
        <v>2376</v>
      </c>
      <c r="D835" s="150" t="s">
        <v>2377</v>
      </c>
      <c r="E835" s="150" t="s">
        <v>326</v>
      </c>
      <c r="F835" s="149">
        <v>525892</v>
      </c>
      <c r="G835" s="149">
        <v>173924</v>
      </c>
      <c r="H835" s="150" t="s">
        <v>175</v>
      </c>
      <c r="I835" s="151"/>
      <c r="J835" s="151"/>
      <c r="K835" s="149">
        <v>1</v>
      </c>
      <c r="L835" s="149">
        <v>1</v>
      </c>
      <c r="M835" s="149">
        <v>0</v>
      </c>
      <c r="N835" s="149">
        <v>1</v>
      </c>
      <c r="O835" s="149">
        <v>0</v>
      </c>
      <c r="P835" s="152"/>
      <c r="Q835" s="150" t="s">
        <v>2378</v>
      </c>
      <c r="R835" s="150" t="s">
        <v>349</v>
      </c>
      <c r="S835" s="151">
        <v>45141</v>
      </c>
      <c r="T835" s="151">
        <v>45197</v>
      </c>
      <c r="U835" s="152" t="s">
        <v>327</v>
      </c>
      <c r="V835" s="150" t="s">
        <v>330</v>
      </c>
      <c r="W835" s="151"/>
      <c r="X835" s="150" t="s">
        <v>331</v>
      </c>
      <c r="Y835" s="150" t="s">
        <v>398</v>
      </c>
      <c r="Z835" s="150" t="s">
        <v>334</v>
      </c>
      <c r="AA835" s="150" t="s">
        <v>26</v>
      </c>
      <c r="AB835" s="153">
        <v>8.0000000000000002E-3</v>
      </c>
      <c r="AC835" s="151"/>
      <c r="AD835" s="150"/>
      <c r="AE835" s="151"/>
      <c r="AF835" s="150" t="s">
        <v>70</v>
      </c>
      <c r="AG835" s="152" t="s">
        <v>352</v>
      </c>
      <c r="AH835" s="150" t="s">
        <v>326</v>
      </c>
      <c r="AI835" s="99"/>
      <c r="AJ835" s="149"/>
      <c r="AK835" s="99"/>
      <c r="AL835" s="149"/>
      <c r="AM835" s="99"/>
      <c r="AN835" s="149">
        <v>-1</v>
      </c>
      <c r="AO835" s="149">
        <v>1</v>
      </c>
      <c r="AP835" s="149">
        <v>0</v>
      </c>
      <c r="AQ835" s="149">
        <v>0</v>
      </c>
      <c r="AR835" s="149">
        <v>0</v>
      </c>
      <c r="AS835" s="149">
        <v>0</v>
      </c>
      <c r="AT835" s="149">
        <v>0</v>
      </c>
      <c r="AU835" s="149">
        <v>-1</v>
      </c>
      <c r="AV835" s="149">
        <v>1</v>
      </c>
      <c r="AW835" s="149">
        <v>0</v>
      </c>
      <c r="AX835" s="149">
        <v>0</v>
      </c>
      <c r="AY835" s="149">
        <v>0</v>
      </c>
      <c r="AZ835" s="149">
        <v>0</v>
      </c>
      <c r="BA835" s="149">
        <v>0</v>
      </c>
      <c r="BB835" s="149">
        <v>0</v>
      </c>
      <c r="BC835" s="149">
        <v>0</v>
      </c>
      <c r="BD835" s="149">
        <v>0</v>
      </c>
      <c r="BE835" s="149">
        <v>0</v>
      </c>
      <c r="BF835" s="149">
        <v>0</v>
      </c>
      <c r="BG835" s="149">
        <v>0</v>
      </c>
      <c r="BH835" s="149">
        <v>0</v>
      </c>
      <c r="BI835" s="149">
        <v>0</v>
      </c>
      <c r="BJ835" s="149">
        <v>0</v>
      </c>
      <c r="BK835" s="149">
        <v>0</v>
      </c>
      <c r="BL835" s="149">
        <v>0</v>
      </c>
      <c r="BM835" s="149">
        <v>0</v>
      </c>
      <c r="BN835" s="149">
        <v>0</v>
      </c>
      <c r="BO835" s="149">
        <v>0</v>
      </c>
      <c r="BP835" s="152"/>
      <c r="BQ835" s="152"/>
      <c r="BR835" s="154" t="s">
        <v>151</v>
      </c>
      <c r="BS835" s="136">
        <v>15</v>
      </c>
      <c r="BT835" s="267"/>
      <c r="BU835" s="267">
        <f>M835/4</f>
        <v>0</v>
      </c>
      <c r="BV835" s="267">
        <f t="shared" si="114"/>
        <v>0</v>
      </c>
      <c r="BW835" s="267">
        <f t="shared" si="115"/>
        <v>0</v>
      </c>
      <c r="BX835" s="267">
        <f t="shared" si="116"/>
        <v>0</v>
      </c>
      <c r="BY835" s="267"/>
      <c r="BZ835" s="267"/>
      <c r="CA835" s="267"/>
      <c r="CB835" s="267"/>
      <c r="CC835" s="267"/>
      <c r="CD835" s="267"/>
      <c r="CE835" s="267"/>
      <c r="CF835" s="267"/>
      <c r="CG835" s="267"/>
      <c r="CH835" s="267"/>
      <c r="CI835" s="267"/>
      <c r="CJ835" s="267"/>
      <c r="CK835" s="267"/>
      <c r="CL835" s="267"/>
      <c r="CM835" s="267"/>
      <c r="CN835" s="101">
        <f t="shared" si="118"/>
        <v>0</v>
      </c>
      <c r="CO835" s="101">
        <f t="shared" si="119"/>
        <v>0</v>
      </c>
    </row>
    <row r="836" spans="1:93" ht="13.9" customHeight="1" x14ac:dyDescent="0.2">
      <c r="A836" s="149">
        <v>7463</v>
      </c>
      <c r="B836" s="150" t="s">
        <v>1216</v>
      </c>
      <c r="C836" s="150" t="s">
        <v>2323</v>
      </c>
      <c r="D836" s="150" t="s">
        <v>2324</v>
      </c>
      <c r="E836" s="150" t="s">
        <v>2379</v>
      </c>
      <c r="F836" s="149">
        <v>525270</v>
      </c>
      <c r="G836" s="149">
        <v>174719</v>
      </c>
      <c r="H836" s="150" t="s">
        <v>161</v>
      </c>
      <c r="I836" s="151">
        <v>44792</v>
      </c>
      <c r="J836" s="151"/>
      <c r="K836" s="149">
        <v>0</v>
      </c>
      <c r="L836" s="149">
        <v>1</v>
      </c>
      <c r="M836" s="149">
        <v>1</v>
      </c>
      <c r="N836" s="149">
        <v>9</v>
      </c>
      <c r="O836" s="149">
        <v>9</v>
      </c>
      <c r="P836" s="152"/>
      <c r="Q836" s="150" t="s">
        <v>2326</v>
      </c>
      <c r="R836" s="150" t="s">
        <v>349</v>
      </c>
      <c r="S836" s="151">
        <v>44187</v>
      </c>
      <c r="T836" s="151">
        <v>44308</v>
      </c>
      <c r="U836" s="152"/>
      <c r="V836" s="150" t="s">
        <v>330</v>
      </c>
      <c r="W836" s="151"/>
      <c r="X836" s="150" t="s">
        <v>331</v>
      </c>
      <c r="Y836" s="150" t="s">
        <v>343</v>
      </c>
      <c r="Z836" s="150" t="s">
        <v>334</v>
      </c>
      <c r="AA836" s="150" t="s">
        <v>363</v>
      </c>
      <c r="AB836" s="153">
        <v>8.9999999999999993E-3</v>
      </c>
      <c r="AC836" s="151"/>
      <c r="AD836" s="150"/>
      <c r="AE836" s="151"/>
      <c r="AF836" s="150" t="s">
        <v>70</v>
      </c>
      <c r="AG836" s="152" t="s">
        <v>352</v>
      </c>
      <c r="AH836" s="150" t="s">
        <v>326</v>
      </c>
      <c r="AI836" s="99"/>
      <c r="AJ836" s="149"/>
      <c r="AK836" s="99"/>
      <c r="AL836" s="149"/>
      <c r="AM836" s="99"/>
      <c r="AN836" s="149">
        <v>0</v>
      </c>
      <c r="AO836" s="149">
        <v>0</v>
      </c>
      <c r="AP836" s="149">
        <v>0</v>
      </c>
      <c r="AQ836" s="149">
        <v>1</v>
      </c>
      <c r="AR836" s="149">
        <v>0</v>
      </c>
      <c r="AS836" s="149">
        <v>0</v>
      </c>
      <c r="AT836" s="149">
        <v>0</v>
      </c>
      <c r="AU836" s="149">
        <v>0</v>
      </c>
      <c r="AV836" s="149">
        <v>0</v>
      </c>
      <c r="AW836" s="149">
        <v>0</v>
      </c>
      <c r="AX836" s="149">
        <v>0</v>
      </c>
      <c r="AY836" s="149">
        <v>0</v>
      </c>
      <c r="AZ836" s="149">
        <v>0</v>
      </c>
      <c r="BA836" s="149">
        <v>0</v>
      </c>
      <c r="BB836" s="149">
        <v>0</v>
      </c>
      <c r="BC836" s="149">
        <v>0</v>
      </c>
      <c r="BD836" s="149">
        <v>0</v>
      </c>
      <c r="BE836" s="149">
        <v>1</v>
      </c>
      <c r="BF836" s="149">
        <v>0</v>
      </c>
      <c r="BG836" s="149">
        <v>0</v>
      </c>
      <c r="BH836" s="149">
        <v>0</v>
      </c>
      <c r="BI836" s="149">
        <v>0</v>
      </c>
      <c r="BJ836" s="149">
        <v>0</v>
      </c>
      <c r="BK836" s="149">
        <v>0</v>
      </c>
      <c r="BL836" s="149">
        <v>0</v>
      </c>
      <c r="BM836" s="149">
        <v>0</v>
      </c>
      <c r="BN836" s="149">
        <v>0</v>
      </c>
      <c r="BO836" s="149">
        <v>0</v>
      </c>
      <c r="BP836" s="152"/>
      <c r="BQ836" s="152"/>
      <c r="BR836" s="154" t="s">
        <v>463</v>
      </c>
      <c r="BS836" s="136">
        <v>8</v>
      </c>
      <c r="BT836" s="267"/>
      <c r="BU836" s="267"/>
      <c r="BV836" s="267">
        <f>M836</f>
        <v>1</v>
      </c>
      <c r="BW836" s="267"/>
      <c r="BX836" s="267"/>
      <c r="BY836" s="267"/>
      <c r="BZ836" s="267"/>
      <c r="CA836" s="267"/>
      <c r="CB836" s="267"/>
      <c r="CC836" s="267"/>
      <c r="CD836" s="267"/>
      <c r="CE836" s="267"/>
      <c r="CF836" s="267"/>
      <c r="CG836" s="267"/>
      <c r="CH836" s="267"/>
      <c r="CI836" s="267"/>
      <c r="CJ836" s="267"/>
      <c r="CK836" s="267"/>
      <c r="CL836" s="267"/>
      <c r="CM836" s="267"/>
      <c r="CN836" s="101">
        <f t="shared" si="118"/>
        <v>1</v>
      </c>
      <c r="CO836" s="101">
        <f t="shared" si="119"/>
        <v>1</v>
      </c>
    </row>
    <row r="837" spans="1:93" ht="13.9" customHeight="1" x14ac:dyDescent="0.2">
      <c r="A837" s="149">
        <v>6339</v>
      </c>
      <c r="B837" s="150" t="s">
        <v>1216</v>
      </c>
      <c r="C837" s="150" t="s">
        <v>2380</v>
      </c>
      <c r="D837" s="150" t="s">
        <v>2381</v>
      </c>
      <c r="E837" s="150" t="s">
        <v>326</v>
      </c>
      <c r="F837" s="149">
        <v>527649</v>
      </c>
      <c r="G837" s="149">
        <v>176406</v>
      </c>
      <c r="H837" s="150" t="s">
        <v>160</v>
      </c>
      <c r="I837" s="151"/>
      <c r="J837" s="151"/>
      <c r="K837" s="149">
        <v>0</v>
      </c>
      <c r="L837" s="149">
        <v>1</v>
      </c>
      <c r="M837" s="149">
        <v>1</v>
      </c>
      <c r="N837" s="149">
        <v>1</v>
      </c>
      <c r="O837" s="149">
        <v>1</v>
      </c>
      <c r="P837" s="152"/>
      <c r="Q837" s="150" t="s">
        <v>2382</v>
      </c>
      <c r="R837" s="150" t="s">
        <v>427</v>
      </c>
      <c r="S837" s="151">
        <v>45128</v>
      </c>
      <c r="T837" s="151">
        <v>45180</v>
      </c>
      <c r="U837" s="152" t="s">
        <v>327</v>
      </c>
      <c r="V837" s="150" t="s">
        <v>330</v>
      </c>
      <c r="W837" s="151"/>
      <c r="X837" s="150" t="s">
        <v>331</v>
      </c>
      <c r="Y837" s="150" t="s">
        <v>332</v>
      </c>
      <c r="Z837" s="150" t="s">
        <v>334</v>
      </c>
      <c r="AA837" s="150" t="s">
        <v>29</v>
      </c>
      <c r="AB837" s="153">
        <v>3.7000000000000002E-3</v>
      </c>
      <c r="AC837" s="151"/>
      <c r="AD837" s="150"/>
      <c r="AE837" s="151"/>
      <c r="AF837" s="150" t="s">
        <v>70</v>
      </c>
      <c r="AG837" s="152" t="s">
        <v>337</v>
      </c>
      <c r="AH837" s="150" t="s">
        <v>326</v>
      </c>
      <c r="AI837" s="99"/>
      <c r="AJ837" s="149"/>
      <c r="AK837" s="99"/>
      <c r="AL837" s="149"/>
      <c r="AM837" s="99"/>
      <c r="AN837" s="149">
        <v>0</v>
      </c>
      <c r="AO837" s="149">
        <v>0</v>
      </c>
      <c r="AP837" s="149">
        <v>1</v>
      </c>
      <c r="AQ837" s="149">
        <v>0</v>
      </c>
      <c r="AR837" s="149">
        <v>0</v>
      </c>
      <c r="AS837" s="149">
        <v>0</v>
      </c>
      <c r="AT837" s="149">
        <v>0</v>
      </c>
      <c r="AU837" s="149">
        <v>0</v>
      </c>
      <c r="AV837" s="149">
        <v>0</v>
      </c>
      <c r="AW837" s="149">
        <v>1</v>
      </c>
      <c r="AX837" s="149">
        <v>0</v>
      </c>
      <c r="AY837" s="149">
        <v>0</v>
      </c>
      <c r="AZ837" s="149">
        <v>0</v>
      </c>
      <c r="BA837" s="149">
        <v>0</v>
      </c>
      <c r="BB837" s="149">
        <v>0</v>
      </c>
      <c r="BC837" s="149">
        <v>0</v>
      </c>
      <c r="BD837" s="149">
        <v>0</v>
      </c>
      <c r="BE837" s="149">
        <v>0</v>
      </c>
      <c r="BF837" s="149">
        <v>0</v>
      </c>
      <c r="BG837" s="149">
        <v>0</v>
      </c>
      <c r="BH837" s="149">
        <v>0</v>
      </c>
      <c r="BI837" s="149">
        <v>0</v>
      </c>
      <c r="BJ837" s="149">
        <v>0</v>
      </c>
      <c r="BK837" s="149">
        <v>0</v>
      </c>
      <c r="BL837" s="149">
        <v>0</v>
      </c>
      <c r="BM837" s="149">
        <v>0</v>
      </c>
      <c r="BN837" s="149">
        <v>0</v>
      </c>
      <c r="BO837" s="149">
        <v>0</v>
      </c>
      <c r="BP837" s="152"/>
      <c r="BQ837" s="152"/>
      <c r="BR837" s="154" t="s">
        <v>359</v>
      </c>
      <c r="BS837" s="136">
        <v>15</v>
      </c>
      <c r="BT837" s="267"/>
      <c r="BU837" s="267">
        <f>M837/4</f>
        <v>0.25</v>
      </c>
      <c r="BV837" s="267">
        <f>M837/4</f>
        <v>0.25</v>
      </c>
      <c r="BW837" s="267">
        <f>M837/4</f>
        <v>0.25</v>
      </c>
      <c r="BX837" s="267">
        <f>M837/4</f>
        <v>0.25</v>
      </c>
      <c r="BY837" s="267"/>
      <c r="BZ837" s="267"/>
      <c r="CA837" s="267"/>
      <c r="CB837" s="267"/>
      <c r="CC837" s="267"/>
      <c r="CD837" s="267"/>
      <c r="CE837" s="267"/>
      <c r="CF837" s="267"/>
      <c r="CG837" s="267"/>
      <c r="CH837" s="267"/>
      <c r="CI837" s="267"/>
      <c r="CJ837" s="267"/>
      <c r="CK837" s="267"/>
      <c r="CL837" s="267"/>
      <c r="CM837" s="267"/>
      <c r="CN837" s="101">
        <f t="shared" si="118"/>
        <v>1</v>
      </c>
      <c r="CO837" s="101">
        <f t="shared" si="119"/>
        <v>1</v>
      </c>
    </row>
    <row r="838" spans="1:93" ht="13.9" customHeight="1" x14ac:dyDescent="0.2">
      <c r="A838" s="149">
        <v>7949</v>
      </c>
      <c r="B838" s="150" t="s">
        <v>1216</v>
      </c>
      <c r="C838" s="150" t="s">
        <v>2383</v>
      </c>
      <c r="D838" s="150" t="s">
        <v>2384</v>
      </c>
      <c r="E838" s="150" t="s">
        <v>326</v>
      </c>
      <c r="F838" s="149">
        <v>528217</v>
      </c>
      <c r="G838" s="149">
        <v>172281</v>
      </c>
      <c r="H838" s="150" t="s">
        <v>168</v>
      </c>
      <c r="I838" s="151"/>
      <c r="J838" s="151"/>
      <c r="K838" s="149">
        <v>0</v>
      </c>
      <c r="L838" s="149">
        <v>2</v>
      </c>
      <c r="M838" s="149">
        <v>2</v>
      </c>
      <c r="N838" s="149">
        <v>2</v>
      </c>
      <c r="O838" s="149">
        <v>2</v>
      </c>
      <c r="P838" s="152"/>
      <c r="Q838" s="150" t="s">
        <v>2385</v>
      </c>
      <c r="R838" s="150" t="s">
        <v>349</v>
      </c>
      <c r="S838" s="151">
        <v>45132</v>
      </c>
      <c r="T838" s="151">
        <v>45349</v>
      </c>
      <c r="U838" s="152" t="s">
        <v>327</v>
      </c>
      <c r="V838" s="150" t="s">
        <v>330</v>
      </c>
      <c r="W838" s="151"/>
      <c r="X838" s="150" t="s">
        <v>331</v>
      </c>
      <c r="Y838" s="150" t="s">
        <v>343</v>
      </c>
      <c r="Z838" s="150" t="s">
        <v>334</v>
      </c>
      <c r="AA838" s="150" t="s">
        <v>363</v>
      </c>
      <c r="AB838" s="153">
        <v>5.0000000000000001E-3</v>
      </c>
      <c r="AC838" s="151"/>
      <c r="AD838" s="150"/>
      <c r="AE838" s="151"/>
      <c r="AF838" s="150" t="s">
        <v>70</v>
      </c>
      <c r="AG838" s="152" t="s">
        <v>352</v>
      </c>
      <c r="AH838" s="150" t="s">
        <v>326</v>
      </c>
      <c r="AI838" s="99"/>
      <c r="AJ838" s="149"/>
      <c r="AK838" s="99"/>
      <c r="AL838" s="149"/>
      <c r="AM838" s="99"/>
      <c r="AN838" s="149">
        <v>0</v>
      </c>
      <c r="AO838" s="149">
        <v>1</v>
      </c>
      <c r="AP838" s="149">
        <v>1</v>
      </c>
      <c r="AQ838" s="149">
        <v>0</v>
      </c>
      <c r="AR838" s="149">
        <v>0</v>
      </c>
      <c r="AS838" s="149">
        <v>0</v>
      </c>
      <c r="AT838" s="149">
        <v>0</v>
      </c>
      <c r="AU838" s="149">
        <v>0</v>
      </c>
      <c r="AV838" s="149">
        <v>1</v>
      </c>
      <c r="AW838" s="149">
        <v>1</v>
      </c>
      <c r="AX838" s="149">
        <v>0</v>
      </c>
      <c r="AY838" s="149">
        <v>0</v>
      </c>
      <c r="AZ838" s="149">
        <v>0</v>
      </c>
      <c r="BA838" s="149">
        <v>0</v>
      </c>
      <c r="BB838" s="149">
        <v>0</v>
      </c>
      <c r="BC838" s="149">
        <v>0</v>
      </c>
      <c r="BD838" s="149">
        <v>0</v>
      </c>
      <c r="BE838" s="149">
        <v>0</v>
      </c>
      <c r="BF838" s="149">
        <v>0</v>
      </c>
      <c r="BG838" s="149">
        <v>0</v>
      </c>
      <c r="BH838" s="149">
        <v>0</v>
      </c>
      <c r="BI838" s="149">
        <v>0</v>
      </c>
      <c r="BJ838" s="149">
        <v>0</v>
      </c>
      <c r="BK838" s="149">
        <v>0</v>
      </c>
      <c r="BL838" s="149">
        <v>0</v>
      </c>
      <c r="BM838" s="149">
        <v>0</v>
      </c>
      <c r="BN838" s="149">
        <v>0</v>
      </c>
      <c r="BO838" s="149">
        <v>0</v>
      </c>
      <c r="BP838" s="152"/>
      <c r="BQ838" s="152"/>
      <c r="BR838" s="154" t="s">
        <v>359</v>
      </c>
      <c r="BS838" s="136">
        <v>7</v>
      </c>
      <c r="BT838" s="267"/>
      <c r="BU838" s="267"/>
      <c r="BV838" s="267">
        <f>M838/4</f>
        <v>0.5</v>
      </c>
      <c r="BW838" s="267">
        <f>M838/4</f>
        <v>0.5</v>
      </c>
      <c r="BX838" s="267">
        <f>M838/4</f>
        <v>0.5</v>
      </c>
      <c r="BY838" s="267">
        <f>M838/4</f>
        <v>0.5</v>
      </c>
      <c r="BZ838" s="267"/>
      <c r="CA838" s="267"/>
      <c r="CB838" s="267"/>
      <c r="CC838" s="267"/>
      <c r="CD838" s="267"/>
      <c r="CE838" s="267"/>
      <c r="CF838" s="267"/>
      <c r="CG838" s="267"/>
      <c r="CH838" s="267"/>
      <c r="CI838" s="267"/>
      <c r="CJ838" s="267"/>
      <c r="CK838" s="267"/>
      <c r="CL838" s="267"/>
      <c r="CM838" s="267"/>
      <c r="CN838" s="101">
        <f t="shared" si="118"/>
        <v>2</v>
      </c>
      <c r="CO838" s="101">
        <f t="shared" si="119"/>
        <v>2</v>
      </c>
    </row>
    <row r="839" spans="1:93" ht="13.9" customHeight="1" x14ac:dyDescent="0.2">
      <c r="A839" s="149">
        <v>5724</v>
      </c>
      <c r="B839" s="150" t="s">
        <v>1216</v>
      </c>
      <c r="C839" s="150" t="s">
        <v>2386</v>
      </c>
      <c r="D839" s="150" t="s">
        <v>2387</v>
      </c>
      <c r="E839" s="150" t="s">
        <v>326</v>
      </c>
      <c r="F839" s="149">
        <v>525891</v>
      </c>
      <c r="G839" s="149">
        <v>173935</v>
      </c>
      <c r="H839" s="150" t="s">
        <v>175</v>
      </c>
      <c r="I839" s="151"/>
      <c r="J839" s="151"/>
      <c r="K839" s="149">
        <v>2</v>
      </c>
      <c r="L839" s="149">
        <v>2</v>
      </c>
      <c r="M839" s="149">
        <v>0</v>
      </c>
      <c r="N839" s="149">
        <v>2</v>
      </c>
      <c r="O839" s="149">
        <v>0</v>
      </c>
      <c r="P839" s="152"/>
      <c r="Q839" s="150" t="s">
        <v>2388</v>
      </c>
      <c r="R839" s="150" t="s">
        <v>349</v>
      </c>
      <c r="S839" s="151">
        <v>45155</v>
      </c>
      <c r="T839" s="151">
        <v>45240</v>
      </c>
      <c r="U839" s="152" t="s">
        <v>327</v>
      </c>
      <c r="V839" s="150" t="s">
        <v>330</v>
      </c>
      <c r="W839" s="151"/>
      <c r="X839" s="150" t="s">
        <v>331</v>
      </c>
      <c r="Y839" s="150" t="s">
        <v>398</v>
      </c>
      <c r="Z839" s="150" t="s">
        <v>334</v>
      </c>
      <c r="AA839" s="150" t="s">
        <v>413</v>
      </c>
      <c r="AB839" s="153">
        <v>6.8300000000000001E-3</v>
      </c>
      <c r="AC839" s="151"/>
      <c r="AD839" s="150"/>
      <c r="AE839" s="151"/>
      <c r="AF839" s="150" t="s">
        <v>70</v>
      </c>
      <c r="AG839" s="152" t="s">
        <v>352</v>
      </c>
      <c r="AH839" s="150" t="s">
        <v>326</v>
      </c>
      <c r="AI839" s="99"/>
      <c r="AJ839" s="149"/>
      <c r="AK839" s="99"/>
      <c r="AL839" s="149"/>
      <c r="AM839" s="99"/>
      <c r="AN839" s="149">
        <v>0</v>
      </c>
      <c r="AO839" s="149">
        <v>0</v>
      </c>
      <c r="AP839" s="149">
        <v>0</v>
      </c>
      <c r="AQ839" s="149">
        <v>0</v>
      </c>
      <c r="AR839" s="149">
        <v>0</v>
      </c>
      <c r="AS839" s="149">
        <v>0</v>
      </c>
      <c r="AT839" s="149">
        <v>0</v>
      </c>
      <c r="AU839" s="149">
        <v>0</v>
      </c>
      <c r="AV839" s="149">
        <v>0</v>
      </c>
      <c r="AW839" s="149">
        <v>0</v>
      </c>
      <c r="AX839" s="149">
        <v>0</v>
      </c>
      <c r="AY839" s="149">
        <v>0</v>
      </c>
      <c r="AZ839" s="149">
        <v>0</v>
      </c>
      <c r="BA839" s="149">
        <v>0</v>
      </c>
      <c r="BB839" s="149">
        <v>0</v>
      </c>
      <c r="BC839" s="149">
        <v>0</v>
      </c>
      <c r="BD839" s="149">
        <v>0</v>
      </c>
      <c r="BE839" s="149">
        <v>0</v>
      </c>
      <c r="BF839" s="149">
        <v>0</v>
      </c>
      <c r="BG839" s="149">
        <v>0</v>
      </c>
      <c r="BH839" s="149">
        <v>0</v>
      </c>
      <c r="BI839" s="149">
        <v>0</v>
      </c>
      <c r="BJ839" s="149">
        <v>0</v>
      </c>
      <c r="BK839" s="149">
        <v>0</v>
      </c>
      <c r="BL839" s="149">
        <v>0</v>
      </c>
      <c r="BM839" s="149">
        <v>0</v>
      </c>
      <c r="BN839" s="149">
        <v>0</v>
      </c>
      <c r="BO839" s="149">
        <v>0</v>
      </c>
      <c r="BP839" s="152"/>
      <c r="BQ839" s="152"/>
      <c r="BR839" s="154" t="s">
        <v>151</v>
      </c>
      <c r="BS839" s="136">
        <v>15</v>
      </c>
      <c r="BT839" s="267"/>
      <c r="BU839" s="267">
        <f>M839/4</f>
        <v>0</v>
      </c>
      <c r="BV839" s="267">
        <f>M839/4</f>
        <v>0</v>
      </c>
      <c r="BW839" s="267">
        <f>M839/4</f>
        <v>0</v>
      </c>
      <c r="BX839" s="267">
        <f>M839/4</f>
        <v>0</v>
      </c>
      <c r="BY839" s="267"/>
      <c r="BZ839" s="267"/>
      <c r="CA839" s="267"/>
      <c r="CB839" s="267"/>
      <c r="CC839" s="267"/>
      <c r="CD839" s="267"/>
      <c r="CE839" s="267"/>
      <c r="CF839" s="267"/>
      <c r="CG839" s="267"/>
      <c r="CH839" s="267"/>
      <c r="CI839" s="267"/>
      <c r="CJ839" s="267"/>
      <c r="CK839" s="267"/>
      <c r="CL839" s="267"/>
      <c r="CM839" s="267"/>
      <c r="CN839" s="101">
        <f t="shared" si="118"/>
        <v>0</v>
      </c>
      <c r="CO839" s="101">
        <f t="shared" si="119"/>
        <v>0</v>
      </c>
    </row>
    <row r="840" spans="1:93" ht="13.9" customHeight="1" x14ac:dyDescent="0.2">
      <c r="A840" s="149">
        <v>7479</v>
      </c>
      <c r="B840" s="150" t="s">
        <v>1216</v>
      </c>
      <c r="C840" s="150" t="s">
        <v>2389</v>
      </c>
      <c r="D840" s="150" t="s">
        <v>2390</v>
      </c>
      <c r="E840" s="150" t="s">
        <v>326</v>
      </c>
      <c r="F840" s="149">
        <v>527606</v>
      </c>
      <c r="G840" s="149">
        <v>171102</v>
      </c>
      <c r="H840" s="150" t="s">
        <v>173</v>
      </c>
      <c r="I840" s="151">
        <v>44743</v>
      </c>
      <c r="J840" s="151"/>
      <c r="K840" s="149">
        <v>1</v>
      </c>
      <c r="L840" s="149">
        <v>9</v>
      </c>
      <c r="M840" s="149">
        <v>8</v>
      </c>
      <c r="N840" s="149">
        <v>9</v>
      </c>
      <c r="O840" s="149">
        <v>8</v>
      </c>
      <c r="P840" s="152"/>
      <c r="Q840" s="150" t="s">
        <v>2391</v>
      </c>
      <c r="R840" s="150" t="s">
        <v>349</v>
      </c>
      <c r="S840" s="151">
        <v>44001</v>
      </c>
      <c r="T840" s="151">
        <v>44132</v>
      </c>
      <c r="U840" s="152"/>
      <c r="V840" s="150" t="s">
        <v>330</v>
      </c>
      <c r="W840" s="151"/>
      <c r="X840" s="150" t="s">
        <v>331</v>
      </c>
      <c r="Y840" s="150" t="s">
        <v>343</v>
      </c>
      <c r="Z840" s="150" t="s">
        <v>334</v>
      </c>
      <c r="AA840" s="150" t="s">
        <v>363</v>
      </c>
      <c r="AB840" s="153">
        <v>2.5999999999999999E-2</v>
      </c>
      <c r="AC840" s="151"/>
      <c r="AD840" s="150"/>
      <c r="AE840" s="151"/>
      <c r="AF840" s="150" t="s">
        <v>70</v>
      </c>
      <c r="AG840" s="152" t="s">
        <v>352</v>
      </c>
      <c r="AH840" s="150" t="s">
        <v>326</v>
      </c>
      <c r="AI840" s="99"/>
      <c r="AJ840" s="149"/>
      <c r="AK840" s="99"/>
      <c r="AL840" s="149"/>
      <c r="AM840" s="99"/>
      <c r="AN840" s="149">
        <v>0</v>
      </c>
      <c r="AO840" s="149">
        <v>4</v>
      </c>
      <c r="AP840" s="149">
        <v>3</v>
      </c>
      <c r="AQ840" s="149">
        <v>2</v>
      </c>
      <c r="AR840" s="149">
        <v>-1</v>
      </c>
      <c r="AS840" s="149">
        <v>0</v>
      </c>
      <c r="AT840" s="149">
        <v>0</v>
      </c>
      <c r="AU840" s="149">
        <v>0</v>
      </c>
      <c r="AV840" s="149">
        <v>4</v>
      </c>
      <c r="AW840" s="149">
        <v>3</v>
      </c>
      <c r="AX840" s="149">
        <v>2</v>
      </c>
      <c r="AY840" s="149">
        <v>0</v>
      </c>
      <c r="AZ840" s="149">
        <v>0</v>
      </c>
      <c r="BA840" s="149">
        <v>0</v>
      </c>
      <c r="BB840" s="149">
        <v>0</v>
      </c>
      <c r="BC840" s="149">
        <v>0</v>
      </c>
      <c r="BD840" s="149">
        <v>0</v>
      </c>
      <c r="BE840" s="149">
        <v>0</v>
      </c>
      <c r="BF840" s="149">
        <v>-1</v>
      </c>
      <c r="BG840" s="149">
        <v>0</v>
      </c>
      <c r="BH840" s="149">
        <v>0</v>
      </c>
      <c r="BI840" s="149">
        <v>0</v>
      </c>
      <c r="BJ840" s="149">
        <v>0</v>
      </c>
      <c r="BK840" s="149">
        <v>0</v>
      </c>
      <c r="BL840" s="149">
        <v>0</v>
      </c>
      <c r="BM840" s="149">
        <v>0</v>
      </c>
      <c r="BN840" s="149">
        <v>0</v>
      </c>
      <c r="BO840" s="149">
        <v>0</v>
      </c>
      <c r="BP840" s="152"/>
      <c r="BQ840" s="152"/>
      <c r="BR840" s="154" t="s">
        <v>359</v>
      </c>
      <c r="BS840" s="136">
        <v>8</v>
      </c>
      <c r="BT840" s="267"/>
      <c r="BU840" s="267"/>
      <c r="BV840" s="267">
        <f>M840</f>
        <v>8</v>
      </c>
      <c r="BW840" s="267"/>
      <c r="BX840" s="267"/>
      <c r="BY840" s="267"/>
      <c r="BZ840" s="267"/>
      <c r="CA840" s="267"/>
      <c r="CB840" s="267"/>
      <c r="CC840" s="267"/>
      <c r="CD840" s="267"/>
      <c r="CE840" s="267"/>
      <c r="CF840" s="267"/>
      <c r="CG840" s="267"/>
      <c r="CH840" s="267"/>
      <c r="CI840" s="267"/>
      <c r="CJ840" s="267"/>
      <c r="CK840" s="267"/>
      <c r="CL840" s="267"/>
      <c r="CM840" s="267"/>
      <c r="CN840" s="101">
        <f t="shared" si="118"/>
        <v>8</v>
      </c>
      <c r="CO840" s="101">
        <f t="shared" si="119"/>
        <v>8</v>
      </c>
    </row>
    <row r="841" spans="1:93" ht="13.9" customHeight="1" x14ac:dyDescent="0.2">
      <c r="A841" s="149">
        <v>6971</v>
      </c>
      <c r="B841" s="150" t="s">
        <v>1216</v>
      </c>
      <c r="C841" s="150" t="s">
        <v>2392</v>
      </c>
      <c r="D841" s="150" t="s">
        <v>2393</v>
      </c>
      <c r="E841" s="150" t="s">
        <v>326</v>
      </c>
      <c r="F841" s="149">
        <v>528580</v>
      </c>
      <c r="G841" s="149">
        <v>173481</v>
      </c>
      <c r="H841" s="150" t="s">
        <v>139</v>
      </c>
      <c r="I841" s="151"/>
      <c r="J841" s="151"/>
      <c r="K841" s="149">
        <v>0</v>
      </c>
      <c r="L841" s="149">
        <v>2</v>
      </c>
      <c r="M841" s="149">
        <v>2</v>
      </c>
      <c r="N841" s="149">
        <v>2</v>
      </c>
      <c r="O841" s="149">
        <v>2</v>
      </c>
      <c r="P841" s="152"/>
      <c r="Q841" s="150" t="s">
        <v>2394</v>
      </c>
      <c r="R841" s="150" t="s">
        <v>349</v>
      </c>
      <c r="S841" s="151">
        <v>45140</v>
      </c>
      <c r="T841" s="151">
        <v>45309</v>
      </c>
      <c r="U841" s="152" t="s">
        <v>327</v>
      </c>
      <c r="V841" s="150" t="s">
        <v>330</v>
      </c>
      <c r="W841" s="151"/>
      <c r="X841" s="150" t="s">
        <v>331</v>
      </c>
      <c r="Y841" s="150" t="s">
        <v>491</v>
      </c>
      <c r="Z841" s="150" t="s">
        <v>334</v>
      </c>
      <c r="AA841" s="150" t="s">
        <v>413</v>
      </c>
      <c r="AB841" s="153">
        <v>6.7000000000000002E-3</v>
      </c>
      <c r="AC841" s="151"/>
      <c r="AD841" s="150"/>
      <c r="AE841" s="151"/>
      <c r="AF841" s="150" t="s">
        <v>70</v>
      </c>
      <c r="AG841" s="152" t="s">
        <v>352</v>
      </c>
      <c r="AH841" s="150" t="s">
        <v>326</v>
      </c>
      <c r="AI841" s="99"/>
      <c r="AJ841" s="149"/>
      <c r="AK841" s="99"/>
      <c r="AL841" s="149"/>
      <c r="AM841" s="99"/>
      <c r="AN841" s="149">
        <v>1</v>
      </c>
      <c r="AO841" s="149">
        <v>1</v>
      </c>
      <c r="AP841" s="149">
        <v>0</v>
      </c>
      <c r="AQ841" s="149">
        <v>0</v>
      </c>
      <c r="AR841" s="149">
        <v>0</v>
      </c>
      <c r="AS841" s="149">
        <v>0</v>
      </c>
      <c r="AT841" s="149">
        <v>0</v>
      </c>
      <c r="AU841" s="149">
        <v>1</v>
      </c>
      <c r="AV841" s="149">
        <v>1</v>
      </c>
      <c r="AW841" s="149">
        <v>0</v>
      </c>
      <c r="AX841" s="149">
        <v>0</v>
      </c>
      <c r="AY841" s="149">
        <v>0</v>
      </c>
      <c r="AZ841" s="149">
        <v>0</v>
      </c>
      <c r="BA841" s="149">
        <v>0</v>
      </c>
      <c r="BB841" s="149">
        <v>0</v>
      </c>
      <c r="BC841" s="149">
        <v>0</v>
      </c>
      <c r="BD841" s="149">
        <v>0</v>
      </c>
      <c r="BE841" s="149">
        <v>0</v>
      </c>
      <c r="BF841" s="149">
        <v>0</v>
      </c>
      <c r="BG841" s="149">
        <v>0</v>
      </c>
      <c r="BH841" s="149">
        <v>0</v>
      </c>
      <c r="BI841" s="149">
        <v>0</v>
      </c>
      <c r="BJ841" s="149">
        <v>0</v>
      </c>
      <c r="BK841" s="149">
        <v>0</v>
      </c>
      <c r="BL841" s="149">
        <v>0</v>
      </c>
      <c r="BM841" s="149">
        <v>0</v>
      </c>
      <c r="BN841" s="149">
        <v>0</v>
      </c>
      <c r="BO841" s="149">
        <v>0</v>
      </c>
      <c r="BP841" s="152" t="s">
        <v>139</v>
      </c>
      <c r="BQ841" s="152"/>
      <c r="BR841" s="154" t="s">
        <v>139</v>
      </c>
      <c r="BS841" s="136">
        <v>15</v>
      </c>
      <c r="BT841" s="267"/>
      <c r="BU841" s="267">
        <f>M841/4</f>
        <v>0.5</v>
      </c>
      <c r="BV841" s="267">
        <f t="shared" ref="BV841:BV848" si="120">M841/4</f>
        <v>0.5</v>
      </c>
      <c r="BW841" s="267">
        <f t="shared" ref="BW841:BW848" si="121">M841/4</f>
        <v>0.5</v>
      </c>
      <c r="BX841" s="267">
        <f t="shared" ref="BX841:BX848" si="122">M841/4</f>
        <v>0.5</v>
      </c>
      <c r="BY841" s="267"/>
      <c r="BZ841" s="267"/>
      <c r="CA841" s="267"/>
      <c r="CB841" s="267"/>
      <c r="CC841" s="267"/>
      <c r="CD841" s="267"/>
      <c r="CE841" s="267"/>
      <c r="CF841" s="267"/>
      <c r="CG841" s="267"/>
      <c r="CH841" s="267"/>
      <c r="CI841" s="267"/>
      <c r="CJ841" s="267"/>
      <c r="CK841" s="267"/>
      <c r="CL841" s="267"/>
      <c r="CM841" s="267"/>
      <c r="CN841" s="101">
        <f t="shared" si="118"/>
        <v>2</v>
      </c>
      <c r="CO841" s="101">
        <f t="shared" si="119"/>
        <v>2</v>
      </c>
    </row>
    <row r="842" spans="1:93" ht="13.9" customHeight="1" x14ac:dyDescent="0.2">
      <c r="A842" s="149">
        <v>4565</v>
      </c>
      <c r="B842" s="150" t="s">
        <v>1216</v>
      </c>
      <c r="C842" s="150" t="s">
        <v>2395</v>
      </c>
      <c r="D842" s="150" t="s">
        <v>2069</v>
      </c>
      <c r="E842" s="150" t="s">
        <v>326</v>
      </c>
      <c r="F842" s="149">
        <v>525828</v>
      </c>
      <c r="G842" s="149">
        <v>173035</v>
      </c>
      <c r="H842" s="150" t="s">
        <v>169</v>
      </c>
      <c r="I842" s="151"/>
      <c r="J842" s="151"/>
      <c r="K842" s="149">
        <v>0</v>
      </c>
      <c r="L842" s="149">
        <v>1</v>
      </c>
      <c r="M842" s="149">
        <v>1</v>
      </c>
      <c r="N842" s="149">
        <v>1</v>
      </c>
      <c r="O842" s="149">
        <v>1</v>
      </c>
      <c r="P842" s="152"/>
      <c r="Q842" s="150" t="s">
        <v>2396</v>
      </c>
      <c r="R842" s="150" t="s">
        <v>427</v>
      </c>
      <c r="S842" s="151">
        <v>45147</v>
      </c>
      <c r="T842" s="151">
        <v>45196</v>
      </c>
      <c r="U842" s="152" t="s">
        <v>327</v>
      </c>
      <c r="V842" s="150" t="s">
        <v>330</v>
      </c>
      <c r="W842" s="151"/>
      <c r="X842" s="150" t="s">
        <v>331</v>
      </c>
      <c r="Y842" s="150" t="s">
        <v>332</v>
      </c>
      <c r="Z842" s="150" t="s">
        <v>334</v>
      </c>
      <c r="AA842" s="150" t="s">
        <v>32</v>
      </c>
      <c r="AB842" s="153">
        <v>5.0000000000000001E-3</v>
      </c>
      <c r="AC842" s="151"/>
      <c r="AD842" s="150"/>
      <c r="AE842" s="151"/>
      <c r="AF842" s="150" t="s">
        <v>70</v>
      </c>
      <c r="AG842" s="152" t="s">
        <v>337</v>
      </c>
      <c r="AH842" s="150" t="s">
        <v>326</v>
      </c>
      <c r="AI842" s="99"/>
      <c r="AJ842" s="149"/>
      <c r="AK842" s="99"/>
      <c r="AL842" s="149"/>
      <c r="AM842" s="99"/>
      <c r="AN842" s="149">
        <v>0</v>
      </c>
      <c r="AO842" s="149">
        <v>1</v>
      </c>
      <c r="AP842" s="149">
        <v>0</v>
      </c>
      <c r="AQ842" s="149">
        <v>0</v>
      </c>
      <c r="AR842" s="149">
        <v>0</v>
      </c>
      <c r="AS842" s="149">
        <v>0</v>
      </c>
      <c r="AT842" s="149">
        <v>0</v>
      </c>
      <c r="AU842" s="149">
        <v>0</v>
      </c>
      <c r="AV842" s="149">
        <v>1</v>
      </c>
      <c r="AW842" s="149">
        <v>0</v>
      </c>
      <c r="AX842" s="149">
        <v>0</v>
      </c>
      <c r="AY842" s="149">
        <v>0</v>
      </c>
      <c r="AZ842" s="149">
        <v>0</v>
      </c>
      <c r="BA842" s="149">
        <v>0</v>
      </c>
      <c r="BB842" s="149">
        <v>0</v>
      </c>
      <c r="BC842" s="149">
        <v>0</v>
      </c>
      <c r="BD842" s="149">
        <v>0</v>
      </c>
      <c r="BE842" s="149">
        <v>0</v>
      </c>
      <c r="BF842" s="149">
        <v>0</v>
      </c>
      <c r="BG842" s="149">
        <v>0</v>
      </c>
      <c r="BH842" s="149">
        <v>0</v>
      </c>
      <c r="BI842" s="149">
        <v>0</v>
      </c>
      <c r="BJ842" s="149">
        <v>0</v>
      </c>
      <c r="BK842" s="149">
        <v>0</v>
      </c>
      <c r="BL842" s="149">
        <v>0</v>
      </c>
      <c r="BM842" s="149">
        <v>0</v>
      </c>
      <c r="BN842" s="149">
        <v>0</v>
      </c>
      <c r="BO842" s="149">
        <v>0</v>
      </c>
      <c r="BP842" s="152"/>
      <c r="BQ842" s="152"/>
      <c r="BR842" s="154" t="s">
        <v>151</v>
      </c>
      <c r="BS842" s="136">
        <v>15</v>
      </c>
      <c r="BT842" s="267"/>
      <c r="BU842" s="267">
        <f>M842/4</f>
        <v>0.25</v>
      </c>
      <c r="BV842" s="267">
        <f t="shared" si="120"/>
        <v>0.25</v>
      </c>
      <c r="BW842" s="267">
        <f t="shared" si="121"/>
        <v>0.25</v>
      </c>
      <c r="BX842" s="267">
        <f t="shared" si="122"/>
        <v>0.25</v>
      </c>
      <c r="BY842" s="267"/>
      <c r="BZ842" s="267"/>
      <c r="CA842" s="267"/>
      <c r="CB842" s="267"/>
      <c r="CC842" s="267"/>
      <c r="CD842" s="267"/>
      <c r="CE842" s="267"/>
      <c r="CF842" s="267"/>
      <c r="CG842" s="267"/>
      <c r="CH842" s="267"/>
      <c r="CI842" s="267"/>
      <c r="CJ842" s="267"/>
      <c r="CK842" s="267"/>
      <c r="CL842" s="267"/>
      <c r="CM842" s="267"/>
      <c r="CN842" s="101">
        <f t="shared" si="118"/>
        <v>1</v>
      </c>
      <c r="CO842" s="101">
        <f t="shared" si="119"/>
        <v>1</v>
      </c>
    </row>
    <row r="843" spans="1:93" ht="13.9" customHeight="1" x14ac:dyDescent="0.2">
      <c r="A843" s="149">
        <v>3495</v>
      </c>
      <c r="B843" s="150" t="s">
        <v>1216</v>
      </c>
      <c r="C843" s="150" t="s">
        <v>2397</v>
      </c>
      <c r="D843" s="150" t="s">
        <v>2398</v>
      </c>
      <c r="E843" s="150" t="s">
        <v>326</v>
      </c>
      <c r="F843" s="149">
        <v>528221</v>
      </c>
      <c r="G843" s="149">
        <v>175465</v>
      </c>
      <c r="H843" s="150" t="s">
        <v>164</v>
      </c>
      <c r="I843" s="151"/>
      <c r="J843" s="151"/>
      <c r="K843" s="149">
        <v>2</v>
      </c>
      <c r="L843" s="149">
        <v>1</v>
      </c>
      <c r="M843" s="149">
        <v>-1</v>
      </c>
      <c r="N843" s="149">
        <v>1</v>
      </c>
      <c r="O843" s="149">
        <v>-1</v>
      </c>
      <c r="P843" s="152"/>
      <c r="Q843" s="150" t="s">
        <v>2399</v>
      </c>
      <c r="R843" s="150" t="s">
        <v>349</v>
      </c>
      <c r="S843" s="151">
        <v>45177</v>
      </c>
      <c r="T843" s="151">
        <v>45240</v>
      </c>
      <c r="U843" s="152" t="s">
        <v>327</v>
      </c>
      <c r="V843" s="150" t="s">
        <v>330</v>
      </c>
      <c r="W843" s="151"/>
      <c r="X843" s="150" t="s">
        <v>331</v>
      </c>
      <c r="Y843" s="150" t="s">
        <v>350</v>
      </c>
      <c r="Z843" s="150" t="s">
        <v>334</v>
      </c>
      <c r="AA843" s="150" t="s">
        <v>18</v>
      </c>
      <c r="AB843" s="153">
        <v>8.9999999999999993E-3</v>
      </c>
      <c r="AC843" s="151"/>
      <c r="AD843" s="150"/>
      <c r="AE843" s="151"/>
      <c r="AF843" s="150" t="s">
        <v>70</v>
      </c>
      <c r="AG843" s="152" t="s">
        <v>352</v>
      </c>
      <c r="AH843" s="150" t="s">
        <v>326</v>
      </c>
      <c r="AI843" s="99"/>
      <c r="AJ843" s="149"/>
      <c r="AK843" s="99"/>
      <c r="AL843" s="149"/>
      <c r="AM843" s="99"/>
      <c r="AN843" s="149">
        <v>0</v>
      </c>
      <c r="AO843" s="149">
        <v>-1</v>
      </c>
      <c r="AP843" s="149">
        <v>-1</v>
      </c>
      <c r="AQ843" s="149">
        <v>0</v>
      </c>
      <c r="AR843" s="149">
        <v>1</v>
      </c>
      <c r="AS843" s="149">
        <v>0</v>
      </c>
      <c r="AT843" s="149">
        <v>0</v>
      </c>
      <c r="AU843" s="149">
        <v>0</v>
      </c>
      <c r="AV843" s="149">
        <v>-1</v>
      </c>
      <c r="AW843" s="149">
        <v>-1</v>
      </c>
      <c r="AX843" s="149">
        <v>0</v>
      </c>
      <c r="AY843" s="149">
        <v>0</v>
      </c>
      <c r="AZ843" s="149">
        <v>0</v>
      </c>
      <c r="BA843" s="149">
        <v>0</v>
      </c>
      <c r="BB843" s="149">
        <v>0</v>
      </c>
      <c r="BC843" s="149">
        <v>0</v>
      </c>
      <c r="BD843" s="149">
        <v>0</v>
      </c>
      <c r="BE843" s="149">
        <v>0</v>
      </c>
      <c r="BF843" s="149">
        <v>1</v>
      </c>
      <c r="BG843" s="149">
        <v>0</v>
      </c>
      <c r="BH843" s="149">
        <v>0</v>
      </c>
      <c r="BI843" s="149">
        <v>0</v>
      </c>
      <c r="BJ843" s="149">
        <v>0</v>
      </c>
      <c r="BK843" s="149">
        <v>0</v>
      </c>
      <c r="BL843" s="149">
        <v>0</v>
      </c>
      <c r="BM843" s="149">
        <v>0</v>
      </c>
      <c r="BN843" s="149">
        <v>0</v>
      </c>
      <c r="BO843" s="149">
        <v>0</v>
      </c>
      <c r="BP843" s="152"/>
      <c r="BQ843" s="152"/>
      <c r="BR843" s="154" t="s">
        <v>359</v>
      </c>
      <c r="BS843" s="136">
        <v>15</v>
      </c>
      <c r="BT843" s="267"/>
      <c r="BU843" s="267">
        <f>M843/4</f>
        <v>-0.25</v>
      </c>
      <c r="BV843" s="267">
        <f t="shared" si="120"/>
        <v>-0.25</v>
      </c>
      <c r="BW843" s="267">
        <f t="shared" si="121"/>
        <v>-0.25</v>
      </c>
      <c r="BX843" s="267">
        <f t="shared" si="122"/>
        <v>-0.25</v>
      </c>
      <c r="BY843" s="267"/>
      <c r="BZ843" s="267"/>
      <c r="CA843" s="267"/>
      <c r="CB843" s="267"/>
      <c r="CC843" s="267"/>
      <c r="CD843" s="267"/>
      <c r="CE843" s="267"/>
      <c r="CF843" s="267"/>
      <c r="CG843" s="267"/>
      <c r="CH843" s="267"/>
      <c r="CI843" s="267"/>
      <c r="CJ843" s="267"/>
      <c r="CK843" s="267"/>
      <c r="CL843" s="267"/>
      <c r="CM843" s="267"/>
      <c r="CN843" s="101">
        <f t="shared" si="118"/>
        <v>-1</v>
      </c>
      <c r="CO843" s="101">
        <f t="shared" si="119"/>
        <v>-1</v>
      </c>
    </row>
    <row r="844" spans="1:93" ht="13.9" customHeight="1" x14ac:dyDescent="0.2">
      <c r="A844" s="149">
        <v>7300</v>
      </c>
      <c r="B844" s="150" t="s">
        <v>1216</v>
      </c>
      <c r="C844" s="150" t="s">
        <v>2400</v>
      </c>
      <c r="D844" s="150" t="s">
        <v>2401</v>
      </c>
      <c r="E844" s="150" t="s">
        <v>326</v>
      </c>
      <c r="F844" s="149">
        <v>523807</v>
      </c>
      <c r="G844" s="149">
        <v>172574</v>
      </c>
      <c r="H844" s="150" t="s">
        <v>178</v>
      </c>
      <c r="I844" s="151"/>
      <c r="J844" s="151"/>
      <c r="K844" s="149">
        <v>0</v>
      </c>
      <c r="L844" s="149">
        <v>1</v>
      </c>
      <c r="M844" s="149">
        <v>1</v>
      </c>
      <c r="N844" s="149">
        <v>1</v>
      </c>
      <c r="O844" s="149">
        <v>1</v>
      </c>
      <c r="P844" s="152"/>
      <c r="Q844" s="150" t="s">
        <v>2402</v>
      </c>
      <c r="R844" s="150" t="s">
        <v>349</v>
      </c>
      <c r="S844" s="151">
        <v>45188</v>
      </c>
      <c r="T844" s="151">
        <v>45345</v>
      </c>
      <c r="U844" s="152" t="s">
        <v>327</v>
      </c>
      <c r="V844" s="150" t="s">
        <v>330</v>
      </c>
      <c r="W844" s="151"/>
      <c r="X844" s="150" t="s">
        <v>331</v>
      </c>
      <c r="Y844" s="150" t="s">
        <v>343</v>
      </c>
      <c r="Z844" s="150" t="s">
        <v>334</v>
      </c>
      <c r="AA844" s="150" t="s">
        <v>363</v>
      </c>
      <c r="AB844" s="153">
        <v>0.01</v>
      </c>
      <c r="AC844" s="151"/>
      <c r="AD844" s="150"/>
      <c r="AE844" s="151"/>
      <c r="AF844" s="150" t="s">
        <v>70</v>
      </c>
      <c r="AG844" s="152" t="s">
        <v>352</v>
      </c>
      <c r="AH844" s="150" t="s">
        <v>326</v>
      </c>
      <c r="AI844" s="99"/>
      <c r="AJ844" s="149"/>
      <c r="AK844" s="99"/>
      <c r="AL844" s="149"/>
      <c r="AM844" s="99"/>
      <c r="AN844" s="149">
        <v>0</v>
      </c>
      <c r="AO844" s="149">
        <v>0</v>
      </c>
      <c r="AP844" s="149">
        <v>0</v>
      </c>
      <c r="AQ844" s="149">
        <v>0</v>
      </c>
      <c r="AR844" s="149">
        <v>0</v>
      </c>
      <c r="AS844" s="149">
        <v>1</v>
      </c>
      <c r="AT844" s="149">
        <v>0</v>
      </c>
      <c r="AU844" s="149">
        <v>0</v>
      </c>
      <c r="AV844" s="149">
        <v>0</v>
      </c>
      <c r="AW844" s="149">
        <v>0</v>
      </c>
      <c r="AX844" s="149">
        <v>0</v>
      </c>
      <c r="AY844" s="149">
        <v>0</v>
      </c>
      <c r="AZ844" s="149">
        <v>0</v>
      </c>
      <c r="BA844" s="149">
        <v>0</v>
      </c>
      <c r="BB844" s="149">
        <v>0</v>
      </c>
      <c r="BC844" s="149">
        <v>0</v>
      </c>
      <c r="BD844" s="149">
        <v>0</v>
      </c>
      <c r="BE844" s="149">
        <v>0</v>
      </c>
      <c r="BF844" s="149">
        <v>0</v>
      </c>
      <c r="BG844" s="149">
        <v>1</v>
      </c>
      <c r="BH844" s="149">
        <v>0</v>
      </c>
      <c r="BI844" s="149">
        <v>0</v>
      </c>
      <c r="BJ844" s="149">
        <v>0</v>
      </c>
      <c r="BK844" s="149">
        <v>0</v>
      </c>
      <c r="BL844" s="149">
        <v>0</v>
      </c>
      <c r="BM844" s="149">
        <v>0</v>
      </c>
      <c r="BN844" s="149">
        <v>0</v>
      </c>
      <c r="BO844" s="149">
        <v>0</v>
      </c>
      <c r="BP844" s="152"/>
      <c r="BQ844" s="152"/>
      <c r="BR844" s="154" t="s">
        <v>359</v>
      </c>
      <c r="BS844" s="136">
        <v>7</v>
      </c>
      <c r="BT844" s="267"/>
      <c r="BU844" s="267"/>
      <c r="BV844" s="267">
        <f t="shared" si="120"/>
        <v>0.25</v>
      </c>
      <c r="BW844" s="267">
        <f t="shared" si="121"/>
        <v>0.25</v>
      </c>
      <c r="BX844" s="267">
        <f t="shared" si="122"/>
        <v>0.25</v>
      </c>
      <c r="BY844" s="267">
        <f>M844/4</f>
        <v>0.25</v>
      </c>
      <c r="BZ844" s="267"/>
      <c r="CA844" s="267"/>
      <c r="CB844" s="267"/>
      <c r="CC844" s="267"/>
      <c r="CD844" s="267"/>
      <c r="CE844" s="267"/>
      <c r="CF844" s="267"/>
      <c r="CG844" s="267"/>
      <c r="CH844" s="267"/>
      <c r="CI844" s="267"/>
      <c r="CJ844" s="267"/>
      <c r="CK844" s="267"/>
      <c r="CL844" s="267"/>
      <c r="CM844" s="267"/>
      <c r="CN844" s="101">
        <f t="shared" si="118"/>
        <v>1</v>
      </c>
      <c r="CO844" s="101">
        <f t="shared" si="119"/>
        <v>1</v>
      </c>
    </row>
    <row r="845" spans="1:93" ht="13.9" customHeight="1" x14ac:dyDescent="0.2">
      <c r="A845" s="149">
        <v>8037</v>
      </c>
      <c r="B845" s="150" t="s">
        <v>1216</v>
      </c>
      <c r="C845" s="150" t="s">
        <v>2403</v>
      </c>
      <c r="D845" s="150" t="s">
        <v>2404</v>
      </c>
      <c r="E845" s="150" t="s">
        <v>326</v>
      </c>
      <c r="F845" s="149">
        <v>528733</v>
      </c>
      <c r="G845" s="149">
        <v>173183</v>
      </c>
      <c r="H845" s="150" t="s">
        <v>139</v>
      </c>
      <c r="I845" s="151"/>
      <c r="J845" s="151"/>
      <c r="K845" s="149">
        <v>1</v>
      </c>
      <c r="L845" s="149">
        <v>3</v>
      </c>
      <c r="M845" s="149">
        <v>2</v>
      </c>
      <c r="N845" s="149">
        <v>3</v>
      </c>
      <c r="O845" s="149">
        <v>2</v>
      </c>
      <c r="P845" s="152"/>
      <c r="Q845" s="150" t="s">
        <v>2405</v>
      </c>
      <c r="R845" s="150" t="s">
        <v>349</v>
      </c>
      <c r="S845" s="151">
        <v>45163</v>
      </c>
      <c r="T845" s="151">
        <v>45226</v>
      </c>
      <c r="U845" s="152" t="s">
        <v>327</v>
      </c>
      <c r="V845" s="150" t="s">
        <v>330</v>
      </c>
      <c r="W845" s="151"/>
      <c r="X845" s="150" t="s">
        <v>331</v>
      </c>
      <c r="Y845" s="150" t="s">
        <v>398</v>
      </c>
      <c r="Z845" s="150" t="s">
        <v>334</v>
      </c>
      <c r="AA845" s="150" t="s">
        <v>399</v>
      </c>
      <c r="AB845" s="153">
        <v>1.2092E-2</v>
      </c>
      <c r="AC845" s="151"/>
      <c r="AD845" s="150"/>
      <c r="AE845" s="151"/>
      <c r="AF845" s="150" t="s">
        <v>70</v>
      </c>
      <c r="AG845" s="152" t="s">
        <v>352</v>
      </c>
      <c r="AH845" s="150" t="s">
        <v>326</v>
      </c>
      <c r="AI845" s="99"/>
      <c r="AJ845" s="149"/>
      <c r="AK845" s="99"/>
      <c r="AL845" s="149"/>
      <c r="AM845" s="99"/>
      <c r="AN845" s="149">
        <v>0</v>
      </c>
      <c r="AO845" s="149">
        <v>1</v>
      </c>
      <c r="AP845" s="149">
        <v>1</v>
      </c>
      <c r="AQ845" s="149">
        <v>1</v>
      </c>
      <c r="AR845" s="149">
        <v>-1</v>
      </c>
      <c r="AS845" s="149">
        <v>0</v>
      </c>
      <c r="AT845" s="149">
        <v>0</v>
      </c>
      <c r="AU845" s="149">
        <v>0</v>
      </c>
      <c r="AV845" s="149">
        <v>1</v>
      </c>
      <c r="AW845" s="149">
        <v>1</v>
      </c>
      <c r="AX845" s="149">
        <v>1</v>
      </c>
      <c r="AY845" s="149">
        <v>-1</v>
      </c>
      <c r="AZ845" s="149">
        <v>0</v>
      </c>
      <c r="BA845" s="149">
        <v>0</v>
      </c>
      <c r="BB845" s="149">
        <v>0</v>
      </c>
      <c r="BC845" s="149">
        <v>0</v>
      </c>
      <c r="BD845" s="149">
        <v>0</v>
      </c>
      <c r="BE845" s="149">
        <v>0</v>
      </c>
      <c r="BF845" s="149">
        <v>0</v>
      </c>
      <c r="BG845" s="149">
        <v>0</v>
      </c>
      <c r="BH845" s="149">
        <v>0</v>
      </c>
      <c r="BI845" s="149">
        <v>0</v>
      </c>
      <c r="BJ845" s="149">
        <v>0</v>
      </c>
      <c r="BK845" s="149">
        <v>0</v>
      </c>
      <c r="BL845" s="149">
        <v>0</v>
      </c>
      <c r="BM845" s="149">
        <v>0</v>
      </c>
      <c r="BN845" s="149">
        <v>0</v>
      </c>
      <c r="BO845" s="149">
        <v>0</v>
      </c>
      <c r="BP845" s="152" t="s">
        <v>139</v>
      </c>
      <c r="BQ845" s="152"/>
      <c r="BR845" s="154" t="s">
        <v>139</v>
      </c>
      <c r="BS845" s="136">
        <v>15</v>
      </c>
      <c r="BT845" s="267"/>
      <c r="BU845" s="267">
        <f>M845/4</f>
        <v>0.5</v>
      </c>
      <c r="BV845" s="267">
        <f t="shared" si="120"/>
        <v>0.5</v>
      </c>
      <c r="BW845" s="267">
        <f t="shared" si="121"/>
        <v>0.5</v>
      </c>
      <c r="BX845" s="267">
        <f t="shared" si="122"/>
        <v>0.5</v>
      </c>
      <c r="BY845" s="267"/>
      <c r="BZ845" s="267"/>
      <c r="CA845" s="267"/>
      <c r="CB845" s="267"/>
      <c r="CC845" s="267"/>
      <c r="CD845" s="267"/>
      <c r="CE845" s="267"/>
      <c r="CF845" s="267"/>
      <c r="CG845" s="267"/>
      <c r="CH845" s="267"/>
      <c r="CI845" s="267"/>
      <c r="CJ845" s="267"/>
      <c r="CK845" s="267"/>
      <c r="CL845" s="267"/>
      <c r="CM845" s="267"/>
      <c r="CN845" s="101">
        <f t="shared" si="118"/>
        <v>2</v>
      </c>
      <c r="CO845" s="101">
        <f t="shared" si="119"/>
        <v>2</v>
      </c>
    </row>
    <row r="846" spans="1:93" ht="13.9" customHeight="1" x14ac:dyDescent="0.2">
      <c r="A846" s="149">
        <v>8033</v>
      </c>
      <c r="B846" s="150" t="s">
        <v>1216</v>
      </c>
      <c r="C846" s="150" t="s">
        <v>2406</v>
      </c>
      <c r="D846" s="150" t="s">
        <v>2407</v>
      </c>
      <c r="E846" s="150" t="s">
        <v>326</v>
      </c>
      <c r="F846" s="149">
        <v>528629</v>
      </c>
      <c r="G846" s="149">
        <v>177516</v>
      </c>
      <c r="H846" s="150" t="s">
        <v>160</v>
      </c>
      <c r="I846" s="151"/>
      <c r="J846" s="151"/>
      <c r="K846" s="149">
        <v>0</v>
      </c>
      <c r="L846" s="149">
        <v>1</v>
      </c>
      <c r="M846" s="149">
        <v>1</v>
      </c>
      <c r="N846" s="149">
        <v>1</v>
      </c>
      <c r="O846" s="149">
        <v>1</v>
      </c>
      <c r="P846" s="152"/>
      <c r="Q846" s="150" t="s">
        <v>2408</v>
      </c>
      <c r="R846" s="150" t="s">
        <v>349</v>
      </c>
      <c r="S846" s="151">
        <v>45169</v>
      </c>
      <c r="T846" s="151">
        <v>45366</v>
      </c>
      <c r="U846" s="152" t="s">
        <v>327</v>
      </c>
      <c r="V846" s="150" t="s">
        <v>330</v>
      </c>
      <c r="W846" s="151"/>
      <c r="X846" s="150" t="s">
        <v>331</v>
      </c>
      <c r="Y846" s="150" t="s">
        <v>332</v>
      </c>
      <c r="Z846" s="150" t="s">
        <v>334</v>
      </c>
      <c r="AA846" s="150" t="s">
        <v>29</v>
      </c>
      <c r="AB846" s="153">
        <v>0</v>
      </c>
      <c r="AC846" s="151"/>
      <c r="AD846" s="150"/>
      <c r="AE846" s="151"/>
      <c r="AF846" s="150" t="s">
        <v>70</v>
      </c>
      <c r="AG846" s="152" t="s">
        <v>352</v>
      </c>
      <c r="AH846" s="150" t="s">
        <v>326</v>
      </c>
      <c r="AI846" s="99"/>
      <c r="AJ846" s="149"/>
      <c r="AK846" s="99"/>
      <c r="AL846" s="149"/>
      <c r="AM846" s="99"/>
      <c r="AN846" s="149">
        <v>0</v>
      </c>
      <c r="AO846" s="149">
        <v>0</v>
      </c>
      <c r="AP846" s="149">
        <v>0</v>
      </c>
      <c r="AQ846" s="149">
        <v>1</v>
      </c>
      <c r="AR846" s="149">
        <v>0</v>
      </c>
      <c r="AS846" s="149">
        <v>0</v>
      </c>
      <c r="AT846" s="149">
        <v>0</v>
      </c>
      <c r="AU846" s="149">
        <v>0</v>
      </c>
      <c r="AV846" s="149">
        <v>0</v>
      </c>
      <c r="AW846" s="149">
        <v>0</v>
      </c>
      <c r="AX846" s="149">
        <v>1</v>
      </c>
      <c r="AY846" s="149">
        <v>0</v>
      </c>
      <c r="AZ846" s="149">
        <v>0</v>
      </c>
      <c r="BA846" s="149">
        <v>0</v>
      </c>
      <c r="BB846" s="149">
        <v>0</v>
      </c>
      <c r="BC846" s="149">
        <v>0</v>
      </c>
      <c r="BD846" s="149">
        <v>0</v>
      </c>
      <c r="BE846" s="149">
        <v>0</v>
      </c>
      <c r="BF846" s="149">
        <v>0</v>
      </c>
      <c r="BG846" s="149">
        <v>0</v>
      </c>
      <c r="BH846" s="149">
        <v>0</v>
      </c>
      <c r="BI846" s="149">
        <v>0</v>
      </c>
      <c r="BJ846" s="149">
        <v>0</v>
      </c>
      <c r="BK846" s="149">
        <v>0</v>
      </c>
      <c r="BL846" s="149">
        <v>0</v>
      </c>
      <c r="BM846" s="149">
        <v>0</v>
      </c>
      <c r="BN846" s="149">
        <v>0</v>
      </c>
      <c r="BO846" s="149">
        <v>0</v>
      </c>
      <c r="BP846" s="152"/>
      <c r="BQ846" s="152" t="s">
        <v>327</v>
      </c>
      <c r="BR846" s="154" t="s">
        <v>149</v>
      </c>
      <c r="BS846" s="136">
        <v>15</v>
      </c>
      <c r="BT846" s="267"/>
      <c r="BU846" s="267">
        <f>M846/4</f>
        <v>0.25</v>
      </c>
      <c r="BV846" s="267">
        <f t="shared" si="120"/>
        <v>0.25</v>
      </c>
      <c r="BW846" s="267">
        <f t="shared" si="121"/>
        <v>0.25</v>
      </c>
      <c r="BX846" s="267">
        <f t="shared" si="122"/>
        <v>0.25</v>
      </c>
      <c r="BY846" s="267"/>
      <c r="BZ846" s="267"/>
      <c r="CA846" s="267"/>
      <c r="CB846" s="267"/>
      <c r="CC846" s="267"/>
      <c r="CD846" s="267"/>
      <c r="CE846" s="267"/>
      <c r="CF846" s="267"/>
      <c r="CG846" s="267"/>
      <c r="CH846" s="267"/>
      <c r="CI846" s="267"/>
      <c r="CJ846" s="267"/>
      <c r="CK846" s="267"/>
      <c r="CL846" s="267"/>
      <c r="CM846" s="267"/>
      <c r="CN846" s="101">
        <f t="shared" si="118"/>
        <v>1</v>
      </c>
      <c r="CO846" s="101">
        <f t="shared" si="119"/>
        <v>1</v>
      </c>
    </row>
    <row r="847" spans="1:93" ht="13.9" customHeight="1" x14ac:dyDescent="0.2">
      <c r="A847" s="149">
        <v>8045</v>
      </c>
      <c r="B847" s="150" t="s">
        <v>1216</v>
      </c>
      <c r="C847" s="150" t="s">
        <v>2409</v>
      </c>
      <c r="D847" s="150" t="s">
        <v>2410</v>
      </c>
      <c r="E847" s="150" t="s">
        <v>326</v>
      </c>
      <c r="F847" s="149">
        <v>527911</v>
      </c>
      <c r="G847" s="149">
        <v>172477</v>
      </c>
      <c r="H847" s="150" t="s">
        <v>174</v>
      </c>
      <c r="I847" s="151"/>
      <c r="J847" s="151"/>
      <c r="K847" s="149">
        <v>1</v>
      </c>
      <c r="L847" s="149">
        <v>3</v>
      </c>
      <c r="M847" s="149">
        <v>2</v>
      </c>
      <c r="N847" s="149">
        <v>3</v>
      </c>
      <c r="O847" s="149">
        <v>2</v>
      </c>
      <c r="P847" s="152"/>
      <c r="Q847" s="150" t="s">
        <v>2411</v>
      </c>
      <c r="R847" s="150" t="s">
        <v>349</v>
      </c>
      <c r="S847" s="151">
        <v>45190</v>
      </c>
      <c r="T847" s="151">
        <v>45246</v>
      </c>
      <c r="U847" s="152" t="s">
        <v>327</v>
      </c>
      <c r="V847" s="150" t="s">
        <v>330</v>
      </c>
      <c r="W847" s="151"/>
      <c r="X847" s="150" t="s">
        <v>331</v>
      </c>
      <c r="Y847" s="150" t="s">
        <v>350</v>
      </c>
      <c r="Z847" s="150" t="s">
        <v>334</v>
      </c>
      <c r="AA847" s="150" t="s">
        <v>413</v>
      </c>
      <c r="AB847" s="153">
        <v>1.3936E-2</v>
      </c>
      <c r="AC847" s="151"/>
      <c r="AD847" s="150"/>
      <c r="AE847" s="151"/>
      <c r="AF847" s="150" t="s">
        <v>70</v>
      </c>
      <c r="AG847" s="152" t="s">
        <v>337</v>
      </c>
      <c r="AH847" s="150" t="s">
        <v>326</v>
      </c>
      <c r="AI847" s="99"/>
      <c r="AJ847" s="149"/>
      <c r="AK847" s="99"/>
      <c r="AL847" s="149"/>
      <c r="AM847" s="99"/>
      <c r="AN847" s="149">
        <v>0</v>
      </c>
      <c r="AO847" s="149">
        <v>3</v>
      </c>
      <c r="AP847" s="149">
        <v>-1</v>
      </c>
      <c r="AQ847" s="149">
        <v>0</v>
      </c>
      <c r="AR847" s="149">
        <v>0</v>
      </c>
      <c r="AS847" s="149">
        <v>0</v>
      </c>
      <c r="AT847" s="149">
        <v>0</v>
      </c>
      <c r="AU847" s="149">
        <v>0</v>
      </c>
      <c r="AV847" s="149">
        <v>3</v>
      </c>
      <c r="AW847" s="149">
        <v>-1</v>
      </c>
      <c r="AX847" s="149">
        <v>0</v>
      </c>
      <c r="AY847" s="149">
        <v>0</v>
      </c>
      <c r="AZ847" s="149">
        <v>0</v>
      </c>
      <c r="BA847" s="149">
        <v>0</v>
      </c>
      <c r="BB847" s="149">
        <v>0</v>
      </c>
      <c r="BC847" s="149">
        <v>0</v>
      </c>
      <c r="BD847" s="149">
        <v>0</v>
      </c>
      <c r="BE847" s="149">
        <v>0</v>
      </c>
      <c r="BF847" s="149">
        <v>0</v>
      </c>
      <c r="BG847" s="149">
        <v>0</v>
      </c>
      <c r="BH847" s="149">
        <v>0</v>
      </c>
      <c r="BI847" s="149">
        <v>0</v>
      </c>
      <c r="BJ847" s="149">
        <v>0</v>
      </c>
      <c r="BK847" s="149">
        <v>0</v>
      </c>
      <c r="BL847" s="149">
        <v>0</v>
      </c>
      <c r="BM847" s="149">
        <v>0</v>
      </c>
      <c r="BN847" s="149">
        <v>0</v>
      </c>
      <c r="BO847" s="149">
        <v>0</v>
      </c>
      <c r="BP847" s="152"/>
      <c r="BQ847" s="152"/>
      <c r="BR847" s="154" t="s">
        <v>359</v>
      </c>
      <c r="BS847" s="136">
        <v>15</v>
      </c>
      <c r="BT847" s="267"/>
      <c r="BU847" s="267">
        <f>M847/4</f>
        <v>0.5</v>
      </c>
      <c r="BV847" s="267">
        <f t="shared" si="120"/>
        <v>0.5</v>
      </c>
      <c r="BW847" s="267">
        <f t="shared" si="121"/>
        <v>0.5</v>
      </c>
      <c r="BX847" s="267">
        <f t="shared" si="122"/>
        <v>0.5</v>
      </c>
      <c r="BY847" s="267"/>
      <c r="BZ847" s="267"/>
      <c r="CA847" s="267"/>
      <c r="CB847" s="267"/>
      <c r="CC847" s="267"/>
      <c r="CD847" s="267"/>
      <c r="CE847" s="267"/>
      <c r="CF847" s="267"/>
      <c r="CG847" s="267"/>
      <c r="CH847" s="267"/>
      <c r="CI847" s="267"/>
      <c r="CJ847" s="267"/>
      <c r="CK847" s="267"/>
      <c r="CL847" s="267"/>
      <c r="CM847" s="267"/>
      <c r="CN847" s="101">
        <f t="shared" si="118"/>
        <v>2</v>
      </c>
      <c r="CO847" s="101">
        <f t="shared" si="119"/>
        <v>2</v>
      </c>
    </row>
    <row r="848" spans="1:93" ht="13.9" customHeight="1" x14ac:dyDescent="0.2">
      <c r="A848" s="149">
        <v>7920</v>
      </c>
      <c r="B848" s="150" t="s">
        <v>1216</v>
      </c>
      <c r="C848" s="150" t="s">
        <v>2412</v>
      </c>
      <c r="D848" s="150" t="s">
        <v>2294</v>
      </c>
      <c r="E848" s="150" t="s">
        <v>326</v>
      </c>
      <c r="F848" s="149">
        <v>525886</v>
      </c>
      <c r="G848" s="149">
        <v>173713</v>
      </c>
      <c r="H848" s="150" t="s">
        <v>175</v>
      </c>
      <c r="I848" s="151"/>
      <c r="J848" s="151"/>
      <c r="K848" s="149">
        <v>0</v>
      </c>
      <c r="L848" s="149">
        <v>1</v>
      </c>
      <c r="M848" s="149">
        <v>1</v>
      </c>
      <c r="N848" s="149">
        <v>1</v>
      </c>
      <c r="O848" s="149">
        <v>1</v>
      </c>
      <c r="P848" s="152"/>
      <c r="Q848" s="150" t="s">
        <v>2413</v>
      </c>
      <c r="R848" s="150" t="s">
        <v>427</v>
      </c>
      <c r="S848" s="151">
        <v>45177</v>
      </c>
      <c r="T848" s="151">
        <v>45228</v>
      </c>
      <c r="U848" s="152" t="s">
        <v>327</v>
      </c>
      <c r="V848" s="150" t="s">
        <v>330</v>
      </c>
      <c r="W848" s="151"/>
      <c r="X848" s="150" t="s">
        <v>331</v>
      </c>
      <c r="Y848" s="150" t="s">
        <v>332</v>
      </c>
      <c r="Z848" s="150" t="s">
        <v>334</v>
      </c>
      <c r="AA848" s="150" t="s">
        <v>32</v>
      </c>
      <c r="AB848" s="153">
        <v>7.0000000000000001E-3</v>
      </c>
      <c r="AC848" s="151"/>
      <c r="AD848" s="150"/>
      <c r="AE848" s="151"/>
      <c r="AF848" s="150" t="s">
        <v>70</v>
      </c>
      <c r="AG848" s="152" t="s">
        <v>337</v>
      </c>
      <c r="AH848" s="150" t="s">
        <v>326</v>
      </c>
      <c r="AI848" s="99"/>
      <c r="AJ848" s="149"/>
      <c r="AK848" s="102"/>
      <c r="AL848" s="149"/>
      <c r="AM848" s="102"/>
      <c r="AN848" s="149">
        <v>0</v>
      </c>
      <c r="AO848" s="149">
        <v>1</v>
      </c>
      <c r="AP848" s="149">
        <v>0</v>
      </c>
      <c r="AQ848" s="149">
        <v>0</v>
      </c>
      <c r="AR848" s="149">
        <v>0</v>
      </c>
      <c r="AS848" s="149">
        <v>0</v>
      </c>
      <c r="AT848" s="149">
        <v>0</v>
      </c>
      <c r="AU848" s="149">
        <v>0</v>
      </c>
      <c r="AV848" s="149">
        <v>1</v>
      </c>
      <c r="AW848" s="149">
        <v>0</v>
      </c>
      <c r="AX848" s="149">
        <v>0</v>
      </c>
      <c r="AY848" s="149">
        <v>0</v>
      </c>
      <c r="AZ848" s="149">
        <v>0</v>
      </c>
      <c r="BA848" s="149">
        <v>0</v>
      </c>
      <c r="BB848" s="149">
        <v>0</v>
      </c>
      <c r="BC848" s="149">
        <v>0</v>
      </c>
      <c r="BD848" s="149">
        <v>0</v>
      </c>
      <c r="BE848" s="149">
        <v>0</v>
      </c>
      <c r="BF848" s="149">
        <v>0</v>
      </c>
      <c r="BG848" s="149">
        <v>0</v>
      </c>
      <c r="BH848" s="149">
        <v>0</v>
      </c>
      <c r="BI848" s="149">
        <v>0</v>
      </c>
      <c r="BJ848" s="149">
        <v>0</v>
      </c>
      <c r="BK848" s="149">
        <v>0</v>
      </c>
      <c r="BL848" s="149">
        <v>0</v>
      </c>
      <c r="BM848" s="149">
        <v>0</v>
      </c>
      <c r="BN848" s="149">
        <v>0</v>
      </c>
      <c r="BO848" s="149">
        <v>0</v>
      </c>
      <c r="BP848" s="152"/>
      <c r="BQ848" s="152"/>
      <c r="BR848" s="154" t="s">
        <v>151</v>
      </c>
      <c r="BS848" s="136">
        <v>15</v>
      </c>
      <c r="BT848" s="267"/>
      <c r="BU848" s="267">
        <f>M848/4</f>
        <v>0.25</v>
      </c>
      <c r="BV848" s="267">
        <f t="shared" si="120"/>
        <v>0.25</v>
      </c>
      <c r="BW848" s="267">
        <f t="shared" si="121"/>
        <v>0.25</v>
      </c>
      <c r="BX848" s="267">
        <f t="shared" si="122"/>
        <v>0.25</v>
      </c>
      <c r="BY848" s="267"/>
      <c r="BZ848" s="267"/>
      <c r="CA848" s="267"/>
      <c r="CB848" s="267"/>
      <c r="CC848" s="267"/>
      <c r="CD848" s="267"/>
      <c r="CE848" s="267"/>
      <c r="CF848" s="267"/>
      <c r="CG848" s="267"/>
      <c r="CH848" s="267"/>
      <c r="CI848" s="267"/>
      <c r="CJ848" s="267"/>
      <c r="CK848" s="267"/>
      <c r="CL848" s="267"/>
      <c r="CM848" s="267"/>
      <c r="CN848" s="101">
        <f t="shared" si="118"/>
        <v>1</v>
      </c>
      <c r="CO848" s="101">
        <f t="shared" si="119"/>
        <v>1</v>
      </c>
    </row>
    <row r="849" spans="1:93" ht="13.9" customHeight="1" x14ac:dyDescent="0.2">
      <c r="A849" s="149">
        <v>8040</v>
      </c>
      <c r="B849" s="150" t="s">
        <v>1216</v>
      </c>
      <c r="C849" s="150" t="s">
        <v>2414</v>
      </c>
      <c r="D849" s="150" t="s">
        <v>2415</v>
      </c>
      <c r="E849" s="150" t="s">
        <v>326</v>
      </c>
      <c r="F849" s="149">
        <v>522190</v>
      </c>
      <c r="G849" s="149">
        <v>174835</v>
      </c>
      <c r="H849" s="150" t="s">
        <v>166</v>
      </c>
      <c r="I849" s="151"/>
      <c r="J849" s="151"/>
      <c r="K849" s="149">
        <v>6</v>
      </c>
      <c r="L849" s="149">
        <v>8</v>
      </c>
      <c r="M849" s="149">
        <v>2</v>
      </c>
      <c r="N849" s="149">
        <v>8</v>
      </c>
      <c r="O849" s="149">
        <v>2</v>
      </c>
      <c r="P849" s="152"/>
      <c r="Q849" s="150" t="s">
        <v>2416</v>
      </c>
      <c r="R849" s="150" t="s">
        <v>349</v>
      </c>
      <c r="S849" s="151">
        <v>45180</v>
      </c>
      <c r="T849" s="151">
        <v>45351</v>
      </c>
      <c r="U849" s="152" t="s">
        <v>327</v>
      </c>
      <c r="V849" s="150" t="s">
        <v>330</v>
      </c>
      <c r="W849" s="151"/>
      <c r="X849" s="150" t="s">
        <v>331</v>
      </c>
      <c r="Y849" s="150" t="s">
        <v>343</v>
      </c>
      <c r="Z849" s="150" t="s">
        <v>334</v>
      </c>
      <c r="AA849" s="150" t="s">
        <v>363</v>
      </c>
      <c r="AB849" s="153">
        <v>9.2137999999999998E-2</v>
      </c>
      <c r="AC849" s="151"/>
      <c r="AD849" s="150"/>
      <c r="AE849" s="151"/>
      <c r="AF849" s="150" t="s">
        <v>70</v>
      </c>
      <c r="AG849" s="152" t="s">
        <v>352</v>
      </c>
      <c r="AH849" s="150" t="s">
        <v>326</v>
      </c>
      <c r="AI849" s="99"/>
      <c r="AJ849" s="149"/>
      <c r="AK849" s="138">
        <v>7</v>
      </c>
      <c r="AL849" s="149"/>
      <c r="AM849" s="138">
        <v>1</v>
      </c>
      <c r="AN849" s="149">
        <v>0</v>
      </c>
      <c r="AO849" s="149">
        <v>2</v>
      </c>
      <c r="AP849" s="149">
        <v>0</v>
      </c>
      <c r="AQ849" s="149">
        <v>0</v>
      </c>
      <c r="AR849" s="149">
        <v>0</v>
      </c>
      <c r="AS849" s="149">
        <v>0</v>
      </c>
      <c r="AT849" s="149">
        <v>0</v>
      </c>
      <c r="AU849" s="149">
        <v>0</v>
      </c>
      <c r="AV849" s="149">
        <v>2</v>
      </c>
      <c r="AW849" s="149">
        <v>0</v>
      </c>
      <c r="AX849" s="149">
        <v>0</v>
      </c>
      <c r="AY849" s="149">
        <v>0</v>
      </c>
      <c r="AZ849" s="149">
        <v>0</v>
      </c>
      <c r="BA849" s="149">
        <v>0</v>
      </c>
      <c r="BB849" s="149">
        <v>0</v>
      </c>
      <c r="BC849" s="149">
        <v>0</v>
      </c>
      <c r="BD849" s="149">
        <v>0</v>
      </c>
      <c r="BE849" s="149">
        <v>0</v>
      </c>
      <c r="BF849" s="149">
        <v>0</v>
      </c>
      <c r="BG849" s="149">
        <v>0</v>
      </c>
      <c r="BH849" s="149">
        <v>0</v>
      </c>
      <c r="BI849" s="149">
        <v>0</v>
      </c>
      <c r="BJ849" s="149">
        <v>0</v>
      </c>
      <c r="BK849" s="149">
        <v>0</v>
      </c>
      <c r="BL849" s="149">
        <v>0</v>
      </c>
      <c r="BM849" s="149">
        <v>0</v>
      </c>
      <c r="BN849" s="149">
        <v>0</v>
      </c>
      <c r="BO849" s="149">
        <v>0</v>
      </c>
      <c r="BP849" s="152"/>
      <c r="BQ849" s="152"/>
      <c r="BR849" s="154" t="s">
        <v>359</v>
      </c>
      <c r="BS849" s="136">
        <v>10</v>
      </c>
      <c r="BT849" s="267"/>
      <c r="BU849" s="267"/>
      <c r="BV849" s="267"/>
      <c r="BW849" s="267"/>
      <c r="BX849" s="267">
        <f>M849/3</f>
        <v>0.66666666666666663</v>
      </c>
      <c r="BY849" s="267">
        <f>M849/3</f>
        <v>0.66666666666666663</v>
      </c>
      <c r="BZ849" s="267">
        <f>M849/3</f>
        <v>0.66666666666666663</v>
      </c>
      <c r="CA849" s="267"/>
      <c r="CB849" s="267"/>
      <c r="CC849" s="267"/>
      <c r="CD849" s="267"/>
      <c r="CE849" s="267"/>
      <c r="CF849" s="267"/>
      <c r="CG849" s="267"/>
      <c r="CH849" s="267"/>
      <c r="CI849" s="267"/>
      <c r="CJ849" s="267"/>
      <c r="CK849" s="267"/>
      <c r="CL849" s="267"/>
      <c r="CM849" s="267"/>
      <c r="CN849" s="101">
        <f t="shared" si="118"/>
        <v>1.3333333333333333</v>
      </c>
      <c r="CO849" s="101">
        <f t="shared" si="119"/>
        <v>2</v>
      </c>
    </row>
    <row r="850" spans="1:93" ht="13.9" customHeight="1" x14ac:dyDescent="0.2">
      <c r="A850" s="149">
        <v>5780</v>
      </c>
      <c r="B850" s="150" t="s">
        <v>1216</v>
      </c>
      <c r="C850" s="150" t="s">
        <v>2417</v>
      </c>
      <c r="D850" s="150" t="s">
        <v>2418</v>
      </c>
      <c r="E850" s="150" t="s">
        <v>326</v>
      </c>
      <c r="F850" s="149">
        <v>527671</v>
      </c>
      <c r="G850" s="149">
        <v>172854</v>
      </c>
      <c r="H850" s="150" t="s">
        <v>174</v>
      </c>
      <c r="I850" s="151"/>
      <c r="J850" s="151"/>
      <c r="K850" s="149">
        <v>0</v>
      </c>
      <c r="L850" s="149">
        <v>1</v>
      </c>
      <c r="M850" s="149">
        <v>1</v>
      </c>
      <c r="N850" s="149">
        <v>1</v>
      </c>
      <c r="O850" s="149">
        <v>1</v>
      </c>
      <c r="P850" s="152"/>
      <c r="Q850" s="150" t="s">
        <v>2419</v>
      </c>
      <c r="R850" s="150" t="s">
        <v>349</v>
      </c>
      <c r="S850" s="151">
        <v>45229</v>
      </c>
      <c r="T850" s="151">
        <v>45351</v>
      </c>
      <c r="U850" s="152" t="s">
        <v>327</v>
      </c>
      <c r="V850" s="150" t="s">
        <v>330</v>
      </c>
      <c r="W850" s="151"/>
      <c r="X850" s="150" t="s">
        <v>331</v>
      </c>
      <c r="Y850" s="150" t="s">
        <v>343</v>
      </c>
      <c r="Z850" s="150" t="s">
        <v>334</v>
      </c>
      <c r="AA850" s="150" t="s">
        <v>363</v>
      </c>
      <c r="AB850" s="153">
        <v>0</v>
      </c>
      <c r="AC850" s="151"/>
      <c r="AD850" s="150"/>
      <c r="AE850" s="151"/>
      <c r="AF850" s="150" t="s">
        <v>70</v>
      </c>
      <c r="AG850" s="152" t="s">
        <v>352</v>
      </c>
      <c r="AH850" s="150" t="s">
        <v>326</v>
      </c>
      <c r="AI850" s="99"/>
      <c r="AJ850" s="149"/>
      <c r="AK850" s="99"/>
      <c r="AL850" s="149"/>
      <c r="AM850" s="99"/>
      <c r="AN850" s="149">
        <v>0</v>
      </c>
      <c r="AO850" s="149">
        <v>0</v>
      </c>
      <c r="AP850" s="149">
        <v>1</v>
      </c>
      <c r="AQ850" s="149">
        <v>0</v>
      </c>
      <c r="AR850" s="149">
        <v>0</v>
      </c>
      <c r="AS850" s="149">
        <v>0</v>
      </c>
      <c r="AT850" s="149">
        <v>0</v>
      </c>
      <c r="AU850" s="149">
        <v>0</v>
      </c>
      <c r="AV850" s="149">
        <v>0</v>
      </c>
      <c r="AW850" s="149">
        <v>0</v>
      </c>
      <c r="AX850" s="149">
        <v>0</v>
      </c>
      <c r="AY850" s="149">
        <v>0</v>
      </c>
      <c r="AZ850" s="149">
        <v>0</v>
      </c>
      <c r="BA850" s="149">
        <v>0</v>
      </c>
      <c r="BB850" s="149">
        <v>0</v>
      </c>
      <c r="BC850" s="149">
        <v>0</v>
      </c>
      <c r="BD850" s="149">
        <v>1</v>
      </c>
      <c r="BE850" s="149">
        <v>0</v>
      </c>
      <c r="BF850" s="149">
        <v>0</v>
      </c>
      <c r="BG850" s="149">
        <v>0</v>
      </c>
      <c r="BH850" s="149">
        <v>0</v>
      </c>
      <c r="BI850" s="149">
        <v>0</v>
      </c>
      <c r="BJ850" s="149">
        <v>0</v>
      </c>
      <c r="BK850" s="149">
        <v>0</v>
      </c>
      <c r="BL850" s="149">
        <v>0</v>
      </c>
      <c r="BM850" s="149">
        <v>0</v>
      </c>
      <c r="BN850" s="149">
        <v>0</v>
      </c>
      <c r="BO850" s="149">
        <v>0</v>
      </c>
      <c r="BP850" s="152"/>
      <c r="BQ850" s="152"/>
      <c r="BR850" s="154" t="s">
        <v>359</v>
      </c>
      <c r="BS850" s="136">
        <v>7</v>
      </c>
      <c r="BT850" s="267"/>
      <c r="BU850" s="267"/>
      <c r="BV850" s="267">
        <f t="shared" ref="BV850:BV861" si="123">M850/4</f>
        <v>0.25</v>
      </c>
      <c r="BW850" s="267">
        <f t="shared" ref="BW850:BW861" si="124">M850/4</f>
        <v>0.25</v>
      </c>
      <c r="BX850" s="267">
        <f t="shared" ref="BX850:BX861" si="125">M850/4</f>
        <v>0.25</v>
      </c>
      <c r="BY850" s="267">
        <f>M850/4</f>
        <v>0.25</v>
      </c>
      <c r="BZ850" s="267"/>
      <c r="CA850" s="267"/>
      <c r="CB850" s="267"/>
      <c r="CC850" s="267"/>
      <c r="CD850" s="267"/>
      <c r="CE850" s="267"/>
      <c r="CF850" s="267"/>
      <c r="CG850" s="267"/>
      <c r="CH850" s="267"/>
      <c r="CI850" s="267"/>
      <c r="CJ850" s="267"/>
      <c r="CK850" s="267"/>
      <c r="CL850" s="267"/>
      <c r="CM850" s="267"/>
      <c r="CN850" s="101">
        <f t="shared" si="118"/>
        <v>1</v>
      </c>
      <c r="CO850" s="101">
        <f t="shared" si="119"/>
        <v>1</v>
      </c>
    </row>
    <row r="851" spans="1:93" ht="13.9" customHeight="1" x14ac:dyDescent="0.2">
      <c r="A851" s="149">
        <v>7157</v>
      </c>
      <c r="B851" s="150" t="s">
        <v>1216</v>
      </c>
      <c r="C851" s="150" t="s">
        <v>2420</v>
      </c>
      <c r="D851" s="150" t="s">
        <v>2145</v>
      </c>
      <c r="E851" s="150" t="s">
        <v>326</v>
      </c>
      <c r="F851" s="149">
        <v>528409</v>
      </c>
      <c r="G851" s="149">
        <v>175769</v>
      </c>
      <c r="H851" s="150" t="s">
        <v>167</v>
      </c>
      <c r="I851" s="151"/>
      <c r="J851" s="151"/>
      <c r="K851" s="149">
        <v>1</v>
      </c>
      <c r="L851" s="149">
        <v>3</v>
      </c>
      <c r="M851" s="149">
        <v>2</v>
      </c>
      <c r="N851" s="149">
        <v>3</v>
      </c>
      <c r="O851" s="149">
        <v>2</v>
      </c>
      <c r="P851" s="152"/>
      <c r="Q851" s="150" t="s">
        <v>2421</v>
      </c>
      <c r="R851" s="150" t="s">
        <v>349</v>
      </c>
      <c r="S851" s="151">
        <v>45210</v>
      </c>
      <c r="T851" s="151">
        <v>45265</v>
      </c>
      <c r="U851" s="152" t="s">
        <v>327</v>
      </c>
      <c r="V851" s="150" t="s">
        <v>330</v>
      </c>
      <c r="W851" s="151"/>
      <c r="X851" s="150" t="s">
        <v>331</v>
      </c>
      <c r="Y851" s="150" t="s">
        <v>398</v>
      </c>
      <c r="Z851" s="150" t="s">
        <v>334</v>
      </c>
      <c r="AA851" s="150" t="s">
        <v>399</v>
      </c>
      <c r="AB851" s="153">
        <v>8.2500000000000004E-2</v>
      </c>
      <c r="AC851" s="151"/>
      <c r="AD851" s="150"/>
      <c r="AE851" s="151"/>
      <c r="AF851" s="150" t="s">
        <v>70</v>
      </c>
      <c r="AG851" s="152" t="s">
        <v>337</v>
      </c>
      <c r="AH851" s="150" t="s">
        <v>326</v>
      </c>
      <c r="AI851" s="99"/>
      <c r="AJ851" s="149"/>
      <c r="AK851" s="99"/>
      <c r="AL851" s="149"/>
      <c r="AM851" s="99"/>
      <c r="AN851" s="149">
        <v>0</v>
      </c>
      <c r="AO851" s="149">
        <v>3</v>
      </c>
      <c r="AP851" s="149">
        <v>0</v>
      </c>
      <c r="AQ851" s="149">
        <v>-1</v>
      </c>
      <c r="AR851" s="149">
        <v>0</v>
      </c>
      <c r="AS851" s="149">
        <v>0</v>
      </c>
      <c r="AT851" s="149">
        <v>0</v>
      </c>
      <c r="AU851" s="149">
        <v>0</v>
      </c>
      <c r="AV851" s="149">
        <v>3</v>
      </c>
      <c r="AW851" s="149">
        <v>0</v>
      </c>
      <c r="AX851" s="149">
        <v>-1</v>
      </c>
      <c r="AY851" s="149">
        <v>0</v>
      </c>
      <c r="AZ851" s="149">
        <v>0</v>
      </c>
      <c r="BA851" s="149">
        <v>0</v>
      </c>
      <c r="BB851" s="149">
        <v>0</v>
      </c>
      <c r="BC851" s="149">
        <v>0</v>
      </c>
      <c r="BD851" s="149">
        <v>0</v>
      </c>
      <c r="BE851" s="149">
        <v>0</v>
      </c>
      <c r="BF851" s="149">
        <v>0</v>
      </c>
      <c r="BG851" s="149">
        <v>0</v>
      </c>
      <c r="BH851" s="149">
        <v>0</v>
      </c>
      <c r="BI851" s="149">
        <v>0</v>
      </c>
      <c r="BJ851" s="149">
        <v>0</v>
      </c>
      <c r="BK851" s="149">
        <v>0</v>
      </c>
      <c r="BL851" s="149">
        <v>0</v>
      </c>
      <c r="BM851" s="149">
        <v>0</v>
      </c>
      <c r="BN851" s="149">
        <v>0</v>
      </c>
      <c r="BO851" s="149">
        <v>0</v>
      </c>
      <c r="BP851" s="152"/>
      <c r="BQ851" s="152"/>
      <c r="BR851" s="154" t="s">
        <v>359</v>
      </c>
      <c r="BS851" s="136">
        <v>15</v>
      </c>
      <c r="BT851" s="267"/>
      <c r="BU851" s="267">
        <f t="shared" ref="BU851:BU861" si="126">M851/4</f>
        <v>0.5</v>
      </c>
      <c r="BV851" s="267">
        <f t="shared" si="123"/>
        <v>0.5</v>
      </c>
      <c r="BW851" s="267">
        <f t="shared" si="124"/>
        <v>0.5</v>
      </c>
      <c r="BX851" s="267">
        <f t="shared" si="125"/>
        <v>0.5</v>
      </c>
      <c r="BY851" s="267"/>
      <c r="BZ851" s="267"/>
      <c r="CA851" s="267"/>
      <c r="CB851" s="267"/>
      <c r="CC851" s="267"/>
      <c r="CD851" s="267"/>
      <c r="CE851" s="267"/>
      <c r="CF851" s="267"/>
      <c r="CG851" s="267"/>
      <c r="CH851" s="267"/>
      <c r="CI851" s="267"/>
      <c r="CJ851" s="267"/>
      <c r="CK851" s="267"/>
      <c r="CL851" s="267"/>
      <c r="CM851" s="267"/>
      <c r="CN851" s="101">
        <f t="shared" si="118"/>
        <v>2</v>
      </c>
      <c r="CO851" s="101">
        <f t="shared" si="119"/>
        <v>2</v>
      </c>
    </row>
    <row r="852" spans="1:93" ht="13.9" customHeight="1" x14ac:dyDescent="0.2">
      <c r="A852" s="149">
        <v>8042</v>
      </c>
      <c r="B852" s="150" t="s">
        <v>1216</v>
      </c>
      <c r="C852" s="150" t="s">
        <v>2422</v>
      </c>
      <c r="D852" s="150" t="s">
        <v>2423</v>
      </c>
      <c r="E852" s="150" t="s">
        <v>326</v>
      </c>
      <c r="F852" s="149">
        <v>528835</v>
      </c>
      <c r="G852" s="149">
        <v>176682</v>
      </c>
      <c r="H852" s="150" t="s">
        <v>167</v>
      </c>
      <c r="I852" s="151"/>
      <c r="J852" s="151"/>
      <c r="K852" s="149">
        <v>0</v>
      </c>
      <c r="L852" s="149">
        <v>1</v>
      </c>
      <c r="M852" s="149">
        <v>1</v>
      </c>
      <c r="N852" s="149">
        <v>1</v>
      </c>
      <c r="O852" s="149">
        <v>1</v>
      </c>
      <c r="P852" s="152"/>
      <c r="Q852" s="150" t="s">
        <v>2424</v>
      </c>
      <c r="R852" s="150" t="s">
        <v>427</v>
      </c>
      <c r="S852" s="151">
        <v>45187</v>
      </c>
      <c r="T852" s="151">
        <v>45278</v>
      </c>
      <c r="U852" s="152" t="s">
        <v>327</v>
      </c>
      <c r="V852" s="150" t="s">
        <v>330</v>
      </c>
      <c r="W852" s="151"/>
      <c r="X852" s="150" t="s">
        <v>331</v>
      </c>
      <c r="Y852" s="150" t="s">
        <v>332</v>
      </c>
      <c r="Z852" s="150" t="s">
        <v>334</v>
      </c>
      <c r="AA852" s="150" t="s">
        <v>29</v>
      </c>
      <c r="AB852" s="153">
        <v>5.803E-3</v>
      </c>
      <c r="AC852" s="151"/>
      <c r="AD852" s="150"/>
      <c r="AE852" s="151"/>
      <c r="AF852" s="150" t="s">
        <v>70</v>
      </c>
      <c r="AG852" s="152" t="s">
        <v>352</v>
      </c>
      <c r="AH852" s="150" t="s">
        <v>326</v>
      </c>
      <c r="AI852" s="99"/>
      <c r="AJ852" s="149"/>
      <c r="AK852" s="99"/>
      <c r="AL852" s="149"/>
      <c r="AM852" s="99"/>
      <c r="AN852" s="149">
        <v>0</v>
      </c>
      <c r="AO852" s="149">
        <v>1</v>
      </c>
      <c r="AP852" s="149">
        <v>0</v>
      </c>
      <c r="AQ852" s="149">
        <v>0</v>
      </c>
      <c r="AR852" s="149">
        <v>0</v>
      </c>
      <c r="AS852" s="149">
        <v>0</v>
      </c>
      <c r="AT852" s="149">
        <v>0</v>
      </c>
      <c r="AU852" s="149">
        <v>0</v>
      </c>
      <c r="AV852" s="149">
        <v>1</v>
      </c>
      <c r="AW852" s="149">
        <v>0</v>
      </c>
      <c r="AX852" s="149">
        <v>0</v>
      </c>
      <c r="AY852" s="149">
        <v>0</v>
      </c>
      <c r="AZ852" s="149">
        <v>0</v>
      </c>
      <c r="BA852" s="149">
        <v>0</v>
      </c>
      <c r="BB852" s="149">
        <v>0</v>
      </c>
      <c r="BC852" s="149">
        <v>0</v>
      </c>
      <c r="BD852" s="149">
        <v>0</v>
      </c>
      <c r="BE852" s="149">
        <v>0</v>
      </c>
      <c r="BF852" s="149">
        <v>0</v>
      </c>
      <c r="BG852" s="149">
        <v>0</v>
      </c>
      <c r="BH852" s="149">
        <v>0</v>
      </c>
      <c r="BI852" s="149">
        <v>0</v>
      </c>
      <c r="BJ852" s="149">
        <v>0</v>
      </c>
      <c r="BK852" s="149">
        <v>0</v>
      </c>
      <c r="BL852" s="149">
        <v>0</v>
      </c>
      <c r="BM852" s="149">
        <v>0</v>
      </c>
      <c r="BN852" s="149">
        <v>0</v>
      </c>
      <c r="BO852" s="149">
        <v>0</v>
      </c>
      <c r="BP852" s="152"/>
      <c r="BQ852" s="152" t="s">
        <v>327</v>
      </c>
      <c r="BR852" s="154" t="s">
        <v>149</v>
      </c>
      <c r="BS852" s="136">
        <v>15</v>
      </c>
      <c r="BT852" s="267"/>
      <c r="BU852" s="267">
        <f t="shared" si="126"/>
        <v>0.25</v>
      </c>
      <c r="BV852" s="267">
        <f t="shared" si="123"/>
        <v>0.25</v>
      </c>
      <c r="BW852" s="267">
        <f t="shared" si="124"/>
        <v>0.25</v>
      </c>
      <c r="BX852" s="267">
        <f t="shared" si="125"/>
        <v>0.25</v>
      </c>
      <c r="BY852" s="267"/>
      <c r="BZ852" s="267"/>
      <c r="CA852" s="267"/>
      <c r="CB852" s="267"/>
      <c r="CC852" s="267"/>
      <c r="CD852" s="267"/>
      <c r="CE852" s="267"/>
      <c r="CF852" s="267"/>
      <c r="CG852" s="267"/>
      <c r="CH852" s="267"/>
      <c r="CI852" s="267"/>
      <c r="CJ852" s="267"/>
      <c r="CK852" s="267"/>
      <c r="CL852" s="267"/>
      <c r="CM852" s="267"/>
      <c r="CN852" s="101">
        <f t="shared" si="118"/>
        <v>1</v>
      </c>
      <c r="CO852" s="101">
        <f t="shared" si="119"/>
        <v>1</v>
      </c>
    </row>
    <row r="853" spans="1:93" ht="13.9" customHeight="1" x14ac:dyDescent="0.2">
      <c r="A853" s="149">
        <v>8048</v>
      </c>
      <c r="B853" s="150" t="s">
        <v>1216</v>
      </c>
      <c r="C853" s="150" t="s">
        <v>2425</v>
      </c>
      <c r="D853" s="150" t="s">
        <v>2426</v>
      </c>
      <c r="E853" s="150" t="s">
        <v>326</v>
      </c>
      <c r="F853" s="149">
        <v>526215</v>
      </c>
      <c r="G853" s="149">
        <v>174024</v>
      </c>
      <c r="H853" s="150" t="s">
        <v>175</v>
      </c>
      <c r="I853" s="151"/>
      <c r="J853" s="151"/>
      <c r="K853" s="149">
        <v>1</v>
      </c>
      <c r="L853" s="149">
        <v>2</v>
      </c>
      <c r="M853" s="149">
        <v>1</v>
      </c>
      <c r="N853" s="149">
        <v>2</v>
      </c>
      <c r="O853" s="149">
        <v>1</v>
      </c>
      <c r="P853" s="152"/>
      <c r="Q853" s="150" t="s">
        <v>2427</v>
      </c>
      <c r="R853" s="150" t="s">
        <v>349</v>
      </c>
      <c r="S853" s="151">
        <v>45188</v>
      </c>
      <c r="T853" s="151">
        <v>45254</v>
      </c>
      <c r="U853" s="152" t="s">
        <v>327</v>
      </c>
      <c r="V853" s="150" t="s">
        <v>330</v>
      </c>
      <c r="W853" s="151"/>
      <c r="X853" s="150" t="s">
        <v>331</v>
      </c>
      <c r="Y853" s="150" t="s">
        <v>350</v>
      </c>
      <c r="Z853" s="150" t="s">
        <v>334</v>
      </c>
      <c r="AA853" s="150" t="s">
        <v>16</v>
      </c>
      <c r="AB853" s="153">
        <v>1.4598E-2</v>
      </c>
      <c r="AC853" s="151"/>
      <c r="AD853" s="150"/>
      <c r="AE853" s="151"/>
      <c r="AF853" s="150" t="s">
        <v>70</v>
      </c>
      <c r="AG853" s="152" t="s">
        <v>337</v>
      </c>
      <c r="AH853" s="150" t="s">
        <v>326</v>
      </c>
      <c r="AI853" s="99"/>
      <c r="AJ853" s="149"/>
      <c r="AK853" s="99"/>
      <c r="AL853" s="149"/>
      <c r="AM853" s="99"/>
      <c r="AN853" s="149">
        <v>0</v>
      </c>
      <c r="AO853" s="149">
        <v>0</v>
      </c>
      <c r="AP853" s="149">
        <v>1</v>
      </c>
      <c r="AQ853" s="149">
        <v>1</v>
      </c>
      <c r="AR853" s="149">
        <v>-1</v>
      </c>
      <c r="AS853" s="149">
        <v>0</v>
      </c>
      <c r="AT853" s="149">
        <v>0</v>
      </c>
      <c r="AU853" s="149">
        <v>0</v>
      </c>
      <c r="AV853" s="149">
        <v>0</v>
      </c>
      <c r="AW853" s="149">
        <v>1</v>
      </c>
      <c r="AX853" s="149">
        <v>1</v>
      </c>
      <c r="AY853" s="149">
        <v>0</v>
      </c>
      <c r="AZ853" s="149">
        <v>0</v>
      </c>
      <c r="BA853" s="149">
        <v>0</v>
      </c>
      <c r="BB853" s="149">
        <v>0</v>
      </c>
      <c r="BC853" s="149">
        <v>0</v>
      </c>
      <c r="BD853" s="149">
        <v>0</v>
      </c>
      <c r="BE853" s="149">
        <v>0</v>
      </c>
      <c r="BF853" s="149">
        <v>-1</v>
      </c>
      <c r="BG853" s="149">
        <v>0</v>
      </c>
      <c r="BH853" s="149">
        <v>0</v>
      </c>
      <c r="BI853" s="149">
        <v>0</v>
      </c>
      <c r="BJ853" s="149">
        <v>0</v>
      </c>
      <c r="BK853" s="149">
        <v>0</v>
      </c>
      <c r="BL853" s="149">
        <v>0</v>
      </c>
      <c r="BM853" s="149">
        <v>0</v>
      </c>
      <c r="BN853" s="149">
        <v>0</v>
      </c>
      <c r="BO853" s="149">
        <v>0</v>
      </c>
      <c r="BP853" s="152"/>
      <c r="BQ853" s="152"/>
      <c r="BR853" s="154" t="s">
        <v>359</v>
      </c>
      <c r="BS853" s="136">
        <v>15</v>
      </c>
      <c r="BT853" s="267"/>
      <c r="BU853" s="267">
        <f t="shared" si="126"/>
        <v>0.25</v>
      </c>
      <c r="BV853" s="267">
        <f t="shared" si="123"/>
        <v>0.25</v>
      </c>
      <c r="BW853" s="267">
        <f t="shared" si="124"/>
        <v>0.25</v>
      </c>
      <c r="BX853" s="267">
        <f t="shared" si="125"/>
        <v>0.25</v>
      </c>
      <c r="BY853" s="267"/>
      <c r="BZ853" s="267"/>
      <c r="CA853" s="267"/>
      <c r="CB853" s="267"/>
      <c r="CC853" s="267"/>
      <c r="CD853" s="267"/>
      <c r="CE853" s="267"/>
      <c r="CF853" s="267"/>
      <c r="CG853" s="267"/>
      <c r="CH853" s="267"/>
      <c r="CI853" s="267"/>
      <c r="CJ853" s="267"/>
      <c r="CK853" s="267"/>
      <c r="CL853" s="267"/>
      <c r="CM853" s="267"/>
      <c r="CN853" s="101">
        <f t="shared" si="118"/>
        <v>1</v>
      </c>
      <c r="CO853" s="101">
        <f t="shared" si="119"/>
        <v>1</v>
      </c>
    </row>
    <row r="854" spans="1:93" ht="13.9" customHeight="1" x14ac:dyDescent="0.2">
      <c r="A854" s="149">
        <v>8051</v>
      </c>
      <c r="B854" s="150" t="s">
        <v>1216</v>
      </c>
      <c r="C854" s="150" t="s">
        <v>2428</v>
      </c>
      <c r="D854" s="150" t="s">
        <v>2429</v>
      </c>
      <c r="E854" s="150" t="s">
        <v>326</v>
      </c>
      <c r="F854" s="149">
        <v>528905</v>
      </c>
      <c r="G854" s="149">
        <v>173984</v>
      </c>
      <c r="H854" s="150" t="s">
        <v>139</v>
      </c>
      <c r="I854" s="151"/>
      <c r="J854" s="151"/>
      <c r="K854" s="149">
        <v>0</v>
      </c>
      <c r="L854" s="149">
        <v>2</v>
      </c>
      <c r="M854" s="149">
        <v>2</v>
      </c>
      <c r="N854" s="149">
        <v>2</v>
      </c>
      <c r="O854" s="149">
        <v>2</v>
      </c>
      <c r="P854" s="152"/>
      <c r="Q854" s="150" t="s">
        <v>2430</v>
      </c>
      <c r="R854" s="150" t="s">
        <v>349</v>
      </c>
      <c r="S854" s="151">
        <v>45195</v>
      </c>
      <c r="T854" s="151">
        <v>45275</v>
      </c>
      <c r="U854" s="152" t="s">
        <v>327</v>
      </c>
      <c r="V854" s="150" t="s">
        <v>330</v>
      </c>
      <c r="W854" s="151"/>
      <c r="X854" s="150" t="s">
        <v>331</v>
      </c>
      <c r="Y854" s="150" t="s">
        <v>398</v>
      </c>
      <c r="Z854" s="150" t="s">
        <v>334</v>
      </c>
      <c r="AA854" s="150" t="s">
        <v>26</v>
      </c>
      <c r="AB854" s="153">
        <v>1.1306E-2</v>
      </c>
      <c r="AC854" s="151"/>
      <c r="AD854" s="150"/>
      <c r="AE854" s="151"/>
      <c r="AF854" s="150" t="s">
        <v>70</v>
      </c>
      <c r="AG854" s="152" t="s">
        <v>352</v>
      </c>
      <c r="AH854" s="150" t="s">
        <v>326</v>
      </c>
      <c r="AI854" s="99"/>
      <c r="AJ854" s="149"/>
      <c r="AK854" s="99"/>
      <c r="AL854" s="149"/>
      <c r="AM854" s="99"/>
      <c r="AN854" s="149">
        <v>0</v>
      </c>
      <c r="AO854" s="149">
        <v>0</v>
      </c>
      <c r="AP854" s="149">
        <v>1</v>
      </c>
      <c r="AQ854" s="149">
        <v>1</v>
      </c>
      <c r="AR854" s="149">
        <v>0</v>
      </c>
      <c r="AS854" s="149">
        <v>0</v>
      </c>
      <c r="AT854" s="149">
        <v>0</v>
      </c>
      <c r="AU854" s="149">
        <v>0</v>
      </c>
      <c r="AV854" s="149">
        <v>0</v>
      </c>
      <c r="AW854" s="149">
        <v>1</v>
      </c>
      <c r="AX854" s="149">
        <v>1</v>
      </c>
      <c r="AY854" s="149">
        <v>0</v>
      </c>
      <c r="AZ854" s="149">
        <v>0</v>
      </c>
      <c r="BA854" s="149">
        <v>0</v>
      </c>
      <c r="BB854" s="149">
        <v>0</v>
      </c>
      <c r="BC854" s="149">
        <v>0</v>
      </c>
      <c r="BD854" s="149">
        <v>0</v>
      </c>
      <c r="BE854" s="149">
        <v>0</v>
      </c>
      <c r="BF854" s="149">
        <v>0</v>
      </c>
      <c r="BG854" s="149">
        <v>0</v>
      </c>
      <c r="BH854" s="149">
        <v>0</v>
      </c>
      <c r="BI854" s="149">
        <v>0</v>
      </c>
      <c r="BJ854" s="149">
        <v>0</v>
      </c>
      <c r="BK854" s="149">
        <v>0</v>
      </c>
      <c r="BL854" s="149">
        <v>0</v>
      </c>
      <c r="BM854" s="149">
        <v>0</v>
      </c>
      <c r="BN854" s="149">
        <v>0</v>
      </c>
      <c r="BO854" s="149">
        <v>0</v>
      </c>
      <c r="BP854" s="152"/>
      <c r="BQ854" s="152"/>
      <c r="BR854" s="154" t="s">
        <v>359</v>
      </c>
      <c r="BS854" s="136">
        <v>15</v>
      </c>
      <c r="BT854" s="267"/>
      <c r="BU854" s="267">
        <f t="shared" si="126"/>
        <v>0.5</v>
      </c>
      <c r="BV854" s="267">
        <f t="shared" si="123"/>
        <v>0.5</v>
      </c>
      <c r="BW854" s="267">
        <f t="shared" si="124"/>
        <v>0.5</v>
      </c>
      <c r="BX854" s="267">
        <f t="shared" si="125"/>
        <v>0.5</v>
      </c>
      <c r="BY854" s="267"/>
      <c r="BZ854" s="267"/>
      <c r="CA854" s="267"/>
      <c r="CB854" s="267"/>
      <c r="CC854" s="267"/>
      <c r="CD854" s="267"/>
      <c r="CE854" s="267"/>
      <c r="CF854" s="267"/>
      <c r="CG854" s="267"/>
      <c r="CH854" s="267"/>
      <c r="CI854" s="267"/>
      <c r="CJ854" s="267"/>
      <c r="CK854" s="267"/>
      <c r="CL854" s="267"/>
      <c r="CM854" s="267"/>
      <c r="CN854" s="101">
        <f t="shared" si="118"/>
        <v>2</v>
      </c>
      <c r="CO854" s="101">
        <f t="shared" si="119"/>
        <v>2</v>
      </c>
    </row>
    <row r="855" spans="1:93" ht="13.9" customHeight="1" x14ac:dyDescent="0.2">
      <c r="A855" s="149">
        <v>6968</v>
      </c>
      <c r="B855" s="150" t="s">
        <v>1216</v>
      </c>
      <c r="C855" s="150" t="s">
        <v>2431</v>
      </c>
      <c r="D855" s="150" t="s">
        <v>2432</v>
      </c>
      <c r="E855" s="150" t="s">
        <v>326</v>
      </c>
      <c r="F855" s="149">
        <v>524972</v>
      </c>
      <c r="G855" s="149">
        <v>174632</v>
      </c>
      <c r="H855" s="150" t="s">
        <v>161</v>
      </c>
      <c r="I855" s="151"/>
      <c r="J855" s="151"/>
      <c r="K855" s="149">
        <v>0</v>
      </c>
      <c r="L855" s="149">
        <v>3</v>
      </c>
      <c r="M855" s="149">
        <v>3</v>
      </c>
      <c r="N855" s="149">
        <v>3</v>
      </c>
      <c r="O855" s="149">
        <v>3</v>
      </c>
      <c r="P855" s="152"/>
      <c r="Q855" s="150" t="s">
        <v>2433</v>
      </c>
      <c r="R855" s="150" t="s">
        <v>427</v>
      </c>
      <c r="S855" s="151">
        <v>45197</v>
      </c>
      <c r="T855" s="151">
        <v>45247</v>
      </c>
      <c r="U855" s="152" t="s">
        <v>327</v>
      </c>
      <c r="V855" s="150" t="s">
        <v>330</v>
      </c>
      <c r="W855" s="151"/>
      <c r="X855" s="150" t="s">
        <v>331</v>
      </c>
      <c r="Y855" s="150" t="s">
        <v>332</v>
      </c>
      <c r="Z855" s="150" t="s">
        <v>334</v>
      </c>
      <c r="AA855" s="150" t="s">
        <v>29</v>
      </c>
      <c r="AB855" s="153">
        <v>5.333333E-3</v>
      </c>
      <c r="AC855" s="151"/>
      <c r="AD855" s="150"/>
      <c r="AE855" s="151"/>
      <c r="AF855" s="150" t="s">
        <v>70</v>
      </c>
      <c r="AG855" s="152" t="s">
        <v>352</v>
      </c>
      <c r="AH855" s="150" t="s">
        <v>326</v>
      </c>
      <c r="AI855" s="99"/>
      <c r="AJ855" s="149"/>
      <c r="AK855" s="99"/>
      <c r="AL855" s="149"/>
      <c r="AM855" s="99"/>
      <c r="AN855" s="149">
        <v>0</v>
      </c>
      <c r="AO855" s="149">
        <v>3</v>
      </c>
      <c r="AP855" s="149">
        <v>0</v>
      </c>
      <c r="AQ855" s="149">
        <v>0</v>
      </c>
      <c r="AR855" s="149">
        <v>0</v>
      </c>
      <c r="AS855" s="149">
        <v>0</v>
      </c>
      <c r="AT855" s="149">
        <v>0</v>
      </c>
      <c r="AU855" s="149">
        <v>0</v>
      </c>
      <c r="AV855" s="149">
        <v>3</v>
      </c>
      <c r="AW855" s="149">
        <v>0</v>
      </c>
      <c r="AX855" s="149">
        <v>0</v>
      </c>
      <c r="AY855" s="149">
        <v>0</v>
      </c>
      <c r="AZ855" s="149">
        <v>0</v>
      </c>
      <c r="BA855" s="149">
        <v>0</v>
      </c>
      <c r="BB855" s="149">
        <v>0</v>
      </c>
      <c r="BC855" s="149">
        <v>0</v>
      </c>
      <c r="BD855" s="149">
        <v>0</v>
      </c>
      <c r="BE855" s="149">
        <v>0</v>
      </c>
      <c r="BF855" s="149">
        <v>0</v>
      </c>
      <c r="BG855" s="149">
        <v>0</v>
      </c>
      <c r="BH855" s="149">
        <v>0</v>
      </c>
      <c r="BI855" s="149">
        <v>0</v>
      </c>
      <c r="BJ855" s="149">
        <v>0</v>
      </c>
      <c r="BK855" s="149">
        <v>0</v>
      </c>
      <c r="BL855" s="149">
        <v>0</v>
      </c>
      <c r="BM855" s="149">
        <v>0</v>
      </c>
      <c r="BN855" s="149">
        <v>0</v>
      </c>
      <c r="BO855" s="149">
        <v>0</v>
      </c>
      <c r="BP855" s="152"/>
      <c r="BQ855" s="152"/>
      <c r="BR855" s="154" t="s">
        <v>359</v>
      </c>
      <c r="BS855" s="136">
        <v>15</v>
      </c>
      <c r="BT855" s="267"/>
      <c r="BU855" s="267">
        <f t="shared" si="126"/>
        <v>0.75</v>
      </c>
      <c r="BV855" s="267">
        <f t="shared" si="123"/>
        <v>0.75</v>
      </c>
      <c r="BW855" s="267">
        <f t="shared" si="124"/>
        <v>0.75</v>
      </c>
      <c r="BX855" s="267">
        <f t="shared" si="125"/>
        <v>0.75</v>
      </c>
      <c r="BY855" s="267"/>
      <c r="BZ855" s="267"/>
      <c r="CA855" s="267"/>
      <c r="CB855" s="267"/>
      <c r="CC855" s="267"/>
      <c r="CD855" s="267"/>
      <c r="CE855" s="267"/>
      <c r="CF855" s="267"/>
      <c r="CG855" s="267"/>
      <c r="CH855" s="267"/>
      <c r="CI855" s="267"/>
      <c r="CJ855" s="267"/>
      <c r="CK855" s="267"/>
      <c r="CL855" s="267"/>
      <c r="CM855" s="267"/>
      <c r="CN855" s="101">
        <f t="shared" si="118"/>
        <v>3</v>
      </c>
      <c r="CO855" s="101">
        <f t="shared" si="119"/>
        <v>3</v>
      </c>
    </row>
    <row r="856" spans="1:93" ht="13.9" customHeight="1" x14ac:dyDescent="0.2">
      <c r="A856" s="149">
        <v>7344</v>
      </c>
      <c r="B856" s="150" t="s">
        <v>1216</v>
      </c>
      <c r="C856" s="150" t="s">
        <v>2434</v>
      </c>
      <c r="D856" s="150" t="s">
        <v>2435</v>
      </c>
      <c r="E856" s="150" t="s">
        <v>326</v>
      </c>
      <c r="F856" s="149">
        <v>526471</v>
      </c>
      <c r="G856" s="149">
        <v>175874</v>
      </c>
      <c r="H856" s="150" t="s">
        <v>170</v>
      </c>
      <c r="I856" s="151"/>
      <c r="J856" s="151"/>
      <c r="K856" s="149">
        <v>0</v>
      </c>
      <c r="L856" s="149">
        <v>3</v>
      </c>
      <c r="M856" s="149">
        <v>3</v>
      </c>
      <c r="N856" s="149">
        <v>3</v>
      </c>
      <c r="O856" s="149">
        <v>3</v>
      </c>
      <c r="P856" s="152"/>
      <c r="Q856" s="150" t="s">
        <v>2436</v>
      </c>
      <c r="R856" s="150" t="s">
        <v>427</v>
      </c>
      <c r="S856" s="151">
        <v>45211</v>
      </c>
      <c r="T856" s="151">
        <v>45264</v>
      </c>
      <c r="U856" s="152" t="s">
        <v>327</v>
      </c>
      <c r="V856" s="150" t="s">
        <v>330</v>
      </c>
      <c r="W856" s="151"/>
      <c r="X856" s="150" t="s">
        <v>331</v>
      </c>
      <c r="Y856" s="150" t="s">
        <v>332</v>
      </c>
      <c r="Z856" s="150" t="s">
        <v>334</v>
      </c>
      <c r="AA856" s="150" t="s">
        <v>29</v>
      </c>
      <c r="AB856" s="153">
        <v>0</v>
      </c>
      <c r="AC856" s="151"/>
      <c r="AD856" s="150"/>
      <c r="AE856" s="151"/>
      <c r="AF856" s="150" t="s">
        <v>70</v>
      </c>
      <c r="AG856" s="152" t="s">
        <v>352</v>
      </c>
      <c r="AH856" s="150" t="s">
        <v>326</v>
      </c>
      <c r="AI856" s="99"/>
      <c r="AJ856" s="149"/>
      <c r="AK856" s="99"/>
      <c r="AL856" s="149"/>
      <c r="AM856" s="99"/>
      <c r="AN856" s="149">
        <v>2</v>
      </c>
      <c r="AO856" s="149">
        <v>0</v>
      </c>
      <c r="AP856" s="149">
        <v>1</v>
      </c>
      <c r="AQ856" s="149">
        <v>0</v>
      </c>
      <c r="AR856" s="149">
        <v>0</v>
      </c>
      <c r="AS856" s="149">
        <v>0</v>
      </c>
      <c r="AT856" s="149">
        <v>0</v>
      </c>
      <c r="AU856" s="149">
        <v>2</v>
      </c>
      <c r="AV856" s="149">
        <v>0</v>
      </c>
      <c r="AW856" s="149">
        <v>1</v>
      </c>
      <c r="AX856" s="149">
        <v>0</v>
      </c>
      <c r="AY856" s="149">
        <v>0</v>
      </c>
      <c r="AZ856" s="149">
        <v>0</v>
      </c>
      <c r="BA856" s="149">
        <v>0</v>
      </c>
      <c r="BB856" s="149">
        <v>0</v>
      </c>
      <c r="BC856" s="149">
        <v>0</v>
      </c>
      <c r="BD856" s="149">
        <v>0</v>
      </c>
      <c r="BE856" s="149">
        <v>0</v>
      </c>
      <c r="BF856" s="149">
        <v>0</v>
      </c>
      <c r="BG856" s="149">
        <v>0</v>
      </c>
      <c r="BH856" s="149">
        <v>0</v>
      </c>
      <c r="BI856" s="149">
        <v>0</v>
      </c>
      <c r="BJ856" s="149">
        <v>0</v>
      </c>
      <c r="BK856" s="149">
        <v>0</v>
      </c>
      <c r="BL856" s="149">
        <v>0</v>
      </c>
      <c r="BM856" s="149">
        <v>0</v>
      </c>
      <c r="BN856" s="149">
        <v>0</v>
      </c>
      <c r="BO856" s="149">
        <v>0</v>
      </c>
      <c r="BP856" s="152"/>
      <c r="BQ856" s="152"/>
      <c r="BR856" s="154" t="s">
        <v>408</v>
      </c>
      <c r="BS856" s="136">
        <v>15</v>
      </c>
      <c r="BT856" s="267"/>
      <c r="BU856" s="267">
        <f t="shared" si="126"/>
        <v>0.75</v>
      </c>
      <c r="BV856" s="267">
        <f t="shared" si="123"/>
        <v>0.75</v>
      </c>
      <c r="BW856" s="267">
        <f t="shared" si="124"/>
        <v>0.75</v>
      </c>
      <c r="BX856" s="267">
        <f t="shared" si="125"/>
        <v>0.75</v>
      </c>
      <c r="BY856" s="267"/>
      <c r="BZ856" s="267"/>
      <c r="CA856" s="267"/>
      <c r="CB856" s="267"/>
      <c r="CC856" s="267"/>
      <c r="CD856" s="267"/>
      <c r="CE856" s="267"/>
      <c r="CF856" s="267"/>
      <c r="CG856" s="267"/>
      <c r="CH856" s="267"/>
      <c r="CI856" s="267"/>
      <c r="CJ856" s="267"/>
      <c r="CK856" s="267"/>
      <c r="CL856" s="267"/>
      <c r="CM856" s="267"/>
      <c r="CN856" s="101">
        <f t="shared" si="118"/>
        <v>3</v>
      </c>
      <c r="CO856" s="101">
        <f t="shared" si="119"/>
        <v>3</v>
      </c>
    </row>
    <row r="857" spans="1:93" ht="13.9" customHeight="1" x14ac:dyDescent="0.2">
      <c r="A857" s="149">
        <v>8018</v>
      </c>
      <c r="B857" s="150" t="s">
        <v>1216</v>
      </c>
      <c r="C857" s="150" t="s">
        <v>2437</v>
      </c>
      <c r="D857" s="150" t="s">
        <v>2377</v>
      </c>
      <c r="E857" s="150" t="s">
        <v>326</v>
      </c>
      <c r="F857" s="149">
        <v>525892</v>
      </c>
      <c r="G857" s="149">
        <v>173924</v>
      </c>
      <c r="H857" s="150" t="s">
        <v>175</v>
      </c>
      <c r="I857" s="151"/>
      <c r="J857" s="151"/>
      <c r="K857" s="149">
        <v>1</v>
      </c>
      <c r="L857" s="149">
        <v>3</v>
      </c>
      <c r="M857" s="149">
        <v>2</v>
      </c>
      <c r="N857" s="149">
        <v>3</v>
      </c>
      <c r="O857" s="149">
        <v>2</v>
      </c>
      <c r="P857" s="152"/>
      <c r="Q857" s="150" t="s">
        <v>2438</v>
      </c>
      <c r="R857" s="150" t="s">
        <v>349</v>
      </c>
      <c r="S857" s="151">
        <v>45222</v>
      </c>
      <c r="T857" s="151">
        <v>45278</v>
      </c>
      <c r="U857" s="152" t="s">
        <v>327</v>
      </c>
      <c r="V857" s="150" t="s">
        <v>330</v>
      </c>
      <c r="W857" s="151"/>
      <c r="X857" s="150" t="s">
        <v>331</v>
      </c>
      <c r="Y857" s="150" t="s">
        <v>350</v>
      </c>
      <c r="Z857" s="150" t="s">
        <v>334</v>
      </c>
      <c r="AA857" s="150" t="s">
        <v>399</v>
      </c>
      <c r="AB857" s="153">
        <v>7.012E-3</v>
      </c>
      <c r="AC857" s="151"/>
      <c r="AD857" s="150"/>
      <c r="AE857" s="151"/>
      <c r="AF857" s="150" t="s">
        <v>70</v>
      </c>
      <c r="AG857" s="152" t="s">
        <v>337</v>
      </c>
      <c r="AH857" s="150" t="s">
        <v>326</v>
      </c>
      <c r="AI857" s="99"/>
      <c r="AJ857" s="149"/>
      <c r="AK857" s="99"/>
      <c r="AL857" s="149"/>
      <c r="AM857" s="99"/>
      <c r="AN857" s="149">
        <v>0</v>
      </c>
      <c r="AO857" s="149">
        <v>3</v>
      </c>
      <c r="AP857" s="149">
        <v>0</v>
      </c>
      <c r="AQ857" s="149">
        <v>-1</v>
      </c>
      <c r="AR857" s="149">
        <v>0</v>
      </c>
      <c r="AS857" s="149">
        <v>0</v>
      </c>
      <c r="AT857" s="149">
        <v>0</v>
      </c>
      <c r="AU857" s="149">
        <v>0</v>
      </c>
      <c r="AV857" s="149">
        <v>3</v>
      </c>
      <c r="AW857" s="149">
        <v>0</v>
      </c>
      <c r="AX857" s="149">
        <v>-1</v>
      </c>
      <c r="AY857" s="149">
        <v>0</v>
      </c>
      <c r="AZ857" s="149">
        <v>0</v>
      </c>
      <c r="BA857" s="149">
        <v>0</v>
      </c>
      <c r="BB857" s="149">
        <v>0</v>
      </c>
      <c r="BC857" s="149">
        <v>0</v>
      </c>
      <c r="BD857" s="149">
        <v>0</v>
      </c>
      <c r="BE857" s="149">
        <v>0</v>
      </c>
      <c r="BF857" s="149">
        <v>0</v>
      </c>
      <c r="BG857" s="149">
        <v>0</v>
      </c>
      <c r="BH857" s="149">
        <v>0</v>
      </c>
      <c r="BI857" s="149">
        <v>0</v>
      </c>
      <c r="BJ857" s="149">
        <v>0</v>
      </c>
      <c r="BK857" s="149">
        <v>0</v>
      </c>
      <c r="BL857" s="149">
        <v>0</v>
      </c>
      <c r="BM857" s="149">
        <v>0</v>
      </c>
      <c r="BN857" s="149">
        <v>0</v>
      </c>
      <c r="BO857" s="149">
        <v>0</v>
      </c>
      <c r="BP857" s="152"/>
      <c r="BQ857" s="152"/>
      <c r="BR857" s="154" t="s">
        <v>151</v>
      </c>
      <c r="BS857" s="136">
        <v>15</v>
      </c>
      <c r="BT857" s="267"/>
      <c r="BU857" s="267">
        <f t="shared" si="126"/>
        <v>0.5</v>
      </c>
      <c r="BV857" s="267">
        <f t="shared" si="123"/>
        <v>0.5</v>
      </c>
      <c r="BW857" s="267">
        <f t="shared" si="124"/>
        <v>0.5</v>
      </c>
      <c r="BX857" s="267">
        <f t="shared" si="125"/>
        <v>0.5</v>
      </c>
      <c r="BY857" s="267"/>
      <c r="BZ857" s="267"/>
      <c r="CA857" s="267"/>
      <c r="CB857" s="267"/>
      <c r="CC857" s="267"/>
      <c r="CD857" s="267"/>
      <c r="CE857" s="267"/>
      <c r="CF857" s="267"/>
      <c r="CG857" s="267"/>
      <c r="CH857" s="267"/>
      <c r="CI857" s="267"/>
      <c r="CJ857" s="267"/>
      <c r="CK857" s="267"/>
      <c r="CL857" s="267"/>
      <c r="CM857" s="267"/>
      <c r="CN857" s="101">
        <f t="shared" si="118"/>
        <v>2</v>
      </c>
      <c r="CO857" s="101">
        <f t="shared" si="119"/>
        <v>2</v>
      </c>
    </row>
    <row r="858" spans="1:93" ht="13.9" customHeight="1" x14ac:dyDescent="0.2">
      <c r="A858" s="149">
        <v>4135</v>
      </c>
      <c r="B858" s="150" t="s">
        <v>1216</v>
      </c>
      <c r="C858" s="150" t="s">
        <v>2439</v>
      </c>
      <c r="D858" s="150" t="s">
        <v>2368</v>
      </c>
      <c r="E858" s="150" t="s">
        <v>326</v>
      </c>
      <c r="F858" s="149">
        <v>525885</v>
      </c>
      <c r="G858" s="149">
        <v>173983</v>
      </c>
      <c r="H858" s="150" t="s">
        <v>175</v>
      </c>
      <c r="I858" s="151"/>
      <c r="J858" s="151"/>
      <c r="K858" s="149">
        <v>1</v>
      </c>
      <c r="L858" s="149">
        <v>1</v>
      </c>
      <c r="M858" s="149">
        <v>0</v>
      </c>
      <c r="N858" s="149">
        <v>1</v>
      </c>
      <c r="O858" s="149">
        <v>0</v>
      </c>
      <c r="P858" s="152"/>
      <c r="Q858" s="150" t="s">
        <v>2440</v>
      </c>
      <c r="R858" s="150" t="s">
        <v>349</v>
      </c>
      <c r="S858" s="151">
        <v>45222</v>
      </c>
      <c r="T858" s="151">
        <v>45278</v>
      </c>
      <c r="U858" s="152" t="s">
        <v>327</v>
      </c>
      <c r="V858" s="150" t="s">
        <v>330</v>
      </c>
      <c r="W858" s="151"/>
      <c r="X858" s="150" t="s">
        <v>331</v>
      </c>
      <c r="Y858" s="150" t="s">
        <v>332</v>
      </c>
      <c r="Z858" s="150" t="s">
        <v>334</v>
      </c>
      <c r="AA858" s="150" t="s">
        <v>413</v>
      </c>
      <c r="AB858" s="153">
        <v>0</v>
      </c>
      <c r="AC858" s="151"/>
      <c r="AD858" s="150"/>
      <c r="AE858" s="151"/>
      <c r="AF858" s="150" t="s">
        <v>70</v>
      </c>
      <c r="AG858" s="152" t="s">
        <v>337</v>
      </c>
      <c r="AH858" s="150" t="s">
        <v>326</v>
      </c>
      <c r="AI858" s="99"/>
      <c r="AJ858" s="149"/>
      <c r="AK858" s="99"/>
      <c r="AL858" s="149"/>
      <c r="AM858" s="99"/>
      <c r="AN858" s="149">
        <v>-1</v>
      </c>
      <c r="AO858" s="149">
        <v>1</v>
      </c>
      <c r="AP858" s="149">
        <v>0</v>
      </c>
      <c r="AQ858" s="149">
        <v>0</v>
      </c>
      <c r="AR858" s="149">
        <v>0</v>
      </c>
      <c r="AS858" s="149">
        <v>0</v>
      </c>
      <c r="AT858" s="149">
        <v>0</v>
      </c>
      <c r="AU858" s="149">
        <v>-1</v>
      </c>
      <c r="AV858" s="149">
        <v>1</v>
      </c>
      <c r="AW858" s="149">
        <v>0</v>
      </c>
      <c r="AX858" s="149">
        <v>0</v>
      </c>
      <c r="AY858" s="149">
        <v>0</v>
      </c>
      <c r="AZ858" s="149">
        <v>0</v>
      </c>
      <c r="BA858" s="149">
        <v>0</v>
      </c>
      <c r="BB858" s="149">
        <v>0</v>
      </c>
      <c r="BC858" s="149">
        <v>0</v>
      </c>
      <c r="BD858" s="149">
        <v>0</v>
      </c>
      <c r="BE858" s="149">
        <v>0</v>
      </c>
      <c r="BF858" s="149">
        <v>0</v>
      </c>
      <c r="BG858" s="149">
        <v>0</v>
      </c>
      <c r="BH858" s="149">
        <v>0</v>
      </c>
      <c r="BI858" s="149">
        <v>0</v>
      </c>
      <c r="BJ858" s="149">
        <v>0</v>
      </c>
      <c r="BK858" s="149">
        <v>0</v>
      </c>
      <c r="BL858" s="149">
        <v>0</v>
      </c>
      <c r="BM858" s="149">
        <v>0</v>
      </c>
      <c r="BN858" s="149">
        <v>0</v>
      </c>
      <c r="BO858" s="149">
        <v>0</v>
      </c>
      <c r="BP858" s="152"/>
      <c r="BQ858" s="152"/>
      <c r="BR858" s="154" t="s">
        <v>151</v>
      </c>
      <c r="BS858" s="136">
        <v>15</v>
      </c>
      <c r="BT858" s="267"/>
      <c r="BU858" s="267">
        <f t="shared" si="126"/>
        <v>0</v>
      </c>
      <c r="BV858" s="267">
        <f t="shared" si="123"/>
        <v>0</v>
      </c>
      <c r="BW858" s="267">
        <f t="shared" si="124"/>
        <v>0</v>
      </c>
      <c r="BX858" s="267">
        <f t="shared" si="125"/>
        <v>0</v>
      </c>
      <c r="BY858" s="267"/>
      <c r="BZ858" s="267"/>
      <c r="CA858" s="267"/>
      <c r="CB858" s="267"/>
      <c r="CC858" s="267"/>
      <c r="CD858" s="267"/>
      <c r="CE858" s="267"/>
      <c r="CF858" s="267"/>
      <c r="CG858" s="267"/>
      <c r="CH858" s="267"/>
      <c r="CI858" s="267"/>
      <c r="CJ858" s="267"/>
      <c r="CK858" s="267"/>
      <c r="CL858" s="267"/>
      <c r="CM858" s="267"/>
      <c r="CN858" s="101">
        <f t="shared" si="118"/>
        <v>0</v>
      </c>
      <c r="CO858" s="101">
        <f t="shared" si="119"/>
        <v>0</v>
      </c>
    </row>
    <row r="859" spans="1:93" ht="13.9" customHeight="1" x14ac:dyDescent="0.2">
      <c r="A859" s="149">
        <v>8062</v>
      </c>
      <c r="B859" s="150" t="s">
        <v>1216</v>
      </c>
      <c r="C859" s="150" t="s">
        <v>2441</v>
      </c>
      <c r="D859" s="150" t="s">
        <v>2442</v>
      </c>
      <c r="E859" s="150" t="s">
        <v>326</v>
      </c>
      <c r="F859" s="149">
        <v>527960</v>
      </c>
      <c r="G859" s="149">
        <v>172420</v>
      </c>
      <c r="H859" s="150" t="s">
        <v>174</v>
      </c>
      <c r="I859" s="151"/>
      <c r="J859" s="151"/>
      <c r="K859" s="149">
        <v>2</v>
      </c>
      <c r="L859" s="149">
        <v>3</v>
      </c>
      <c r="M859" s="149">
        <v>1</v>
      </c>
      <c r="N859" s="149">
        <v>3</v>
      </c>
      <c r="O859" s="149">
        <v>1</v>
      </c>
      <c r="P859" s="152"/>
      <c r="Q859" s="150" t="s">
        <v>2443</v>
      </c>
      <c r="R859" s="150" t="s">
        <v>349</v>
      </c>
      <c r="S859" s="151">
        <v>45204</v>
      </c>
      <c r="T859" s="151">
        <v>45310</v>
      </c>
      <c r="U859" s="152" t="s">
        <v>327</v>
      </c>
      <c r="V859" s="150" t="s">
        <v>330</v>
      </c>
      <c r="W859" s="151"/>
      <c r="X859" s="150" t="s">
        <v>331</v>
      </c>
      <c r="Y859" s="150" t="s">
        <v>332</v>
      </c>
      <c r="Z859" s="150" t="s">
        <v>334</v>
      </c>
      <c r="AA859" s="150" t="s">
        <v>32</v>
      </c>
      <c r="AB859" s="153">
        <v>1.4348E-2</v>
      </c>
      <c r="AC859" s="151"/>
      <c r="AD859" s="150"/>
      <c r="AE859" s="151"/>
      <c r="AF859" s="150" t="s">
        <v>70</v>
      </c>
      <c r="AG859" s="152" t="s">
        <v>352</v>
      </c>
      <c r="AH859" s="150" t="s">
        <v>326</v>
      </c>
      <c r="AI859" s="99"/>
      <c r="AJ859" s="149"/>
      <c r="AK859" s="99"/>
      <c r="AL859" s="149"/>
      <c r="AM859" s="99"/>
      <c r="AN859" s="149">
        <v>0</v>
      </c>
      <c r="AO859" s="149">
        <v>0</v>
      </c>
      <c r="AP859" s="149">
        <v>0</v>
      </c>
      <c r="AQ859" s="149">
        <v>1</v>
      </c>
      <c r="AR859" s="149">
        <v>0</v>
      </c>
      <c r="AS859" s="149">
        <v>0</v>
      </c>
      <c r="AT859" s="149">
        <v>0</v>
      </c>
      <c r="AU859" s="149">
        <v>0</v>
      </c>
      <c r="AV859" s="149">
        <v>0</v>
      </c>
      <c r="AW859" s="149">
        <v>0</v>
      </c>
      <c r="AX859" s="149">
        <v>1</v>
      </c>
      <c r="AY859" s="149">
        <v>0</v>
      </c>
      <c r="AZ859" s="149">
        <v>0</v>
      </c>
      <c r="BA859" s="149">
        <v>0</v>
      </c>
      <c r="BB859" s="149">
        <v>0</v>
      </c>
      <c r="BC859" s="149">
        <v>0</v>
      </c>
      <c r="BD859" s="149">
        <v>0</v>
      </c>
      <c r="BE859" s="149">
        <v>0</v>
      </c>
      <c r="BF859" s="149">
        <v>0</v>
      </c>
      <c r="BG859" s="149">
        <v>0</v>
      </c>
      <c r="BH859" s="149">
        <v>0</v>
      </c>
      <c r="BI859" s="149">
        <v>0</v>
      </c>
      <c r="BJ859" s="149">
        <v>0</v>
      </c>
      <c r="BK859" s="149">
        <v>0</v>
      </c>
      <c r="BL859" s="149">
        <v>0</v>
      </c>
      <c r="BM859" s="149">
        <v>0</v>
      </c>
      <c r="BN859" s="149">
        <v>0</v>
      </c>
      <c r="BO859" s="149">
        <v>0</v>
      </c>
      <c r="BP859" s="152"/>
      <c r="BQ859" s="152"/>
      <c r="BR859" s="154" t="s">
        <v>359</v>
      </c>
      <c r="BS859" s="136">
        <v>15</v>
      </c>
      <c r="BT859" s="267"/>
      <c r="BU859" s="267">
        <f t="shared" si="126"/>
        <v>0.25</v>
      </c>
      <c r="BV859" s="267">
        <f t="shared" si="123"/>
        <v>0.25</v>
      </c>
      <c r="BW859" s="267">
        <f t="shared" si="124"/>
        <v>0.25</v>
      </c>
      <c r="BX859" s="267">
        <f t="shared" si="125"/>
        <v>0.25</v>
      </c>
      <c r="BY859" s="267"/>
      <c r="BZ859" s="267"/>
      <c r="CA859" s="267"/>
      <c r="CB859" s="267"/>
      <c r="CC859" s="267"/>
      <c r="CD859" s="267"/>
      <c r="CE859" s="267"/>
      <c r="CF859" s="267"/>
      <c r="CG859" s="267"/>
      <c r="CH859" s="267"/>
      <c r="CI859" s="267"/>
      <c r="CJ859" s="267"/>
      <c r="CK859" s="267"/>
      <c r="CL859" s="267"/>
      <c r="CM859" s="267"/>
      <c r="CN859" s="101">
        <f t="shared" si="118"/>
        <v>1</v>
      </c>
      <c r="CO859" s="101">
        <f t="shared" si="119"/>
        <v>1</v>
      </c>
    </row>
    <row r="860" spans="1:93" ht="13.9" customHeight="1" x14ac:dyDescent="0.2">
      <c r="A860" s="149">
        <v>7978</v>
      </c>
      <c r="B860" s="150" t="s">
        <v>1216</v>
      </c>
      <c r="C860" s="150" t="s">
        <v>2444</v>
      </c>
      <c r="D860" s="150" t="s">
        <v>2445</v>
      </c>
      <c r="E860" s="150" t="s">
        <v>326</v>
      </c>
      <c r="F860" s="149">
        <v>526962</v>
      </c>
      <c r="G860" s="149">
        <v>171741</v>
      </c>
      <c r="H860" s="150" t="s">
        <v>173</v>
      </c>
      <c r="I860" s="151"/>
      <c r="J860" s="151"/>
      <c r="K860" s="149">
        <v>0</v>
      </c>
      <c r="L860" s="149">
        <v>1</v>
      </c>
      <c r="M860" s="149">
        <v>1</v>
      </c>
      <c r="N860" s="149">
        <v>1</v>
      </c>
      <c r="O860" s="149">
        <v>1</v>
      </c>
      <c r="P860" s="152"/>
      <c r="Q860" s="150" t="s">
        <v>2446</v>
      </c>
      <c r="R860" s="150" t="s">
        <v>427</v>
      </c>
      <c r="S860" s="151">
        <v>45205</v>
      </c>
      <c r="T860" s="151">
        <v>45240</v>
      </c>
      <c r="U860" s="152" t="s">
        <v>327</v>
      </c>
      <c r="V860" s="150" t="s">
        <v>330</v>
      </c>
      <c r="W860" s="151"/>
      <c r="X860" s="150" t="s">
        <v>331</v>
      </c>
      <c r="Y860" s="150" t="s">
        <v>332</v>
      </c>
      <c r="Z860" s="150" t="s">
        <v>334</v>
      </c>
      <c r="AA860" s="150" t="s">
        <v>26</v>
      </c>
      <c r="AB860" s="153">
        <v>6.2500000000000003E-3</v>
      </c>
      <c r="AC860" s="151"/>
      <c r="AD860" s="150"/>
      <c r="AE860" s="151"/>
      <c r="AF860" s="150" t="s">
        <v>70</v>
      </c>
      <c r="AG860" s="152" t="s">
        <v>337</v>
      </c>
      <c r="AH860" s="150" t="s">
        <v>326</v>
      </c>
      <c r="AI860" s="99"/>
      <c r="AJ860" s="149"/>
      <c r="AK860" s="99"/>
      <c r="AL860" s="149"/>
      <c r="AM860" s="99"/>
      <c r="AN860" s="149">
        <v>0</v>
      </c>
      <c r="AO860" s="149">
        <v>1</v>
      </c>
      <c r="AP860" s="149">
        <v>0</v>
      </c>
      <c r="AQ860" s="149">
        <v>0</v>
      </c>
      <c r="AR860" s="149">
        <v>0</v>
      </c>
      <c r="AS860" s="149">
        <v>0</v>
      </c>
      <c r="AT860" s="149">
        <v>0</v>
      </c>
      <c r="AU860" s="149">
        <v>0</v>
      </c>
      <c r="AV860" s="149">
        <v>1</v>
      </c>
      <c r="AW860" s="149">
        <v>0</v>
      </c>
      <c r="AX860" s="149">
        <v>0</v>
      </c>
      <c r="AY860" s="149">
        <v>0</v>
      </c>
      <c r="AZ860" s="149">
        <v>0</v>
      </c>
      <c r="BA860" s="149">
        <v>0</v>
      </c>
      <c r="BB860" s="149">
        <v>0</v>
      </c>
      <c r="BC860" s="149">
        <v>0</v>
      </c>
      <c r="BD860" s="149">
        <v>0</v>
      </c>
      <c r="BE860" s="149">
        <v>0</v>
      </c>
      <c r="BF860" s="149">
        <v>0</v>
      </c>
      <c r="BG860" s="149">
        <v>0</v>
      </c>
      <c r="BH860" s="149">
        <v>0</v>
      </c>
      <c r="BI860" s="149">
        <v>0</v>
      </c>
      <c r="BJ860" s="149">
        <v>0</v>
      </c>
      <c r="BK860" s="149">
        <v>0</v>
      </c>
      <c r="BL860" s="149">
        <v>0</v>
      </c>
      <c r="BM860" s="149">
        <v>0</v>
      </c>
      <c r="BN860" s="149">
        <v>0</v>
      </c>
      <c r="BO860" s="149">
        <v>0</v>
      </c>
      <c r="BP860" s="152"/>
      <c r="BQ860" s="152"/>
      <c r="BR860" s="154" t="s">
        <v>359</v>
      </c>
      <c r="BS860" s="136">
        <v>15</v>
      </c>
      <c r="BT860" s="267"/>
      <c r="BU860" s="267">
        <f t="shared" si="126"/>
        <v>0.25</v>
      </c>
      <c r="BV860" s="267">
        <f t="shared" si="123"/>
        <v>0.25</v>
      </c>
      <c r="BW860" s="267">
        <f t="shared" si="124"/>
        <v>0.25</v>
      </c>
      <c r="BX860" s="267">
        <f t="shared" si="125"/>
        <v>0.25</v>
      </c>
      <c r="BY860" s="267"/>
      <c r="BZ860" s="267"/>
      <c r="CA860" s="267"/>
      <c r="CB860" s="267"/>
      <c r="CC860" s="267"/>
      <c r="CD860" s="267"/>
      <c r="CE860" s="267"/>
      <c r="CF860" s="267"/>
      <c r="CG860" s="267"/>
      <c r="CH860" s="267"/>
      <c r="CI860" s="267"/>
      <c r="CJ860" s="267"/>
      <c r="CK860" s="267"/>
      <c r="CL860" s="267"/>
      <c r="CM860" s="267"/>
      <c r="CN860" s="101">
        <f t="shared" si="118"/>
        <v>1</v>
      </c>
      <c r="CO860" s="101">
        <f t="shared" si="119"/>
        <v>1</v>
      </c>
    </row>
    <row r="861" spans="1:93" ht="13.9" customHeight="1" x14ac:dyDescent="0.2">
      <c r="A861" s="149">
        <v>3456</v>
      </c>
      <c r="B861" s="150" t="s">
        <v>1216</v>
      </c>
      <c r="C861" s="150" t="s">
        <v>2447</v>
      </c>
      <c r="D861" s="150" t="s">
        <v>2448</v>
      </c>
      <c r="E861" s="150" t="s">
        <v>326</v>
      </c>
      <c r="F861" s="149">
        <v>527908</v>
      </c>
      <c r="G861" s="149">
        <v>171935</v>
      </c>
      <c r="H861" s="150" t="s">
        <v>172</v>
      </c>
      <c r="I861" s="151"/>
      <c r="J861" s="151"/>
      <c r="K861" s="149">
        <v>1</v>
      </c>
      <c r="L861" s="149">
        <v>0</v>
      </c>
      <c r="M861" s="149">
        <v>-1</v>
      </c>
      <c r="N861" s="149">
        <v>0</v>
      </c>
      <c r="O861" s="149">
        <v>-1</v>
      </c>
      <c r="P861" s="152"/>
      <c r="Q861" s="150" t="s">
        <v>2449</v>
      </c>
      <c r="R861" s="150" t="s">
        <v>358</v>
      </c>
      <c r="S861" s="151">
        <v>45212</v>
      </c>
      <c r="T861" s="151">
        <v>45267</v>
      </c>
      <c r="U861" s="152" t="s">
        <v>327</v>
      </c>
      <c r="V861" s="150" t="s">
        <v>330</v>
      </c>
      <c r="W861" s="151"/>
      <c r="X861" s="150" t="s">
        <v>331</v>
      </c>
      <c r="Y861" s="150" t="s">
        <v>332</v>
      </c>
      <c r="Z861" s="150" t="s">
        <v>334</v>
      </c>
      <c r="AA861" s="150" t="s">
        <v>35</v>
      </c>
      <c r="AB861" s="153">
        <v>1.2999999999999999E-2</v>
      </c>
      <c r="AC861" s="151"/>
      <c r="AD861" s="150"/>
      <c r="AE861" s="151"/>
      <c r="AF861" s="150" t="s">
        <v>70</v>
      </c>
      <c r="AG861" s="152" t="s">
        <v>352</v>
      </c>
      <c r="AH861" s="150" t="s">
        <v>326</v>
      </c>
      <c r="AI861" s="99"/>
      <c r="AJ861" s="149"/>
      <c r="AK861" s="99"/>
      <c r="AL861" s="149"/>
      <c r="AM861" s="99"/>
      <c r="AN861" s="149">
        <v>0</v>
      </c>
      <c r="AO861" s="149">
        <v>0</v>
      </c>
      <c r="AP861" s="149">
        <v>0</v>
      </c>
      <c r="AQ861" s="149">
        <v>0</v>
      </c>
      <c r="AR861" s="149">
        <v>0</v>
      </c>
      <c r="AS861" s="149">
        <v>-1</v>
      </c>
      <c r="AT861" s="149">
        <v>0</v>
      </c>
      <c r="AU861" s="149">
        <v>0</v>
      </c>
      <c r="AV861" s="149">
        <v>0</v>
      </c>
      <c r="AW861" s="149">
        <v>0</v>
      </c>
      <c r="AX861" s="149">
        <v>0</v>
      </c>
      <c r="AY861" s="149">
        <v>0</v>
      </c>
      <c r="AZ861" s="149">
        <v>0</v>
      </c>
      <c r="BA861" s="149">
        <v>0</v>
      </c>
      <c r="BB861" s="149">
        <v>0</v>
      </c>
      <c r="BC861" s="149">
        <v>0</v>
      </c>
      <c r="BD861" s="149">
        <v>0</v>
      </c>
      <c r="BE861" s="149">
        <v>0</v>
      </c>
      <c r="BF861" s="149">
        <v>0</v>
      </c>
      <c r="BG861" s="149">
        <v>-1</v>
      </c>
      <c r="BH861" s="149">
        <v>0</v>
      </c>
      <c r="BI861" s="149">
        <v>0</v>
      </c>
      <c r="BJ861" s="149">
        <v>0</v>
      </c>
      <c r="BK861" s="149">
        <v>0</v>
      </c>
      <c r="BL861" s="149">
        <v>0</v>
      </c>
      <c r="BM861" s="149">
        <v>0</v>
      </c>
      <c r="BN861" s="149">
        <v>0</v>
      </c>
      <c r="BO861" s="149">
        <v>0</v>
      </c>
      <c r="BP861" s="152"/>
      <c r="BQ861" s="152"/>
      <c r="BR861" s="154" t="s">
        <v>359</v>
      </c>
      <c r="BS861" s="136">
        <v>15</v>
      </c>
      <c r="BT861" s="267"/>
      <c r="BU861" s="267">
        <f t="shared" si="126"/>
        <v>-0.25</v>
      </c>
      <c r="BV861" s="267">
        <f t="shared" si="123"/>
        <v>-0.25</v>
      </c>
      <c r="BW861" s="267">
        <f t="shared" si="124"/>
        <v>-0.25</v>
      </c>
      <c r="BX861" s="267">
        <f t="shared" si="125"/>
        <v>-0.25</v>
      </c>
      <c r="BY861" s="267"/>
      <c r="BZ861" s="267"/>
      <c r="CA861" s="267"/>
      <c r="CB861" s="267"/>
      <c r="CC861" s="267"/>
      <c r="CD861" s="267"/>
      <c r="CE861" s="267"/>
      <c r="CF861" s="267"/>
      <c r="CG861" s="267"/>
      <c r="CH861" s="267"/>
      <c r="CI861" s="267"/>
      <c r="CJ861" s="267"/>
      <c r="CK861" s="267"/>
      <c r="CL861" s="267"/>
      <c r="CM861" s="267"/>
      <c r="CN861" s="101">
        <f t="shared" si="118"/>
        <v>-1</v>
      </c>
      <c r="CO861" s="101">
        <f t="shared" si="119"/>
        <v>-1</v>
      </c>
    </row>
    <row r="862" spans="1:93" ht="13.9" customHeight="1" x14ac:dyDescent="0.2">
      <c r="A862" s="149">
        <v>7711</v>
      </c>
      <c r="B862" s="150" t="s">
        <v>1216</v>
      </c>
      <c r="C862" s="150" t="s">
        <v>2450</v>
      </c>
      <c r="D862" s="150" t="s">
        <v>2451</v>
      </c>
      <c r="E862" s="150" t="s">
        <v>326</v>
      </c>
      <c r="F862" s="149">
        <v>523281</v>
      </c>
      <c r="G862" s="149">
        <v>175733</v>
      </c>
      <c r="H862" s="150" t="s">
        <v>171</v>
      </c>
      <c r="I862" s="151">
        <v>45350</v>
      </c>
      <c r="J862" s="151"/>
      <c r="K862" s="149">
        <v>0</v>
      </c>
      <c r="L862" s="149">
        <v>8</v>
      </c>
      <c r="M862" s="149">
        <v>8</v>
      </c>
      <c r="N862" s="149">
        <v>8</v>
      </c>
      <c r="O862" s="149">
        <v>8</v>
      </c>
      <c r="P862" s="152"/>
      <c r="Q862" s="150" t="s">
        <v>2452</v>
      </c>
      <c r="R862" s="150" t="s">
        <v>381</v>
      </c>
      <c r="S862" s="151">
        <v>44901</v>
      </c>
      <c r="T862" s="151">
        <v>44992</v>
      </c>
      <c r="U862" s="152"/>
      <c r="V862" s="150" t="s">
        <v>330</v>
      </c>
      <c r="W862" s="151"/>
      <c r="X862" s="150" t="s">
        <v>331</v>
      </c>
      <c r="Y862" s="150" t="s">
        <v>343</v>
      </c>
      <c r="Z862" s="150" t="s">
        <v>334</v>
      </c>
      <c r="AA862" s="150" t="s">
        <v>363</v>
      </c>
      <c r="AB862" s="153">
        <v>1.4375000000000001E-2</v>
      </c>
      <c r="AC862" s="151"/>
      <c r="AD862" s="150"/>
      <c r="AE862" s="151"/>
      <c r="AF862" s="150" t="s">
        <v>49</v>
      </c>
      <c r="AG862" s="152" t="s">
        <v>481</v>
      </c>
      <c r="AH862" s="150" t="s">
        <v>326</v>
      </c>
      <c r="AI862" s="99"/>
      <c r="AJ862" s="149"/>
      <c r="AK862" s="138">
        <v>6</v>
      </c>
      <c r="AL862" s="149"/>
      <c r="AM862" s="138">
        <v>2</v>
      </c>
      <c r="AN862" s="149">
        <v>0</v>
      </c>
      <c r="AO862" s="149">
        <v>3</v>
      </c>
      <c r="AP862" s="149">
        <v>2</v>
      </c>
      <c r="AQ862" s="149">
        <v>3</v>
      </c>
      <c r="AR862" s="149">
        <v>0</v>
      </c>
      <c r="AS862" s="149">
        <v>0</v>
      </c>
      <c r="AT862" s="149">
        <v>0</v>
      </c>
      <c r="AU862" s="149">
        <v>0</v>
      </c>
      <c r="AV862" s="149">
        <v>3</v>
      </c>
      <c r="AW862" s="149">
        <v>2</v>
      </c>
      <c r="AX862" s="149">
        <v>3</v>
      </c>
      <c r="AY862" s="149">
        <v>0</v>
      </c>
      <c r="AZ862" s="149">
        <v>0</v>
      </c>
      <c r="BA862" s="149">
        <v>0</v>
      </c>
      <c r="BB862" s="149">
        <v>0</v>
      </c>
      <c r="BC862" s="149">
        <v>0</v>
      </c>
      <c r="BD862" s="149">
        <v>0</v>
      </c>
      <c r="BE862" s="149">
        <v>0</v>
      </c>
      <c r="BF862" s="149">
        <v>0</v>
      </c>
      <c r="BG862" s="149">
        <v>0</v>
      </c>
      <c r="BH862" s="149">
        <v>0</v>
      </c>
      <c r="BI862" s="149">
        <v>0</v>
      </c>
      <c r="BJ862" s="149">
        <v>0</v>
      </c>
      <c r="BK862" s="149">
        <v>0</v>
      </c>
      <c r="BL862" s="149">
        <v>0</v>
      </c>
      <c r="BM862" s="149">
        <v>0</v>
      </c>
      <c r="BN862" s="149">
        <v>0</v>
      </c>
      <c r="BO862" s="149">
        <v>0</v>
      </c>
      <c r="BP862" s="152"/>
      <c r="BQ862" s="152"/>
      <c r="BR862" s="154" t="s">
        <v>359</v>
      </c>
      <c r="BS862" s="136">
        <v>8</v>
      </c>
      <c r="BT862" s="267"/>
      <c r="BU862" s="267"/>
      <c r="BV862" s="267">
        <f>M862</f>
        <v>8</v>
      </c>
      <c r="BW862" s="267"/>
      <c r="BX862" s="267"/>
      <c r="BY862" s="267"/>
      <c r="BZ862" s="267"/>
      <c r="CA862" s="267"/>
      <c r="CB862" s="267"/>
      <c r="CC862" s="267"/>
      <c r="CD862" s="267"/>
      <c r="CE862" s="267"/>
      <c r="CF862" s="267"/>
      <c r="CG862" s="267"/>
      <c r="CH862" s="267"/>
      <c r="CI862" s="267"/>
      <c r="CJ862" s="267"/>
      <c r="CK862" s="267"/>
      <c r="CL862" s="267"/>
      <c r="CM862" s="267"/>
      <c r="CN862" s="101">
        <f t="shared" si="118"/>
        <v>8</v>
      </c>
      <c r="CO862" s="101">
        <f t="shared" si="119"/>
        <v>8</v>
      </c>
    </row>
    <row r="863" spans="1:93" ht="13.9" customHeight="1" x14ac:dyDescent="0.2">
      <c r="A863" s="149">
        <v>7779</v>
      </c>
      <c r="B863" s="150" t="s">
        <v>1216</v>
      </c>
      <c r="C863" s="150" t="s">
        <v>2453</v>
      </c>
      <c r="D863" s="150" t="s">
        <v>2454</v>
      </c>
      <c r="E863" s="150" t="s">
        <v>326</v>
      </c>
      <c r="F863" s="149">
        <v>529455</v>
      </c>
      <c r="G863" s="149">
        <v>171646</v>
      </c>
      <c r="H863" s="150" t="s">
        <v>163</v>
      </c>
      <c r="I863" s="151"/>
      <c r="J863" s="151"/>
      <c r="K863" s="149">
        <v>0</v>
      </c>
      <c r="L863" s="149">
        <v>34</v>
      </c>
      <c r="M863" s="149">
        <v>34</v>
      </c>
      <c r="N863" s="149">
        <v>34</v>
      </c>
      <c r="O863" s="149">
        <v>34</v>
      </c>
      <c r="P863" s="152" t="s">
        <v>327</v>
      </c>
      <c r="Q863" s="150" t="s">
        <v>2455</v>
      </c>
      <c r="R863" s="150" t="s">
        <v>329</v>
      </c>
      <c r="S863" s="151">
        <v>44281</v>
      </c>
      <c r="T863" s="151">
        <v>44565</v>
      </c>
      <c r="U863" s="152"/>
      <c r="V863" s="150" t="s">
        <v>330</v>
      </c>
      <c r="W863" s="151"/>
      <c r="X863" s="150" t="s">
        <v>331</v>
      </c>
      <c r="Y863" s="150" t="s">
        <v>343</v>
      </c>
      <c r="Z863" s="150" t="s">
        <v>343</v>
      </c>
      <c r="AA863" s="150" t="s">
        <v>334</v>
      </c>
      <c r="AB863" s="153">
        <v>5.2999999999999999E-2</v>
      </c>
      <c r="AC863" s="151"/>
      <c r="AD863" s="150"/>
      <c r="AE863" s="151"/>
      <c r="AF863" s="150" t="s">
        <v>49</v>
      </c>
      <c r="AG863" s="152" t="s">
        <v>481</v>
      </c>
      <c r="AH863" s="150" t="s">
        <v>326</v>
      </c>
      <c r="AI863" s="99"/>
      <c r="AJ863" s="149"/>
      <c r="AK863" s="99"/>
      <c r="AL863" s="149"/>
      <c r="AM863" s="99"/>
      <c r="AN863" s="149">
        <v>0</v>
      </c>
      <c r="AO863" s="149">
        <v>14</v>
      </c>
      <c r="AP863" s="149">
        <v>16</v>
      </c>
      <c r="AQ863" s="149">
        <v>4</v>
      </c>
      <c r="AR863" s="149">
        <v>0</v>
      </c>
      <c r="AS863" s="149">
        <v>0</v>
      </c>
      <c r="AT863" s="149">
        <v>0</v>
      </c>
      <c r="AU863" s="149">
        <v>0</v>
      </c>
      <c r="AV863" s="149">
        <v>14</v>
      </c>
      <c r="AW863" s="149">
        <v>16</v>
      </c>
      <c r="AX863" s="149">
        <v>0</v>
      </c>
      <c r="AY863" s="149">
        <v>0</v>
      </c>
      <c r="AZ863" s="149">
        <v>0</v>
      </c>
      <c r="BA863" s="149">
        <v>0</v>
      </c>
      <c r="BB863" s="149">
        <v>0</v>
      </c>
      <c r="BC863" s="149">
        <v>0</v>
      </c>
      <c r="BD863" s="149">
        <v>0</v>
      </c>
      <c r="BE863" s="149">
        <v>4</v>
      </c>
      <c r="BF863" s="149">
        <v>0</v>
      </c>
      <c r="BG863" s="149">
        <v>0</v>
      </c>
      <c r="BH863" s="149">
        <v>0</v>
      </c>
      <c r="BI863" s="149">
        <v>0</v>
      </c>
      <c r="BJ863" s="149">
        <v>0</v>
      </c>
      <c r="BK863" s="149">
        <v>0</v>
      </c>
      <c r="BL863" s="149">
        <v>0</v>
      </c>
      <c r="BM863" s="149">
        <v>0</v>
      </c>
      <c r="BN863" s="149">
        <v>0</v>
      </c>
      <c r="BO863" s="149">
        <v>0</v>
      </c>
      <c r="BP863" s="152"/>
      <c r="BQ863" s="152"/>
      <c r="BR863" s="154" t="s">
        <v>359</v>
      </c>
      <c r="BS863" s="136">
        <v>8</v>
      </c>
      <c r="BT863" s="267"/>
      <c r="BU863" s="267"/>
      <c r="BV863" s="267"/>
      <c r="BW863" s="267"/>
      <c r="BX863" s="267">
        <f>M863</f>
        <v>34</v>
      </c>
      <c r="BY863" s="267"/>
      <c r="BZ863" s="267"/>
      <c r="CA863" s="267"/>
      <c r="CB863" s="267"/>
      <c r="CC863" s="267"/>
      <c r="CD863" s="267"/>
      <c r="CE863" s="267"/>
      <c r="CF863" s="267"/>
      <c r="CG863" s="267"/>
      <c r="CH863" s="267"/>
      <c r="CI863" s="267"/>
      <c r="CJ863" s="267"/>
      <c r="CK863" s="267"/>
      <c r="CL863" s="267"/>
      <c r="CM863" s="267"/>
      <c r="CN863" s="101">
        <f t="shared" si="118"/>
        <v>34</v>
      </c>
      <c r="CO863" s="101">
        <f t="shared" si="119"/>
        <v>34</v>
      </c>
    </row>
    <row r="864" spans="1:93" ht="13.9" customHeight="1" x14ac:dyDescent="0.2">
      <c r="A864" s="149">
        <v>7835</v>
      </c>
      <c r="B864" s="150" t="s">
        <v>1216</v>
      </c>
      <c r="C864" s="150" t="s">
        <v>2456</v>
      </c>
      <c r="D864" s="150" t="s">
        <v>2457</v>
      </c>
      <c r="E864" s="150" t="s">
        <v>183</v>
      </c>
      <c r="F864" s="149">
        <v>528255</v>
      </c>
      <c r="G864" s="149">
        <v>172659</v>
      </c>
      <c r="H864" s="150" t="s">
        <v>168</v>
      </c>
      <c r="I864" s="151"/>
      <c r="J864" s="151"/>
      <c r="K864" s="149">
        <v>0</v>
      </c>
      <c r="L864" s="149">
        <v>37</v>
      </c>
      <c r="M864" s="149">
        <v>37</v>
      </c>
      <c r="N864" s="149">
        <v>42</v>
      </c>
      <c r="O864" s="149">
        <v>42</v>
      </c>
      <c r="P864" s="152" t="s">
        <v>327</v>
      </c>
      <c r="Q864" s="150" t="s">
        <v>2458</v>
      </c>
      <c r="R864" s="150" t="s">
        <v>329</v>
      </c>
      <c r="S864" s="151">
        <v>44676</v>
      </c>
      <c r="T864" s="151">
        <v>44993</v>
      </c>
      <c r="U864" s="152"/>
      <c r="V864" s="150" t="s">
        <v>330</v>
      </c>
      <c r="W864" s="151"/>
      <c r="X864" s="150" t="s">
        <v>331</v>
      </c>
      <c r="Y864" s="150" t="s">
        <v>343</v>
      </c>
      <c r="Z864" s="150" t="s">
        <v>343</v>
      </c>
      <c r="AA864" s="150" t="s">
        <v>334</v>
      </c>
      <c r="AB864" s="153">
        <v>0.34520000000000001</v>
      </c>
      <c r="AC864" s="151"/>
      <c r="AD864" s="150"/>
      <c r="AE864" s="151"/>
      <c r="AF864" s="150" t="s">
        <v>70</v>
      </c>
      <c r="AG864" s="152" t="s">
        <v>352</v>
      </c>
      <c r="AH864" s="150" t="s">
        <v>326</v>
      </c>
      <c r="AI864" s="99"/>
      <c r="AJ864" s="149"/>
      <c r="AK864" s="99"/>
      <c r="AL864" s="149"/>
      <c r="AM864" s="99"/>
      <c r="AN864" s="149">
        <v>1</v>
      </c>
      <c r="AO864" s="149">
        <v>18</v>
      </c>
      <c r="AP864" s="149">
        <v>14</v>
      </c>
      <c r="AQ864" s="149">
        <v>4</v>
      </c>
      <c r="AR864" s="149">
        <v>0</v>
      </c>
      <c r="AS864" s="149">
        <v>0</v>
      </c>
      <c r="AT864" s="149">
        <v>0</v>
      </c>
      <c r="AU864" s="149">
        <v>1</v>
      </c>
      <c r="AV864" s="149">
        <v>18</v>
      </c>
      <c r="AW864" s="149">
        <v>14</v>
      </c>
      <c r="AX864" s="149">
        <v>4</v>
      </c>
      <c r="AY864" s="149">
        <v>0</v>
      </c>
      <c r="AZ864" s="149">
        <v>0</v>
      </c>
      <c r="BA864" s="149">
        <v>0</v>
      </c>
      <c r="BB864" s="149">
        <v>0</v>
      </c>
      <c r="BC864" s="149">
        <v>0</v>
      </c>
      <c r="BD864" s="149">
        <v>0</v>
      </c>
      <c r="BE864" s="149">
        <v>0</v>
      </c>
      <c r="BF864" s="149">
        <v>0</v>
      </c>
      <c r="BG864" s="149">
        <v>0</v>
      </c>
      <c r="BH864" s="149">
        <v>0</v>
      </c>
      <c r="BI864" s="149">
        <v>0</v>
      </c>
      <c r="BJ864" s="149">
        <v>0</v>
      </c>
      <c r="BK864" s="149">
        <v>0</v>
      </c>
      <c r="BL864" s="149">
        <v>0</v>
      </c>
      <c r="BM864" s="149">
        <v>0</v>
      </c>
      <c r="BN864" s="149">
        <v>0</v>
      </c>
      <c r="BO864" s="149">
        <v>0</v>
      </c>
      <c r="BP864" s="152"/>
      <c r="BQ864" s="152"/>
      <c r="BR864" s="154" t="s">
        <v>359</v>
      </c>
      <c r="BS864" s="136">
        <v>8</v>
      </c>
      <c r="BT864" s="267"/>
      <c r="BU864" s="267"/>
      <c r="BV864" s="267"/>
      <c r="BW864" s="267"/>
      <c r="BX864" s="267">
        <f>M864</f>
        <v>37</v>
      </c>
      <c r="BY864" s="267"/>
      <c r="BZ864" s="267"/>
      <c r="CA864" s="267"/>
      <c r="CB864" s="267"/>
      <c r="CC864" s="267"/>
      <c r="CD864" s="267"/>
      <c r="CE864" s="267"/>
      <c r="CF864" s="267"/>
      <c r="CG864" s="267"/>
      <c r="CH864" s="267"/>
      <c r="CI864" s="267"/>
      <c r="CJ864" s="267"/>
      <c r="CK864" s="267"/>
      <c r="CL864" s="267"/>
      <c r="CM864" s="267"/>
      <c r="CN864" s="101">
        <f t="shared" si="118"/>
        <v>37</v>
      </c>
      <c r="CO864" s="101">
        <f t="shared" si="119"/>
        <v>37</v>
      </c>
    </row>
    <row r="865" spans="1:93" ht="13.9" customHeight="1" x14ac:dyDescent="0.2">
      <c r="A865" s="149">
        <v>7835</v>
      </c>
      <c r="B865" s="150" t="s">
        <v>1216</v>
      </c>
      <c r="C865" s="150" t="s">
        <v>2456</v>
      </c>
      <c r="D865" s="150" t="s">
        <v>2457</v>
      </c>
      <c r="E865" s="150" t="s">
        <v>2459</v>
      </c>
      <c r="F865" s="149">
        <v>528255</v>
      </c>
      <c r="G865" s="149">
        <v>172659</v>
      </c>
      <c r="H865" s="150" t="s">
        <v>168</v>
      </c>
      <c r="I865" s="151"/>
      <c r="J865" s="151"/>
      <c r="K865" s="149">
        <v>0</v>
      </c>
      <c r="L865" s="149">
        <v>5</v>
      </c>
      <c r="M865" s="149">
        <v>5</v>
      </c>
      <c r="N865" s="149">
        <v>42</v>
      </c>
      <c r="O865" s="149">
        <v>42</v>
      </c>
      <c r="P865" s="152" t="s">
        <v>327</v>
      </c>
      <c r="Q865" s="150" t="s">
        <v>2458</v>
      </c>
      <c r="R865" s="150" t="s">
        <v>329</v>
      </c>
      <c r="S865" s="151">
        <v>44676</v>
      </c>
      <c r="T865" s="151">
        <v>44993</v>
      </c>
      <c r="U865" s="152"/>
      <c r="V865" s="150" t="s">
        <v>330</v>
      </c>
      <c r="W865" s="151"/>
      <c r="X865" s="150" t="s">
        <v>331</v>
      </c>
      <c r="Y865" s="150" t="s">
        <v>343</v>
      </c>
      <c r="Z865" s="150" t="s">
        <v>343</v>
      </c>
      <c r="AA865" s="150" t="s">
        <v>334</v>
      </c>
      <c r="AB865" s="153">
        <v>4.6600000000000003E-2</v>
      </c>
      <c r="AC865" s="151"/>
      <c r="AD865" s="150"/>
      <c r="AE865" s="151"/>
      <c r="AF865" s="150" t="s">
        <v>49</v>
      </c>
      <c r="AG865" s="152" t="s">
        <v>481</v>
      </c>
      <c r="AH865" s="150" t="s">
        <v>326</v>
      </c>
      <c r="AI865" s="99"/>
      <c r="AJ865" s="149"/>
      <c r="AK865" s="99"/>
      <c r="AL865" s="149"/>
      <c r="AM865" s="99"/>
      <c r="AN865" s="149">
        <v>0</v>
      </c>
      <c r="AO865" s="149">
        <v>0</v>
      </c>
      <c r="AP865" s="149">
        <v>0</v>
      </c>
      <c r="AQ865" s="149">
        <v>5</v>
      </c>
      <c r="AR865" s="149">
        <v>0</v>
      </c>
      <c r="AS865" s="149">
        <v>0</v>
      </c>
      <c r="AT865" s="149">
        <v>0</v>
      </c>
      <c r="AU865" s="149">
        <v>0</v>
      </c>
      <c r="AV865" s="149">
        <v>0</v>
      </c>
      <c r="AW865" s="149">
        <v>0</v>
      </c>
      <c r="AX865" s="149">
        <v>5</v>
      </c>
      <c r="AY865" s="149">
        <v>0</v>
      </c>
      <c r="AZ865" s="149">
        <v>0</v>
      </c>
      <c r="BA865" s="149">
        <v>0</v>
      </c>
      <c r="BB865" s="149">
        <v>0</v>
      </c>
      <c r="BC865" s="149">
        <v>0</v>
      </c>
      <c r="BD865" s="149">
        <v>0</v>
      </c>
      <c r="BE865" s="149">
        <v>0</v>
      </c>
      <c r="BF865" s="149">
        <v>0</v>
      </c>
      <c r="BG865" s="149">
        <v>0</v>
      </c>
      <c r="BH865" s="149">
        <v>0</v>
      </c>
      <c r="BI865" s="149">
        <v>0</v>
      </c>
      <c r="BJ865" s="149">
        <v>0</v>
      </c>
      <c r="BK865" s="149">
        <v>0</v>
      </c>
      <c r="BL865" s="149">
        <v>0</v>
      </c>
      <c r="BM865" s="149">
        <v>0</v>
      </c>
      <c r="BN865" s="149">
        <v>0</v>
      </c>
      <c r="BO865" s="149">
        <v>0</v>
      </c>
      <c r="BP865" s="152"/>
      <c r="BQ865" s="152"/>
      <c r="BR865" s="154" t="s">
        <v>359</v>
      </c>
      <c r="BS865" s="136">
        <v>8</v>
      </c>
      <c r="BT865" s="267"/>
      <c r="BU865" s="267"/>
      <c r="BV865" s="267"/>
      <c r="BW865" s="267"/>
      <c r="BX865" s="267">
        <f>M865</f>
        <v>5</v>
      </c>
      <c r="BY865" s="267"/>
      <c r="BZ865" s="267"/>
      <c r="CA865" s="267"/>
      <c r="CB865" s="267"/>
      <c r="CC865" s="267"/>
      <c r="CD865" s="267"/>
      <c r="CE865" s="267"/>
      <c r="CF865" s="267"/>
      <c r="CG865" s="267"/>
      <c r="CH865" s="267"/>
      <c r="CI865" s="267"/>
      <c r="CJ865" s="267"/>
      <c r="CK865" s="267"/>
      <c r="CL865" s="267"/>
      <c r="CM865" s="267"/>
      <c r="CN865" s="101">
        <f t="shared" si="118"/>
        <v>5</v>
      </c>
      <c r="CO865" s="101">
        <f t="shared" si="119"/>
        <v>5</v>
      </c>
    </row>
    <row r="866" spans="1:93" ht="13.9" customHeight="1" x14ac:dyDescent="0.2">
      <c r="A866" s="149">
        <v>8007</v>
      </c>
      <c r="B866" s="150" t="s">
        <v>1216</v>
      </c>
      <c r="C866" s="150" t="s">
        <v>2460</v>
      </c>
      <c r="D866" s="150" t="s">
        <v>2461</v>
      </c>
      <c r="E866" s="150" t="s">
        <v>326</v>
      </c>
      <c r="F866" s="149">
        <v>522475</v>
      </c>
      <c r="G866" s="149">
        <v>173430</v>
      </c>
      <c r="H866" s="150" t="s">
        <v>166</v>
      </c>
      <c r="I866" s="151"/>
      <c r="J866" s="151"/>
      <c r="K866" s="149">
        <v>0</v>
      </c>
      <c r="L866" s="149">
        <v>8</v>
      </c>
      <c r="M866" s="149">
        <v>8</v>
      </c>
      <c r="N866" s="149">
        <v>8</v>
      </c>
      <c r="O866" s="149">
        <v>8</v>
      </c>
      <c r="P866" s="152"/>
      <c r="Q866" s="150" t="s">
        <v>2462</v>
      </c>
      <c r="R866" s="150" t="s">
        <v>349</v>
      </c>
      <c r="S866" s="151">
        <v>45131</v>
      </c>
      <c r="T866" s="151">
        <v>45225</v>
      </c>
      <c r="U866" s="152" t="s">
        <v>327</v>
      </c>
      <c r="V866" s="150" t="s">
        <v>330</v>
      </c>
      <c r="W866" s="151"/>
      <c r="X866" s="150" t="s">
        <v>331</v>
      </c>
      <c r="Y866" s="150" t="s">
        <v>343</v>
      </c>
      <c r="Z866" s="150" t="s">
        <v>334</v>
      </c>
      <c r="AA866" s="150" t="s">
        <v>363</v>
      </c>
      <c r="AB866" s="153">
        <v>2.5340000000000001E-2</v>
      </c>
      <c r="AC866" s="151"/>
      <c r="AD866" s="150"/>
      <c r="AE866" s="151"/>
      <c r="AF866" s="150" t="s">
        <v>49</v>
      </c>
      <c r="AG866" s="152" t="s">
        <v>383</v>
      </c>
      <c r="AH866" s="150" t="s">
        <v>326</v>
      </c>
      <c r="AI866" s="99"/>
      <c r="AJ866" s="149"/>
      <c r="AK866" s="99"/>
      <c r="AL866" s="149"/>
      <c r="AM866" s="99"/>
      <c r="AN866" s="149">
        <v>0</v>
      </c>
      <c r="AO866" s="149">
        <v>8</v>
      </c>
      <c r="AP866" s="149">
        <v>0</v>
      </c>
      <c r="AQ866" s="149">
        <v>0</v>
      </c>
      <c r="AR866" s="149">
        <v>0</v>
      </c>
      <c r="AS866" s="149">
        <v>0</v>
      </c>
      <c r="AT866" s="149">
        <v>0</v>
      </c>
      <c r="AU866" s="149">
        <v>0</v>
      </c>
      <c r="AV866" s="149">
        <v>8</v>
      </c>
      <c r="AW866" s="149">
        <v>0</v>
      </c>
      <c r="AX866" s="149">
        <v>0</v>
      </c>
      <c r="AY866" s="149">
        <v>0</v>
      </c>
      <c r="AZ866" s="149">
        <v>0</v>
      </c>
      <c r="BA866" s="149">
        <v>0</v>
      </c>
      <c r="BB866" s="149">
        <v>0</v>
      </c>
      <c r="BC866" s="149">
        <v>0</v>
      </c>
      <c r="BD866" s="149">
        <v>0</v>
      </c>
      <c r="BE866" s="149">
        <v>0</v>
      </c>
      <c r="BF866" s="149">
        <v>0</v>
      </c>
      <c r="BG866" s="149">
        <v>0</v>
      </c>
      <c r="BH866" s="149">
        <v>0</v>
      </c>
      <c r="BI866" s="149">
        <v>0</v>
      </c>
      <c r="BJ866" s="149">
        <v>0</v>
      </c>
      <c r="BK866" s="149">
        <v>0</v>
      </c>
      <c r="BL866" s="149">
        <v>0</v>
      </c>
      <c r="BM866" s="149">
        <v>0</v>
      </c>
      <c r="BN866" s="149">
        <v>0</v>
      </c>
      <c r="BO866" s="149">
        <v>0</v>
      </c>
      <c r="BP866" s="152"/>
      <c r="BQ866" s="152"/>
      <c r="BR866" s="154" t="s">
        <v>359</v>
      </c>
      <c r="BS866" s="136">
        <v>8</v>
      </c>
      <c r="BT866" s="267"/>
      <c r="BU866" s="267"/>
      <c r="BV866" s="267"/>
      <c r="BW866" s="267">
        <f>M866</f>
        <v>8</v>
      </c>
      <c r="BX866" s="267"/>
      <c r="BY866" s="267"/>
      <c r="BZ866" s="267"/>
      <c r="CA866" s="267"/>
      <c r="CB866" s="267"/>
      <c r="CC866" s="267"/>
      <c r="CD866" s="267"/>
      <c r="CE866" s="267"/>
      <c r="CF866" s="267"/>
      <c r="CG866" s="267"/>
      <c r="CH866" s="267"/>
      <c r="CI866" s="267"/>
      <c r="CJ866" s="267"/>
      <c r="CK866" s="267"/>
      <c r="CL866" s="267"/>
      <c r="CM866" s="267"/>
      <c r="CN866" s="101">
        <f t="shared" si="118"/>
        <v>8</v>
      </c>
      <c r="CO866" s="101">
        <f t="shared" si="119"/>
        <v>8</v>
      </c>
    </row>
    <row r="867" spans="1:93" ht="13.9" customHeight="1" x14ac:dyDescent="0.2">
      <c r="A867" s="149">
        <v>2710</v>
      </c>
      <c r="B867" s="150" t="s">
        <v>1216</v>
      </c>
      <c r="C867" s="150" t="s">
        <v>2463</v>
      </c>
      <c r="D867" s="150" t="s">
        <v>2464</v>
      </c>
      <c r="E867" s="150" t="s">
        <v>326</v>
      </c>
      <c r="F867" s="149">
        <v>527620</v>
      </c>
      <c r="G867" s="149">
        <v>171253</v>
      </c>
      <c r="H867" s="150" t="s">
        <v>173</v>
      </c>
      <c r="I867" s="151"/>
      <c r="J867" s="151"/>
      <c r="K867" s="149">
        <v>0</v>
      </c>
      <c r="L867" s="149">
        <v>2</v>
      </c>
      <c r="M867" s="149">
        <v>2</v>
      </c>
      <c r="N867" s="149">
        <v>2</v>
      </c>
      <c r="O867" s="149">
        <v>2</v>
      </c>
      <c r="P867" s="152"/>
      <c r="Q867" s="150" t="s">
        <v>2465</v>
      </c>
      <c r="R867" s="150" t="s">
        <v>349</v>
      </c>
      <c r="S867" s="151">
        <v>45246</v>
      </c>
      <c r="T867" s="151">
        <v>45379</v>
      </c>
      <c r="U867" s="152" t="s">
        <v>327</v>
      </c>
      <c r="V867" s="150" t="s">
        <v>330</v>
      </c>
      <c r="W867" s="151"/>
      <c r="X867" s="150" t="s">
        <v>331</v>
      </c>
      <c r="Y867" s="150" t="s">
        <v>332</v>
      </c>
      <c r="Z867" s="150" t="s">
        <v>334</v>
      </c>
      <c r="AA867" s="150" t="s">
        <v>29</v>
      </c>
      <c r="AB867" s="153">
        <v>0</v>
      </c>
      <c r="AC867" s="151"/>
      <c r="AD867" s="150"/>
      <c r="AE867" s="151"/>
      <c r="AF867" s="150" t="s">
        <v>70</v>
      </c>
      <c r="AG867" s="152" t="s">
        <v>352</v>
      </c>
      <c r="AH867" s="150" t="s">
        <v>326</v>
      </c>
      <c r="AI867" s="99"/>
      <c r="AJ867" s="149"/>
      <c r="AK867" s="102"/>
      <c r="AL867" s="149"/>
      <c r="AM867" s="99"/>
      <c r="AN867" s="149">
        <v>0</v>
      </c>
      <c r="AO867" s="149">
        <v>0</v>
      </c>
      <c r="AP867" s="149">
        <v>1</v>
      </c>
      <c r="AQ867" s="149">
        <v>1</v>
      </c>
      <c r="AR867" s="149">
        <v>0</v>
      </c>
      <c r="AS867" s="149">
        <v>0</v>
      </c>
      <c r="AT867" s="149">
        <v>0</v>
      </c>
      <c r="AU867" s="149">
        <v>0</v>
      </c>
      <c r="AV867" s="149">
        <v>0</v>
      </c>
      <c r="AW867" s="149">
        <v>1</v>
      </c>
      <c r="AX867" s="149">
        <v>1</v>
      </c>
      <c r="AY867" s="149">
        <v>0</v>
      </c>
      <c r="AZ867" s="149">
        <v>0</v>
      </c>
      <c r="BA867" s="149">
        <v>0</v>
      </c>
      <c r="BB867" s="149">
        <v>0</v>
      </c>
      <c r="BC867" s="149">
        <v>0</v>
      </c>
      <c r="BD867" s="149">
        <v>0</v>
      </c>
      <c r="BE867" s="149">
        <v>0</v>
      </c>
      <c r="BF867" s="149">
        <v>0</v>
      </c>
      <c r="BG867" s="149">
        <v>0</v>
      </c>
      <c r="BH867" s="149">
        <v>0</v>
      </c>
      <c r="BI867" s="149">
        <v>0</v>
      </c>
      <c r="BJ867" s="149">
        <v>0</v>
      </c>
      <c r="BK867" s="149">
        <v>0</v>
      </c>
      <c r="BL867" s="149">
        <v>0</v>
      </c>
      <c r="BM867" s="149">
        <v>0</v>
      </c>
      <c r="BN867" s="149">
        <v>0</v>
      </c>
      <c r="BO867" s="149">
        <v>0</v>
      </c>
      <c r="BP867" s="152" t="s">
        <v>142</v>
      </c>
      <c r="BQ867" s="152"/>
      <c r="BR867" s="154" t="s">
        <v>142</v>
      </c>
      <c r="BS867" s="136">
        <v>15</v>
      </c>
      <c r="BT867" s="267"/>
      <c r="BU867" s="267">
        <f>M867/4</f>
        <v>0.5</v>
      </c>
      <c r="BV867" s="267">
        <f>M867/4</f>
        <v>0.5</v>
      </c>
      <c r="BW867" s="267">
        <f>M867/4</f>
        <v>0.5</v>
      </c>
      <c r="BX867" s="267">
        <f>M867/4</f>
        <v>0.5</v>
      </c>
      <c r="BY867" s="267"/>
      <c r="BZ867" s="267"/>
      <c r="CA867" s="267"/>
      <c r="CB867" s="267"/>
      <c r="CC867" s="267"/>
      <c r="CD867" s="267"/>
      <c r="CE867" s="267"/>
      <c r="CF867" s="267"/>
      <c r="CG867" s="267"/>
      <c r="CH867" s="267"/>
      <c r="CI867" s="267"/>
      <c r="CJ867" s="267"/>
      <c r="CK867" s="267"/>
      <c r="CL867" s="267"/>
      <c r="CM867" s="267"/>
      <c r="CN867" s="101">
        <f t="shared" si="118"/>
        <v>2</v>
      </c>
      <c r="CO867" s="101">
        <f t="shared" si="119"/>
        <v>2</v>
      </c>
    </row>
    <row r="868" spans="1:93" ht="13.9" customHeight="1" x14ac:dyDescent="0.2">
      <c r="A868" s="149">
        <v>2530</v>
      </c>
      <c r="B868" s="150" t="s">
        <v>1216</v>
      </c>
      <c r="C868" s="150" t="s">
        <v>2466</v>
      </c>
      <c r="D868" s="150" t="s">
        <v>1459</v>
      </c>
      <c r="E868" s="150" t="s">
        <v>326</v>
      </c>
      <c r="F868" s="149">
        <v>527684</v>
      </c>
      <c r="G868" s="149">
        <v>171814</v>
      </c>
      <c r="H868" s="150" t="s">
        <v>172</v>
      </c>
      <c r="I868" s="151"/>
      <c r="J868" s="151"/>
      <c r="K868" s="149">
        <v>0</v>
      </c>
      <c r="L868" s="149">
        <v>2</v>
      </c>
      <c r="M868" s="149">
        <v>2</v>
      </c>
      <c r="N868" s="149">
        <v>2</v>
      </c>
      <c r="O868" s="149">
        <v>2</v>
      </c>
      <c r="P868" s="152"/>
      <c r="Q868" s="150" t="s">
        <v>2467</v>
      </c>
      <c r="R868" s="150" t="s">
        <v>349</v>
      </c>
      <c r="S868" s="151">
        <v>45253</v>
      </c>
      <c r="T868" s="151">
        <v>45344</v>
      </c>
      <c r="U868" s="152" t="s">
        <v>327</v>
      </c>
      <c r="V868" s="150" t="s">
        <v>330</v>
      </c>
      <c r="W868" s="151"/>
      <c r="X868" s="150" t="s">
        <v>331</v>
      </c>
      <c r="Y868" s="150" t="s">
        <v>332</v>
      </c>
      <c r="Z868" s="150" t="s">
        <v>334</v>
      </c>
      <c r="AA868" s="150" t="s">
        <v>26</v>
      </c>
      <c r="AB868" s="153">
        <v>0</v>
      </c>
      <c r="AC868" s="151"/>
      <c r="AD868" s="150"/>
      <c r="AE868" s="151"/>
      <c r="AF868" s="150" t="s">
        <v>70</v>
      </c>
      <c r="AG868" s="152" t="s">
        <v>337</v>
      </c>
      <c r="AH868" s="150" t="s">
        <v>326</v>
      </c>
      <c r="AI868" s="99"/>
      <c r="AJ868" s="149"/>
      <c r="AK868" s="99"/>
      <c r="AL868" s="149"/>
      <c r="AM868" s="99"/>
      <c r="AN868" s="149">
        <v>2</v>
      </c>
      <c r="AO868" s="149">
        <v>0</v>
      </c>
      <c r="AP868" s="149">
        <v>0</v>
      </c>
      <c r="AQ868" s="149">
        <v>0</v>
      </c>
      <c r="AR868" s="149">
        <v>0</v>
      </c>
      <c r="AS868" s="149">
        <v>0</v>
      </c>
      <c r="AT868" s="149">
        <v>0</v>
      </c>
      <c r="AU868" s="149">
        <v>2</v>
      </c>
      <c r="AV868" s="149">
        <v>0</v>
      </c>
      <c r="AW868" s="149">
        <v>0</v>
      </c>
      <c r="AX868" s="149">
        <v>0</v>
      </c>
      <c r="AY868" s="149">
        <v>0</v>
      </c>
      <c r="AZ868" s="149">
        <v>0</v>
      </c>
      <c r="BA868" s="149">
        <v>0</v>
      </c>
      <c r="BB868" s="149">
        <v>0</v>
      </c>
      <c r="BC868" s="149">
        <v>0</v>
      </c>
      <c r="BD868" s="149">
        <v>0</v>
      </c>
      <c r="BE868" s="149">
        <v>0</v>
      </c>
      <c r="BF868" s="149">
        <v>0</v>
      </c>
      <c r="BG868" s="149">
        <v>0</v>
      </c>
      <c r="BH868" s="149">
        <v>0</v>
      </c>
      <c r="BI868" s="149">
        <v>0</v>
      </c>
      <c r="BJ868" s="149">
        <v>0</v>
      </c>
      <c r="BK868" s="149">
        <v>0</v>
      </c>
      <c r="BL868" s="149">
        <v>0</v>
      </c>
      <c r="BM868" s="149">
        <v>0</v>
      </c>
      <c r="BN868" s="149">
        <v>0</v>
      </c>
      <c r="BO868" s="149">
        <v>0</v>
      </c>
      <c r="BP868" s="152" t="s">
        <v>142</v>
      </c>
      <c r="BQ868" s="152"/>
      <c r="BR868" s="154" t="s">
        <v>142</v>
      </c>
      <c r="BS868" s="136">
        <v>15</v>
      </c>
      <c r="BT868" s="267"/>
      <c r="BU868" s="267">
        <f>M868/4</f>
        <v>0.5</v>
      </c>
      <c r="BV868" s="267">
        <f>M868/4</f>
        <v>0.5</v>
      </c>
      <c r="BW868" s="267">
        <f>M868/4</f>
        <v>0.5</v>
      </c>
      <c r="BX868" s="267">
        <f>M868/4</f>
        <v>0.5</v>
      </c>
      <c r="BY868" s="267"/>
      <c r="BZ868" s="267"/>
      <c r="CA868" s="267"/>
      <c r="CB868" s="267"/>
      <c r="CC868" s="267"/>
      <c r="CD868" s="267"/>
      <c r="CE868" s="267"/>
      <c r="CF868" s="267"/>
      <c r="CG868" s="267"/>
      <c r="CH868" s="267"/>
      <c r="CI868" s="267"/>
      <c r="CJ868" s="267"/>
      <c r="CK868" s="267"/>
      <c r="CL868" s="267"/>
      <c r="CM868" s="267"/>
      <c r="CN868" s="101">
        <f t="shared" si="118"/>
        <v>2</v>
      </c>
      <c r="CO868" s="101">
        <f t="shared" si="119"/>
        <v>2</v>
      </c>
    </row>
    <row r="869" spans="1:93" ht="13.9" customHeight="1" x14ac:dyDescent="0.2">
      <c r="A869" s="149">
        <v>8030</v>
      </c>
      <c r="B869" s="150" t="s">
        <v>1216</v>
      </c>
      <c r="C869" s="150" t="s">
        <v>2468</v>
      </c>
      <c r="D869" s="150" t="s">
        <v>2469</v>
      </c>
      <c r="E869" s="150" t="s">
        <v>326</v>
      </c>
      <c r="F869" s="149">
        <v>527078</v>
      </c>
      <c r="G869" s="149">
        <v>171660</v>
      </c>
      <c r="H869" s="150" t="s">
        <v>173</v>
      </c>
      <c r="I869" s="151"/>
      <c r="J869" s="151"/>
      <c r="K869" s="149">
        <v>0</v>
      </c>
      <c r="L869" s="149">
        <v>1</v>
      </c>
      <c r="M869" s="149">
        <v>1</v>
      </c>
      <c r="N869" s="149">
        <v>1</v>
      </c>
      <c r="O869" s="149">
        <v>1</v>
      </c>
      <c r="P869" s="152"/>
      <c r="Q869" s="150" t="s">
        <v>2470</v>
      </c>
      <c r="R869" s="150" t="s">
        <v>427</v>
      </c>
      <c r="S869" s="151">
        <v>45239</v>
      </c>
      <c r="T869" s="151">
        <v>45289</v>
      </c>
      <c r="U869" s="152" t="s">
        <v>327</v>
      </c>
      <c r="V869" s="150" t="s">
        <v>330</v>
      </c>
      <c r="W869" s="151"/>
      <c r="X869" s="150" t="s">
        <v>331</v>
      </c>
      <c r="Y869" s="150" t="s">
        <v>332</v>
      </c>
      <c r="Z869" s="150" t="s">
        <v>334</v>
      </c>
      <c r="AA869" s="150" t="s">
        <v>26</v>
      </c>
      <c r="AB869" s="153">
        <v>7.3649999999999993E-2</v>
      </c>
      <c r="AC869" s="151"/>
      <c r="AD869" s="150"/>
      <c r="AE869" s="151"/>
      <c r="AF869" s="150" t="s">
        <v>70</v>
      </c>
      <c r="AG869" s="152" t="s">
        <v>352</v>
      </c>
      <c r="AH869" s="150" t="s">
        <v>326</v>
      </c>
      <c r="AI869" s="99"/>
      <c r="AJ869" s="149"/>
      <c r="AK869" s="99"/>
      <c r="AL869" s="149"/>
      <c r="AM869" s="99"/>
      <c r="AN869" s="149">
        <v>0</v>
      </c>
      <c r="AO869" s="149">
        <v>1</v>
      </c>
      <c r="AP869" s="149">
        <v>0</v>
      </c>
      <c r="AQ869" s="149">
        <v>0</v>
      </c>
      <c r="AR869" s="149">
        <v>0</v>
      </c>
      <c r="AS869" s="149">
        <v>0</v>
      </c>
      <c r="AT869" s="149">
        <v>0</v>
      </c>
      <c r="AU869" s="149">
        <v>0</v>
      </c>
      <c r="AV869" s="149">
        <v>1</v>
      </c>
      <c r="AW869" s="149">
        <v>0</v>
      </c>
      <c r="AX869" s="149">
        <v>0</v>
      </c>
      <c r="AY869" s="149">
        <v>0</v>
      </c>
      <c r="AZ869" s="149">
        <v>0</v>
      </c>
      <c r="BA869" s="149">
        <v>0</v>
      </c>
      <c r="BB869" s="149">
        <v>0</v>
      </c>
      <c r="BC869" s="149">
        <v>0</v>
      </c>
      <c r="BD869" s="149">
        <v>0</v>
      </c>
      <c r="BE869" s="149">
        <v>0</v>
      </c>
      <c r="BF869" s="149">
        <v>0</v>
      </c>
      <c r="BG869" s="149">
        <v>0</v>
      </c>
      <c r="BH869" s="149">
        <v>0</v>
      </c>
      <c r="BI869" s="149">
        <v>0</v>
      </c>
      <c r="BJ869" s="149">
        <v>0</v>
      </c>
      <c r="BK869" s="149">
        <v>0</v>
      </c>
      <c r="BL869" s="149">
        <v>0</v>
      </c>
      <c r="BM869" s="149">
        <v>0</v>
      </c>
      <c r="BN869" s="149">
        <v>0</v>
      </c>
      <c r="BO869" s="149">
        <v>0</v>
      </c>
      <c r="BP869" s="152"/>
      <c r="BQ869" s="152"/>
      <c r="BR869" s="154" t="s">
        <v>359</v>
      </c>
      <c r="BS869" s="136">
        <v>15</v>
      </c>
      <c r="BT869" s="267"/>
      <c r="BU869" s="267">
        <f>M869/4</f>
        <v>0.25</v>
      </c>
      <c r="BV869" s="267">
        <f>M869/4</f>
        <v>0.25</v>
      </c>
      <c r="BW869" s="267">
        <f>M869/4</f>
        <v>0.25</v>
      </c>
      <c r="BX869" s="267">
        <f>M869/4</f>
        <v>0.25</v>
      </c>
      <c r="BY869" s="267"/>
      <c r="BZ869" s="267"/>
      <c r="CA869" s="267"/>
      <c r="CB869" s="267"/>
      <c r="CC869" s="267"/>
      <c r="CD869" s="267"/>
      <c r="CE869" s="267"/>
      <c r="CF869" s="267"/>
      <c r="CG869" s="267"/>
      <c r="CH869" s="267"/>
      <c r="CI869" s="267"/>
      <c r="CJ869" s="267"/>
      <c r="CK869" s="267"/>
      <c r="CL869" s="267"/>
      <c r="CM869" s="267"/>
      <c r="CN869" s="101">
        <f t="shared" si="118"/>
        <v>1</v>
      </c>
      <c r="CO869" s="101">
        <f t="shared" si="119"/>
        <v>1</v>
      </c>
    </row>
    <row r="870" spans="1:93" ht="13.9" customHeight="1" x14ac:dyDescent="0.2">
      <c r="A870" s="149">
        <v>8070</v>
      </c>
      <c r="B870" s="150" t="s">
        <v>1216</v>
      </c>
      <c r="C870" s="150" t="s">
        <v>2471</v>
      </c>
      <c r="D870" s="150" t="s">
        <v>2472</v>
      </c>
      <c r="E870" s="150" t="s">
        <v>326</v>
      </c>
      <c r="F870" s="149">
        <v>523997</v>
      </c>
      <c r="G870" s="149">
        <v>175267</v>
      </c>
      <c r="H870" s="150" t="s">
        <v>171</v>
      </c>
      <c r="I870" s="151"/>
      <c r="J870" s="151"/>
      <c r="K870" s="149">
        <v>1</v>
      </c>
      <c r="L870" s="149">
        <v>3</v>
      </c>
      <c r="M870" s="149">
        <v>2</v>
      </c>
      <c r="N870" s="149">
        <v>3</v>
      </c>
      <c r="O870" s="149">
        <v>2</v>
      </c>
      <c r="P870" s="152"/>
      <c r="Q870" s="150" t="s">
        <v>2473</v>
      </c>
      <c r="R870" s="150" t="s">
        <v>349</v>
      </c>
      <c r="S870" s="151">
        <v>45246</v>
      </c>
      <c r="T870" s="151">
        <v>45302</v>
      </c>
      <c r="U870" s="152" t="s">
        <v>327</v>
      </c>
      <c r="V870" s="150" t="s">
        <v>330</v>
      </c>
      <c r="W870" s="151"/>
      <c r="X870" s="150" t="s">
        <v>331</v>
      </c>
      <c r="Y870" s="150" t="s">
        <v>350</v>
      </c>
      <c r="Z870" s="150" t="s">
        <v>334</v>
      </c>
      <c r="AA870" s="150" t="s">
        <v>399</v>
      </c>
      <c r="AB870" s="153">
        <v>1.2977000000000001E-2</v>
      </c>
      <c r="AC870" s="151"/>
      <c r="AD870" s="150"/>
      <c r="AE870" s="151"/>
      <c r="AF870" s="150" t="s">
        <v>70</v>
      </c>
      <c r="AG870" s="152" t="s">
        <v>337</v>
      </c>
      <c r="AH870" s="150" t="s">
        <v>326</v>
      </c>
      <c r="AI870" s="99"/>
      <c r="AJ870" s="149"/>
      <c r="AK870" s="99"/>
      <c r="AL870" s="149"/>
      <c r="AM870" s="99"/>
      <c r="AN870" s="149">
        <v>0</v>
      </c>
      <c r="AO870" s="149">
        <v>1</v>
      </c>
      <c r="AP870" s="149">
        <v>2</v>
      </c>
      <c r="AQ870" s="149">
        <v>0</v>
      </c>
      <c r="AR870" s="149">
        <v>0</v>
      </c>
      <c r="AS870" s="149">
        <v>-1</v>
      </c>
      <c r="AT870" s="149">
        <v>0</v>
      </c>
      <c r="AU870" s="149">
        <v>0</v>
      </c>
      <c r="AV870" s="149">
        <v>1</v>
      </c>
      <c r="AW870" s="149">
        <v>2</v>
      </c>
      <c r="AX870" s="149">
        <v>0</v>
      </c>
      <c r="AY870" s="149">
        <v>0</v>
      </c>
      <c r="AZ870" s="149">
        <v>-1</v>
      </c>
      <c r="BA870" s="149">
        <v>0</v>
      </c>
      <c r="BB870" s="149">
        <v>0</v>
      </c>
      <c r="BC870" s="149">
        <v>0</v>
      </c>
      <c r="BD870" s="149">
        <v>0</v>
      </c>
      <c r="BE870" s="149">
        <v>0</v>
      </c>
      <c r="BF870" s="149">
        <v>0</v>
      </c>
      <c r="BG870" s="149">
        <v>0</v>
      </c>
      <c r="BH870" s="149">
        <v>0</v>
      </c>
      <c r="BI870" s="149">
        <v>0</v>
      </c>
      <c r="BJ870" s="149">
        <v>0</v>
      </c>
      <c r="BK870" s="149">
        <v>0</v>
      </c>
      <c r="BL870" s="149">
        <v>0</v>
      </c>
      <c r="BM870" s="149">
        <v>0</v>
      </c>
      <c r="BN870" s="149">
        <v>0</v>
      </c>
      <c r="BO870" s="149">
        <v>0</v>
      </c>
      <c r="BP870" s="152" t="s">
        <v>141</v>
      </c>
      <c r="BQ870" s="152"/>
      <c r="BR870" s="154" t="s">
        <v>141</v>
      </c>
      <c r="BS870" s="136">
        <v>15</v>
      </c>
      <c r="BT870" s="267"/>
      <c r="BU870" s="267">
        <f>M870/4</f>
        <v>0.5</v>
      </c>
      <c r="BV870" s="267">
        <f>M870/4</f>
        <v>0.5</v>
      </c>
      <c r="BW870" s="267">
        <f>M870/4</f>
        <v>0.5</v>
      </c>
      <c r="BX870" s="267">
        <f>M870/4</f>
        <v>0.5</v>
      </c>
      <c r="BY870" s="267"/>
      <c r="BZ870" s="267"/>
      <c r="CA870" s="267"/>
      <c r="CB870" s="267"/>
      <c r="CC870" s="267"/>
      <c r="CD870" s="267"/>
      <c r="CE870" s="267"/>
      <c r="CF870" s="267"/>
      <c r="CG870" s="267"/>
      <c r="CH870" s="267"/>
      <c r="CI870" s="267"/>
      <c r="CJ870" s="267"/>
      <c r="CK870" s="267"/>
      <c r="CL870" s="267"/>
      <c r="CM870" s="267"/>
      <c r="CN870" s="101">
        <f t="shared" si="118"/>
        <v>2</v>
      </c>
      <c r="CO870" s="101">
        <f t="shared" si="119"/>
        <v>2</v>
      </c>
    </row>
    <row r="871" spans="1:93" ht="13.9" customHeight="1" x14ac:dyDescent="0.2">
      <c r="A871" s="149">
        <v>8072</v>
      </c>
      <c r="B871" s="150" t="s">
        <v>1216</v>
      </c>
      <c r="C871" s="150" t="s">
        <v>2474</v>
      </c>
      <c r="D871" s="150" t="s">
        <v>2475</v>
      </c>
      <c r="E871" s="150" t="s">
        <v>326</v>
      </c>
      <c r="F871" s="149">
        <v>523983</v>
      </c>
      <c r="G871" s="149">
        <v>173273</v>
      </c>
      <c r="H871" s="150" t="s">
        <v>178</v>
      </c>
      <c r="I871" s="151"/>
      <c r="J871" s="151"/>
      <c r="K871" s="149">
        <v>0</v>
      </c>
      <c r="L871" s="149">
        <v>3</v>
      </c>
      <c r="M871" s="149">
        <v>3</v>
      </c>
      <c r="N871" s="149">
        <v>3</v>
      </c>
      <c r="O871" s="149">
        <v>3</v>
      </c>
      <c r="P871" s="152"/>
      <c r="Q871" s="150" t="s">
        <v>2476</v>
      </c>
      <c r="R871" s="150" t="s">
        <v>349</v>
      </c>
      <c r="S871" s="151">
        <v>45253</v>
      </c>
      <c r="T871" s="151">
        <v>45323</v>
      </c>
      <c r="U871" s="152" t="s">
        <v>327</v>
      </c>
      <c r="V871" s="150" t="s">
        <v>330</v>
      </c>
      <c r="W871" s="151"/>
      <c r="X871" s="150" t="s">
        <v>331</v>
      </c>
      <c r="Y871" s="150" t="s">
        <v>343</v>
      </c>
      <c r="Z871" s="150" t="s">
        <v>334</v>
      </c>
      <c r="AA871" s="150" t="s">
        <v>363</v>
      </c>
      <c r="AB871" s="153">
        <v>4.7775999999999999E-2</v>
      </c>
      <c r="AC871" s="151"/>
      <c r="AD871" s="150"/>
      <c r="AE871" s="151"/>
      <c r="AF871" s="150" t="s">
        <v>49</v>
      </c>
      <c r="AG871" s="152" t="s">
        <v>383</v>
      </c>
      <c r="AH871" s="150" t="s">
        <v>326</v>
      </c>
      <c r="AI871" s="99"/>
      <c r="AJ871" s="149"/>
      <c r="AK871" s="99"/>
      <c r="AL871" s="149"/>
      <c r="AM871" s="99"/>
      <c r="AN871" s="149">
        <v>0</v>
      </c>
      <c r="AO871" s="149">
        <v>1</v>
      </c>
      <c r="AP871" s="149">
        <v>2</v>
      </c>
      <c r="AQ871" s="149">
        <v>0</v>
      </c>
      <c r="AR871" s="149">
        <v>0</v>
      </c>
      <c r="AS871" s="149">
        <v>0</v>
      </c>
      <c r="AT871" s="149">
        <v>0</v>
      </c>
      <c r="AU871" s="149">
        <v>0</v>
      </c>
      <c r="AV871" s="149">
        <v>1</v>
      </c>
      <c r="AW871" s="149">
        <v>2</v>
      </c>
      <c r="AX871" s="149">
        <v>0</v>
      </c>
      <c r="AY871" s="149">
        <v>0</v>
      </c>
      <c r="AZ871" s="149">
        <v>0</v>
      </c>
      <c r="BA871" s="149">
        <v>0</v>
      </c>
      <c r="BB871" s="149">
        <v>0</v>
      </c>
      <c r="BC871" s="149">
        <v>0</v>
      </c>
      <c r="BD871" s="149">
        <v>0</v>
      </c>
      <c r="BE871" s="149">
        <v>0</v>
      </c>
      <c r="BF871" s="149">
        <v>0</v>
      </c>
      <c r="BG871" s="149">
        <v>0</v>
      </c>
      <c r="BH871" s="149">
        <v>0</v>
      </c>
      <c r="BI871" s="149">
        <v>0</v>
      </c>
      <c r="BJ871" s="149">
        <v>0</v>
      </c>
      <c r="BK871" s="149">
        <v>0</v>
      </c>
      <c r="BL871" s="149">
        <v>0</v>
      </c>
      <c r="BM871" s="149">
        <v>0</v>
      </c>
      <c r="BN871" s="149">
        <v>0</v>
      </c>
      <c r="BO871" s="149">
        <v>0</v>
      </c>
      <c r="BP871" s="152"/>
      <c r="BQ871" s="152"/>
      <c r="BR871" s="154" t="s">
        <v>359</v>
      </c>
      <c r="BS871" s="136">
        <v>7</v>
      </c>
      <c r="BT871" s="267"/>
      <c r="BU871" s="267"/>
      <c r="BV871" s="267">
        <f>M871/4</f>
        <v>0.75</v>
      </c>
      <c r="BW871" s="267">
        <f>M871/4</f>
        <v>0.75</v>
      </c>
      <c r="BX871" s="267">
        <f>M871/4</f>
        <v>0.75</v>
      </c>
      <c r="BY871" s="267">
        <f>M871/4</f>
        <v>0.75</v>
      </c>
      <c r="BZ871" s="267"/>
      <c r="CA871" s="267"/>
      <c r="CB871" s="267"/>
      <c r="CC871" s="267"/>
      <c r="CD871" s="267"/>
      <c r="CE871" s="267"/>
      <c r="CF871" s="267"/>
      <c r="CG871" s="267"/>
      <c r="CH871" s="267"/>
      <c r="CI871" s="267"/>
      <c r="CJ871" s="267"/>
      <c r="CK871" s="267"/>
      <c r="CL871" s="267"/>
      <c r="CM871" s="267"/>
      <c r="CN871" s="101">
        <f t="shared" si="118"/>
        <v>3</v>
      </c>
      <c r="CO871" s="101">
        <f t="shared" si="119"/>
        <v>3</v>
      </c>
    </row>
    <row r="872" spans="1:93" ht="13.9" customHeight="1" x14ac:dyDescent="0.2">
      <c r="A872" s="149">
        <v>8073</v>
      </c>
      <c r="B872" s="150" t="s">
        <v>1216</v>
      </c>
      <c r="C872" s="150" t="s">
        <v>2477</v>
      </c>
      <c r="D872" s="150" t="s">
        <v>2478</v>
      </c>
      <c r="E872" s="150" t="s">
        <v>326</v>
      </c>
      <c r="F872" s="149">
        <v>524179</v>
      </c>
      <c r="G872" s="149">
        <v>173612</v>
      </c>
      <c r="H872" s="150" t="s">
        <v>178</v>
      </c>
      <c r="I872" s="151"/>
      <c r="J872" s="151"/>
      <c r="K872" s="149">
        <v>0</v>
      </c>
      <c r="L872" s="149">
        <v>6</v>
      </c>
      <c r="M872" s="149">
        <v>6</v>
      </c>
      <c r="N872" s="149">
        <v>6</v>
      </c>
      <c r="O872" s="149">
        <v>6</v>
      </c>
      <c r="P872" s="152"/>
      <c r="Q872" s="150" t="s">
        <v>2479</v>
      </c>
      <c r="R872" s="150" t="s">
        <v>349</v>
      </c>
      <c r="S872" s="151">
        <v>45253</v>
      </c>
      <c r="T872" s="151">
        <v>45348</v>
      </c>
      <c r="U872" s="152" t="s">
        <v>327</v>
      </c>
      <c r="V872" s="150" t="s">
        <v>330</v>
      </c>
      <c r="W872" s="151"/>
      <c r="X872" s="150" t="s">
        <v>331</v>
      </c>
      <c r="Y872" s="150" t="s">
        <v>343</v>
      </c>
      <c r="Z872" s="150" t="s">
        <v>334</v>
      </c>
      <c r="AA872" s="150" t="s">
        <v>363</v>
      </c>
      <c r="AB872" s="153">
        <v>0.120961</v>
      </c>
      <c r="AC872" s="151"/>
      <c r="AD872" s="150"/>
      <c r="AE872" s="151"/>
      <c r="AF872" s="150" t="s">
        <v>49</v>
      </c>
      <c r="AG872" s="152" t="s">
        <v>383</v>
      </c>
      <c r="AH872" s="150" t="s">
        <v>326</v>
      </c>
      <c r="AI872" s="99"/>
      <c r="AJ872" s="149"/>
      <c r="AK872" s="138">
        <v>3</v>
      </c>
      <c r="AL872" s="149"/>
      <c r="AM872" s="99"/>
      <c r="AN872" s="149">
        <v>0</v>
      </c>
      <c r="AO872" s="149">
        <v>3</v>
      </c>
      <c r="AP872" s="149">
        <v>3</v>
      </c>
      <c r="AQ872" s="149">
        <v>0</v>
      </c>
      <c r="AR872" s="149">
        <v>0</v>
      </c>
      <c r="AS872" s="149">
        <v>0</v>
      </c>
      <c r="AT872" s="149">
        <v>0</v>
      </c>
      <c r="AU872" s="149">
        <v>0</v>
      </c>
      <c r="AV872" s="149">
        <v>3</v>
      </c>
      <c r="AW872" s="149">
        <v>3</v>
      </c>
      <c r="AX872" s="149">
        <v>0</v>
      </c>
      <c r="AY872" s="149">
        <v>0</v>
      </c>
      <c r="AZ872" s="149">
        <v>0</v>
      </c>
      <c r="BA872" s="149">
        <v>0</v>
      </c>
      <c r="BB872" s="149">
        <v>0</v>
      </c>
      <c r="BC872" s="149">
        <v>0</v>
      </c>
      <c r="BD872" s="149">
        <v>0</v>
      </c>
      <c r="BE872" s="149">
        <v>0</v>
      </c>
      <c r="BF872" s="149">
        <v>0</v>
      </c>
      <c r="BG872" s="149">
        <v>0</v>
      </c>
      <c r="BH872" s="149">
        <v>0</v>
      </c>
      <c r="BI872" s="149">
        <v>0</v>
      </c>
      <c r="BJ872" s="149">
        <v>0</v>
      </c>
      <c r="BK872" s="149">
        <v>0</v>
      </c>
      <c r="BL872" s="149">
        <v>0</v>
      </c>
      <c r="BM872" s="149">
        <v>0</v>
      </c>
      <c r="BN872" s="149">
        <v>0</v>
      </c>
      <c r="BO872" s="149">
        <v>0</v>
      </c>
      <c r="BP872" s="152"/>
      <c r="BQ872" s="152"/>
      <c r="BR872" s="154" t="s">
        <v>359</v>
      </c>
      <c r="BS872" s="136">
        <v>8</v>
      </c>
      <c r="BT872" s="267"/>
      <c r="BU872" s="267"/>
      <c r="BV872" s="267"/>
      <c r="BW872" s="267"/>
      <c r="BX872" s="267">
        <f>M872</f>
        <v>6</v>
      </c>
      <c r="BY872" s="267"/>
      <c r="BZ872" s="267"/>
      <c r="CA872" s="267"/>
      <c r="CB872" s="267"/>
      <c r="CC872" s="267"/>
      <c r="CD872" s="267"/>
      <c r="CE872" s="267"/>
      <c r="CF872" s="267"/>
      <c r="CG872" s="267"/>
      <c r="CH872" s="267"/>
      <c r="CI872" s="267"/>
      <c r="CJ872" s="267"/>
      <c r="CK872" s="267"/>
      <c r="CL872" s="267"/>
      <c r="CM872" s="267"/>
      <c r="CN872" s="101">
        <f t="shared" si="118"/>
        <v>6</v>
      </c>
      <c r="CO872" s="101">
        <f t="shared" si="119"/>
        <v>6</v>
      </c>
    </row>
    <row r="873" spans="1:93" ht="13.9" customHeight="1" x14ac:dyDescent="0.2">
      <c r="A873" s="149">
        <v>8076</v>
      </c>
      <c r="B873" s="150" t="s">
        <v>1216</v>
      </c>
      <c r="C873" s="150" t="s">
        <v>2480</v>
      </c>
      <c r="D873" s="150" t="s">
        <v>2481</v>
      </c>
      <c r="E873" s="150" t="s">
        <v>326</v>
      </c>
      <c r="F873" s="149">
        <v>527089</v>
      </c>
      <c r="G873" s="149">
        <v>177085</v>
      </c>
      <c r="H873" s="150" t="s">
        <v>170</v>
      </c>
      <c r="I873" s="151"/>
      <c r="J873" s="151"/>
      <c r="K873" s="149">
        <v>2</v>
      </c>
      <c r="L873" s="149">
        <v>1</v>
      </c>
      <c r="M873" s="149">
        <v>-1</v>
      </c>
      <c r="N873" s="149">
        <v>1</v>
      </c>
      <c r="O873" s="149">
        <v>-1</v>
      </c>
      <c r="P873" s="152"/>
      <c r="Q873" s="150" t="s">
        <v>2482</v>
      </c>
      <c r="R873" s="150" t="s">
        <v>349</v>
      </c>
      <c r="S873" s="151">
        <v>45257</v>
      </c>
      <c r="T873" s="151">
        <v>45309</v>
      </c>
      <c r="U873" s="152" t="s">
        <v>327</v>
      </c>
      <c r="V873" s="150" t="s">
        <v>330</v>
      </c>
      <c r="W873" s="151"/>
      <c r="X873" s="150" t="s">
        <v>331</v>
      </c>
      <c r="Y873" s="150" t="s">
        <v>350</v>
      </c>
      <c r="Z873" s="150" t="s">
        <v>334</v>
      </c>
      <c r="AA873" s="150" t="s">
        <v>18</v>
      </c>
      <c r="AB873" s="153">
        <v>1.3335E-2</v>
      </c>
      <c r="AC873" s="151"/>
      <c r="AD873" s="150"/>
      <c r="AE873" s="151"/>
      <c r="AF873" s="150" t="s">
        <v>70</v>
      </c>
      <c r="AG873" s="152" t="s">
        <v>337</v>
      </c>
      <c r="AH873" s="150" t="s">
        <v>326</v>
      </c>
      <c r="AI873" s="99"/>
      <c r="AJ873" s="149"/>
      <c r="AK873" s="99"/>
      <c r="AL873" s="149"/>
      <c r="AM873" s="99"/>
      <c r="AN873" s="149">
        <v>0</v>
      </c>
      <c r="AO873" s="149">
        <v>-1</v>
      </c>
      <c r="AP873" s="149">
        <v>-1</v>
      </c>
      <c r="AQ873" s="149">
        <v>1</v>
      </c>
      <c r="AR873" s="149">
        <v>0</v>
      </c>
      <c r="AS873" s="149">
        <v>0</v>
      </c>
      <c r="AT873" s="149">
        <v>0</v>
      </c>
      <c r="AU873" s="149">
        <v>0</v>
      </c>
      <c r="AV873" s="149">
        <v>-1</v>
      </c>
      <c r="AW873" s="149">
        <v>-1</v>
      </c>
      <c r="AX873" s="149">
        <v>0</v>
      </c>
      <c r="AY873" s="149">
        <v>0</v>
      </c>
      <c r="AZ873" s="149">
        <v>0</v>
      </c>
      <c r="BA873" s="149">
        <v>0</v>
      </c>
      <c r="BB873" s="149">
        <v>0</v>
      </c>
      <c r="BC873" s="149">
        <v>0</v>
      </c>
      <c r="BD873" s="149">
        <v>0</v>
      </c>
      <c r="BE873" s="149">
        <v>1</v>
      </c>
      <c r="BF873" s="149">
        <v>0</v>
      </c>
      <c r="BG873" s="149">
        <v>0</v>
      </c>
      <c r="BH873" s="149">
        <v>0</v>
      </c>
      <c r="BI873" s="149">
        <v>0</v>
      </c>
      <c r="BJ873" s="149">
        <v>0</v>
      </c>
      <c r="BK873" s="149">
        <v>0</v>
      </c>
      <c r="BL873" s="149">
        <v>0</v>
      </c>
      <c r="BM873" s="149">
        <v>0</v>
      </c>
      <c r="BN873" s="149">
        <v>0</v>
      </c>
      <c r="BO873" s="149">
        <v>0</v>
      </c>
      <c r="BP873" s="152"/>
      <c r="BQ873" s="152"/>
      <c r="BR873" s="154" t="s">
        <v>408</v>
      </c>
      <c r="BS873" s="136">
        <v>15</v>
      </c>
      <c r="BT873" s="267"/>
      <c r="BU873" s="267">
        <f>M873/4</f>
        <v>-0.25</v>
      </c>
      <c r="BV873" s="267">
        <f t="shared" ref="BV873:BV881" si="127">M873/4</f>
        <v>-0.25</v>
      </c>
      <c r="BW873" s="267">
        <f t="shared" ref="BW873:BW881" si="128">M873/4</f>
        <v>-0.25</v>
      </c>
      <c r="BX873" s="267">
        <f t="shared" ref="BX873:BX881" si="129">M873/4</f>
        <v>-0.25</v>
      </c>
      <c r="BY873" s="267"/>
      <c r="BZ873" s="267"/>
      <c r="CA873" s="267"/>
      <c r="CB873" s="267"/>
      <c r="CC873" s="267"/>
      <c r="CD873" s="267"/>
      <c r="CE873" s="267"/>
      <c r="CF873" s="267"/>
      <c r="CG873" s="267"/>
      <c r="CH873" s="267"/>
      <c r="CI873" s="267"/>
      <c r="CJ873" s="267"/>
      <c r="CK873" s="267"/>
      <c r="CL873" s="267"/>
      <c r="CM873" s="267"/>
      <c r="CN873" s="101">
        <f t="shared" si="118"/>
        <v>-1</v>
      </c>
      <c r="CO873" s="101">
        <f t="shared" si="119"/>
        <v>-1</v>
      </c>
    </row>
    <row r="874" spans="1:93" ht="13.9" customHeight="1" x14ac:dyDescent="0.2">
      <c r="A874" s="149">
        <v>8085</v>
      </c>
      <c r="B874" s="150" t="s">
        <v>1216</v>
      </c>
      <c r="C874" s="150" t="s">
        <v>2483</v>
      </c>
      <c r="D874" s="150" t="s">
        <v>2484</v>
      </c>
      <c r="E874" s="150" t="s">
        <v>2485</v>
      </c>
      <c r="F874" s="149">
        <v>526648</v>
      </c>
      <c r="G874" s="149">
        <v>171469</v>
      </c>
      <c r="H874" s="150" t="s">
        <v>173</v>
      </c>
      <c r="I874" s="151"/>
      <c r="J874" s="151"/>
      <c r="K874" s="149">
        <v>3</v>
      </c>
      <c r="L874" s="149">
        <v>4</v>
      </c>
      <c r="M874" s="149">
        <v>1</v>
      </c>
      <c r="N874" s="149">
        <v>4</v>
      </c>
      <c r="O874" s="149">
        <v>1</v>
      </c>
      <c r="P874" s="152"/>
      <c r="Q874" s="150" t="s">
        <v>2486</v>
      </c>
      <c r="R874" s="150" t="s">
        <v>349</v>
      </c>
      <c r="S874" s="151">
        <v>45281</v>
      </c>
      <c r="T874" s="151">
        <v>45377</v>
      </c>
      <c r="U874" s="152" t="s">
        <v>327</v>
      </c>
      <c r="V874" s="150" t="s">
        <v>330</v>
      </c>
      <c r="W874" s="151"/>
      <c r="X874" s="150" t="s">
        <v>331</v>
      </c>
      <c r="Y874" s="150" t="s">
        <v>350</v>
      </c>
      <c r="Z874" s="150" t="s">
        <v>334</v>
      </c>
      <c r="AA874" s="150" t="s">
        <v>399</v>
      </c>
      <c r="AB874" s="153">
        <v>6.0000000000000001E-3</v>
      </c>
      <c r="AC874" s="151"/>
      <c r="AD874" s="150"/>
      <c r="AE874" s="151"/>
      <c r="AF874" s="150" t="s">
        <v>70</v>
      </c>
      <c r="AG874" s="152" t="s">
        <v>337</v>
      </c>
      <c r="AH874" s="150" t="s">
        <v>326</v>
      </c>
      <c r="AI874" s="99"/>
      <c r="AJ874" s="149"/>
      <c r="AK874" s="99"/>
      <c r="AL874" s="149"/>
      <c r="AM874" s="99"/>
      <c r="AN874" s="149">
        <v>0</v>
      </c>
      <c r="AO874" s="149">
        <v>1</v>
      </c>
      <c r="AP874" s="149">
        <v>0</v>
      </c>
      <c r="AQ874" s="149">
        <v>0</v>
      </c>
      <c r="AR874" s="149">
        <v>0</v>
      </c>
      <c r="AS874" s="149">
        <v>0</v>
      </c>
      <c r="AT874" s="149">
        <v>0</v>
      </c>
      <c r="AU874" s="149">
        <v>0</v>
      </c>
      <c r="AV874" s="149">
        <v>1</v>
      </c>
      <c r="AW874" s="149">
        <v>0</v>
      </c>
      <c r="AX874" s="149">
        <v>0</v>
      </c>
      <c r="AY874" s="149">
        <v>0</v>
      </c>
      <c r="AZ874" s="149">
        <v>0</v>
      </c>
      <c r="BA874" s="149">
        <v>0</v>
      </c>
      <c r="BB874" s="149">
        <v>0</v>
      </c>
      <c r="BC874" s="149">
        <v>0</v>
      </c>
      <c r="BD874" s="149">
        <v>0</v>
      </c>
      <c r="BE874" s="149">
        <v>0</v>
      </c>
      <c r="BF874" s="149">
        <v>0</v>
      </c>
      <c r="BG874" s="149">
        <v>0</v>
      </c>
      <c r="BH874" s="149">
        <v>0</v>
      </c>
      <c r="BI874" s="149">
        <v>0</v>
      </c>
      <c r="BJ874" s="149">
        <v>0</v>
      </c>
      <c r="BK874" s="149">
        <v>0</v>
      </c>
      <c r="BL874" s="149">
        <v>0</v>
      </c>
      <c r="BM874" s="149">
        <v>0</v>
      </c>
      <c r="BN874" s="149">
        <v>0</v>
      </c>
      <c r="BO874" s="149">
        <v>0</v>
      </c>
      <c r="BP874" s="152"/>
      <c r="BQ874" s="152"/>
      <c r="BR874" s="154" t="s">
        <v>359</v>
      </c>
      <c r="BS874" s="136">
        <v>15</v>
      </c>
      <c r="BT874" s="267"/>
      <c r="BU874" s="267">
        <f>M874/4</f>
        <v>0.25</v>
      </c>
      <c r="BV874" s="267">
        <f t="shared" si="127"/>
        <v>0.25</v>
      </c>
      <c r="BW874" s="267">
        <f t="shared" si="128"/>
        <v>0.25</v>
      </c>
      <c r="BX874" s="267">
        <f t="shared" si="129"/>
        <v>0.25</v>
      </c>
      <c r="BY874" s="267"/>
      <c r="BZ874" s="267"/>
      <c r="CA874" s="267"/>
      <c r="CB874" s="267"/>
      <c r="CC874" s="267"/>
      <c r="CD874" s="267"/>
      <c r="CE874" s="267"/>
      <c r="CF874" s="267"/>
      <c r="CG874" s="267"/>
      <c r="CH874" s="267"/>
      <c r="CI874" s="267"/>
      <c r="CJ874" s="267"/>
      <c r="CK874" s="267"/>
      <c r="CL874" s="267"/>
      <c r="CM874" s="267"/>
      <c r="CN874" s="101">
        <f t="shared" si="118"/>
        <v>1</v>
      </c>
      <c r="CO874" s="101">
        <f t="shared" si="119"/>
        <v>1</v>
      </c>
    </row>
    <row r="875" spans="1:93" ht="13.9" customHeight="1" x14ac:dyDescent="0.2">
      <c r="A875" s="149">
        <v>7939</v>
      </c>
      <c r="B875" s="150" t="s">
        <v>1216</v>
      </c>
      <c r="C875" s="150" t="s">
        <v>2487</v>
      </c>
      <c r="D875" s="150" t="s">
        <v>2488</v>
      </c>
      <c r="E875" s="150" t="s">
        <v>326</v>
      </c>
      <c r="F875" s="149">
        <v>525806</v>
      </c>
      <c r="G875" s="149">
        <v>174853</v>
      </c>
      <c r="H875" s="150" t="s">
        <v>177</v>
      </c>
      <c r="I875" s="151"/>
      <c r="J875" s="151"/>
      <c r="K875" s="149">
        <v>0</v>
      </c>
      <c r="L875" s="149">
        <v>1</v>
      </c>
      <c r="M875" s="149">
        <v>1</v>
      </c>
      <c r="N875" s="149">
        <v>1</v>
      </c>
      <c r="O875" s="149">
        <v>1</v>
      </c>
      <c r="P875" s="152"/>
      <c r="Q875" s="150" t="s">
        <v>2489</v>
      </c>
      <c r="R875" s="150" t="s">
        <v>349</v>
      </c>
      <c r="S875" s="151">
        <v>45310</v>
      </c>
      <c r="T875" s="151">
        <v>45365</v>
      </c>
      <c r="U875" s="152" t="s">
        <v>327</v>
      </c>
      <c r="V875" s="150" t="s">
        <v>330</v>
      </c>
      <c r="W875" s="151"/>
      <c r="X875" s="150" t="s">
        <v>331</v>
      </c>
      <c r="Y875" s="150" t="s">
        <v>343</v>
      </c>
      <c r="Z875" s="150" t="s">
        <v>334</v>
      </c>
      <c r="AA875" s="150" t="s">
        <v>32</v>
      </c>
      <c r="AB875" s="153">
        <v>0</v>
      </c>
      <c r="AC875" s="151"/>
      <c r="AD875" s="150"/>
      <c r="AE875" s="151"/>
      <c r="AF875" s="150" t="s">
        <v>70</v>
      </c>
      <c r="AG875" s="152" t="s">
        <v>352</v>
      </c>
      <c r="AH875" s="150" t="s">
        <v>326</v>
      </c>
      <c r="AI875" s="99"/>
      <c r="AJ875" s="149"/>
      <c r="AK875" s="99"/>
      <c r="AL875" s="149"/>
      <c r="AM875" s="99"/>
      <c r="AN875" s="149">
        <v>0</v>
      </c>
      <c r="AO875" s="149">
        <v>1</v>
      </c>
      <c r="AP875" s="149">
        <v>0</v>
      </c>
      <c r="AQ875" s="149">
        <v>0</v>
      </c>
      <c r="AR875" s="149">
        <v>0</v>
      </c>
      <c r="AS875" s="149">
        <v>0</v>
      </c>
      <c r="AT875" s="149">
        <v>0</v>
      </c>
      <c r="AU875" s="149">
        <v>0</v>
      </c>
      <c r="AV875" s="149">
        <v>0</v>
      </c>
      <c r="AW875" s="149">
        <v>0</v>
      </c>
      <c r="AX875" s="149">
        <v>0</v>
      </c>
      <c r="AY875" s="149">
        <v>0</v>
      </c>
      <c r="AZ875" s="149">
        <v>0</v>
      </c>
      <c r="BA875" s="149">
        <v>0</v>
      </c>
      <c r="BB875" s="149">
        <v>0</v>
      </c>
      <c r="BC875" s="149">
        <v>1</v>
      </c>
      <c r="BD875" s="149">
        <v>0</v>
      </c>
      <c r="BE875" s="149">
        <v>0</v>
      </c>
      <c r="BF875" s="149">
        <v>0</v>
      </c>
      <c r="BG875" s="149">
        <v>0</v>
      </c>
      <c r="BH875" s="149">
        <v>0</v>
      </c>
      <c r="BI875" s="149">
        <v>0</v>
      </c>
      <c r="BJ875" s="149">
        <v>0</v>
      </c>
      <c r="BK875" s="149">
        <v>0</v>
      </c>
      <c r="BL875" s="149">
        <v>0</v>
      </c>
      <c r="BM875" s="149">
        <v>0</v>
      </c>
      <c r="BN875" s="149">
        <v>0</v>
      </c>
      <c r="BO875" s="149">
        <v>0</v>
      </c>
      <c r="BP875" s="152"/>
      <c r="BQ875" s="152"/>
      <c r="BR875" s="154" t="s">
        <v>463</v>
      </c>
      <c r="BS875" s="136">
        <v>7</v>
      </c>
      <c r="BT875" s="267"/>
      <c r="BU875" s="267"/>
      <c r="BV875" s="267">
        <f t="shared" si="127"/>
        <v>0.25</v>
      </c>
      <c r="BW875" s="267">
        <f t="shared" si="128"/>
        <v>0.25</v>
      </c>
      <c r="BX875" s="267">
        <f t="shared" si="129"/>
        <v>0.25</v>
      </c>
      <c r="BY875" s="267">
        <f>M875/4</f>
        <v>0.25</v>
      </c>
      <c r="BZ875" s="267"/>
      <c r="CA875" s="267"/>
      <c r="CB875" s="267"/>
      <c r="CC875" s="267"/>
      <c r="CD875" s="267"/>
      <c r="CE875" s="267"/>
      <c r="CF875" s="267"/>
      <c r="CG875" s="267"/>
      <c r="CH875" s="267"/>
      <c r="CI875" s="267"/>
      <c r="CJ875" s="267"/>
      <c r="CK875" s="267"/>
      <c r="CL875" s="267"/>
      <c r="CM875" s="267"/>
      <c r="CN875" s="101">
        <f t="shared" si="118"/>
        <v>1</v>
      </c>
      <c r="CO875" s="101">
        <f t="shared" si="119"/>
        <v>1</v>
      </c>
    </row>
    <row r="876" spans="1:93" ht="13.9" customHeight="1" x14ac:dyDescent="0.2">
      <c r="A876" s="149">
        <v>8093</v>
      </c>
      <c r="B876" s="150" t="s">
        <v>1216</v>
      </c>
      <c r="C876" s="150" t="s">
        <v>2490</v>
      </c>
      <c r="D876" s="150" t="s">
        <v>2491</v>
      </c>
      <c r="E876" s="150" t="s">
        <v>326</v>
      </c>
      <c r="F876" s="149">
        <v>529331</v>
      </c>
      <c r="G876" s="149">
        <v>171177</v>
      </c>
      <c r="H876" s="150" t="s">
        <v>163</v>
      </c>
      <c r="I876" s="151"/>
      <c r="J876" s="151"/>
      <c r="K876" s="149">
        <v>0</v>
      </c>
      <c r="L876" s="149">
        <v>2</v>
      </c>
      <c r="M876" s="149">
        <v>2</v>
      </c>
      <c r="N876" s="149">
        <v>2</v>
      </c>
      <c r="O876" s="149">
        <v>2</v>
      </c>
      <c r="P876" s="152"/>
      <c r="Q876" s="150" t="s">
        <v>2492</v>
      </c>
      <c r="R876" s="150" t="s">
        <v>427</v>
      </c>
      <c r="S876" s="151">
        <v>45294</v>
      </c>
      <c r="T876" s="151">
        <v>45329</v>
      </c>
      <c r="U876" s="152" t="s">
        <v>327</v>
      </c>
      <c r="V876" s="150" t="s">
        <v>330</v>
      </c>
      <c r="W876" s="151"/>
      <c r="X876" s="150" t="s">
        <v>331</v>
      </c>
      <c r="Y876" s="150" t="s">
        <v>332</v>
      </c>
      <c r="Z876" s="150" t="s">
        <v>334</v>
      </c>
      <c r="AA876" s="150" t="s">
        <v>26</v>
      </c>
      <c r="AB876" s="153">
        <v>8.9999999999999993E-3</v>
      </c>
      <c r="AC876" s="151"/>
      <c r="AD876" s="150"/>
      <c r="AE876" s="151"/>
      <c r="AF876" s="150" t="s">
        <v>70</v>
      </c>
      <c r="AG876" s="152" t="s">
        <v>337</v>
      </c>
      <c r="AH876" s="150" t="s">
        <v>326</v>
      </c>
      <c r="AI876" s="99"/>
      <c r="AJ876" s="149"/>
      <c r="AK876" s="99"/>
      <c r="AL876" s="149"/>
      <c r="AM876" s="99"/>
      <c r="AN876" s="149">
        <v>1</v>
      </c>
      <c r="AO876" s="149">
        <v>1</v>
      </c>
      <c r="AP876" s="149">
        <v>0</v>
      </c>
      <c r="AQ876" s="149">
        <v>0</v>
      </c>
      <c r="AR876" s="149">
        <v>0</v>
      </c>
      <c r="AS876" s="149">
        <v>0</v>
      </c>
      <c r="AT876" s="149">
        <v>0</v>
      </c>
      <c r="AU876" s="149">
        <v>1</v>
      </c>
      <c r="AV876" s="149">
        <v>1</v>
      </c>
      <c r="AW876" s="149">
        <v>0</v>
      </c>
      <c r="AX876" s="149">
        <v>0</v>
      </c>
      <c r="AY876" s="149">
        <v>0</v>
      </c>
      <c r="AZ876" s="149">
        <v>0</v>
      </c>
      <c r="BA876" s="149">
        <v>0</v>
      </c>
      <c r="BB876" s="149">
        <v>0</v>
      </c>
      <c r="BC876" s="149">
        <v>0</v>
      </c>
      <c r="BD876" s="149">
        <v>0</v>
      </c>
      <c r="BE876" s="149">
        <v>0</v>
      </c>
      <c r="BF876" s="149">
        <v>0</v>
      </c>
      <c r="BG876" s="149">
        <v>0</v>
      </c>
      <c r="BH876" s="149">
        <v>0</v>
      </c>
      <c r="BI876" s="149">
        <v>0</v>
      </c>
      <c r="BJ876" s="149">
        <v>0</v>
      </c>
      <c r="BK876" s="149">
        <v>0</v>
      </c>
      <c r="BL876" s="149">
        <v>0</v>
      </c>
      <c r="BM876" s="149">
        <v>0</v>
      </c>
      <c r="BN876" s="149">
        <v>0</v>
      </c>
      <c r="BO876" s="149">
        <v>0</v>
      </c>
      <c r="BP876" s="152"/>
      <c r="BQ876" s="152"/>
      <c r="BR876" s="154" t="s">
        <v>359</v>
      </c>
      <c r="BS876" s="136">
        <v>15</v>
      </c>
      <c r="BT876" s="267"/>
      <c r="BU876" s="267">
        <f t="shared" ref="BU876:BU881" si="130">M876/4</f>
        <v>0.5</v>
      </c>
      <c r="BV876" s="267">
        <f t="shared" si="127"/>
        <v>0.5</v>
      </c>
      <c r="BW876" s="267">
        <f t="shared" si="128"/>
        <v>0.5</v>
      </c>
      <c r="BX876" s="267">
        <f t="shared" si="129"/>
        <v>0.5</v>
      </c>
      <c r="BY876" s="267"/>
      <c r="BZ876" s="267"/>
      <c r="CA876" s="267"/>
      <c r="CB876" s="267"/>
      <c r="CC876" s="267"/>
      <c r="CD876" s="267"/>
      <c r="CE876" s="267"/>
      <c r="CF876" s="267"/>
      <c r="CG876" s="267"/>
      <c r="CH876" s="267"/>
      <c r="CI876" s="267"/>
      <c r="CJ876" s="267"/>
      <c r="CK876" s="267"/>
      <c r="CL876" s="267"/>
      <c r="CM876" s="267"/>
      <c r="CN876" s="101">
        <f t="shared" si="118"/>
        <v>2</v>
      </c>
      <c r="CO876" s="101">
        <f t="shared" si="119"/>
        <v>2</v>
      </c>
    </row>
    <row r="877" spans="1:93" ht="13.9" customHeight="1" x14ac:dyDescent="0.2">
      <c r="A877" s="138">
        <v>8055</v>
      </c>
      <c r="B877" s="137" t="s">
        <v>1216</v>
      </c>
      <c r="C877" s="137" t="s">
        <v>2493</v>
      </c>
      <c r="D877" s="137" t="s">
        <v>2494</v>
      </c>
      <c r="E877" s="137" t="s">
        <v>326</v>
      </c>
      <c r="F877" s="138">
        <v>529336</v>
      </c>
      <c r="G877" s="138">
        <v>171182</v>
      </c>
      <c r="H877" s="150" t="s">
        <v>163</v>
      </c>
      <c r="I877" s="140"/>
      <c r="J877" s="140"/>
      <c r="K877" s="138">
        <v>0</v>
      </c>
      <c r="L877" s="138">
        <v>2</v>
      </c>
      <c r="M877" s="138">
        <v>2</v>
      </c>
      <c r="N877" s="138">
        <v>2</v>
      </c>
      <c r="O877" s="138">
        <v>2</v>
      </c>
      <c r="P877" s="136"/>
      <c r="Q877" s="137" t="s">
        <v>2495</v>
      </c>
      <c r="R877" s="137" t="s">
        <v>427</v>
      </c>
      <c r="S877" s="140">
        <v>45293</v>
      </c>
      <c r="T877" s="140">
        <v>45329</v>
      </c>
      <c r="U877" s="152" t="s">
        <v>327</v>
      </c>
      <c r="V877" s="137" t="s">
        <v>330</v>
      </c>
      <c r="W877" s="140"/>
      <c r="X877" s="137" t="s">
        <v>331</v>
      </c>
      <c r="Y877" s="137" t="s">
        <v>332</v>
      </c>
      <c r="Z877" s="137" t="s">
        <v>334</v>
      </c>
      <c r="AA877" s="137" t="s">
        <v>26</v>
      </c>
      <c r="AB877" s="159">
        <v>8.9999999999999993E-3</v>
      </c>
      <c r="AC877" s="140"/>
      <c r="AD877" s="137"/>
      <c r="AE877" s="140"/>
      <c r="AF877" s="150" t="s">
        <v>70</v>
      </c>
      <c r="AG877" s="136" t="s">
        <v>337</v>
      </c>
      <c r="AH877" s="137" t="s">
        <v>326</v>
      </c>
      <c r="AI877" s="99"/>
      <c r="AJ877" s="138"/>
      <c r="AK877" s="99"/>
      <c r="AL877" s="138"/>
      <c r="AM877" s="99"/>
      <c r="AN877" s="138">
        <v>1</v>
      </c>
      <c r="AO877" s="138">
        <v>1</v>
      </c>
      <c r="AP877" s="138">
        <v>0</v>
      </c>
      <c r="AQ877" s="138">
        <v>0</v>
      </c>
      <c r="AR877" s="138">
        <v>0</v>
      </c>
      <c r="AS877" s="138">
        <v>0</v>
      </c>
      <c r="AT877" s="138">
        <v>0</v>
      </c>
      <c r="AU877" s="138">
        <v>1</v>
      </c>
      <c r="AV877" s="138">
        <v>1</v>
      </c>
      <c r="AW877" s="138">
        <v>0</v>
      </c>
      <c r="AX877" s="138">
        <v>0</v>
      </c>
      <c r="AY877" s="138">
        <v>0</v>
      </c>
      <c r="AZ877" s="138">
        <v>0</v>
      </c>
      <c r="BA877" s="138">
        <v>0</v>
      </c>
      <c r="BB877" s="138">
        <v>0</v>
      </c>
      <c r="BC877" s="138">
        <v>0</v>
      </c>
      <c r="BD877" s="138">
        <v>0</v>
      </c>
      <c r="BE877" s="138">
        <v>0</v>
      </c>
      <c r="BF877" s="138">
        <v>0</v>
      </c>
      <c r="BG877" s="138">
        <v>0</v>
      </c>
      <c r="BH877" s="138">
        <v>0</v>
      </c>
      <c r="BI877" s="138">
        <v>0</v>
      </c>
      <c r="BJ877" s="138">
        <v>0</v>
      </c>
      <c r="BK877" s="138">
        <v>0</v>
      </c>
      <c r="BL877" s="138">
        <v>0</v>
      </c>
      <c r="BM877" s="138">
        <v>0</v>
      </c>
      <c r="BN877" s="138">
        <v>0</v>
      </c>
      <c r="BO877" s="138">
        <v>0</v>
      </c>
      <c r="BP877" s="136"/>
      <c r="BQ877" s="152"/>
      <c r="BR877" s="154" t="s">
        <v>359</v>
      </c>
      <c r="BS877" s="136">
        <v>15</v>
      </c>
      <c r="BT877" s="267"/>
      <c r="BU877" s="267">
        <f t="shared" si="130"/>
        <v>0.5</v>
      </c>
      <c r="BV877" s="267">
        <f t="shared" si="127"/>
        <v>0.5</v>
      </c>
      <c r="BW877" s="267">
        <f t="shared" si="128"/>
        <v>0.5</v>
      </c>
      <c r="BX877" s="267">
        <f t="shared" si="129"/>
        <v>0.5</v>
      </c>
      <c r="BY877" s="267"/>
      <c r="BZ877" s="267"/>
      <c r="CA877" s="267"/>
      <c r="CB877" s="267"/>
      <c r="CC877" s="267"/>
      <c r="CD877" s="267"/>
      <c r="CE877" s="267"/>
      <c r="CF877" s="267"/>
      <c r="CG877" s="267"/>
      <c r="CH877" s="267"/>
      <c r="CI877" s="267"/>
      <c r="CJ877" s="267"/>
      <c r="CK877" s="267"/>
      <c r="CL877" s="267"/>
      <c r="CM877" s="267"/>
      <c r="CN877" s="101">
        <f t="shared" si="118"/>
        <v>2</v>
      </c>
      <c r="CO877" s="101">
        <f t="shared" si="119"/>
        <v>2</v>
      </c>
    </row>
    <row r="878" spans="1:93" ht="13.9" customHeight="1" x14ac:dyDescent="0.2">
      <c r="A878" s="138">
        <v>8096</v>
      </c>
      <c r="B878" s="137" t="s">
        <v>1216</v>
      </c>
      <c r="C878" s="137" t="s">
        <v>2496</v>
      </c>
      <c r="D878" s="137" t="s">
        <v>2497</v>
      </c>
      <c r="E878" s="137" t="s">
        <v>326</v>
      </c>
      <c r="F878" s="138">
        <v>522957</v>
      </c>
      <c r="G878" s="138">
        <v>175580</v>
      </c>
      <c r="H878" s="150" t="s">
        <v>171</v>
      </c>
      <c r="I878" s="140"/>
      <c r="J878" s="140"/>
      <c r="K878" s="138">
        <v>1</v>
      </c>
      <c r="L878" s="138">
        <v>1</v>
      </c>
      <c r="M878" s="138">
        <v>0</v>
      </c>
      <c r="N878" s="138">
        <v>1</v>
      </c>
      <c r="O878" s="138">
        <v>-2</v>
      </c>
      <c r="P878" s="152"/>
      <c r="Q878" s="137" t="s">
        <v>2498</v>
      </c>
      <c r="R878" s="137" t="s">
        <v>349</v>
      </c>
      <c r="S878" s="140">
        <v>45280</v>
      </c>
      <c r="T878" s="140">
        <v>45348</v>
      </c>
      <c r="U878" s="136" t="s">
        <v>327</v>
      </c>
      <c r="V878" s="137" t="s">
        <v>330</v>
      </c>
      <c r="W878" s="140"/>
      <c r="X878" s="137" t="s">
        <v>331</v>
      </c>
      <c r="Y878" s="137" t="s">
        <v>350</v>
      </c>
      <c r="Z878" s="137" t="s">
        <v>334</v>
      </c>
      <c r="AA878" s="137" t="s">
        <v>18</v>
      </c>
      <c r="AB878" s="159">
        <v>5.3206000000000003E-2</v>
      </c>
      <c r="AC878" s="140"/>
      <c r="AD878" s="137"/>
      <c r="AE878" s="140"/>
      <c r="AF878" s="150" t="s">
        <v>70</v>
      </c>
      <c r="AG878" s="136" t="s">
        <v>352</v>
      </c>
      <c r="AH878" s="137" t="s">
        <v>326</v>
      </c>
      <c r="AI878" s="99"/>
      <c r="AJ878" s="138"/>
      <c r="AK878" s="99"/>
      <c r="AL878" s="138"/>
      <c r="AM878" s="99"/>
      <c r="AN878" s="138">
        <v>0</v>
      </c>
      <c r="AO878" s="138">
        <v>0</v>
      </c>
      <c r="AP878" s="138">
        <v>0</v>
      </c>
      <c r="AQ878" s="138">
        <v>0</v>
      </c>
      <c r="AR878" s="138">
        <v>-1</v>
      </c>
      <c r="AS878" s="138">
        <v>1</v>
      </c>
      <c r="AT878" s="138">
        <v>0</v>
      </c>
      <c r="AU878" s="138">
        <v>0</v>
      </c>
      <c r="AV878" s="138">
        <v>0</v>
      </c>
      <c r="AW878" s="138">
        <v>0</v>
      </c>
      <c r="AX878" s="138">
        <v>0</v>
      </c>
      <c r="AY878" s="138">
        <v>-1</v>
      </c>
      <c r="AZ878" s="138">
        <v>0</v>
      </c>
      <c r="BA878" s="138">
        <v>0</v>
      </c>
      <c r="BB878" s="138">
        <v>0</v>
      </c>
      <c r="BC878" s="138">
        <v>0</v>
      </c>
      <c r="BD878" s="138">
        <v>0</v>
      </c>
      <c r="BE878" s="138">
        <v>0</v>
      </c>
      <c r="BF878" s="138">
        <v>0</v>
      </c>
      <c r="BG878" s="138">
        <v>1</v>
      </c>
      <c r="BH878" s="138">
        <v>0</v>
      </c>
      <c r="BI878" s="138">
        <v>0</v>
      </c>
      <c r="BJ878" s="138">
        <v>0</v>
      </c>
      <c r="BK878" s="138">
        <v>0</v>
      </c>
      <c r="BL878" s="138">
        <v>0</v>
      </c>
      <c r="BM878" s="138">
        <v>0</v>
      </c>
      <c r="BN878" s="138">
        <v>0</v>
      </c>
      <c r="BO878" s="138">
        <v>0</v>
      </c>
      <c r="BP878" s="136"/>
      <c r="BQ878" s="152"/>
      <c r="BR878" s="154" t="s">
        <v>359</v>
      </c>
      <c r="BS878" s="136">
        <v>15</v>
      </c>
      <c r="BT878" s="267"/>
      <c r="BU878" s="267">
        <f t="shared" si="130"/>
        <v>0</v>
      </c>
      <c r="BV878" s="267">
        <f t="shared" si="127"/>
        <v>0</v>
      </c>
      <c r="BW878" s="267">
        <f t="shared" si="128"/>
        <v>0</v>
      </c>
      <c r="BX878" s="267">
        <f t="shared" si="129"/>
        <v>0</v>
      </c>
      <c r="BY878" s="267"/>
      <c r="BZ878" s="267"/>
      <c r="CA878" s="267"/>
      <c r="CB878" s="267"/>
      <c r="CC878" s="267"/>
      <c r="CD878" s="267"/>
      <c r="CE878" s="267"/>
      <c r="CF878" s="267"/>
      <c r="CG878" s="267"/>
      <c r="CH878" s="267"/>
      <c r="CI878" s="267"/>
      <c r="CJ878" s="267"/>
      <c r="CK878" s="267"/>
      <c r="CL878" s="267"/>
      <c r="CM878" s="267"/>
      <c r="CN878" s="101">
        <f t="shared" si="118"/>
        <v>0</v>
      </c>
      <c r="CO878" s="101">
        <f t="shared" si="119"/>
        <v>0</v>
      </c>
    </row>
    <row r="879" spans="1:93" ht="13.9" customHeight="1" x14ac:dyDescent="0.2">
      <c r="A879" s="149">
        <v>8096</v>
      </c>
      <c r="B879" s="150" t="s">
        <v>1216</v>
      </c>
      <c r="C879" s="150" t="s">
        <v>2496</v>
      </c>
      <c r="D879" s="150" t="s">
        <v>2497</v>
      </c>
      <c r="E879" s="150" t="s">
        <v>326</v>
      </c>
      <c r="F879" s="149">
        <v>522957</v>
      </c>
      <c r="G879" s="149">
        <v>175580</v>
      </c>
      <c r="H879" s="150" t="s">
        <v>171</v>
      </c>
      <c r="I879" s="151"/>
      <c r="J879" s="151"/>
      <c r="K879" s="149">
        <v>2</v>
      </c>
      <c r="L879" s="149">
        <v>0</v>
      </c>
      <c r="M879" s="149">
        <v>-2</v>
      </c>
      <c r="N879" s="149">
        <v>1</v>
      </c>
      <c r="O879" s="149">
        <v>-2</v>
      </c>
      <c r="P879" s="152"/>
      <c r="Q879" s="150" t="s">
        <v>2498</v>
      </c>
      <c r="R879" s="150" t="s">
        <v>349</v>
      </c>
      <c r="S879" s="151">
        <v>45280</v>
      </c>
      <c r="T879" s="151">
        <v>45348</v>
      </c>
      <c r="U879" s="152" t="s">
        <v>327</v>
      </c>
      <c r="V879" s="150" t="s">
        <v>330</v>
      </c>
      <c r="W879" s="151"/>
      <c r="X879" s="150" t="s">
        <v>331</v>
      </c>
      <c r="Y879" s="150" t="s">
        <v>350</v>
      </c>
      <c r="Z879" s="150" t="s">
        <v>334</v>
      </c>
      <c r="AA879" s="150" t="s">
        <v>18</v>
      </c>
      <c r="AB879" s="153">
        <v>0</v>
      </c>
      <c r="AC879" s="151"/>
      <c r="AD879" s="150"/>
      <c r="AE879" s="151"/>
      <c r="AF879" s="150" t="s">
        <v>48</v>
      </c>
      <c r="AG879" s="152" t="s">
        <v>2182</v>
      </c>
      <c r="AH879" s="150" t="s">
        <v>326</v>
      </c>
      <c r="AI879" s="99"/>
      <c r="AJ879" s="138"/>
      <c r="AK879" s="99"/>
      <c r="AL879" s="138"/>
      <c r="AM879" s="99"/>
      <c r="AN879" s="149">
        <v>-1</v>
      </c>
      <c r="AO879" s="149">
        <v>-1</v>
      </c>
      <c r="AP879" s="149">
        <v>0</v>
      </c>
      <c r="AQ879" s="149">
        <v>0</v>
      </c>
      <c r="AR879" s="149">
        <v>0</v>
      </c>
      <c r="AS879" s="149">
        <v>0</v>
      </c>
      <c r="AT879" s="149">
        <v>0</v>
      </c>
      <c r="AU879" s="149">
        <v>-1</v>
      </c>
      <c r="AV879" s="149">
        <v>-1</v>
      </c>
      <c r="AW879" s="149">
        <v>0</v>
      </c>
      <c r="AX879" s="149">
        <v>0</v>
      </c>
      <c r="AY879" s="149">
        <v>0</v>
      </c>
      <c r="AZ879" s="149">
        <v>0</v>
      </c>
      <c r="BA879" s="149">
        <v>0</v>
      </c>
      <c r="BB879" s="149">
        <v>0</v>
      </c>
      <c r="BC879" s="149">
        <v>0</v>
      </c>
      <c r="BD879" s="149">
        <v>0</v>
      </c>
      <c r="BE879" s="149">
        <v>0</v>
      </c>
      <c r="BF879" s="149">
        <v>0</v>
      </c>
      <c r="BG879" s="149">
        <v>0</v>
      </c>
      <c r="BH879" s="149">
        <v>0</v>
      </c>
      <c r="BI879" s="149">
        <v>0</v>
      </c>
      <c r="BJ879" s="149">
        <v>0</v>
      </c>
      <c r="BK879" s="149">
        <v>0</v>
      </c>
      <c r="BL879" s="149">
        <v>0</v>
      </c>
      <c r="BM879" s="149">
        <v>0</v>
      </c>
      <c r="BN879" s="149">
        <v>0</v>
      </c>
      <c r="BO879" s="149">
        <v>0</v>
      </c>
      <c r="BP879" s="152"/>
      <c r="BQ879" s="152"/>
      <c r="BR879" s="154" t="s">
        <v>359</v>
      </c>
      <c r="BS879" s="136">
        <v>15</v>
      </c>
      <c r="BT879" s="267"/>
      <c r="BU879" s="267">
        <f t="shared" si="130"/>
        <v>-0.5</v>
      </c>
      <c r="BV879" s="267">
        <f t="shared" si="127"/>
        <v>-0.5</v>
      </c>
      <c r="BW879" s="267">
        <f t="shared" si="128"/>
        <v>-0.5</v>
      </c>
      <c r="BX879" s="267">
        <f t="shared" si="129"/>
        <v>-0.5</v>
      </c>
      <c r="BY879" s="267"/>
      <c r="BZ879" s="267"/>
      <c r="CA879" s="267"/>
      <c r="CB879" s="267"/>
      <c r="CC879" s="267"/>
      <c r="CD879" s="267"/>
      <c r="CE879" s="267"/>
      <c r="CF879" s="267"/>
      <c r="CG879" s="267"/>
      <c r="CH879" s="267"/>
      <c r="CI879" s="267"/>
      <c r="CJ879" s="267"/>
      <c r="CK879" s="267"/>
      <c r="CL879" s="267"/>
      <c r="CM879" s="267"/>
      <c r="CN879" s="101">
        <f t="shared" si="118"/>
        <v>-2</v>
      </c>
      <c r="CO879" s="101">
        <f t="shared" si="119"/>
        <v>-2</v>
      </c>
    </row>
    <row r="880" spans="1:93" ht="13.9" customHeight="1" x14ac:dyDescent="0.2">
      <c r="A880" s="149">
        <v>5218</v>
      </c>
      <c r="B880" s="150" t="s">
        <v>1216</v>
      </c>
      <c r="C880" s="150" t="s">
        <v>2499</v>
      </c>
      <c r="D880" s="150" t="s">
        <v>2500</v>
      </c>
      <c r="E880" s="150" t="s">
        <v>326</v>
      </c>
      <c r="F880" s="149">
        <v>529350</v>
      </c>
      <c r="G880" s="149">
        <v>171755</v>
      </c>
      <c r="H880" s="150" t="s">
        <v>163</v>
      </c>
      <c r="I880" s="151"/>
      <c r="J880" s="151"/>
      <c r="K880" s="149">
        <v>0</v>
      </c>
      <c r="L880" s="149">
        <v>1</v>
      </c>
      <c r="M880" s="149">
        <v>1</v>
      </c>
      <c r="N880" s="149">
        <v>1</v>
      </c>
      <c r="O880" s="149">
        <v>1</v>
      </c>
      <c r="P880" s="152"/>
      <c r="Q880" s="150" t="s">
        <v>2501</v>
      </c>
      <c r="R880" s="150" t="s">
        <v>349</v>
      </c>
      <c r="S880" s="151">
        <v>45313</v>
      </c>
      <c r="T880" s="151">
        <v>45369</v>
      </c>
      <c r="U880" s="152" t="s">
        <v>327</v>
      </c>
      <c r="V880" s="150" t="s">
        <v>330</v>
      </c>
      <c r="W880" s="151"/>
      <c r="X880" s="150" t="s">
        <v>331</v>
      </c>
      <c r="Y880" s="150" t="s">
        <v>350</v>
      </c>
      <c r="Z880" s="150" t="s">
        <v>334</v>
      </c>
      <c r="AA880" s="150" t="s">
        <v>23</v>
      </c>
      <c r="AB880" s="153">
        <v>0</v>
      </c>
      <c r="AC880" s="151"/>
      <c r="AD880" s="150"/>
      <c r="AE880" s="151"/>
      <c r="AF880" s="150" t="s">
        <v>70</v>
      </c>
      <c r="AG880" s="152" t="s">
        <v>337</v>
      </c>
      <c r="AH880" s="150" t="s">
        <v>326</v>
      </c>
      <c r="AI880" s="99"/>
      <c r="AJ880" s="149"/>
      <c r="AK880" s="99"/>
      <c r="AL880" s="149"/>
      <c r="AM880" s="99"/>
      <c r="AN880" s="149">
        <v>0</v>
      </c>
      <c r="AO880" s="149">
        <v>1</v>
      </c>
      <c r="AP880" s="149">
        <v>0</v>
      </c>
      <c r="AQ880" s="149">
        <v>0</v>
      </c>
      <c r="AR880" s="149">
        <v>0</v>
      </c>
      <c r="AS880" s="149">
        <v>0</v>
      </c>
      <c r="AT880" s="149">
        <v>0</v>
      </c>
      <c r="AU880" s="149">
        <v>0</v>
      </c>
      <c r="AV880" s="149">
        <v>1</v>
      </c>
      <c r="AW880" s="149">
        <v>0</v>
      </c>
      <c r="AX880" s="149">
        <v>0</v>
      </c>
      <c r="AY880" s="149">
        <v>0</v>
      </c>
      <c r="AZ880" s="149">
        <v>0</v>
      </c>
      <c r="BA880" s="149">
        <v>0</v>
      </c>
      <c r="BB880" s="149">
        <v>0</v>
      </c>
      <c r="BC880" s="149">
        <v>0</v>
      </c>
      <c r="BD880" s="149">
        <v>0</v>
      </c>
      <c r="BE880" s="149">
        <v>0</v>
      </c>
      <c r="BF880" s="149">
        <v>0</v>
      </c>
      <c r="BG880" s="149">
        <v>0</v>
      </c>
      <c r="BH880" s="149">
        <v>0</v>
      </c>
      <c r="BI880" s="149">
        <v>0</v>
      </c>
      <c r="BJ880" s="149">
        <v>0</v>
      </c>
      <c r="BK880" s="149">
        <v>0</v>
      </c>
      <c r="BL880" s="149">
        <v>0</v>
      </c>
      <c r="BM880" s="149">
        <v>0</v>
      </c>
      <c r="BN880" s="149">
        <v>0</v>
      </c>
      <c r="BO880" s="149">
        <v>0</v>
      </c>
      <c r="BP880" s="152"/>
      <c r="BQ880" s="152"/>
      <c r="BR880" s="154" t="s">
        <v>359</v>
      </c>
      <c r="BS880" s="136">
        <v>15</v>
      </c>
      <c r="BT880" s="267"/>
      <c r="BU880" s="267">
        <f t="shared" si="130"/>
        <v>0.25</v>
      </c>
      <c r="BV880" s="267">
        <f t="shared" si="127"/>
        <v>0.25</v>
      </c>
      <c r="BW880" s="267">
        <f t="shared" si="128"/>
        <v>0.25</v>
      </c>
      <c r="BX880" s="267">
        <f t="shared" si="129"/>
        <v>0.25</v>
      </c>
      <c r="BY880" s="267"/>
      <c r="BZ880" s="267"/>
      <c r="CA880" s="267"/>
      <c r="CB880" s="267"/>
      <c r="CC880" s="267"/>
      <c r="CD880" s="267"/>
      <c r="CE880" s="267"/>
      <c r="CF880" s="267"/>
      <c r="CG880" s="267"/>
      <c r="CH880" s="267"/>
      <c r="CI880" s="267"/>
      <c r="CJ880" s="267"/>
      <c r="CK880" s="267"/>
      <c r="CL880" s="267"/>
      <c r="CM880" s="267"/>
      <c r="CN880" s="101">
        <f t="shared" si="118"/>
        <v>1</v>
      </c>
      <c r="CO880" s="101">
        <f t="shared" si="119"/>
        <v>1</v>
      </c>
    </row>
    <row r="881" spans="1:93" ht="13.9" customHeight="1" x14ac:dyDescent="0.2">
      <c r="A881" s="149">
        <v>8108</v>
      </c>
      <c r="B881" s="150" t="s">
        <v>1216</v>
      </c>
      <c r="C881" s="150" t="s">
        <v>2502</v>
      </c>
      <c r="D881" s="150" t="s">
        <v>2503</v>
      </c>
      <c r="E881" s="150" t="s">
        <v>2504</v>
      </c>
      <c r="F881" s="149">
        <v>527895</v>
      </c>
      <c r="G881" s="149">
        <v>175352</v>
      </c>
      <c r="H881" s="150" t="s">
        <v>164</v>
      </c>
      <c r="I881" s="151"/>
      <c r="J881" s="151"/>
      <c r="K881" s="149">
        <v>1</v>
      </c>
      <c r="L881" s="149">
        <v>1</v>
      </c>
      <c r="M881" s="149">
        <v>0</v>
      </c>
      <c r="N881" s="149">
        <v>1</v>
      </c>
      <c r="O881" s="149">
        <v>0</v>
      </c>
      <c r="P881" s="152"/>
      <c r="Q881" s="150" t="s">
        <v>2505</v>
      </c>
      <c r="R881" s="150" t="s">
        <v>358</v>
      </c>
      <c r="S881" s="151">
        <v>45316</v>
      </c>
      <c r="T881" s="151">
        <v>45369</v>
      </c>
      <c r="U881" s="152" t="s">
        <v>327</v>
      </c>
      <c r="V881" s="150" t="s">
        <v>330</v>
      </c>
      <c r="W881" s="151"/>
      <c r="X881" s="150" t="s">
        <v>331</v>
      </c>
      <c r="Y881" s="150" t="s">
        <v>332</v>
      </c>
      <c r="Z881" s="150" t="s">
        <v>334</v>
      </c>
      <c r="AA881" s="150" t="s">
        <v>16</v>
      </c>
      <c r="AB881" s="153">
        <v>1.1512E-2</v>
      </c>
      <c r="AC881" s="151"/>
      <c r="AD881" s="150"/>
      <c r="AE881" s="151"/>
      <c r="AF881" s="150" t="s">
        <v>70</v>
      </c>
      <c r="AG881" s="152" t="s">
        <v>337</v>
      </c>
      <c r="AH881" s="150" t="s">
        <v>326</v>
      </c>
      <c r="AI881" s="99"/>
      <c r="AJ881" s="149"/>
      <c r="AK881" s="99"/>
      <c r="AL881" s="149"/>
      <c r="AM881" s="99"/>
      <c r="AN881" s="149">
        <v>0</v>
      </c>
      <c r="AO881" s="149">
        <v>0</v>
      </c>
      <c r="AP881" s="149">
        <v>0</v>
      </c>
      <c r="AQ881" s="149">
        <v>-1</v>
      </c>
      <c r="AR881" s="149">
        <v>0</v>
      </c>
      <c r="AS881" s="149">
        <v>1</v>
      </c>
      <c r="AT881" s="149">
        <v>0</v>
      </c>
      <c r="AU881" s="149">
        <v>0</v>
      </c>
      <c r="AV881" s="149">
        <v>0</v>
      </c>
      <c r="AW881" s="149">
        <v>0</v>
      </c>
      <c r="AX881" s="149">
        <v>0</v>
      </c>
      <c r="AY881" s="149">
        <v>0</v>
      </c>
      <c r="AZ881" s="149">
        <v>0</v>
      </c>
      <c r="BA881" s="149">
        <v>0</v>
      </c>
      <c r="BB881" s="149">
        <v>0</v>
      </c>
      <c r="BC881" s="149">
        <v>0</v>
      </c>
      <c r="BD881" s="149">
        <v>0</v>
      </c>
      <c r="BE881" s="149">
        <v>-1</v>
      </c>
      <c r="BF881" s="149">
        <v>0</v>
      </c>
      <c r="BG881" s="149">
        <v>1</v>
      </c>
      <c r="BH881" s="149">
        <v>0</v>
      </c>
      <c r="BI881" s="149">
        <v>0</v>
      </c>
      <c r="BJ881" s="149">
        <v>0</v>
      </c>
      <c r="BK881" s="149">
        <v>0</v>
      </c>
      <c r="BL881" s="149">
        <v>0</v>
      </c>
      <c r="BM881" s="149">
        <v>0</v>
      </c>
      <c r="BN881" s="149">
        <v>0</v>
      </c>
      <c r="BO881" s="149">
        <v>0</v>
      </c>
      <c r="BP881" s="152"/>
      <c r="BQ881" s="152"/>
      <c r="BR881" s="154" t="s">
        <v>148</v>
      </c>
      <c r="BS881" s="136">
        <v>15</v>
      </c>
      <c r="BT881" s="267"/>
      <c r="BU881" s="267">
        <f t="shared" si="130"/>
        <v>0</v>
      </c>
      <c r="BV881" s="267">
        <f t="shared" si="127"/>
        <v>0</v>
      </c>
      <c r="BW881" s="267">
        <f t="shared" si="128"/>
        <v>0</v>
      </c>
      <c r="BX881" s="267">
        <f t="shared" si="129"/>
        <v>0</v>
      </c>
      <c r="BY881" s="267"/>
      <c r="BZ881" s="267"/>
      <c r="CA881" s="267"/>
      <c r="CB881" s="267"/>
      <c r="CC881" s="267"/>
      <c r="CD881" s="267"/>
      <c r="CE881" s="267"/>
      <c r="CF881" s="267"/>
      <c r="CG881" s="267"/>
      <c r="CH881" s="267"/>
      <c r="CI881" s="267"/>
      <c r="CJ881" s="267"/>
      <c r="CK881" s="267"/>
      <c r="CL881" s="267"/>
      <c r="CM881" s="267"/>
      <c r="CN881" s="101">
        <f t="shared" si="118"/>
        <v>0</v>
      </c>
      <c r="CO881" s="101">
        <f t="shared" si="119"/>
        <v>0</v>
      </c>
    </row>
    <row r="882" spans="1:93" ht="13.9" customHeight="1" x14ac:dyDescent="0.2">
      <c r="A882" s="149">
        <v>2502</v>
      </c>
      <c r="B882" s="150" t="s">
        <v>2506</v>
      </c>
      <c r="C882" s="150" t="s">
        <v>2507</v>
      </c>
      <c r="D882" s="150" t="s">
        <v>508</v>
      </c>
      <c r="E882" s="150" t="s">
        <v>326</v>
      </c>
      <c r="F882" s="149">
        <v>527221</v>
      </c>
      <c r="G882" s="149">
        <v>172443</v>
      </c>
      <c r="H882" s="150" t="s">
        <v>176</v>
      </c>
      <c r="I882" s="151"/>
      <c r="J882" s="151"/>
      <c r="K882" s="149">
        <v>0</v>
      </c>
      <c r="L882" s="149">
        <v>32</v>
      </c>
      <c r="M882" s="149">
        <v>32</v>
      </c>
      <c r="N882" s="149">
        <v>32</v>
      </c>
      <c r="O882" s="149">
        <v>32</v>
      </c>
      <c r="P882" s="152" t="s">
        <v>327</v>
      </c>
      <c r="Q882" s="150" t="s">
        <v>2508</v>
      </c>
      <c r="R882" s="150" t="s">
        <v>2509</v>
      </c>
      <c r="S882" s="151">
        <v>44533</v>
      </c>
      <c r="T882" s="151"/>
      <c r="U882" s="152"/>
      <c r="V882" s="150" t="s">
        <v>330</v>
      </c>
      <c r="W882" s="151"/>
      <c r="X882" s="150" t="s">
        <v>331</v>
      </c>
      <c r="Y882" s="150" t="s">
        <v>350</v>
      </c>
      <c r="Z882" s="150" t="s">
        <v>1307</v>
      </c>
      <c r="AA882" s="150" t="s">
        <v>334</v>
      </c>
      <c r="AB882" s="153">
        <v>7.1199999999999999E-2</v>
      </c>
      <c r="AC882" s="151"/>
      <c r="AD882" s="150"/>
      <c r="AE882" s="151"/>
      <c r="AF882" s="150" t="s">
        <v>70</v>
      </c>
      <c r="AG882" s="152" t="s">
        <v>352</v>
      </c>
      <c r="AH882" s="150" t="s">
        <v>511</v>
      </c>
      <c r="AI882" s="99"/>
      <c r="AJ882" s="149"/>
      <c r="AK882" s="102"/>
      <c r="AL882" s="149"/>
      <c r="AM882" s="102"/>
      <c r="AN882" s="149">
        <v>0</v>
      </c>
      <c r="AO882" s="149">
        <v>10</v>
      </c>
      <c r="AP882" s="149">
        <v>16</v>
      </c>
      <c r="AQ882" s="149">
        <v>6</v>
      </c>
      <c r="AR882" s="149">
        <v>0</v>
      </c>
      <c r="AS882" s="149">
        <v>0</v>
      </c>
      <c r="AT882" s="149">
        <v>0</v>
      </c>
      <c r="AU882" s="149">
        <v>0</v>
      </c>
      <c r="AV882" s="149">
        <v>10</v>
      </c>
      <c r="AW882" s="149">
        <v>16</v>
      </c>
      <c r="AX882" s="149">
        <v>6</v>
      </c>
      <c r="AY882" s="149">
        <v>0</v>
      </c>
      <c r="AZ882" s="149">
        <v>0</v>
      </c>
      <c r="BA882" s="149">
        <v>0</v>
      </c>
      <c r="BB882" s="149">
        <v>0</v>
      </c>
      <c r="BC882" s="149">
        <v>0</v>
      </c>
      <c r="BD882" s="149">
        <v>0</v>
      </c>
      <c r="BE882" s="149">
        <v>0</v>
      </c>
      <c r="BF882" s="149">
        <v>0</v>
      </c>
      <c r="BG882" s="149">
        <v>0</v>
      </c>
      <c r="BH882" s="149">
        <v>0</v>
      </c>
      <c r="BI882" s="149">
        <v>0</v>
      </c>
      <c r="BJ882" s="149">
        <v>0</v>
      </c>
      <c r="BK882" s="149">
        <v>0</v>
      </c>
      <c r="BL882" s="149">
        <v>0</v>
      </c>
      <c r="BM882" s="149">
        <v>0</v>
      </c>
      <c r="BN882" s="149">
        <v>0</v>
      </c>
      <c r="BO882" s="149">
        <v>0</v>
      </c>
      <c r="BP882" s="152"/>
      <c r="BQ882" s="152"/>
      <c r="BR882" s="154" t="s">
        <v>359</v>
      </c>
      <c r="BS882" s="136">
        <v>17</v>
      </c>
      <c r="BT882" s="267"/>
      <c r="BU882" s="267"/>
      <c r="BV882" s="267"/>
      <c r="BW882" s="267"/>
      <c r="BX882" s="267"/>
      <c r="BY882" s="267"/>
      <c r="BZ882" s="267">
        <f>M882/4</f>
        <v>8</v>
      </c>
      <c r="CA882" s="267">
        <f>M882/4</f>
        <v>8</v>
      </c>
      <c r="CB882" s="267">
        <f>M882/4</f>
        <v>8</v>
      </c>
      <c r="CC882" s="267">
        <f>M882/4</f>
        <v>8</v>
      </c>
      <c r="CD882" s="267"/>
      <c r="CE882" s="267"/>
      <c r="CF882" s="267"/>
      <c r="CG882" s="267"/>
      <c r="CH882" s="267"/>
      <c r="CI882" s="267"/>
      <c r="CJ882" s="267"/>
      <c r="CK882" s="267"/>
      <c r="CL882" s="267"/>
      <c r="CM882" s="267"/>
      <c r="CN882" s="101">
        <f t="shared" si="118"/>
        <v>0</v>
      </c>
      <c r="CO882" s="101">
        <f t="shared" si="119"/>
        <v>32</v>
      </c>
    </row>
    <row r="883" spans="1:93" ht="13.9" customHeight="1" x14ac:dyDescent="0.2">
      <c r="A883" s="149">
        <v>7911</v>
      </c>
      <c r="B883" s="150" t="s">
        <v>2506</v>
      </c>
      <c r="C883" s="150" t="s">
        <v>2510</v>
      </c>
      <c r="D883" s="150" t="s">
        <v>2511</v>
      </c>
      <c r="E883" s="150" t="s">
        <v>326</v>
      </c>
      <c r="F883" s="149">
        <v>528292</v>
      </c>
      <c r="G883" s="149">
        <v>173674</v>
      </c>
      <c r="H883" s="150" t="s">
        <v>139</v>
      </c>
      <c r="I883" s="151"/>
      <c r="J883" s="151"/>
      <c r="K883" s="149">
        <v>0</v>
      </c>
      <c r="L883" s="149">
        <v>9</v>
      </c>
      <c r="M883" s="149">
        <v>9</v>
      </c>
      <c r="N883" s="149">
        <v>9</v>
      </c>
      <c r="O883" s="149">
        <v>9</v>
      </c>
      <c r="P883" s="152"/>
      <c r="Q883" s="150" t="s">
        <v>2512</v>
      </c>
      <c r="R883" s="150" t="s">
        <v>2509</v>
      </c>
      <c r="S883" s="151">
        <v>44860</v>
      </c>
      <c r="T883" s="151"/>
      <c r="U883" s="152"/>
      <c r="V883" s="150" t="s">
        <v>330</v>
      </c>
      <c r="W883" s="151"/>
      <c r="X883" s="150" t="s">
        <v>331</v>
      </c>
      <c r="Y883" s="150" t="s">
        <v>343</v>
      </c>
      <c r="Z883" s="150" t="s">
        <v>334</v>
      </c>
      <c r="AA883" s="150" t="s">
        <v>363</v>
      </c>
      <c r="AB883" s="153">
        <v>1.7299999999999999E-2</v>
      </c>
      <c r="AC883" s="151"/>
      <c r="AD883" s="150"/>
      <c r="AE883" s="151"/>
      <c r="AF883" s="150" t="s">
        <v>49</v>
      </c>
      <c r="AG883" s="152" t="s">
        <v>481</v>
      </c>
      <c r="AH883" s="150" t="s">
        <v>326</v>
      </c>
      <c r="AI883" s="99"/>
      <c r="AJ883" s="149"/>
      <c r="AK883" s="102"/>
      <c r="AL883" s="149"/>
      <c r="AM883" s="102"/>
      <c r="AN883" s="149">
        <v>8</v>
      </c>
      <c r="AO883" s="149">
        <v>1</v>
      </c>
      <c r="AP883" s="149">
        <v>0</v>
      </c>
      <c r="AQ883" s="149">
        <v>0</v>
      </c>
      <c r="AR883" s="149">
        <v>0</v>
      </c>
      <c r="AS883" s="149">
        <v>0</v>
      </c>
      <c r="AT883" s="149">
        <v>0</v>
      </c>
      <c r="AU883" s="149">
        <v>8</v>
      </c>
      <c r="AV883" s="149">
        <v>1</v>
      </c>
      <c r="AW883" s="149">
        <v>0</v>
      </c>
      <c r="AX883" s="149">
        <v>0</v>
      </c>
      <c r="AY883" s="149">
        <v>0</v>
      </c>
      <c r="AZ883" s="149">
        <v>0</v>
      </c>
      <c r="BA883" s="149">
        <v>0</v>
      </c>
      <c r="BB883" s="149">
        <v>0</v>
      </c>
      <c r="BC883" s="149">
        <v>0</v>
      </c>
      <c r="BD883" s="149">
        <v>0</v>
      </c>
      <c r="BE883" s="149">
        <v>0</v>
      </c>
      <c r="BF883" s="149">
        <v>0</v>
      </c>
      <c r="BG883" s="149">
        <v>0</v>
      </c>
      <c r="BH883" s="149">
        <v>0</v>
      </c>
      <c r="BI883" s="149">
        <v>0</v>
      </c>
      <c r="BJ883" s="149">
        <v>0</v>
      </c>
      <c r="BK883" s="149">
        <v>0</v>
      </c>
      <c r="BL883" s="149">
        <v>0</v>
      </c>
      <c r="BM883" s="149">
        <v>0</v>
      </c>
      <c r="BN883" s="149">
        <v>0</v>
      </c>
      <c r="BO883" s="149">
        <v>0</v>
      </c>
      <c r="BP883" s="152"/>
      <c r="BQ883" s="152"/>
      <c r="BR883" s="154" t="s">
        <v>359</v>
      </c>
      <c r="BS883" s="136">
        <v>9</v>
      </c>
      <c r="BT883" s="267"/>
      <c r="BU883" s="267"/>
      <c r="BV883" s="267"/>
      <c r="BW883" s="267"/>
      <c r="BX883" s="267"/>
      <c r="BY883" s="267"/>
      <c r="BZ883" s="267">
        <f>M883/3</f>
        <v>3</v>
      </c>
      <c r="CA883" s="267">
        <f>M883/3</f>
        <v>3</v>
      </c>
      <c r="CB883" s="267">
        <f>M883/3</f>
        <v>3</v>
      </c>
      <c r="CC883" s="267"/>
      <c r="CD883" s="267"/>
      <c r="CE883" s="267"/>
      <c r="CF883" s="267"/>
      <c r="CG883" s="267"/>
      <c r="CH883" s="267"/>
      <c r="CI883" s="267"/>
      <c r="CJ883" s="267"/>
      <c r="CK883" s="267"/>
      <c r="CL883" s="267"/>
      <c r="CM883" s="267"/>
      <c r="CN883" s="101">
        <f t="shared" si="118"/>
        <v>0</v>
      </c>
      <c r="CO883" s="101">
        <f t="shared" si="119"/>
        <v>9</v>
      </c>
    </row>
    <row r="884" spans="1:93" ht="13.9" customHeight="1" x14ac:dyDescent="0.2">
      <c r="A884" s="149">
        <v>7736</v>
      </c>
      <c r="B884" s="150" t="s">
        <v>2506</v>
      </c>
      <c r="C884" s="150" t="s">
        <v>2513</v>
      </c>
      <c r="D884" s="150" t="s">
        <v>2514</v>
      </c>
      <c r="E884" s="150" t="s">
        <v>2515</v>
      </c>
      <c r="F884" s="149">
        <v>526746</v>
      </c>
      <c r="G884" s="149">
        <v>176088</v>
      </c>
      <c r="H884" s="150" t="s">
        <v>170</v>
      </c>
      <c r="I884" s="151"/>
      <c r="J884" s="151"/>
      <c r="K884" s="149">
        <v>0</v>
      </c>
      <c r="L884" s="149">
        <v>28</v>
      </c>
      <c r="M884" s="149">
        <v>28</v>
      </c>
      <c r="N884" s="149">
        <v>294</v>
      </c>
      <c r="O884" s="149">
        <v>294</v>
      </c>
      <c r="P884" s="152" t="s">
        <v>327</v>
      </c>
      <c r="Q884" s="150" t="s">
        <v>2516</v>
      </c>
      <c r="R884" s="150" t="s">
        <v>2509</v>
      </c>
      <c r="S884" s="151">
        <v>44992</v>
      </c>
      <c r="T884" s="151"/>
      <c r="U884" s="152"/>
      <c r="V884" s="150" t="s">
        <v>330</v>
      </c>
      <c r="W884" s="151"/>
      <c r="X884" s="150" t="s">
        <v>331</v>
      </c>
      <c r="Y884" s="150" t="s">
        <v>343</v>
      </c>
      <c r="Z884" s="150" t="s">
        <v>343</v>
      </c>
      <c r="AA884" s="150" t="s">
        <v>334</v>
      </c>
      <c r="AB884" s="153">
        <v>1.2200000000000001E-2</v>
      </c>
      <c r="AC884" s="151"/>
      <c r="AD884" s="150"/>
      <c r="AE884" s="151"/>
      <c r="AF884" s="150" t="s">
        <v>48</v>
      </c>
      <c r="AG884" s="152" t="s">
        <v>389</v>
      </c>
      <c r="AH884" s="150" t="s">
        <v>326</v>
      </c>
      <c r="AI884" s="99"/>
      <c r="AJ884" s="149"/>
      <c r="AK884" s="149">
        <v>24</v>
      </c>
      <c r="AL884" s="149"/>
      <c r="AM884" s="149">
        <v>4</v>
      </c>
      <c r="AN884" s="149">
        <v>0</v>
      </c>
      <c r="AO884" s="149">
        <v>8</v>
      </c>
      <c r="AP884" s="149">
        <v>20</v>
      </c>
      <c r="AQ884" s="149">
        <v>0</v>
      </c>
      <c r="AR884" s="149">
        <v>0</v>
      </c>
      <c r="AS884" s="149">
        <v>0</v>
      </c>
      <c r="AT884" s="149">
        <v>0</v>
      </c>
      <c r="AU884" s="149">
        <v>0</v>
      </c>
      <c r="AV884" s="149">
        <v>8</v>
      </c>
      <c r="AW884" s="149">
        <v>20</v>
      </c>
      <c r="AX884" s="149">
        <v>0</v>
      </c>
      <c r="AY884" s="149">
        <v>0</v>
      </c>
      <c r="AZ884" s="149">
        <v>0</v>
      </c>
      <c r="BA884" s="149">
        <v>0</v>
      </c>
      <c r="BB884" s="149">
        <v>0</v>
      </c>
      <c r="BC884" s="149">
        <v>0</v>
      </c>
      <c r="BD884" s="149">
        <v>0</v>
      </c>
      <c r="BE884" s="149">
        <v>0</v>
      </c>
      <c r="BF884" s="149">
        <v>0</v>
      </c>
      <c r="BG884" s="149">
        <v>0</v>
      </c>
      <c r="BH884" s="149">
        <v>0</v>
      </c>
      <c r="BI884" s="149">
        <v>0</v>
      </c>
      <c r="BJ884" s="149">
        <v>0</v>
      </c>
      <c r="BK884" s="149">
        <v>0</v>
      </c>
      <c r="BL884" s="149">
        <v>0</v>
      </c>
      <c r="BM884" s="149">
        <v>0</v>
      </c>
      <c r="BN884" s="149">
        <v>0</v>
      </c>
      <c r="BO884" s="149">
        <v>0</v>
      </c>
      <c r="BP884" s="152"/>
      <c r="BQ884" s="152"/>
      <c r="BR884" s="154" t="s">
        <v>148</v>
      </c>
      <c r="BS884" s="136">
        <v>9</v>
      </c>
      <c r="BT884" s="267"/>
      <c r="BU884" s="267"/>
      <c r="BV884" s="267"/>
      <c r="BW884" s="267"/>
      <c r="BX884" s="267"/>
      <c r="BY884" s="267"/>
      <c r="BZ884" s="267">
        <f>M884/3</f>
        <v>9.3333333333333339</v>
      </c>
      <c r="CA884" s="267">
        <f>M884/3</f>
        <v>9.3333333333333339</v>
      </c>
      <c r="CB884" s="267">
        <f>M884/3</f>
        <v>9.3333333333333339</v>
      </c>
      <c r="CC884" s="267"/>
      <c r="CD884" s="267"/>
      <c r="CE884" s="267"/>
      <c r="CF884" s="267"/>
      <c r="CG884" s="267"/>
      <c r="CH884" s="267"/>
      <c r="CI884" s="267"/>
      <c r="CJ884" s="267"/>
      <c r="CK884" s="267"/>
      <c r="CL884" s="267"/>
      <c r="CM884" s="267"/>
      <c r="CN884" s="101">
        <f t="shared" si="118"/>
        <v>0</v>
      </c>
      <c r="CO884" s="101">
        <f t="shared" si="119"/>
        <v>28</v>
      </c>
    </row>
    <row r="885" spans="1:93" ht="13.9" customHeight="1" x14ac:dyDescent="0.2">
      <c r="A885" s="149">
        <v>7736</v>
      </c>
      <c r="B885" s="150" t="s">
        <v>2506</v>
      </c>
      <c r="C885" s="150" t="s">
        <v>2513</v>
      </c>
      <c r="D885" s="150" t="s">
        <v>2514</v>
      </c>
      <c r="E885" s="150" t="s">
        <v>2517</v>
      </c>
      <c r="F885" s="149">
        <v>526746</v>
      </c>
      <c r="G885" s="149">
        <v>176088</v>
      </c>
      <c r="H885" s="150" t="s">
        <v>170</v>
      </c>
      <c r="I885" s="151"/>
      <c r="J885" s="151"/>
      <c r="K885" s="149">
        <v>0</v>
      </c>
      <c r="L885" s="149">
        <v>62</v>
      </c>
      <c r="M885" s="149">
        <v>62</v>
      </c>
      <c r="N885" s="149">
        <v>294</v>
      </c>
      <c r="O885" s="149">
        <v>294</v>
      </c>
      <c r="P885" s="152" t="s">
        <v>327</v>
      </c>
      <c r="Q885" s="150" t="s">
        <v>2516</v>
      </c>
      <c r="R885" s="150" t="s">
        <v>2509</v>
      </c>
      <c r="S885" s="151">
        <v>44992</v>
      </c>
      <c r="T885" s="151"/>
      <c r="U885" s="152"/>
      <c r="V885" s="150" t="s">
        <v>330</v>
      </c>
      <c r="W885" s="151"/>
      <c r="X885" s="150" t="s">
        <v>331</v>
      </c>
      <c r="Y885" s="150" t="s">
        <v>343</v>
      </c>
      <c r="Z885" s="150" t="s">
        <v>343</v>
      </c>
      <c r="AA885" s="150" t="s">
        <v>334</v>
      </c>
      <c r="AB885" s="153">
        <v>2.7199999999999998E-2</v>
      </c>
      <c r="AC885" s="151"/>
      <c r="AD885" s="150"/>
      <c r="AE885" s="151"/>
      <c r="AF885" s="150" t="s">
        <v>49</v>
      </c>
      <c r="AG885" s="152" t="s">
        <v>481</v>
      </c>
      <c r="AH885" s="150" t="s">
        <v>326</v>
      </c>
      <c r="AI885" s="99"/>
      <c r="AJ885" s="149"/>
      <c r="AK885" s="138">
        <v>52</v>
      </c>
      <c r="AL885" s="149"/>
      <c r="AM885" s="138">
        <v>10</v>
      </c>
      <c r="AN885" s="149">
        <v>0</v>
      </c>
      <c r="AO885" s="149">
        <v>13</v>
      </c>
      <c r="AP885" s="149">
        <v>33</v>
      </c>
      <c r="AQ885" s="149">
        <v>16</v>
      </c>
      <c r="AR885" s="149">
        <v>0</v>
      </c>
      <c r="AS885" s="149">
        <v>0</v>
      </c>
      <c r="AT885" s="149">
        <v>0</v>
      </c>
      <c r="AU885" s="149">
        <v>0</v>
      </c>
      <c r="AV885" s="149">
        <v>13</v>
      </c>
      <c r="AW885" s="149">
        <v>33</v>
      </c>
      <c r="AX885" s="149">
        <v>16</v>
      </c>
      <c r="AY885" s="149">
        <v>0</v>
      </c>
      <c r="AZ885" s="149">
        <v>0</v>
      </c>
      <c r="BA885" s="149">
        <v>0</v>
      </c>
      <c r="BB885" s="149">
        <v>0</v>
      </c>
      <c r="BC885" s="149">
        <v>0</v>
      </c>
      <c r="BD885" s="149">
        <v>0</v>
      </c>
      <c r="BE885" s="149">
        <v>0</v>
      </c>
      <c r="BF885" s="149">
        <v>0</v>
      </c>
      <c r="BG885" s="149">
        <v>0</v>
      </c>
      <c r="BH885" s="149">
        <v>0</v>
      </c>
      <c r="BI885" s="149">
        <v>0</v>
      </c>
      <c r="BJ885" s="149">
        <v>0</v>
      </c>
      <c r="BK885" s="149">
        <v>0</v>
      </c>
      <c r="BL885" s="149">
        <v>0</v>
      </c>
      <c r="BM885" s="149">
        <v>0</v>
      </c>
      <c r="BN885" s="149">
        <v>0</v>
      </c>
      <c r="BO885" s="149">
        <v>0</v>
      </c>
      <c r="BP885" s="152"/>
      <c r="BQ885" s="152"/>
      <c r="BR885" s="154" t="s">
        <v>148</v>
      </c>
      <c r="BS885" s="136">
        <v>9</v>
      </c>
      <c r="BT885" s="267"/>
      <c r="BU885" s="267"/>
      <c r="BV885" s="267"/>
      <c r="BW885" s="267"/>
      <c r="BX885" s="267"/>
      <c r="BY885" s="267"/>
      <c r="BZ885" s="267">
        <f>M885/3</f>
        <v>20.666666666666668</v>
      </c>
      <c r="CA885" s="267">
        <f>M885/3</f>
        <v>20.666666666666668</v>
      </c>
      <c r="CB885" s="267">
        <f>M885/3</f>
        <v>20.666666666666668</v>
      </c>
      <c r="CC885" s="267"/>
      <c r="CD885" s="267"/>
      <c r="CE885" s="267"/>
      <c r="CF885" s="267"/>
      <c r="CG885" s="267"/>
      <c r="CH885" s="267"/>
      <c r="CI885" s="267"/>
      <c r="CJ885" s="267"/>
      <c r="CK885" s="267"/>
      <c r="CL885" s="267"/>
      <c r="CM885" s="267"/>
      <c r="CN885" s="101">
        <f t="shared" si="118"/>
        <v>0</v>
      </c>
      <c r="CO885" s="101">
        <f t="shared" si="119"/>
        <v>62</v>
      </c>
    </row>
    <row r="886" spans="1:93" ht="13.9" customHeight="1" x14ac:dyDescent="0.2">
      <c r="A886" s="149">
        <v>7736</v>
      </c>
      <c r="B886" s="150" t="s">
        <v>2506</v>
      </c>
      <c r="C886" s="150" t="s">
        <v>2513</v>
      </c>
      <c r="D886" s="150" t="s">
        <v>2514</v>
      </c>
      <c r="E886" s="150" t="s">
        <v>183</v>
      </c>
      <c r="F886" s="149">
        <v>526746</v>
      </c>
      <c r="G886" s="149">
        <v>176088</v>
      </c>
      <c r="H886" s="150" t="s">
        <v>170</v>
      </c>
      <c r="I886" s="151"/>
      <c r="J886" s="151"/>
      <c r="K886" s="149">
        <v>0</v>
      </c>
      <c r="L886" s="149">
        <v>204</v>
      </c>
      <c r="M886" s="149">
        <v>204</v>
      </c>
      <c r="N886" s="149">
        <v>294</v>
      </c>
      <c r="O886" s="149">
        <v>294</v>
      </c>
      <c r="P886" s="152" t="s">
        <v>327</v>
      </c>
      <c r="Q886" s="150" t="s">
        <v>2516</v>
      </c>
      <c r="R886" s="150" t="s">
        <v>2509</v>
      </c>
      <c r="S886" s="151">
        <v>44992</v>
      </c>
      <c r="T886" s="151"/>
      <c r="U886" s="152"/>
      <c r="V886" s="150" t="s">
        <v>330</v>
      </c>
      <c r="W886" s="151"/>
      <c r="X886" s="150" t="s">
        <v>331</v>
      </c>
      <c r="Y886" s="150" t="s">
        <v>343</v>
      </c>
      <c r="Z886" s="150" t="s">
        <v>343</v>
      </c>
      <c r="AA886" s="150" t="s">
        <v>334</v>
      </c>
      <c r="AB886" s="153">
        <v>8.9499999999999996E-2</v>
      </c>
      <c r="AC886" s="151"/>
      <c r="AD886" s="150"/>
      <c r="AE886" s="151"/>
      <c r="AF886" s="150" t="s">
        <v>70</v>
      </c>
      <c r="AG886" s="152" t="s">
        <v>337</v>
      </c>
      <c r="AH886" s="150" t="s">
        <v>326</v>
      </c>
      <c r="AI886" s="99"/>
      <c r="AJ886" s="149"/>
      <c r="AK886" s="138">
        <v>187</v>
      </c>
      <c r="AL886" s="149"/>
      <c r="AM886" s="138">
        <v>17</v>
      </c>
      <c r="AN886" s="149">
        <v>22</v>
      </c>
      <c r="AO886" s="149">
        <v>88</v>
      </c>
      <c r="AP886" s="149">
        <v>82</v>
      </c>
      <c r="AQ886" s="149">
        <v>12</v>
      </c>
      <c r="AR886" s="149">
        <v>0</v>
      </c>
      <c r="AS886" s="149">
        <v>0</v>
      </c>
      <c r="AT886" s="149">
        <v>0</v>
      </c>
      <c r="AU886" s="149">
        <v>22</v>
      </c>
      <c r="AV886" s="149">
        <v>88</v>
      </c>
      <c r="AW886" s="149">
        <v>82</v>
      </c>
      <c r="AX886" s="149">
        <v>12</v>
      </c>
      <c r="AY886" s="149">
        <v>0</v>
      </c>
      <c r="AZ886" s="149">
        <v>0</v>
      </c>
      <c r="BA886" s="149">
        <v>0</v>
      </c>
      <c r="BB886" s="149">
        <v>0</v>
      </c>
      <c r="BC886" s="149">
        <v>0</v>
      </c>
      <c r="BD886" s="149">
        <v>0</v>
      </c>
      <c r="BE886" s="149">
        <v>0</v>
      </c>
      <c r="BF886" s="149">
        <v>0</v>
      </c>
      <c r="BG886" s="149">
        <v>0</v>
      </c>
      <c r="BH886" s="149">
        <v>0</v>
      </c>
      <c r="BI886" s="149">
        <v>0</v>
      </c>
      <c r="BJ886" s="149">
        <v>0</v>
      </c>
      <c r="BK886" s="149">
        <v>0</v>
      </c>
      <c r="BL886" s="149">
        <v>0</v>
      </c>
      <c r="BM886" s="149">
        <v>0</v>
      </c>
      <c r="BN886" s="149">
        <v>0</v>
      </c>
      <c r="BO886" s="149">
        <v>0</v>
      </c>
      <c r="BP886" s="136"/>
      <c r="BQ886" s="136"/>
      <c r="BR886" s="154" t="s">
        <v>148</v>
      </c>
      <c r="BS886" s="136">
        <v>9</v>
      </c>
      <c r="BT886" s="267"/>
      <c r="BU886" s="267"/>
      <c r="BV886" s="267"/>
      <c r="BW886" s="267"/>
      <c r="BX886" s="267"/>
      <c r="BY886" s="267"/>
      <c r="BZ886" s="267">
        <f>M886/3</f>
        <v>68</v>
      </c>
      <c r="CA886" s="267">
        <f>M886/3</f>
        <v>68</v>
      </c>
      <c r="CB886" s="267">
        <f>M886/3</f>
        <v>68</v>
      </c>
      <c r="CC886" s="267"/>
      <c r="CD886" s="267"/>
      <c r="CE886" s="267"/>
      <c r="CF886" s="267"/>
      <c r="CG886" s="267"/>
      <c r="CH886" s="267"/>
      <c r="CI886" s="267"/>
      <c r="CJ886" s="267"/>
      <c r="CK886" s="267"/>
      <c r="CL886" s="267"/>
      <c r="CM886" s="267"/>
      <c r="CN886" s="101">
        <f t="shared" si="118"/>
        <v>0</v>
      </c>
      <c r="CO886" s="101">
        <f t="shared" si="119"/>
        <v>204</v>
      </c>
    </row>
    <row r="887" spans="1:93" ht="13.9" customHeight="1" x14ac:dyDescent="0.2">
      <c r="A887" s="149">
        <v>8087</v>
      </c>
      <c r="B887" s="150" t="s">
        <v>2506</v>
      </c>
      <c r="C887" s="150" t="s">
        <v>2518</v>
      </c>
      <c r="D887" s="150" t="s">
        <v>2519</v>
      </c>
      <c r="E887" s="150" t="s">
        <v>2520</v>
      </c>
      <c r="F887" s="149">
        <v>522170</v>
      </c>
      <c r="G887" s="149">
        <v>173469</v>
      </c>
      <c r="H887" s="150" t="s">
        <v>166</v>
      </c>
      <c r="I887" s="151"/>
      <c r="J887" s="151"/>
      <c r="K887" s="149">
        <v>0</v>
      </c>
      <c r="L887" s="149">
        <v>38</v>
      </c>
      <c r="M887" s="149">
        <v>38</v>
      </c>
      <c r="N887" s="149">
        <v>38</v>
      </c>
      <c r="O887" s="149">
        <v>38</v>
      </c>
      <c r="P887" s="152" t="s">
        <v>327</v>
      </c>
      <c r="Q887" s="150" t="s">
        <v>2521</v>
      </c>
      <c r="R887" s="150" t="s">
        <v>2509</v>
      </c>
      <c r="S887" s="151">
        <v>45279</v>
      </c>
      <c r="T887" s="151"/>
      <c r="U887" s="152"/>
      <c r="V887" s="150" t="s">
        <v>330</v>
      </c>
      <c r="W887" s="151"/>
      <c r="X887" s="150" t="s">
        <v>331</v>
      </c>
      <c r="Y887" s="150" t="s">
        <v>343</v>
      </c>
      <c r="Z887" s="150" t="s">
        <v>343</v>
      </c>
      <c r="AA887" s="150" t="s">
        <v>334</v>
      </c>
      <c r="AB887" s="153">
        <v>1.053879</v>
      </c>
      <c r="AC887" s="151"/>
      <c r="AD887" s="150"/>
      <c r="AE887" s="151"/>
      <c r="AF887" s="150" t="s">
        <v>49</v>
      </c>
      <c r="AG887" s="152" t="s">
        <v>383</v>
      </c>
      <c r="AH887" s="150" t="s">
        <v>326</v>
      </c>
      <c r="AI887" s="99"/>
      <c r="AJ887" s="149"/>
      <c r="AK887" s="99"/>
      <c r="AL887" s="149"/>
      <c r="AM887" s="99"/>
      <c r="AN887" s="149">
        <v>0</v>
      </c>
      <c r="AO887" s="149">
        <v>12</v>
      </c>
      <c r="AP887" s="149">
        <v>18</v>
      </c>
      <c r="AQ887" s="149">
        <v>8</v>
      </c>
      <c r="AR887" s="149">
        <v>0</v>
      </c>
      <c r="AS887" s="149">
        <v>0</v>
      </c>
      <c r="AT887" s="149">
        <v>0</v>
      </c>
      <c r="AU887" s="149">
        <v>0</v>
      </c>
      <c r="AV887" s="149">
        <v>12</v>
      </c>
      <c r="AW887" s="149">
        <v>18</v>
      </c>
      <c r="AX887" s="149">
        <v>8</v>
      </c>
      <c r="AY887" s="149">
        <v>0</v>
      </c>
      <c r="AZ887" s="149">
        <v>0</v>
      </c>
      <c r="BA887" s="149">
        <v>0</v>
      </c>
      <c r="BB887" s="149">
        <v>0</v>
      </c>
      <c r="BC887" s="149">
        <v>0</v>
      </c>
      <c r="BD887" s="149">
        <v>0</v>
      </c>
      <c r="BE887" s="149">
        <v>0</v>
      </c>
      <c r="BF887" s="149">
        <v>0</v>
      </c>
      <c r="BG887" s="149">
        <v>0</v>
      </c>
      <c r="BH887" s="149">
        <v>0</v>
      </c>
      <c r="BI887" s="149">
        <v>0</v>
      </c>
      <c r="BJ887" s="149">
        <v>0</v>
      </c>
      <c r="BK887" s="149">
        <v>0</v>
      </c>
      <c r="BL887" s="149">
        <v>0</v>
      </c>
      <c r="BM887" s="149">
        <v>0</v>
      </c>
      <c r="BN887" s="149">
        <v>0</v>
      </c>
      <c r="BO887" s="149">
        <v>0</v>
      </c>
      <c r="BP887" s="136"/>
      <c r="BQ887" s="136"/>
      <c r="BR887" s="154" t="s">
        <v>359</v>
      </c>
      <c r="BS887" s="136">
        <v>9</v>
      </c>
      <c r="BT887" s="267"/>
      <c r="BU887" s="267"/>
      <c r="BV887" s="267"/>
      <c r="BW887" s="267"/>
      <c r="BX887" s="267"/>
      <c r="BY887" s="267"/>
      <c r="BZ887" s="267">
        <f>M887/3</f>
        <v>12.666666666666666</v>
      </c>
      <c r="CA887" s="267">
        <f>M887/3</f>
        <v>12.666666666666666</v>
      </c>
      <c r="CB887" s="267">
        <f>M887/3</f>
        <v>12.666666666666666</v>
      </c>
      <c r="CC887" s="267"/>
      <c r="CD887" s="267"/>
      <c r="CE887" s="267"/>
      <c r="CF887" s="267"/>
      <c r="CG887" s="267"/>
      <c r="CH887" s="267"/>
      <c r="CI887" s="267"/>
      <c r="CJ887" s="267"/>
      <c r="CK887" s="267"/>
      <c r="CL887" s="267"/>
      <c r="CM887" s="267"/>
      <c r="CN887" s="101">
        <f t="shared" si="118"/>
        <v>0</v>
      </c>
      <c r="CO887" s="101">
        <f t="shared" si="119"/>
        <v>38</v>
      </c>
    </row>
    <row r="888" spans="1:93" ht="13.9" customHeight="1" x14ac:dyDescent="0.2">
      <c r="A888" s="149">
        <v>7571</v>
      </c>
      <c r="B888" s="150" t="s">
        <v>2522</v>
      </c>
      <c r="C888" s="150"/>
      <c r="D888" s="150" t="s">
        <v>2523</v>
      </c>
      <c r="E888" s="150"/>
      <c r="F888" s="149">
        <v>527351</v>
      </c>
      <c r="G888" s="149">
        <v>175329</v>
      </c>
      <c r="H888" s="150" t="s">
        <v>164</v>
      </c>
      <c r="I888" s="151"/>
      <c r="J888" s="151"/>
      <c r="K888" s="149">
        <v>0</v>
      </c>
      <c r="L888" s="149">
        <v>7</v>
      </c>
      <c r="M888" s="149">
        <v>7</v>
      </c>
      <c r="N888" s="149">
        <v>10</v>
      </c>
      <c r="O888" s="149">
        <v>10</v>
      </c>
      <c r="P888" s="152" t="s">
        <v>327</v>
      </c>
      <c r="Q888" s="150" t="s">
        <v>2524</v>
      </c>
      <c r="R888" s="150" t="s">
        <v>2525</v>
      </c>
      <c r="S888" s="151"/>
      <c r="T888" s="151"/>
      <c r="U888" s="152"/>
      <c r="V888" s="150" t="s">
        <v>330</v>
      </c>
      <c r="W888" s="151"/>
      <c r="X888" s="150" t="s">
        <v>331</v>
      </c>
      <c r="Y888" s="150" t="s">
        <v>343</v>
      </c>
      <c r="Z888" s="150" t="s">
        <v>343</v>
      </c>
      <c r="AA888" s="150" t="s">
        <v>334</v>
      </c>
      <c r="AB888" s="153">
        <v>0</v>
      </c>
      <c r="AC888" s="151"/>
      <c r="AD888" s="150"/>
      <c r="AE888" s="151"/>
      <c r="AF888" s="150" t="s">
        <v>70</v>
      </c>
      <c r="AG888" s="152" t="s">
        <v>352</v>
      </c>
      <c r="AH888" s="150" t="s">
        <v>2526</v>
      </c>
      <c r="AI888" s="99"/>
      <c r="AJ888" s="149">
        <v>0</v>
      </c>
      <c r="AK888" s="99">
        <v>0</v>
      </c>
      <c r="AL888" s="149">
        <v>0</v>
      </c>
      <c r="AM888" s="99">
        <v>0</v>
      </c>
      <c r="AN888" s="149">
        <v>0</v>
      </c>
      <c r="AO888" s="149">
        <v>0</v>
      </c>
      <c r="AP888" s="149">
        <v>0</v>
      </c>
      <c r="AQ888" s="149">
        <v>0</v>
      </c>
      <c r="AR888" s="149">
        <v>0</v>
      </c>
      <c r="AS888" s="149">
        <v>0</v>
      </c>
      <c r="AT888" s="149">
        <v>7</v>
      </c>
      <c r="AU888" s="149">
        <v>0</v>
      </c>
      <c r="AV888" s="149">
        <v>0</v>
      </c>
      <c r="AW888" s="149">
        <v>0</v>
      </c>
      <c r="AX888" s="149">
        <v>0</v>
      </c>
      <c r="AY888" s="149">
        <v>0</v>
      </c>
      <c r="AZ888" s="149">
        <v>0</v>
      </c>
      <c r="BA888" s="149">
        <v>7</v>
      </c>
      <c r="BB888" s="149">
        <v>0</v>
      </c>
      <c r="BC888" s="149">
        <v>0</v>
      </c>
      <c r="BD888" s="149">
        <v>0</v>
      </c>
      <c r="BE888" s="149">
        <v>0</v>
      </c>
      <c r="BF888" s="149">
        <v>0</v>
      </c>
      <c r="BG888" s="149">
        <v>0</v>
      </c>
      <c r="BH888" s="149">
        <v>0</v>
      </c>
      <c r="BI888" s="149">
        <v>0</v>
      </c>
      <c r="BJ888" s="149">
        <v>0</v>
      </c>
      <c r="BK888" s="149">
        <v>0</v>
      </c>
      <c r="BL888" s="149">
        <v>0</v>
      </c>
      <c r="BM888" s="149">
        <v>0</v>
      </c>
      <c r="BN888" s="149">
        <v>0</v>
      </c>
      <c r="BO888" s="149">
        <v>0</v>
      </c>
      <c r="BP888" s="136" t="s">
        <v>140</v>
      </c>
      <c r="BQ888" s="136"/>
      <c r="BR888" s="154" t="s">
        <v>148</v>
      </c>
      <c r="BS888" s="136">
        <v>19</v>
      </c>
      <c r="BT888" s="267"/>
      <c r="BU888" s="267"/>
      <c r="BV888" s="267"/>
      <c r="BW888" s="267">
        <f t="shared" ref="BW888:BW897" si="131">M888</f>
        <v>7</v>
      </c>
      <c r="BX888" s="267"/>
      <c r="BY888" s="267"/>
      <c r="BZ888" s="267"/>
      <c r="CA888" s="267"/>
      <c r="CB888" s="267"/>
      <c r="CC888" s="267"/>
      <c r="CD888" s="267"/>
      <c r="CE888" s="267"/>
      <c r="CF888" s="267"/>
      <c r="CG888" s="267"/>
      <c r="CH888" s="267"/>
      <c r="CI888" s="267"/>
      <c r="CJ888" s="267"/>
      <c r="CK888" s="267"/>
      <c r="CL888" s="267"/>
      <c r="CM888" s="267"/>
      <c r="CN888" s="101">
        <f t="shared" si="118"/>
        <v>7</v>
      </c>
      <c r="CO888" s="101">
        <f t="shared" si="119"/>
        <v>7</v>
      </c>
    </row>
    <row r="889" spans="1:93" ht="13.9" customHeight="1" x14ac:dyDescent="0.2">
      <c r="A889" s="149">
        <v>7571</v>
      </c>
      <c r="B889" s="150" t="s">
        <v>2522</v>
      </c>
      <c r="C889" s="150"/>
      <c r="D889" s="150" t="s">
        <v>2523</v>
      </c>
      <c r="E889" s="150"/>
      <c r="F889" s="149">
        <v>527351</v>
      </c>
      <c r="G889" s="149">
        <v>175329</v>
      </c>
      <c r="H889" s="150" t="s">
        <v>164</v>
      </c>
      <c r="I889" s="151"/>
      <c r="J889" s="151"/>
      <c r="K889" s="149">
        <v>0</v>
      </c>
      <c r="L889" s="149">
        <v>2</v>
      </c>
      <c r="M889" s="149">
        <v>2</v>
      </c>
      <c r="N889" s="149">
        <v>10</v>
      </c>
      <c r="O889" s="149">
        <v>10</v>
      </c>
      <c r="P889" s="152" t="s">
        <v>327</v>
      </c>
      <c r="Q889" s="150" t="s">
        <v>2524</v>
      </c>
      <c r="R889" s="150" t="s">
        <v>2525</v>
      </c>
      <c r="S889" s="151"/>
      <c r="T889" s="151"/>
      <c r="U889" s="152"/>
      <c r="V889" s="150" t="s">
        <v>330</v>
      </c>
      <c r="W889" s="151"/>
      <c r="X889" s="150" t="s">
        <v>331</v>
      </c>
      <c r="Y889" s="150" t="s">
        <v>343</v>
      </c>
      <c r="Z889" s="150" t="s">
        <v>343</v>
      </c>
      <c r="AA889" s="150" t="s">
        <v>334</v>
      </c>
      <c r="AB889" s="153">
        <v>0</v>
      </c>
      <c r="AC889" s="151"/>
      <c r="AD889" s="150"/>
      <c r="AE889" s="151"/>
      <c r="AF889" s="150" t="s">
        <v>49</v>
      </c>
      <c r="AG889" s="152" t="s">
        <v>470</v>
      </c>
      <c r="AH889" s="150" t="s">
        <v>2526</v>
      </c>
      <c r="AI889" s="99"/>
      <c r="AJ889" s="149">
        <v>0</v>
      </c>
      <c r="AK889" s="99">
        <v>0</v>
      </c>
      <c r="AL889" s="149">
        <v>0</v>
      </c>
      <c r="AM889" s="99">
        <v>0</v>
      </c>
      <c r="AN889" s="149">
        <v>0</v>
      </c>
      <c r="AO889" s="149">
        <v>0</v>
      </c>
      <c r="AP889" s="149">
        <v>0</v>
      </c>
      <c r="AQ889" s="149">
        <v>0</v>
      </c>
      <c r="AR889" s="149">
        <v>0</v>
      </c>
      <c r="AS889" s="149">
        <v>0</v>
      </c>
      <c r="AT889" s="149">
        <v>2</v>
      </c>
      <c r="AU889" s="149">
        <v>0</v>
      </c>
      <c r="AV889" s="149">
        <v>0</v>
      </c>
      <c r="AW889" s="149">
        <v>0</v>
      </c>
      <c r="AX889" s="149">
        <v>0</v>
      </c>
      <c r="AY889" s="149">
        <v>0</v>
      </c>
      <c r="AZ889" s="149">
        <v>0</v>
      </c>
      <c r="BA889" s="149">
        <v>2</v>
      </c>
      <c r="BB889" s="149">
        <v>0</v>
      </c>
      <c r="BC889" s="149">
        <v>0</v>
      </c>
      <c r="BD889" s="149">
        <v>0</v>
      </c>
      <c r="BE889" s="149">
        <v>0</v>
      </c>
      <c r="BF889" s="149">
        <v>0</v>
      </c>
      <c r="BG889" s="149">
        <v>0</v>
      </c>
      <c r="BH889" s="149">
        <v>0</v>
      </c>
      <c r="BI889" s="149">
        <v>0</v>
      </c>
      <c r="BJ889" s="149">
        <v>0</v>
      </c>
      <c r="BK889" s="149">
        <v>0</v>
      </c>
      <c r="BL889" s="149">
        <v>0</v>
      </c>
      <c r="BM889" s="149">
        <v>0</v>
      </c>
      <c r="BN889" s="149">
        <v>0</v>
      </c>
      <c r="BO889" s="149">
        <v>0</v>
      </c>
      <c r="BP889" s="136" t="s">
        <v>140</v>
      </c>
      <c r="BQ889" s="136"/>
      <c r="BR889" s="154" t="s">
        <v>148</v>
      </c>
      <c r="BS889" s="136">
        <v>19</v>
      </c>
      <c r="BT889" s="267"/>
      <c r="BU889" s="267"/>
      <c r="BV889" s="267"/>
      <c r="BW889" s="267">
        <f t="shared" si="131"/>
        <v>2</v>
      </c>
      <c r="BX889" s="267"/>
      <c r="BY889" s="267"/>
      <c r="BZ889" s="267"/>
      <c r="CA889" s="267"/>
      <c r="CB889" s="267"/>
      <c r="CC889" s="267"/>
      <c r="CD889" s="267"/>
      <c r="CE889" s="267"/>
      <c r="CF889" s="267"/>
      <c r="CG889" s="267"/>
      <c r="CH889" s="267"/>
      <c r="CI889" s="267"/>
      <c r="CJ889" s="267"/>
      <c r="CK889" s="267"/>
      <c r="CL889" s="267"/>
      <c r="CM889" s="267"/>
      <c r="CN889" s="101">
        <f t="shared" si="118"/>
        <v>2</v>
      </c>
      <c r="CO889" s="101">
        <f t="shared" si="119"/>
        <v>2</v>
      </c>
    </row>
    <row r="890" spans="1:93" ht="13.9" customHeight="1" x14ac:dyDescent="0.2">
      <c r="A890" s="149">
        <v>7571</v>
      </c>
      <c r="B890" s="150" t="s">
        <v>2522</v>
      </c>
      <c r="C890" s="150"/>
      <c r="D890" s="150" t="s">
        <v>2523</v>
      </c>
      <c r="E890" s="150"/>
      <c r="F890" s="149">
        <v>527351</v>
      </c>
      <c r="G890" s="149">
        <v>175329</v>
      </c>
      <c r="H890" s="150" t="s">
        <v>164</v>
      </c>
      <c r="I890" s="151"/>
      <c r="J890" s="151"/>
      <c r="K890" s="149">
        <v>0</v>
      </c>
      <c r="L890" s="149">
        <v>1</v>
      </c>
      <c r="M890" s="149">
        <v>1</v>
      </c>
      <c r="N890" s="149">
        <v>10</v>
      </c>
      <c r="O890" s="149">
        <v>10</v>
      </c>
      <c r="P890" s="152" t="s">
        <v>327</v>
      </c>
      <c r="Q890" s="150" t="s">
        <v>2524</v>
      </c>
      <c r="R890" s="150" t="s">
        <v>2525</v>
      </c>
      <c r="S890" s="151"/>
      <c r="T890" s="151"/>
      <c r="U890" s="152"/>
      <c r="V890" s="150" t="s">
        <v>330</v>
      </c>
      <c r="W890" s="151"/>
      <c r="X890" s="150" t="s">
        <v>331</v>
      </c>
      <c r="Y890" s="150" t="s">
        <v>343</v>
      </c>
      <c r="Z890" s="150" t="s">
        <v>343</v>
      </c>
      <c r="AA890" s="150" t="s">
        <v>334</v>
      </c>
      <c r="AB890" s="153">
        <v>0</v>
      </c>
      <c r="AC890" s="151"/>
      <c r="AD890" s="150"/>
      <c r="AE890" s="151"/>
      <c r="AF890" s="150" t="s">
        <v>48</v>
      </c>
      <c r="AG890" s="152" t="s">
        <v>992</v>
      </c>
      <c r="AH890" s="150" t="s">
        <v>2526</v>
      </c>
      <c r="AI890" s="99"/>
      <c r="AJ890" s="149">
        <v>0</v>
      </c>
      <c r="AK890" s="99">
        <v>0</v>
      </c>
      <c r="AL890" s="149">
        <v>0</v>
      </c>
      <c r="AM890" s="99">
        <v>0</v>
      </c>
      <c r="AN890" s="149">
        <v>0</v>
      </c>
      <c r="AO890" s="149">
        <v>0</v>
      </c>
      <c r="AP890" s="149">
        <v>0</v>
      </c>
      <c r="AQ890" s="149">
        <v>0</v>
      </c>
      <c r="AR890" s="149">
        <v>0</v>
      </c>
      <c r="AS890" s="149">
        <v>0</v>
      </c>
      <c r="AT890" s="149">
        <v>1</v>
      </c>
      <c r="AU890" s="149">
        <v>0</v>
      </c>
      <c r="AV890" s="149">
        <v>0</v>
      </c>
      <c r="AW890" s="149">
        <v>0</v>
      </c>
      <c r="AX890" s="149">
        <v>0</v>
      </c>
      <c r="AY890" s="149">
        <v>0</v>
      </c>
      <c r="AZ890" s="149">
        <v>0</v>
      </c>
      <c r="BA890" s="149">
        <v>1</v>
      </c>
      <c r="BB890" s="149">
        <v>0</v>
      </c>
      <c r="BC890" s="149">
        <v>0</v>
      </c>
      <c r="BD890" s="149">
        <v>0</v>
      </c>
      <c r="BE890" s="149">
        <v>0</v>
      </c>
      <c r="BF890" s="149">
        <v>0</v>
      </c>
      <c r="BG890" s="149">
        <v>0</v>
      </c>
      <c r="BH890" s="149">
        <v>0</v>
      </c>
      <c r="BI890" s="149">
        <v>0</v>
      </c>
      <c r="BJ890" s="149">
        <v>0</v>
      </c>
      <c r="BK890" s="149">
        <v>0</v>
      </c>
      <c r="BL890" s="149">
        <v>0</v>
      </c>
      <c r="BM890" s="149">
        <v>0</v>
      </c>
      <c r="BN890" s="149">
        <v>0</v>
      </c>
      <c r="BO890" s="149">
        <v>0</v>
      </c>
      <c r="BP890" s="136" t="s">
        <v>140</v>
      </c>
      <c r="BQ890" s="136"/>
      <c r="BR890" s="154" t="s">
        <v>148</v>
      </c>
      <c r="BS890" s="136">
        <v>19</v>
      </c>
      <c r="BT890" s="267"/>
      <c r="BU890" s="267"/>
      <c r="BV890" s="267"/>
      <c r="BW890" s="267">
        <f t="shared" si="131"/>
        <v>1</v>
      </c>
      <c r="BX890" s="267"/>
      <c r="BY890" s="267"/>
      <c r="BZ890" s="267"/>
      <c r="CA890" s="267"/>
      <c r="CB890" s="267"/>
      <c r="CC890" s="267"/>
      <c r="CD890" s="267"/>
      <c r="CE890" s="267"/>
      <c r="CF890" s="267"/>
      <c r="CG890" s="267"/>
      <c r="CH890" s="267"/>
      <c r="CI890" s="267"/>
      <c r="CJ890" s="267"/>
      <c r="CK890" s="267"/>
      <c r="CL890" s="267"/>
      <c r="CM890" s="267"/>
      <c r="CN890" s="101">
        <f t="shared" si="118"/>
        <v>1</v>
      </c>
      <c r="CO890" s="101">
        <f t="shared" si="119"/>
        <v>1</v>
      </c>
    </row>
    <row r="891" spans="1:93" ht="13.9" customHeight="1" x14ac:dyDescent="0.2">
      <c r="A891" s="149">
        <v>7572</v>
      </c>
      <c r="B891" s="150" t="s">
        <v>2522</v>
      </c>
      <c r="C891" s="150"/>
      <c r="D891" s="150" t="s">
        <v>2527</v>
      </c>
      <c r="E891" s="150"/>
      <c r="F891" s="149">
        <v>524096</v>
      </c>
      <c r="G891" s="149">
        <v>175411</v>
      </c>
      <c r="H891" s="150" t="s">
        <v>171</v>
      </c>
      <c r="I891" s="151"/>
      <c r="J891" s="151"/>
      <c r="K891" s="149">
        <v>0</v>
      </c>
      <c r="L891" s="149">
        <v>5</v>
      </c>
      <c r="M891" s="149">
        <v>5</v>
      </c>
      <c r="N891" s="149">
        <v>5</v>
      </c>
      <c r="O891" s="149">
        <v>5</v>
      </c>
      <c r="P891" s="152"/>
      <c r="Q891" s="150" t="s">
        <v>2524</v>
      </c>
      <c r="R891" s="150" t="s">
        <v>2525</v>
      </c>
      <c r="S891" s="151"/>
      <c r="T891" s="151"/>
      <c r="U891" s="152"/>
      <c r="V891" s="150" t="s">
        <v>330</v>
      </c>
      <c r="W891" s="151"/>
      <c r="X891" s="150" t="s">
        <v>331</v>
      </c>
      <c r="Y891" s="150" t="s">
        <v>343</v>
      </c>
      <c r="Z891" s="150" t="s">
        <v>334</v>
      </c>
      <c r="AA891" s="150" t="s">
        <v>363</v>
      </c>
      <c r="AB891" s="153">
        <v>0</v>
      </c>
      <c r="AC891" s="151"/>
      <c r="AD891" s="150"/>
      <c r="AE891" s="151"/>
      <c r="AF891" s="150" t="s">
        <v>70</v>
      </c>
      <c r="AG891" s="152" t="s">
        <v>352</v>
      </c>
      <c r="AH891" s="150" t="s">
        <v>2528</v>
      </c>
      <c r="AI891" s="99"/>
      <c r="AJ891" s="149">
        <v>0</v>
      </c>
      <c r="AK891" s="99">
        <v>0</v>
      </c>
      <c r="AL891" s="149">
        <v>0</v>
      </c>
      <c r="AM891" s="99">
        <v>0</v>
      </c>
      <c r="AN891" s="149">
        <v>0</v>
      </c>
      <c r="AO891" s="149">
        <v>0</v>
      </c>
      <c r="AP891" s="149">
        <v>0</v>
      </c>
      <c r="AQ891" s="149">
        <v>0</v>
      </c>
      <c r="AR891" s="149">
        <v>0</v>
      </c>
      <c r="AS891" s="149">
        <v>0</v>
      </c>
      <c r="AT891" s="149">
        <v>5</v>
      </c>
      <c r="AU891" s="149">
        <v>0</v>
      </c>
      <c r="AV891" s="149">
        <v>0</v>
      </c>
      <c r="AW891" s="149">
        <v>0</v>
      </c>
      <c r="AX891" s="149">
        <v>0</v>
      </c>
      <c r="AY891" s="149">
        <v>0</v>
      </c>
      <c r="AZ891" s="149">
        <v>0</v>
      </c>
      <c r="BA891" s="149">
        <v>5</v>
      </c>
      <c r="BB891" s="149">
        <v>0</v>
      </c>
      <c r="BC891" s="149">
        <v>0</v>
      </c>
      <c r="BD891" s="149">
        <v>0</v>
      </c>
      <c r="BE891" s="149">
        <v>0</v>
      </c>
      <c r="BF891" s="149">
        <v>0</v>
      </c>
      <c r="BG891" s="149">
        <v>0</v>
      </c>
      <c r="BH891" s="149">
        <v>0</v>
      </c>
      <c r="BI891" s="149">
        <v>0</v>
      </c>
      <c r="BJ891" s="149">
        <v>0</v>
      </c>
      <c r="BK891" s="149">
        <v>0</v>
      </c>
      <c r="BL891" s="149">
        <v>0</v>
      </c>
      <c r="BM891" s="149">
        <v>0</v>
      </c>
      <c r="BN891" s="149">
        <v>0</v>
      </c>
      <c r="BO891" s="149">
        <v>0</v>
      </c>
      <c r="BP891" s="136" t="s">
        <v>141</v>
      </c>
      <c r="BQ891" s="136"/>
      <c r="BR891" s="154" t="s">
        <v>141</v>
      </c>
      <c r="BS891" s="136">
        <v>19</v>
      </c>
      <c r="BT891" s="267"/>
      <c r="BU891" s="267"/>
      <c r="BV891" s="267"/>
      <c r="BW891" s="267">
        <f t="shared" si="131"/>
        <v>5</v>
      </c>
      <c r="BX891" s="267"/>
      <c r="BY891" s="267"/>
      <c r="BZ891" s="267"/>
      <c r="CA891" s="267"/>
      <c r="CB891" s="267"/>
      <c r="CC891" s="267"/>
      <c r="CD891" s="267"/>
      <c r="CE891" s="267"/>
      <c r="CF891" s="267"/>
      <c r="CG891" s="267"/>
      <c r="CH891" s="267"/>
      <c r="CI891" s="267"/>
      <c r="CJ891" s="267"/>
      <c r="CK891" s="267"/>
      <c r="CL891" s="267"/>
      <c r="CM891" s="267"/>
      <c r="CN891" s="101">
        <f t="shared" si="118"/>
        <v>5</v>
      </c>
      <c r="CO891" s="101">
        <f t="shared" si="119"/>
        <v>5</v>
      </c>
    </row>
    <row r="892" spans="1:93" ht="13.9" customHeight="1" x14ac:dyDescent="0.2">
      <c r="A892" s="149">
        <v>7386</v>
      </c>
      <c r="B892" s="150" t="s">
        <v>2522</v>
      </c>
      <c r="C892" s="150"/>
      <c r="D892" s="150" t="s">
        <v>2529</v>
      </c>
      <c r="E892" s="150"/>
      <c r="F892" s="149">
        <v>526944</v>
      </c>
      <c r="G892" s="149">
        <v>176965</v>
      </c>
      <c r="H892" s="150" t="s">
        <v>170</v>
      </c>
      <c r="I892" s="151"/>
      <c r="J892" s="151"/>
      <c r="K892" s="149">
        <v>0</v>
      </c>
      <c r="L892" s="149">
        <v>53</v>
      </c>
      <c r="M892" s="149">
        <v>53</v>
      </c>
      <c r="N892" s="149">
        <v>81</v>
      </c>
      <c r="O892" s="149">
        <v>81</v>
      </c>
      <c r="P892" s="152" t="s">
        <v>327</v>
      </c>
      <c r="Q892" s="150" t="s">
        <v>2524</v>
      </c>
      <c r="R892" s="150" t="s">
        <v>2525</v>
      </c>
      <c r="S892" s="151"/>
      <c r="T892" s="151"/>
      <c r="U892" s="152"/>
      <c r="V892" s="150" t="s">
        <v>330</v>
      </c>
      <c r="W892" s="151"/>
      <c r="X892" s="150" t="s">
        <v>331</v>
      </c>
      <c r="Y892" s="150" t="s">
        <v>343</v>
      </c>
      <c r="Z892" s="150" t="s">
        <v>343</v>
      </c>
      <c r="AA892" s="150" t="s">
        <v>334</v>
      </c>
      <c r="AB892" s="153">
        <v>0</v>
      </c>
      <c r="AC892" s="151"/>
      <c r="AD892" s="150"/>
      <c r="AE892" s="151"/>
      <c r="AF892" s="150" t="s">
        <v>70</v>
      </c>
      <c r="AG892" s="152" t="s">
        <v>352</v>
      </c>
      <c r="AH892" s="150" t="s">
        <v>2530</v>
      </c>
      <c r="AI892" s="99"/>
      <c r="AJ892" s="149">
        <v>0</v>
      </c>
      <c r="AK892" s="99">
        <v>0</v>
      </c>
      <c r="AL892" s="149">
        <v>0</v>
      </c>
      <c r="AM892" s="99">
        <v>0</v>
      </c>
      <c r="AN892" s="149">
        <v>0</v>
      </c>
      <c r="AO892" s="149">
        <v>0</v>
      </c>
      <c r="AP892" s="149">
        <v>0</v>
      </c>
      <c r="AQ892" s="149">
        <v>0</v>
      </c>
      <c r="AR892" s="149">
        <v>0</v>
      </c>
      <c r="AS892" s="149">
        <v>0</v>
      </c>
      <c r="AT892" s="149">
        <v>53</v>
      </c>
      <c r="AU892" s="149">
        <v>0</v>
      </c>
      <c r="AV892" s="149">
        <v>0</v>
      </c>
      <c r="AW892" s="149">
        <v>0</v>
      </c>
      <c r="AX892" s="149">
        <v>0</v>
      </c>
      <c r="AY892" s="149">
        <v>0</v>
      </c>
      <c r="AZ892" s="149">
        <v>0</v>
      </c>
      <c r="BA892" s="149">
        <v>53</v>
      </c>
      <c r="BB892" s="149">
        <v>0</v>
      </c>
      <c r="BC892" s="149">
        <v>0</v>
      </c>
      <c r="BD892" s="149">
        <v>0</v>
      </c>
      <c r="BE892" s="149">
        <v>0</v>
      </c>
      <c r="BF892" s="149">
        <v>0</v>
      </c>
      <c r="BG892" s="149">
        <v>0</v>
      </c>
      <c r="BH892" s="149">
        <v>0</v>
      </c>
      <c r="BI892" s="149">
        <v>0</v>
      </c>
      <c r="BJ892" s="149">
        <v>0</v>
      </c>
      <c r="BK892" s="149">
        <v>0</v>
      </c>
      <c r="BL892" s="149">
        <v>0</v>
      </c>
      <c r="BM892" s="149">
        <v>0</v>
      </c>
      <c r="BN892" s="149">
        <v>0</v>
      </c>
      <c r="BO892" s="149">
        <v>0</v>
      </c>
      <c r="BP892" s="136"/>
      <c r="BQ892" s="136"/>
      <c r="BR892" s="154" t="s">
        <v>408</v>
      </c>
      <c r="BS892" s="136">
        <v>19</v>
      </c>
      <c r="BT892" s="267"/>
      <c r="BU892" s="267"/>
      <c r="BV892" s="267"/>
      <c r="BW892" s="267">
        <f t="shared" si="131"/>
        <v>53</v>
      </c>
      <c r="BX892" s="267"/>
      <c r="BY892" s="267"/>
      <c r="BZ892" s="267"/>
      <c r="CA892" s="267"/>
      <c r="CB892" s="267"/>
      <c r="CC892" s="267"/>
      <c r="CD892" s="267"/>
      <c r="CE892" s="267"/>
      <c r="CF892" s="267"/>
      <c r="CG892" s="267"/>
      <c r="CH892" s="267"/>
      <c r="CI892" s="267"/>
      <c r="CJ892" s="267"/>
      <c r="CK892" s="267"/>
      <c r="CL892" s="267"/>
      <c r="CM892" s="267"/>
      <c r="CN892" s="101">
        <f t="shared" si="118"/>
        <v>53</v>
      </c>
      <c r="CO892" s="101">
        <f t="shared" si="119"/>
        <v>53</v>
      </c>
    </row>
    <row r="893" spans="1:93" ht="13.9" customHeight="1" x14ac:dyDescent="0.2">
      <c r="A893" s="149">
        <v>7386</v>
      </c>
      <c r="B893" s="150" t="s">
        <v>2522</v>
      </c>
      <c r="C893" s="150"/>
      <c r="D893" s="150" t="s">
        <v>2529</v>
      </c>
      <c r="E893" s="150"/>
      <c r="F893" s="149">
        <v>526944</v>
      </c>
      <c r="G893" s="149">
        <v>176965</v>
      </c>
      <c r="H893" s="150" t="s">
        <v>170</v>
      </c>
      <c r="I893" s="151"/>
      <c r="J893" s="151"/>
      <c r="K893" s="149">
        <v>0</v>
      </c>
      <c r="L893" s="149">
        <v>14</v>
      </c>
      <c r="M893" s="149">
        <v>14</v>
      </c>
      <c r="N893" s="149">
        <v>81</v>
      </c>
      <c r="O893" s="149">
        <v>81</v>
      </c>
      <c r="P893" s="152" t="s">
        <v>327</v>
      </c>
      <c r="Q893" s="150" t="s">
        <v>2524</v>
      </c>
      <c r="R893" s="150" t="s">
        <v>2525</v>
      </c>
      <c r="S893" s="151"/>
      <c r="T893" s="151"/>
      <c r="U893" s="152"/>
      <c r="V893" s="150" t="s">
        <v>330</v>
      </c>
      <c r="W893" s="151"/>
      <c r="X893" s="150" t="s">
        <v>331</v>
      </c>
      <c r="Y893" s="150" t="s">
        <v>343</v>
      </c>
      <c r="Z893" s="150" t="s">
        <v>343</v>
      </c>
      <c r="AA893" s="150" t="s">
        <v>334</v>
      </c>
      <c r="AB893" s="153">
        <v>0</v>
      </c>
      <c r="AC893" s="151"/>
      <c r="AD893" s="150"/>
      <c r="AE893" s="151"/>
      <c r="AF893" s="150" t="s">
        <v>49</v>
      </c>
      <c r="AG893" s="152" t="s">
        <v>470</v>
      </c>
      <c r="AH893" s="150" t="s">
        <v>2530</v>
      </c>
      <c r="AI893" s="99"/>
      <c r="AJ893" s="149">
        <v>0</v>
      </c>
      <c r="AK893" s="99">
        <v>0</v>
      </c>
      <c r="AL893" s="149">
        <v>0</v>
      </c>
      <c r="AM893" s="99">
        <v>0</v>
      </c>
      <c r="AN893" s="149">
        <v>0</v>
      </c>
      <c r="AO893" s="149">
        <v>0</v>
      </c>
      <c r="AP893" s="149">
        <v>0</v>
      </c>
      <c r="AQ893" s="149">
        <v>0</v>
      </c>
      <c r="AR893" s="149">
        <v>0</v>
      </c>
      <c r="AS893" s="149">
        <v>0</v>
      </c>
      <c r="AT893" s="149">
        <v>14</v>
      </c>
      <c r="AU893" s="149">
        <v>0</v>
      </c>
      <c r="AV893" s="149">
        <v>0</v>
      </c>
      <c r="AW893" s="149">
        <v>0</v>
      </c>
      <c r="AX893" s="149">
        <v>0</v>
      </c>
      <c r="AY893" s="149">
        <v>0</v>
      </c>
      <c r="AZ893" s="149">
        <v>0</v>
      </c>
      <c r="BA893" s="149">
        <v>14</v>
      </c>
      <c r="BB893" s="149">
        <v>0</v>
      </c>
      <c r="BC893" s="149">
        <v>0</v>
      </c>
      <c r="BD893" s="149">
        <v>0</v>
      </c>
      <c r="BE893" s="149">
        <v>0</v>
      </c>
      <c r="BF893" s="149">
        <v>0</v>
      </c>
      <c r="BG893" s="149">
        <v>0</v>
      </c>
      <c r="BH893" s="149">
        <v>0</v>
      </c>
      <c r="BI893" s="149">
        <v>0</v>
      </c>
      <c r="BJ893" s="149">
        <v>0</v>
      </c>
      <c r="BK893" s="149">
        <v>0</v>
      </c>
      <c r="BL893" s="149">
        <v>0</v>
      </c>
      <c r="BM893" s="149">
        <v>0</v>
      </c>
      <c r="BN893" s="149">
        <v>0</v>
      </c>
      <c r="BO893" s="149">
        <v>0</v>
      </c>
      <c r="BP893" s="136"/>
      <c r="BQ893" s="136"/>
      <c r="BR893" s="154" t="s">
        <v>408</v>
      </c>
      <c r="BS893" s="136">
        <v>19</v>
      </c>
      <c r="BT893" s="267"/>
      <c r="BU893" s="267"/>
      <c r="BV893" s="267"/>
      <c r="BW893" s="267">
        <f t="shared" si="131"/>
        <v>14</v>
      </c>
      <c r="BX893" s="267"/>
      <c r="BY893" s="267"/>
      <c r="BZ893" s="267"/>
      <c r="CA893" s="267"/>
      <c r="CB893" s="267"/>
      <c r="CC893" s="267"/>
      <c r="CD893" s="267"/>
      <c r="CE893" s="267"/>
      <c r="CF893" s="267"/>
      <c r="CG893" s="267"/>
      <c r="CH893" s="267"/>
      <c r="CI893" s="267"/>
      <c r="CJ893" s="267"/>
      <c r="CK893" s="267"/>
      <c r="CL893" s="267"/>
      <c r="CM893" s="267"/>
      <c r="CN893" s="101">
        <f t="shared" si="118"/>
        <v>14</v>
      </c>
      <c r="CO893" s="101">
        <f t="shared" si="119"/>
        <v>14</v>
      </c>
    </row>
    <row r="894" spans="1:93" ht="13.9" customHeight="1" x14ac:dyDescent="0.2">
      <c r="A894" s="149">
        <v>7386</v>
      </c>
      <c r="B894" s="150" t="s">
        <v>2522</v>
      </c>
      <c r="C894" s="150"/>
      <c r="D894" s="150" t="s">
        <v>2529</v>
      </c>
      <c r="E894" s="150"/>
      <c r="F894" s="149">
        <v>526944</v>
      </c>
      <c r="G894" s="149">
        <v>176965</v>
      </c>
      <c r="H894" s="150" t="s">
        <v>170</v>
      </c>
      <c r="I894" s="151"/>
      <c r="J894" s="151"/>
      <c r="K894" s="149">
        <v>0</v>
      </c>
      <c r="L894" s="149">
        <v>14</v>
      </c>
      <c r="M894" s="149">
        <v>14</v>
      </c>
      <c r="N894" s="149">
        <v>81</v>
      </c>
      <c r="O894" s="149">
        <v>81</v>
      </c>
      <c r="P894" s="152" t="s">
        <v>327</v>
      </c>
      <c r="Q894" s="150" t="s">
        <v>2524</v>
      </c>
      <c r="R894" s="150" t="s">
        <v>2525</v>
      </c>
      <c r="S894" s="151"/>
      <c r="T894" s="151"/>
      <c r="U894" s="152"/>
      <c r="V894" s="150" t="s">
        <v>330</v>
      </c>
      <c r="W894" s="151"/>
      <c r="X894" s="150" t="s">
        <v>331</v>
      </c>
      <c r="Y894" s="150" t="s">
        <v>343</v>
      </c>
      <c r="Z894" s="150" t="s">
        <v>343</v>
      </c>
      <c r="AA894" s="150" t="s">
        <v>334</v>
      </c>
      <c r="AB894" s="153">
        <v>0</v>
      </c>
      <c r="AC894" s="151"/>
      <c r="AD894" s="150"/>
      <c r="AE894" s="151"/>
      <c r="AF894" s="150" t="s">
        <v>48</v>
      </c>
      <c r="AG894" s="152" t="s">
        <v>992</v>
      </c>
      <c r="AH894" s="150" t="s">
        <v>2530</v>
      </c>
      <c r="AI894" s="99"/>
      <c r="AJ894" s="149">
        <v>0</v>
      </c>
      <c r="AK894" s="99">
        <v>0</v>
      </c>
      <c r="AL894" s="149">
        <v>0</v>
      </c>
      <c r="AM894" s="99">
        <v>0</v>
      </c>
      <c r="AN894" s="149">
        <v>0</v>
      </c>
      <c r="AO894" s="149">
        <v>0</v>
      </c>
      <c r="AP894" s="149">
        <v>0</v>
      </c>
      <c r="AQ894" s="149">
        <v>0</v>
      </c>
      <c r="AR894" s="149">
        <v>0</v>
      </c>
      <c r="AS894" s="149">
        <v>0</v>
      </c>
      <c r="AT894" s="149">
        <v>14</v>
      </c>
      <c r="AU894" s="149">
        <v>0</v>
      </c>
      <c r="AV894" s="149">
        <v>0</v>
      </c>
      <c r="AW894" s="149">
        <v>0</v>
      </c>
      <c r="AX894" s="149">
        <v>0</v>
      </c>
      <c r="AY894" s="149">
        <v>0</v>
      </c>
      <c r="AZ894" s="149">
        <v>0</v>
      </c>
      <c r="BA894" s="149">
        <v>14</v>
      </c>
      <c r="BB894" s="149">
        <v>0</v>
      </c>
      <c r="BC894" s="149">
        <v>0</v>
      </c>
      <c r="BD894" s="149">
        <v>0</v>
      </c>
      <c r="BE894" s="149">
        <v>0</v>
      </c>
      <c r="BF894" s="149">
        <v>0</v>
      </c>
      <c r="BG894" s="149">
        <v>0</v>
      </c>
      <c r="BH894" s="149">
        <v>0</v>
      </c>
      <c r="BI894" s="149">
        <v>0</v>
      </c>
      <c r="BJ894" s="149">
        <v>0</v>
      </c>
      <c r="BK894" s="149">
        <v>0</v>
      </c>
      <c r="BL894" s="149">
        <v>0</v>
      </c>
      <c r="BM894" s="149">
        <v>0</v>
      </c>
      <c r="BN894" s="149">
        <v>0</v>
      </c>
      <c r="BO894" s="149">
        <v>0</v>
      </c>
      <c r="BP894" s="136"/>
      <c r="BQ894" s="136"/>
      <c r="BR894" s="154" t="s">
        <v>408</v>
      </c>
      <c r="BS894" s="136">
        <v>19</v>
      </c>
      <c r="BT894" s="267"/>
      <c r="BU894" s="267"/>
      <c r="BV894" s="267"/>
      <c r="BW894" s="267">
        <f t="shared" si="131"/>
        <v>14</v>
      </c>
      <c r="BX894" s="267"/>
      <c r="BY894" s="267"/>
      <c r="BZ894" s="267"/>
      <c r="CA894" s="267"/>
      <c r="CB894" s="267"/>
      <c r="CC894" s="267"/>
      <c r="CD894" s="267"/>
      <c r="CE894" s="267"/>
      <c r="CF894" s="267"/>
      <c r="CG894" s="267"/>
      <c r="CH894" s="267"/>
      <c r="CI894" s="267"/>
      <c r="CJ894" s="267"/>
      <c r="CK894" s="267"/>
      <c r="CL894" s="267"/>
      <c r="CM894" s="267"/>
      <c r="CN894" s="101">
        <f t="shared" si="118"/>
        <v>14</v>
      </c>
      <c r="CO894" s="101">
        <f t="shared" si="119"/>
        <v>14</v>
      </c>
    </row>
    <row r="895" spans="1:93" ht="13.9" customHeight="1" x14ac:dyDescent="0.2">
      <c r="A895" s="149">
        <v>6899</v>
      </c>
      <c r="B895" s="150" t="s">
        <v>2522</v>
      </c>
      <c r="C895" s="150"/>
      <c r="D895" s="150" t="s">
        <v>2531</v>
      </c>
      <c r="E895" s="150"/>
      <c r="F895" s="149">
        <v>527207</v>
      </c>
      <c r="G895" s="149">
        <v>175690</v>
      </c>
      <c r="H895" s="150" t="s">
        <v>162</v>
      </c>
      <c r="I895" s="151"/>
      <c r="J895" s="151"/>
      <c r="K895" s="149">
        <v>0</v>
      </c>
      <c r="L895" s="149">
        <v>158</v>
      </c>
      <c r="M895" s="149">
        <v>158</v>
      </c>
      <c r="N895" s="149">
        <v>243</v>
      </c>
      <c r="O895" s="149">
        <v>243</v>
      </c>
      <c r="P895" s="152" t="s">
        <v>327</v>
      </c>
      <c r="Q895" s="150" t="s">
        <v>2524</v>
      </c>
      <c r="R895" s="150" t="s">
        <v>2525</v>
      </c>
      <c r="S895" s="151"/>
      <c r="T895" s="151"/>
      <c r="U895" s="152"/>
      <c r="V895" s="150" t="s">
        <v>330</v>
      </c>
      <c r="W895" s="151"/>
      <c r="X895" s="150" t="s">
        <v>331</v>
      </c>
      <c r="Y895" s="150" t="s">
        <v>343</v>
      </c>
      <c r="Z895" s="150" t="s">
        <v>343</v>
      </c>
      <c r="AA895" s="150" t="s">
        <v>334</v>
      </c>
      <c r="AB895" s="153">
        <v>0</v>
      </c>
      <c r="AC895" s="151"/>
      <c r="AD895" s="150"/>
      <c r="AE895" s="151"/>
      <c r="AF895" s="150" t="s">
        <v>70</v>
      </c>
      <c r="AG895" s="152" t="s">
        <v>352</v>
      </c>
      <c r="AH895" s="150" t="s">
        <v>2532</v>
      </c>
      <c r="AI895" s="99"/>
      <c r="AJ895" s="149">
        <v>0</v>
      </c>
      <c r="AK895" s="99">
        <v>0</v>
      </c>
      <c r="AL895" s="149">
        <v>0</v>
      </c>
      <c r="AM895" s="99">
        <v>0</v>
      </c>
      <c r="AN895" s="149">
        <v>0</v>
      </c>
      <c r="AO895" s="149">
        <v>0</v>
      </c>
      <c r="AP895" s="149">
        <v>0</v>
      </c>
      <c r="AQ895" s="149">
        <v>0</v>
      </c>
      <c r="AR895" s="149">
        <v>0</v>
      </c>
      <c r="AS895" s="149">
        <v>0</v>
      </c>
      <c r="AT895" s="149">
        <v>158</v>
      </c>
      <c r="AU895" s="149">
        <v>0</v>
      </c>
      <c r="AV895" s="149">
        <v>0</v>
      </c>
      <c r="AW895" s="149">
        <v>0</v>
      </c>
      <c r="AX895" s="149">
        <v>0</v>
      </c>
      <c r="AY895" s="149">
        <v>0</v>
      </c>
      <c r="AZ895" s="149">
        <v>0</v>
      </c>
      <c r="BA895" s="149">
        <v>158</v>
      </c>
      <c r="BB895" s="149">
        <v>0</v>
      </c>
      <c r="BC895" s="149">
        <v>0</v>
      </c>
      <c r="BD895" s="149">
        <v>0</v>
      </c>
      <c r="BE895" s="149">
        <v>0</v>
      </c>
      <c r="BF895" s="149">
        <v>0</v>
      </c>
      <c r="BG895" s="149">
        <v>0</v>
      </c>
      <c r="BH895" s="149">
        <v>0</v>
      </c>
      <c r="BI895" s="149">
        <v>0</v>
      </c>
      <c r="BJ895" s="149">
        <v>0</v>
      </c>
      <c r="BK895" s="149">
        <v>0</v>
      </c>
      <c r="BL895" s="149">
        <v>0</v>
      </c>
      <c r="BM895" s="149">
        <v>0</v>
      </c>
      <c r="BN895" s="149">
        <v>0</v>
      </c>
      <c r="BO895" s="149">
        <v>0</v>
      </c>
      <c r="BP895" s="136" t="s">
        <v>140</v>
      </c>
      <c r="BQ895" s="136"/>
      <c r="BR895" s="154" t="s">
        <v>148</v>
      </c>
      <c r="BS895" s="136">
        <v>19</v>
      </c>
      <c r="BT895" s="267"/>
      <c r="BU895" s="267"/>
      <c r="BV895" s="267"/>
      <c r="BW895" s="267">
        <f t="shared" si="131"/>
        <v>158</v>
      </c>
      <c r="BX895" s="267"/>
      <c r="BY895" s="267"/>
      <c r="BZ895" s="267"/>
      <c r="CA895" s="267"/>
      <c r="CB895" s="267"/>
      <c r="CC895" s="267"/>
      <c r="CD895" s="267"/>
      <c r="CE895" s="267"/>
      <c r="CF895" s="267"/>
      <c r="CG895" s="267"/>
      <c r="CH895" s="267"/>
      <c r="CI895" s="267"/>
      <c r="CJ895" s="267"/>
      <c r="CK895" s="267"/>
      <c r="CL895" s="267"/>
      <c r="CM895" s="267"/>
      <c r="CN895" s="101">
        <f t="shared" si="118"/>
        <v>158</v>
      </c>
      <c r="CO895" s="101">
        <f t="shared" si="119"/>
        <v>158</v>
      </c>
    </row>
    <row r="896" spans="1:93" ht="13.9" customHeight="1" x14ac:dyDescent="0.2">
      <c r="A896" s="149">
        <v>6899</v>
      </c>
      <c r="B896" s="150" t="s">
        <v>2522</v>
      </c>
      <c r="C896" s="150"/>
      <c r="D896" s="150" t="s">
        <v>2531</v>
      </c>
      <c r="E896" s="150"/>
      <c r="F896" s="149">
        <v>527207</v>
      </c>
      <c r="G896" s="149">
        <v>175690</v>
      </c>
      <c r="H896" s="150" t="s">
        <v>162</v>
      </c>
      <c r="I896" s="151"/>
      <c r="J896" s="151"/>
      <c r="K896" s="149">
        <v>0</v>
      </c>
      <c r="L896" s="149">
        <v>43</v>
      </c>
      <c r="M896" s="149">
        <v>43</v>
      </c>
      <c r="N896" s="149">
        <v>243</v>
      </c>
      <c r="O896" s="149">
        <v>243</v>
      </c>
      <c r="P896" s="152" t="s">
        <v>327</v>
      </c>
      <c r="Q896" s="150" t="s">
        <v>2524</v>
      </c>
      <c r="R896" s="150" t="s">
        <v>2525</v>
      </c>
      <c r="S896" s="151"/>
      <c r="T896" s="151"/>
      <c r="U896" s="152"/>
      <c r="V896" s="150" t="s">
        <v>330</v>
      </c>
      <c r="W896" s="151"/>
      <c r="X896" s="150" t="s">
        <v>331</v>
      </c>
      <c r="Y896" s="150" t="s">
        <v>343</v>
      </c>
      <c r="Z896" s="150" t="s">
        <v>343</v>
      </c>
      <c r="AA896" s="150" t="s">
        <v>334</v>
      </c>
      <c r="AB896" s="153">
        <v>0</v>
      </c>
      <c r="AC896" s="151"/>
      <c r="AD896" s="150"/>
      <c r="AE896" s="151"/>
      <c r="AF896" s="150" t="s">
        <v>49</v>
      </c>
      <c r="AG896" s="152" t="s">
        <v>470</v>
      </c>
      <c r="AH896" s="150" t="s">
        <v>2532</v>
      </c>
      <c r="AI896" s="99"/>
      <c r="AJ896" s="149">
        <v>0</v>
      </c>
      <c r="AK896" s="99">
        <v>0</v>
      </c>
      <c r="AL896" s="149">
        <v>0</v>
      </c>
      <c r="AM896" s="99">
        <v>0</v>
      </c>
      <c r="AN896" s="149">
        <v>0</v>
      </c>
      <c r="AO896" s="149">
        <v>0</v>
      </c>
      <c r="AP896" s="149">
        <v>0</v>
      </c>
      <c r="AQ896" s="149">
        <v>0</v>
      </c>
      <c r="AR896" s="149">
        <v>0</v>
      </c>
      <c r="AS896" s="149">
        <v>0</v>
      </c>
      <c r="AT896" s="149">
        <v>43</v>
      </c>
      <c r="AU896" s="149">
        <v>0</v>
      </c>
      <c r="AV896" s="149">
        <v>0</v>
      </c>
      <c r="AW896" s="149">
        <v>0</v>
      </c>
      <c r="AX896" s="149">
        <v>0</v>
      </c>
      <c r="AY896" s="149">
        <v>0</v>
      </c>
      <c r="AZ896" s="149">
        <v>0</v>
      </c>
      <c r="BA896" s="149">
        <v>43</v>
      </c>
      <c r="BB896" s="149">
        <v>0</v>
      </c>
      <c r="BC896" s="149">
        <v>0</v>
      </c>
      <c r="BD896" s="149">
        <v>0</v>
      </c>
      <c r="BE896" s="149">
        <v>0</v>
      </c>
      <c r="BF896" s="149">
        <v>0</v>
      </c>
      <c r="BG896" s="149">
        <v>0</v>
      </c>
      <c r="BH896" s="149">
        <v>0</v>
      </c>
      <c r="BI896" s="149">
        <v>0</v>
      </c>
      <c r="BJ896" s="149">
        <v>0</v>
      </c>
      <c r="BK896" s="149">
        <v>0</v>
      </c>
      <c r="BL896" s="149">
        <v>0</v>
      </c>
      <c r="BM896" s="149">
        <v>0</v>
      </c>
      <c r="BN896" s="149">
        <v>0</v>
      </c>
      <c r="BO896" s="149">
        <v>0</v>
      </c>
      <c r="BP896" s="136" t="s">
        <v>140</v>
      </c>
      <c r="BQ896" s="136"/>
      <c r="BR896" s="154" t="s">
        <v>148</v>
      </c>
      <c r="BS896" s="136">
        <v>19</v>
      </c>
      <c r="BT896" s="267"/>
      <c r="BU896" s="267"/>
      <c r="BV896" s="267"/>
      <c r="BW896" s="267">
        <f t="shared" si="131"/>
        <v>43</v>
      </c>
      <c r="BX896" s="267"/>
      <c r="BY896" s="267"/>
      <c r="BZ896" s="267"/>
      <c r="CA896" s="267"/>
      <c r="CB896" s="267"/>
      <c r="CC896" s="267"/>
      <c r="CD896" s="267"/>
      <c r="CE896" s="267"/>
      <c r="CF896" s="267"/>
      <c r="CG896" s="267"/>
      <c r="CH896" s="267"/>
      <c r="CI896" s="267"/>
      <c r="CJ896" s="267"/>
      <c r="CK896" s="267"/>
      <c r="CL896" s="267"/>
      <c r="CM896" s="267"/>
      <c r="CN896" s="101">
        <f t="shared" si="118"/>
        <v>43</v>
      </c>
      <c r="CO896" s="101">
        <f t="shared" si="119"/>
        <v>43</v>
      </c>
    </row>
    <row r="897" spans="1:93" ht="13.9" customHeight="1" x14ac:dyDescent="0.2">
      <c r="A897" s="149">
        <v>6899</v>
      </c>
      <c r="B897" s="150" t="s">
        <v>2522</v>
      </c>
      <c r="C897" s="150"/>
      <c r="D897" s="150" t="s">
        <v>2531</v>
      </c>
      <c r="E897" s="150"/>
      <c r="F897" s="149">
        <v>527207</v>
      </c>
      <c r="G897" s="149">
        <v>175690</v>
      </c>
      <c r="H897" s="150" t="s">
        <v>162</v>
      </c>
      <c r="I897" s="151"/>
      <c r="J897" s="151"/>
      <c r="K897" s="149">
        <v>0</v>
      </c>
      <c r="L897" s="149">
        <v>42</v>
      </c>
      <c r="M897" s="149">
        <v>42</v>
      </c>
      <c r="N897" s="149">
        <v>243</v>
      </c>
      <c r="O897" s="149">
        <v>243</v>
      </c>
      <c r="P897" s="152" t="s">
        <v>327</v>
      </c>
      <c r="Q897" s="150" t="s">
        <v>2524</v>
      </c>
      <c r="R897" s="150" t="s">
        <v>2525</v>
      </c>
      <c r="S897" s="151"/>
      <c r="T897" s="151"/>
      <c r="U897" s="152"/>
      <c r="V897" s="150" t="s">
        <v>330</v>
      </c>
      <c r="W897" s="151"/>
      <c r="X897" s="150" t="s">
        <v>331</v>
      </c>
      <c r="Y897" s="150" t="s">
        <v>343</v>
      </c>
      <c r="Z897" s="150" t="s">
        <v>343</v>
      </c>
      <c r="AA897" s="150" t="s">
        <v>334</v>
      </c>
      <c r="AB897" s="153">
        <v>0</v>
      </c>
      <c r="AC897" s="151"/>
      <c r="AD897" s="150"/>
      <c r="AE897" s="151"/>
      <c r="AF897" s="150" t="s">
        <v>48</v>
      </c>
      <c r="AG897" s="152" t="s">
        <v>992</v>
      </c>
      <c r="AH897" s="150" t="s">
        <v>2532</v>
      </c>
      <c r="AI897" s="99"/>
      <c r="AJ897" s="149">
        <v>0</v>
      </c>
      <c r="AK897" s="99">
        <v>0</v>
      </c>
      <c r="AL897" s="149">
        <v>0</v>
      </c>
      <c r="AM897" s="99">
        <v>0</v>
      </c>
      <c r="AN897" s="149">
        <v>0</v>
      </c>
      <c r="AO897" s="149">
        <v>0</v>
      </c>
      <c r="AP897" s="149">
        <v>0</v>
      </c>
      <c r="AQ897" s="149">
        <v>0</v>
      </c>
      <c r="AR897" s="149">
        <v>0</v>
      </c>
      <c r="AS897" s="149">
        <v>0</v>
      </c>
      <c r="AT897" s="149">
        <v>42</v>
      </c>
      <c r="AU897" s="149">
        <v>0</v>
      </c>
      <c r="AV897" s="149">
        <v>0</v>
      </c>
      <c r="AW897" s="149">
        <v>0</v>
      </c>
      <c r="AX897" s="149">
        <v>0</v>
      </c>
      <c r="AY897" s="149">
        <v>0</v>
      </c>
      <c r="AZ897" s="149">
        <v>0</v>
      </c>
      <c r="BA897" s="149">
        <v>42</v>
      </c>
      <c r="BB897" s="149">
        <v>0</v>
      </c>
      <c r="BC897" s="149">
        <v>0</v>
      </c>
      <c r="BD897" s="149">
        <v>0</v>
      </c>
      <c r="BE897" s="149">
        <v>0</v>
      </c>
      <c r="BF897" s="149">
        <v>0</v>
      </c>
      <c r="BG897" s="149">
        <v>0</v>
      </c>
      <c r="BH897" s="149">
        <v>0</v>
      </c>
      <c r="BI897" s="149">
        <v>0</v>
      </c>
      <c r="BJ897" s="149">
        <v>0</v>
      </c>
      <c r="BK897" s="149">
        <v>0</v>
      </c>
      <c r="BL897" s="149">
        <v>0</v>
      </c>
      <c r="BM897" s="149">
        <v>0</v>
      </c>
      <c r="BN897" s="149">
        <v>0</v>
      </c>
      <c r="BO897" s="149">
        <v>0</v>
      </c>
      <c r="BP897" s="136" t="s">
        <v>140</v>
      </c>
      <c r="BQ897" s="136"/>
      <c r="BR897" s="154" t="s">
        <v>148</v>
      </c>
      <c r="BS897" s="136">
        <v>19</v>
      </c>
      <c r="BT897" s="267"/>
      <c r="BU897" s="267"/>
      <c r="BV897" s="267"/>
      <c r="BW897" s="267">
        <f t="shared" si="131"/>
        <v>42</v>
      </c>
      <c r="BX897" s="267"/>
      <c r="BY897" s="267"/>
      <c r="BZ897" s="267"/>
      <c r="CA897" s="267"/>
      <c r="CB897" s="267"/>
      <c r="CC897" s="267"/>
      <c r="CD897" s="267"/>
      <c r="CE897" s="267"/>
      <c r="CF897" s="267"/>
      <c r="CG897" s="267"/>
      <c r="CH897" s="267"/>
      <c r="CI897" s="267"/>
      <c r="CJ897" s="267"/>
      <c r="CK897" s="267"/>
      <c r="CL897" s="267"/>
      <c r="CM897" s="267"/>
      <c r="CN897" s="101">
        <f t="shared" si="118"/>
        <v>42</v>
      </c>
      <c r="CO897" s="101">
        <f t="shared" si="119"/>
        <v>42</v>
      </c>
    </row>
    <row r="898" spans="1:93" ht="13.9" customHeight="1" x14ac:dyDescent="0.2">
      <c r="A898" s="149">
        <v>7541</v>
      </c>
      <c r="B898" s="150" t="s">
        <v>2522</v>
      </c>
      <c r="C898" s="150"/>
      <c r="D898" s="150" t="s">
        <v>2533</v>
      </c>
      <c r="E898" s="150"/>
      <c r="F898" s="149">
        <v>521608</v>
      </c>
      <c r="G898" s="149">
        <v>172378</v>
      </c>
      <c r="H898" s="150" t="s">
        <v>166</v>
      </c>
      <c r="I898" s="151"/>
      <c r="J898" s="151"/>
      <c r="K898" s="149">
        <v>0</v>
      </c>
      <c r="L898" s="149">
        <v>6</v>
      </c>
      <c r="M898" s="149">
        <v>6</v>
      </c>
      <c r="N898" s="149">
        <v>6</v>
      </c>
      <c r="O898" s="149">
        <v>6</v>
      </c>
      <c r="P898" s="152"/>
      <c r="Q898" s="150" t="s">
        <v>2524</v>
      </c>
      <c r="R898" s="150" t="s">
        <v>2525</v>
      </c>
      <c r="S898" s="151"/>
      <c r="T898" s="151"/>
      <c r="U898" s="152"/>
      <c r="V898" s="150" t="s">
        <v>330</v>
      </c>
      <c r="W898" s="151"/>
      <c r="X898" s="150" t="s">
        <v>331</v>
      </c>
      <c r="Y898" s="150" t="s">
        <v>343</v>
      </c>
      <c r="Z898" s="150" t="s">
        <v>334</v>
      </c>
      <c r="AA898" s="150" t="s">
        <v>363</v>
      </c>
      <c r="AB898" s="153">
        <v>0</v>
      </c>
      <c r="AC898" s="151"/>
      <c r="AD898" s="150"/>
      <c r="AE898" s="151"/>
      <c r="AF898" s="150" t="s">
        <v>70</v>
      </c>
      <c r="AG898" s="152" t="s">
        <v>352</v>
      </c>
      <c r="AH898" s="150"/>
      <c r="AI898" s="99"/>
      <c r="AJ898" s="149">
        <v>0</v>
      </c>
      <c r="AK898" s="99">
        <v>0</v>
      </c>
      <c r="AL898" s="149">
        <v>0</v>
      </c>
      <c r="AM898" s="99">
        <v>0</v>
      </c>
      <c r="AN898" s="149">
        <v>0</v>
      </c>
      <c r="AO898" s="149">
        <v>0</v>
      </c>
      <c r="AP898" s="149">
        <v>0</v>
      </c>
      <c r="AQ898" s="149">
        <v>0</v>
      </c>
      <c r="AR898" s="149">
        <v>0</v>
      </c>
      <c r="AS898" s="149">
        <v>0</v>
      </c>
      <c r="AT898" s="149">
        <v>6</v>
      </c>
      <c r="AU898" s="149">
        <v>0</v>
      </c>
      <c r="AV898" s="149">
        <v>0</v>
      </c>
      <c r="AW898" s="149">
        <v>0</v>
      </c>
      <c r="AX898" s="149">
        <v>0</v>
      </c>
      <c r="AY898" s="149">
        <v>0</v>
      </c>
      <c r="AZ898" s="149">
        <v>0</v>
      </c>
      <c r="BA898" s="149">
        <v>6</v>
      </c>
      <c r="BB898" s="149">
        <v>0</v>
      </c>
      <c r="BC898" s="149">
        <v>0</v>
      </c>
      <c r="BD898" s="149">
        <v>0</v>
      </c>
      <c r="BE898" s="149">
        <v>0</v>
      </c>
      <c r="BF898" s="149">
        <v>0</v>
      </c>
      <c r="BG898" s="149">
        <v>0</v>
      </c>
      <c r="BH898" s="149">
        <v>0</v>
      </c>
      <c r="BI898" s="149">
        <v>0</v>
      </c>
      <c r="BJ898" s="149">
        <v>0</v>
      </c>
      <c r="BK898" s="149">
        <v>0</v>
      </c>
      <c r="BL898" s="149">
        <v>0</v>
      </c>
      <c r="BM898" s="149">
        <v>0</v>
      </c>
      <c r="BN898" s="149">
        <v>0</v>
      </c>
      <c r="BO898" s="149">
        <v>0</v>
      </c>
      <c r="BP898" s="136"/>
      <c r="BQ898" s="136"/>
      <c r="BR898" s="154" t="s">
        <v>359</v>
      </c>
      <c r="BS898" s="136">
        <v>19</v>
      </c>
      <c r="BT898" s="267"/>
      <c r="BU898" s="267"/>
      <c r="BV898" s="267"/>
      <c r="BW898" s="267"/>
      <c r="BX898" s="267"/>
      <c r="BY898" s="267">
        <f>M898</f>
        <v>6</v>
      </c>
      <c r="BZ898" s="267"/>
      <c r="CA898" s="267"/>
      <c r="CB898" s="267"/>
      <c r="CC898" s="267"/>
      <c r="CD898" s="267"/>
      <c r="CE898" s="267"/>
      <c r="CF898" s="267"/>
      <c r="CG898" s="267"/>
      <c r="CH898" s="267"/>
      <c r="CI898" s="267"/>
      <c r="CJ898" s="267"/>
      <c r="CK898" s="267"/>
      <c r="CL898" s="267"/>
      <c r="CM898" s="267"/>
      <c r="CN898" s="101">
        <f t="shared" ref="CN898:CN961" si="132">SUM(BU898:BY898)</f>
        <v>6</v>
      </c>
      <c r="CO898" s="101">
        <f t="shared" ref="CO898:CO961" si="133">SUM(BU898:CD898)</f>
        <v>6</v>
      </c>
    </row>
    <row r="899" spans="1:93" ht="13.9" customHeight="1" x14ac:dyDescent="0.2">
      <c r="A899" s="149">
        <v>6867</v>
      </c>
      <c r="B899" s="150" t="s">
        <v>2522</v>
      </c>
      <c r="C899" s="150"/>
      <c r="D899" s="150" t="s">
        <v>2534</v>
      </c>
      <c r="E899" s="150"/>
      <c r="F899" s="149">
        <v>528331.56229999894</v>
      </c>
      <c r="G899" s="149">
        <v>176668.96749999901</v>
      </c>
      <c r="H899" s="150" t="s">
        <v>160</v>
      </c>
      <c r="I899" s="151"/>
      <c r="J899" s="151"/>
      <c r="K899" s="149">
        <v>0</v>
      </c>
      <c r="L899" s="149">
        <v>13</v>
      </c>
      <c r="M899" s="149">
        <v>13</v>
      </c>
      <c r="N899" s="149">
        <v>20</v>
      </c>
      <c r="O899" s="149">
        <v>20</v>
      </c>
      <c r="P899" s="152" t="s">
        <v>327</v>
      </c>
      <c r="Q899" s="150" t="s">
        <v>2524</v>
      </c>
      <c r="R899" s="150" t="s">
        <v>2525</v>
      </c>
      <c r="S899" s="151"/>
      <c r="T899" s="151"/>
      <c r="U899" s="152"/>
      <c r="V899" s="150" t="s">
        <v>330</v>
      </c>
      <c r="W899" s="151"/>
      <c r="X899" s="150" t="s">
        <v>331</v>
      </c>
      <c r="Y899" s="150" t="s">
        <v>343</v>
      </c>
      <c r="Z899" s="150" t="s">
        <v>343</v>
      </c>
      <c r="AA899" s="150" t="s">
        <v>334</v>
      </c>
      <c r="AB899" s="153">
        <v>0</v>
      </c>
      <c r="AC899" s="151"/>
      <c r="AD899" s="150"/>
      <c r="AE899" s="151"/>
      <c r="AF899" s="150" t="s">
        <v>70</v>
      </c>
      <c r="AG899" s="152" t="s">
        <v>352</v>
      </c>
      <c r="AH899" s="150" t="s">
        <v>2535</v>
      </c>
      <c r="AI899" s="99"/>
      <c r="AJ899" s="149">
        <v>0</v>
      </c>
      <c r="AK899" s="99">
        <v>0</v>
      </c>
      <c r="AL899" s="149">
        <v>0</v>
      </c>
      <c r="AM899" s="99">
        <v>0</v>
      </c>
      <c r="AN899" s="149">
        <v>0</v>
      </c>
      <c r="AO899" s="149">
        <v>0</v>
      </c>
      <c r="AP899" s="149">
        <v>0</v>
      </c>
      <c r="AQ899" s="149">
        <v>0</v>
      </c>
      <c r="AR899" s="149">
        <v>0</v>
      </c>
      <c r="AS899" s="149">
        <v>0</v>
      </c>
      <c r="AT899" s="149">
        <v>13</v>
      </c>
      <c r="AU899" s="149">
        <v>0</v>
      </c>
      <c r="AV899" s="149">
        <v>0</v>
      </c>
      <c r="AW899" s="149">
        <v>0</v>
      </c>
      <c r="AX899" s="149">
        <v>0</v>
      </c>
      <c r="AY899" s="149">
        <v>0</v>
      </c>
      <c r="AZ899" s="149">
        <v>0</v>
      </c>
      <c r="BA899" s="149">
        <v>13</v>
      </c>
      <c r="BB899" s="149">
        <v>0</v>
      </c>
      <c r="BC899" s="149">
        <v>0</v>
      </c>
      <c r="BD899" s="149">
        <v>0</v>
      </c>
      <c r="BE899" s="149">
        <v>0</v>
      </c>
      <c r="BF899" s="149">
        <v>0</v>
      </c>
      <c r="BG899" s="149">
        <v>0</v>
      </c>
      <c r="BH899" s="149">
        <v>0</v>
      </c>
      <c r="BI899" s="149">
        <v>0</v>
      </c>
      <c r="BJ899" s="149">
        <v>0</v>
      </c>
      <c r="BK899" s="149">
        <v>0</v>
      </c>
      <c r="BL899" s="149">
        <v>0</v>
      </c>
      <c r="BM899" s="149">
        <v>0</v>
      </c>
      <c r="BN899" s="149">
        <v>0</v>
      </c>
      <c r="BO899" s="149">
        <v>0</v>
      </c>
      <c r="BP899" s="136"/>
      <c r="BQ899" s="136"/>
      <c r="BR899" s="154" t="s">
        <v>359</v>
      </c>
      <c r="BS899" s="136">
        <v>19</v>
      </c>
      <c r="BT899" s="267"/>
      <c r="BU899" s="267"/>
      <c r="BV899" s="267"/>
      <c r="BW899" s="267"/>
      <c r="BX899" s="267"/>
      <c r="BY899" s="267"/>
      <c r="BZ899" s="267"/>
      <c r="CA899" s="267"/>
      <c r="CB899" s="267"/>
      <c r="CC899" s="267">
        <f>M899/12</f>
        <v>1.0833333333333333</v>
      </c>
      <c r="CD899" s="267">
        <f>M899/12</f>
        <v>1.0833333333333333</v>
      </c>
      <c r="CE899" s="267">
        <f>M899/12</f>
        <v>1.0833333333333333</v>
      </c>
      <c r="CF899" s="267">
        <f>M899/12</f>
        <v>1.0833333333333333</v>
      </c>
      <c r="CG899" s="267">
        <f>M899/12</f>
        <v>1.0833333333333333</v>
      </c>
      <c r="CH899" s="267">
        <f>M899/12</f>
        <v>1.0833333333333333</v>
      </c>
      <c r="CI899" s="267">
        <f>M899/12</f>
        <v>1.0833333333333333</v>
      </c>
      <c r="CJ899" s="267">
        <f>M899/12</f>
        <v>1.0833333333333333</v>
      </c>
      <c r="CK899" s="267">
        <f>M899/12</f>
        <v>1.0833333333333333</v>
      </c>
      <c r="CL899" s="267">
        <f>M899/12</f>
        <v>1.0833333333333333</v>
      </c>
      <c r="CM899" s="267">
        <f>M899/12</f>
        <v>1.0833333333333333</v>
      </c>
      <c r="CN899" s="101">
        <f t="shared" si="132"/>
        <v>0</v>
      </c>
      <c r="CO899" s="101">
        <f t="shared" si="133"/>
        <v>2.1666666666666665</v>
      </c>
    </row>
    <row r="900" spans="1:93" ht="13.9" customHeight="1" x14ac:dyDescent="0.2">
      <c r="A900" s="149">
        <v>6867</v>
      </c>
      <c r="B900" s="150" t="s">
        <v>2522</v>
      </c>
      <c r="C900" s="150"/>
      <c r="D900" s="150" t="s">
        <v>2534</v>
      </c>
      <c r="E900" s="150"/>
      <c r="F900" s="149">
        <v>528331.56229999894</v>
      </c>
      <c r="G900" s="149">
        <v>176668.96749999901</v>
      </c>
      <c r="H900" s="150" t="s">
        <v>160</v>
      </c>
      <c r="I900" s="151"/>
      <c r="J900" s="151"/>
      <c r="K900" s="149">
        <v>0</v>
      </c>
      <c r="L900" s="149">
        <v>4</v>
      </c>
      <c r="M900" s="149">
        <v>4</v>
      </c>
      <c r="N900" s="149">
        <v>20</v>
      </c>
      <c r="O900" s="149">
        <v>20</v>
      </c>
      <c r="P900" s="152" t="s">
        <v>327</v>
      </c>
      <c r="Q900" s="150" t="s">
        <v>2524</v>
      </c>
      <c r="R900" s="150" t="s">
        <v>2525</v>
      </c>
      <c r="S900" s="151"/>
      <c r="T900" s="151"/>
      <c r="U900" s="152"/>
      <c r="V900" s="150" t="s">
        <v>330</v>
      </c>
      <c r="W900" s="151"/>
      <c r="X900" s="150" t="s">
        <v>331</v>
      </c>
      <c r="Y900" s="150" t="s">
        <v>343</v>
      </c>
      <c r="Z900" s="150" t="s">
        <v>343</v>
      </c>
      <c r="AA900" s="150" t="s">
        <v>334</v>
      </c>
      <c r="AB900" s="153">
        <v>0</v>
      </c>
      <c r="AC900" s="151"/>
      <c r="AD900" s="150"/>
      <c r="AE900" s="151"/>
      <c r="AF900" s="150" t="s">
        <v>49</v>
      </c>
      <c r="AG900" s="152" t="s">
        <v>470</v>
      </c>
      <c r="AH900" s="150" t="s">
        <v>2535</v>
      </c>
      <c r="AI900" s="99"/>
      <c r="AJ900" s="149">
        <v>0</v>
      </c>
      <c r="AK900" s="99">
        <v>0</v>
      </c>
      <c r="AL900" s="149">
        <v>0</v>
      </c>
      <c r="AM900" s="99">
        <v>0</v>
      </c>
      <c r="AN900" s="149">
        <v>0</v>
      </c>
      <c r="AO900" s="149">
        <v>0</v>
      </c>
      <c r="AP900" s="149">
        <v>0</v>
      </c>
      <c r="AQ900" s="149">
        <v>0</v>
      </c>
      <c r="AR900" s="149">
        <v>0</v>
      </c>
      <c r="AS900" s="149">
        <v>0</v>
      </c>
      <c r="AT900" s="149">
        <v>4</v>
      </c>
      <c r="AU900" s="149">
        <v>0</v>
      </c>
      <c r="AV900" s="149">
        <v>0</v>
      </c>
      <c r="AW900" s="149">
        <v>0</v>
      </c>
      <c r="AX900" s="149">
        <v>0</v>
      </c>
      <c r="AY900" s="149">
        <v>0</v>
      </c>
      <c r="AZ900" s="149">
        <v>0</v>
      </c>
      <c r="BA900" s="149">
        <v>4</v>
      </c>
      <c r="BB900" s="149">
        <v>0</v>
      </c>
      <c r="BC900" s="149">
        <v>0</v>
      </c>
      <c r="BD900" s="149">
        <v>0</v>
      </c>
      <c r="BE900" s="149">
        <v>0</v>
      </c>
      <c r="BF900" s="149">
        <v>0</v>
      </c>
      <c r="BG900" s="149">
        <v>0</v>
      </c>
      <c r="BH900" s="149">
        <v>0</v>
      </c>
      <c r="BI900" s="149">
        <v>0</v>
      </c>
      <c r="BJ900" s="149">
        <v>0</v>
      </c>
      <c r="BK900" s="149">
        <v>0</v>
      </c>
      <c r="BL900" s="149">
        <v>0</v>
      </c>
      <c r="BM900" s="149">
        <v>0</v>
      </c>
      <c r="BN900" s="149">
        <v>0</v>
      </c>
      <c r="BO900" s="149">
        <v>0</v>
      </c>
      <c r="BP900" s="136"/>
      <c r="BQ900" s="136"/>
      <c r="BR900" s="154" t="s">
        <v>359</v>
      </c>
      <c r="BS900" s="136">
        <v>19</v>
      </c>
      <c r="BT900" s="267"/>
      <c r="BU900" s="267"/>
      <c r="BV900" s="267"/>
      <c r="BW900" s="267"/>
      <c r="BX900" s="267"/>
      <c r="BY900" s="267"/>
      <c r="BZ900" s="267"/>
      <c r="CA900" s="267"/>
      <c r="CB900" s="267"/>
      <c r="CC900" s="267">
        <f>M900/12</f>
        <v>0.33333333333333331</v>
      </c>
      <c r="CD900" s="267">
        <f>M900/12</f>
        <v>0.33333333333333331</v>
      </c>
      <c r="CE900" s="267">
        <f>M900/12</f>
        <v>0.33333333333333331</v>
      </c>
      <c r="CF900" s="267">
        <f>M900/12</f>
        <v>0.33333333333333331</v>
      </c>
      <c r="CG900" s="267">
        <f>M900/12</f>
        <v>0.33333333333333331</v>
      </c>
      <c r="CH900" s="267">
        <f>M900/12</f>
        <v>0.33333333333333331</v>
      </c>
      <c r="CI900" s="267">
        <f>M900/12</f>
        <v>0.33333333333333331</v>
      </c>
      <c r="CJ900" s="267">
        <f>M900/12</f>
        <v>0.33333333333333331</v>
      </c>
      <c r="CK900" s="267">
        <f>M900/12</f>
        <v>0.33333333333333331</v>
      </c>
      <c r="CL900" s="267">
        <f>M900/12</f>
        <v>0.33333333333333331</v>
      </c>
      <c r="CM900" s="267">
        <f>M900/12</f>
        <v>0.33333333333333331</v>
      </c>
      <c r="CN900" s="101">
        <f t="shared" si="132"/>
        <v>0</v>
      </c>
      <c r="CO900" s="101">
        <f t="shared" si="133"/>
        <v>0.66666666666666663</v>
      </c>
    </row>
    <row r="901" spans="1:93" ht="13.9" customHeight="1" x14ac:dyDescent="0.2">
      <c r="A901" s="149">
        <v>6867</v>
      </c>
      <c r="B901" s="150" t="s">
        <v>2522</v>
      </c>
      <c r="C901" s="150"/>
      <c r="D901" s="150" t="s">
        <v>2534</v>
      </c>
      <c r="E901" s="150"/>
      <c r="F901" s="149">
        <v>528331.56229999894</v>
      </c>
      <c r="G901" s="149">
        <v>176668.96749999901</v>
      </c>
      <c r="H901" s="150" t="s">
        <v>160</v>
      </c>
      <c r="I901" s="151"/>
      <c r="J901" s="151"/>
      <c r="K901" s="149">
        <v>0</v>
      </c>
      <c r="L901" s="149">
        <v>3</v>
      </c>
      <c r="M901" s="149">
        <v>3</v>
      </c>
      <c r="N901" s="149">
        <v>20</v>
      </c>
      <c r="O901" s="149">
        <v>20</v>
      </c>
      <c r="P901" s="152" t="s">
        <v>327</v>
      </c>
      <c r="Q901" s="150" t="s">
        <v>2524</v>
      </c>
      <c r="R901" s="150" t="s">
        <v>2525</v>
      </c>
      <c r="S901" s="151"/>
      <c r="T901" s="151"/>
      <c r="U901" s="152"/>
      <c r="V901" s="150" t="s">
        <v>330</v>
      </c>
      <c r="W901" s="151"/>
      <c r="X901" s="150" t="s">
        <v>331</v>
      </c>
      <c r="Y901" s="150" t="s">
        <v>343</v>
      </c>
      <c r="Z901" s="150" t="s">
        <v>343</v>
      </c>
      <c r="AA901" s="150" t="s">
        <v>334</v>
      </c>
      <c r="AB901" s="153">
        <v>0</v>
      </c>
      <c r="AC901" s="151"/>
      <c r="AD901" s="150"/>
      <c r="AE901" s="151"/>
      <c r="AF901" s="150" t="s">
        <v>48</v>
      </c>
      <c r="AG901" s="152" t="s">
        <v>992</v>
      </c>
      <c r="AH901" s="150" t="s">
        <v>2535</v>
      </c>
      <c r="AI901" s="99"/>
      <c r="AJ901" s="149">
        <v>0</v>
      </c>
      <c r="AK901" s="99">
        <v>0</v>
      </c>
      <c r="AL901" s="149">
        <v>0</v>
      </c>
      <c r="AM901" s="99">
        <v>0</v>
      </c>
      <c r="AN901" s="149">
        <v>0</v>
      </c>
      <c r="AO901" s="149">
        <v>0</v>
      </c>
      <c r="AP901" s="149">
        <v>0</v>
      </c>
      <c r="AQ901" s="149">
        <v>0</v>
      </c>
      <c r="AR901" s="149">
        <v>0</v>
      </c>
      <c r="AS901" s="149">
        <v>0</v>
      </c>
      <c r="AT901" s="149">
        <v>3</v>
      </c>
      <c r="AU901" s="149">
        <v>0</v>
      </c>
      <c r="AV901" s="149">
        <v>0</v>
      </c>
      <c r="AW901" s="149">
        <v>0</v>
      </c>
      <c r="AX901" s="149">
        <v>0</v>
      </c>
      <c r="AY901" s="149">
        <v>0</v>
      </c>
      <c r="AZ901" s="149">
        <v>0</v>
      </c>
      <c r="BA901" s="149">
        <v>3</v>
      </c>
      <c r="BB901" s="149">
        <v>0</v>
      </c>
      <c r="BC901" s="149">
        <v>0</v>
      </c>
      <c r="BD901" s="149">
        <v>0</v>
      </c>
      <c r="BE901" s="149">
        <v>0</v>
      </c>
      <c r="BF901" s="149">
        <v>0</v>
      </c>
      <c r="BG901" s="149">
        <v>0</v>
      </c>
      <c r="BH901" s="149">
        <v>0</v>
      </c>
      <c r="BI901" s="149">
        <v>0</v>
      </c>
      <c r="BJ901" s="149">
        <v>0</v>
      </c>
      <c r="BK901" s="149">
        <v>0</v>
      </c>
      <c r="BL901" s="149">
        <v>0</v>
      </c>
      <c r="BM901" s="149">
        <v>0</v>
      </c>
      <c r="BN901" s="149">
        <v>0</v>
      </c>
      <c r="BO901" s="149">
        <v>0</v>
      </c>
      <c r="BP901" s="136"/>
      <c r="BQ901" s="136"/>
      <c r="BR901" s="154" t="s">
        <v>359</v>
      </c>
      <c r="BS901" s="136">
        <v>19</v>
      </c>
      <c r="BT901" s="267"/>
      <c r="BU901" s="267"/>
      <c r="BV901" s="267"/>
      <c r="BW901" s="267"/>
      <c r="BX901" s="267"/>
      <c r="BY901" s="267"/>
      <c r="BZ901" s="267"/>
      <c r="CA901" s="267"/>
      <c r="CB901" s="267"/>
      <c r="CC901" s="267">
        <f>M901/12</f>
        <v>0.25</v>
      </c>
      <c r="CD901" s="267">
        <f>M901/12</f>
        <v>0.25</v>
      </c>
      <c r="CE901" s="267">
        <f>M901/12</f>
        <v>0.25</v>
      </c>
      <c r="CF901" s="267">
        <f>M901/12</f>
        <v>0.25</v>
      </c>
      <c r="CG901" s="267">
        <f>M901/12</f>
        <v>0.25</v>
      </c>
      <c r="CH901" s="267">
        <f>M901/12</f>
        <v>0.25</v>
      </c>
      <c r="CI901" s="267">
        <f>M901/12</f>
        <v>0.25</v>
      </c>
      <c r="CJ901" s="267">
        <f>M901/12</f>
        <v>0.25</v>
      </c>
      <c r="CK901" s="267">
        <f>M901/12</f>
        <v>0.25</v>
      </c>
      <c r="CL901" s="267">
        <f>M901/12</f>
        <v>0.25</v>
      </c>
      <c r="CM901" s="267">
        <f>M901/12</f>
        <v>0.25</v>
      </c>
      <c r="CN901" s="101">
        <f t="shared" si="132"/>
        <v>0</v>
      </c>
      <c r="CO901" s="101">
        <f t="shared" si="133"/>
        <v>0.5</v>
      </c>
    </row>
    <row r="902" spans="1:93" ht="13.9" customHeight="1" x14ac:dyDescent="0.2">
      <c r="A902" s="149">
        <v>223</v>
      </c>
      <c r="B902" s="150" t="s">
        <v>2522</v>
      </c>
      <c r="C902" s="150"/>
      <c r="D902" s="150" t="s">
        <v>2536</v>
      </c>
      <c r="E902" s="150"/>
      <c r="F902" s="149">
        <v>528890</v>
      </c>
      <c r="G902" s="149">
        <v>170545</v>
      </c>
      <c r="H902" s="150" t="s">
        <v>163</v>
      </c>
      <c r="I902" s="151"/>
      <c r="J902" s="151"/>
      <c r="K902" s="149">
        <v>0</v>
      </c>
      <c r="L902" s="149">
        <v>2</v>
      </c>
      <c r="M902" s="149">
        <v>2</v>
      </c>
      <c r="N902" s="149">
        <v>2</v>
      </c>
      <c r="O902" s="149">
        <v>2</v>
      </c>
      <c r="P902" s="152"/>
      <c r="Q902" s="150" t="s">
        <v>2524</v>
      </c>
      <c r="R902" s="150" t="s">
        <v>2525</v>
      </c>
      <c r="S902" s="151"/>
      <c r="T902" s="151"/>
      <c r="U902" s="152"/>
      <c r="V902" s="150" t="s">
        <v>330</v>
      </c>
      <c r="W902" s="151"/>
      <c r="X902" s="150" t="s">
        <v>331</v>
      </c>
      <c r="Y902" s="150" t="s">
        <v>343</v>
      </c>
      <c r="Z902" s="150" t="s">
        <v>334</v>
      </c>
      <c r="AA902" s="150" t="s">
        <v>363</v>
      </c>
      <c r="AB902" s="153">
        <v>0</v>
      </c>
      <c r="AC902" s="151"/>
      <c r="AD902" s="150"/>
      <c r="AE902" s="151"/>
      <c r="AF902" s="150" t="s">
        <v>70</v>
      </c>
      <c r="AG902" s="152" t="s">
        <v>352</v>
      </c>
      <c r="AH902" s="150"/>
      <c r="AI902" s="99"/>
      <c r="AJ902" s="149">
        <v>0</v>
      </c>
      <c r="AK902" s="99">
        <v>0</v>
      </c>
      <c r="AL902" s="149">
        <v>0</v>
      </c>
      <c r="AM902" s="99">
        <v>0</v>
      </c>
      <c r="AN902" s="149">
        <v>0</v>
      </c>
      <c r="AO902" s="149">
        <v>0</v>
      </c>
      <c r="AP902" s="149">
        <v>0</v>
      </c>
      <c r="AQ902" s="149">
        <v>0</v>
      </c>
      <c r="AR902" s="149">
        <v>0</v>
      </c>
      <c r="AS902" s="149">
        <v>0</v>
      </c>
      <c r="AT902" s="149">
        <v>2</v>
      </c>
      <c r="AU902" s="149">
        <v>0</v>
      </c>
      <c r="AV902" s="149">
        <v>0</v>
      </c>
      <c r="AW902" s="149">
        <v>0</v>
      </c>
      <c r="AX902" s="149">
        <v>0</v>
      </c>
      <c r="AY902" s="149">
        <v>0</v>
      </c>
      <c r="AZ902" s="149">
        <v>0</v>
      </c>
      <c r="BA902" s="149">
        <v>2</v>
      </c>
      <c r="BB902" s="149">
        <v>0</v>
      </c>
      <c r="BC902" s="149">
        <v>0</v>
      </c>
      <c r="BD902" s="149">
        <v>0</v>
      </c>
      <c r="BE902" s="149">
        <v>0</v>
      </c>
      <c r="BF902" s="149">
        <v>0</v>
      </c>
      <c r="BG902" s="149">
        <v>0</v>
      </c>
      <c r="BH902" s="149">
        <v>0</v>
      </c>
      <c r="BI902" s="149">
        <v>0</v>
      </c>
      <c r="BJ902" s="149">
        <v>0</v>
      </c>
      <c r="BK902" s="149">
        <v>0</v>
      </c>
      <c r="BL902" s="149">
        <v>0</v>
      </c>
      <c r="BM902" s="149">
        <v>0</v>
      </c>
      <c r="BN902" s="149">
        <v>0</v>
      </c>
      <c r="BO902" s="149">
        <v>0</v>
      </c>
      <c r="BP902" s="136"/>
      <c r="BQ902" s="136"/>
      <c r="BR902" s="154" t="s">
        <v>359</v>
      </c>
      <c r="BS902" s="136">
        <v>19</v>
      </c>
      <c r="BT902" s="267"/>
      <c r="BU902" s="267"/>
      <c r="BV902" s="267"/>
      <c r="BW902" s="267"/>
      <c r="BX902" s="267"/>
      <c r="BY902" s="267">
        <f>M902</f>
        <v>2</v>
      </c>
      <c r="BZ902" s="267"/>
      <c r="CA902" s="267"/>
      <c r="CB902" s="267"/>
      <c r="CC902" s="267"/>
      <c r="CD902" s="267"/>
      <c r="CE902" s="267"/>
      <c r="CF902" s="267"/>
      <c r="CG902" s="267"/>
      <c r="CH902" s="267"/>
      <c r="CI902" s="267"/>
      <c r="CJ902" s="267"/>
      <c r="CK902" s="267"/>
      <c r="CL902" s="267"/>
      <c r="CM902" s="267"/>
      <c r="CN902" s="101">
        <f t="shared" si="132"/>
        <v>2</v>
      </c>
      <c r="CO902" s="101">
        <f t="shared" si="133"/>
        <v>2</v>
      </c>
    </row>
    <row r="903" spans="1:93" ht="13.9" customHeight="1" x14ac:dyDescent="0.2">
      <c r="A903" s="149">
        <v>6869</v>
      </c>
      <c r="B903" s="150" t="s">
        <v>2522</v>
      </c>
      <c r="C903" s="150"/>
      <c r="D903" s="150" t="s">
        <v>2537</v>
      </c>
      <c r="E903" s="150"/>
      <c r="F903" s="149">
        <v>526639</v>
      </c>
      <c r="G903" s="149">
        <v>176128</v>
      </c>
      <c r="H903" s="150" t="s">
        <v>170</v>
      </c>
      <c r="I903" s="151"/>
      <c r="J903" s="151"/>
      <c r="K903" s="149">
        <v>0</v>
      </c>
      <c r="L903" s="149">
        <v>42</v>
      </c>
      <c r="M903" s="149">
        <v>42</v>
      </c>
      <c r="N903" s="149">
        <v>64</v>
      </c>
      <c r="O903" s="149">
        <v>64</v>
      </c>
      <c r="P903" s="152" t="s">
        <v>327</v>
      </c>
      <c r="Q903" s="150" t="s">
        <v>2524</v>
      </c>
      <c r="R903" s="150" t="s">
        <v>2525</v>
      </c>
      <c r="S903" s="151"/>
      <c r="T903" s="151"/>
      <c r="U903" s="152"/>
      <c r="V903" s="150" t="s">
        <v>330</v>
      </c>
      <c r="W903" s="151"/>
      <c r="X903" s="150" t="s">
        <v>331</v>
      </c>
      <c r="Y903" s="150" t="s">
        <v>343</v>
      </c>
      <c r="Z903" s="150" t="s">
        <v>343</v>
      </c>
      <c r="AA903" s="150" t="s">
        <v>334</v>
      </c>
      <c r="AB903" s="153">
        <v>0</v>
      </c>
      <c r="AC903" s="151"/>
      <c r="AD903" s="150"/>
      <c r="AE903" s="151"/>
      <c r="AF903" s="150" t="s">
        <v>70</v>
      </c>
      <c r="AG903" s="152" t="s">
        <v>352</v>
      </c>
      <c r="AH903" s="150" t="s">
        <v>2538</v>
      </c>
      <c r="AI903" s="99"/>
      <c r="AJ903" s="149">
        <v>0</v>
      </c>
      <c r="AK903" s="99">
        <v>0</v>
      </c>
      <c r="AL903" s="149">
        <v>0</v>
      </c>
      <c r="AM903" s="99">
        <v>0</v>
      </c>
      <c r="AN903" s="149">
        <v>0</v>
      </c>
      <c r="AO903" s="149">
        <v>0</v>
      </c>
      <c r="AP903" s="149">
        <v>0</v>
      </c>
      <c r="AQ903" s="149">
        <v>0</v>
      </c>
      <c r="AR903" s="149">
        <v>0</v>
      </c>
      <c r="AS903" s="149">
        <v>0</v>
      </c>
      <c r="AT903" s="149">
        <v>42</v>
      </c>
      <c r="AU903" s="149">
        <v>0</v>
      </c>
      <c r="AV903" s="149">
        <v>0</v>
      </c>
      <c r="AW903" s="149">
        <v>0</v>
      </c>
      <c r="AX903" s="149">
        <v>0</v>
      </c>
      <c r="AY903" s="149">
        <v>0</v>
      </c>
      <c r="AZ903" s="149">
        <v>0</v>
      </c>
      <c r="BA903" s="149">
        <v>42</v>
      </c>
      <c r="BB903" s="149">
        <v>0</v>
      </c>
      <c r="BC903" s="149">
        <v>0</v>
      </c>
      <c r="BD903" s="149">
        <v>0</v>
      </c>
      <c r="BE903" s="149">
        <v>0</v>
      </c>
      <c r="BF903" s="149">
        <v>0</v>
      </c>
      <c r="BG903" s="149">
        <v>0</v>
      </c>
      <c r="BH903" s="149">
        <v>0</v>
      </c>
      <c r="BI903" s="149">
        <v>0</v>
      </c>
      <c r="BJ903" s="149">
        <v>0</v>
      </c>
      <c r="BK903" s="149">
        <v>0</v>
      </c>
      <c r="BL903" s="149">
        <v>0</v>
      </c>
      <c r="BM903" s="149">
        <v>0</v>
      </c>
      <c r="BN903" s="149">
        <v>0</v>
      </c>
      <c r="BO903" s="149">
        <v>0</v>
      </c>
      <c r="BP903" s="136"/>
      <c r="BQ903" s="136"/>
      <c r="BR903" s="154" t="s">
        <v>408</v>
      </c>
      <c r="BS903" s="136">
        <v>19</v>
      </c>
      <c r="BT903" s="267"/>
      <c r="BU903" s="267"/>
      <c r="BV903" s="267"/>
      <c r="BW903" s="267"/>
      <c r="BX903" s="267"/>
      <c r="BY903" s="267">
        <f>M903/16</f>
        <v>2.625</v>
      </c>
      <c r="BZ903" s="267">
        <f>M903/16</f>
        <v>2.625</v>
      </c>
      <c r="CA903" s="267">
        <f>M903/16</f>
        <v>2.625</v>
      </c>
      <c r="CB903" s="267">
        <f>M903/16</f>
        <v>2.625</v>
      </c>
      <c r="CC903" s="267">
        <f>M903/16</f>
        <v>2.625</v>
      </c>
      <c r="CD903" s="267">
        <f>M903/16</f>
        <v>2.625</v>
      </c>
      <c r="CE903" s="267">
        <f>M903/16</f>
        <v>2.625</v>
      </c>
      <c r="CF903" s="267">
        <f>M903/16</f>
        <v>2.625</v>
      </c>
      <c r="CG903" s="267">
        <f>M903/16</f>
        <v>2.625</v>
      </c>
      <c r="CH903" s="267">
        <f>M903/16</f>
        <v>2.625</v>
      </c>
      <c r="CI903" s="267">
        <f>M903/16</f>
        <v>2.625</v>
      </c>
      <c r="CJ903" s="267">
        <f>M903/16</f>
        <v>2.625</v>
      </c>
      <c r="CK903" s="267">
        <f>M903/16</f>
        <v>2.625</v>
      </c>
      <c r="CL903" s="267">
        <f>M903/16</f>
        <v>2.625</v>
      </c>
      <c r="CM903" s="267">
        <f>M903/16</f>
        <v>2.625</v>
      </c>
      <c r="CN903" s="101">
        <f t="shared" si="132"/>
        <v>2.625</v>
      </c>
      <c r="CO903" s="101">
        <f t="shared" si="133"/>
        <v>15.75</v>
      </c>
    </row>
    <row r="904" spans="1:93" ht="13.9" customHeight="1" x14ac:dyDescent="0.2">
      <c r="A904" s="149">
        <v>6869</v>
      </c>
      <c r="B904" s="150" t="s">
        <v>2522</v>
      </c>
      <c r="C904" s="150"/>
      <c r="D904" s="150" t="s">
        <v>2537</v>
      </c>
      <c r="E904" s="150"/>
      <c r="F904" s="149">
        <v>526639</v>
      </c>
      <c r="G904" s="149">
        <v>176128</v>
      </c>
      <c r="H904" s="150" t="s">
        <v>170</v>
      </c>
      <c r="I904" s="151"/>
      <c r="J904" s="151"/>
      <c r="K904" s="149">
        <v>0</v>
      </c>
      <c r="L904" s="149">
        <v>11</v>
      </c>
      <c r="M904" s="149">
        <v>11</v>
      </c>
      <c r="N904" s="149">
        <v>64</v>
      </c>
      <c r="O904" s="149">
        <v>64</v>
      </c>
      <c r="P904" s="152" t="s">
        <v>327</v>
      </c>
      <c r="Q904" s="150" t="s">
        <v>2524</v>
      </c>
      <c r="R904" s="150" t="s">
        <v>2525</v>
      </c>
      <c r="S904" s="151"/>
      <c r="T904" s="151"/>
      <c r="U904" s="152"/>
      <c r="V904" s="150" t="s">
        <v>330</v>
      </c>
      <c r="W904" s="151"/>
      <c r="X904" s="150" t="s">
        <v>331</v>
      </c>
      <c r="Y904" s="150" t="s">
        <v>343</v>
      </c>
      <c r="Z904" s="150" t="s">
        <v>343</v>
      </c>
      <c r="AA904" s="150" t="s">
        <v>334</v>
      </c>
      <c r="AB904" s="153">
        <v>0</v>
      </c>
      <c r="AC904" s="151"/>
      <c r="AD904" s="150"/>
      <c r="AE904" s="151"/>
      <c r="AF904" s="150" t="s">
        <v>49</v>
      </c>
      <c r="AG904" s="152" t="s">
        <v>470</v>
      </c>
      <c r="AH904" s="150" t="s">
        <v>2538</v>
      </c>
      <c r="AI904" s="99"/>
      <c r="AJ904" s="149">
        <v>0</v>
      </c>
      <c r="AK904" s="99">
        <v>0</v>
      </c>
      <c r="AL904" s="149">
        <v>0</v>
      </c>
      <c r="AM904" s="99">
        <v>0</v>
      </c>
      <c r="AN904" s="149">
        <v>0</v>
      </c>
      <c r="AO904" s="149">
        <v>0</v>
      </c>
      <c r="AP904" s="149">
        <v>0</v>
      </c>
      <c r="AQ904" s="149">
        <v>0</v>
      </c>
      <c r="AR904" s="149">
        <v>0</v>
      </c>
      <c r="AS904" s="149">
        <v>0</v>
      </c>
      <c r="AT904" s="149">
        <v>11</v>
      </c>
      <c r="AU904" s="149">
        <v>0</v>
      </c>
      <c r="AV904" s="149">
        <v>0</v>
      </c>
      <c r="AW904" s="149">
        <v>0</v>
      </c>
      <c r="AX904" s="149">
        <v>0</v>
      </c>
      <c r="AY904" s="149">
        <v>0</v>
      </c>
      <c r="AZ904" s="149">
        <v>0</v>
      </c>
      <c r="BA904" s="149">
        <v>11</v>
      </c>
      <c r="BB904" s="149">
        <v>0</v>
      </c>
      <c r="BC904" s="149">
        <v>0</v>
      </c>
      <c r="BD904" s="149">
        <v>0</v>
      </c>
      <c r="BE904" s="149">
        <v>0</v>
      </c>
      <c r="BF904" s="149">
        <v>0</v>
      </c>
      <c r="BG904" s="149">
        <v>0</v>
      </c>
      <c r="BH904" s="149">
        <v>0</v>
      </c>
      <c r="BI904" s="149">
        <v>0</v>
      </c>
      <c r="BJ904" s="149">
        <v>0</v>
      </c>
      <c r="BK904" s="149">
        <v>0</v>
      </c>
      <c r="BL904" s="149">
        <v>0</v>
      </c>
      <c r="BM904" s="149">
        <v>0</v>
      </c>
      <c r="BN904" s="149">
        <v>0</v>
      </c>
      <c r="BO904" s="149">
        <v>0</v>
      </c>
      <c r="BP904" s="136"/>
      <c r="BQ904" s="136"/>
      <c r="BR904" s="154" t="s">
        <v>408</v>
      </c>
      <c r="BS904" s="136">
        <v>19</v>
      </c>
      <c r="BT904" s="267"/>
      <c r="BU904" s="267"/>
      <c r="BV904" s="267"/>
      <c r="BW904" s="267"/>
      <c r="BX904" s="267"/>
      <c r="BY904" s="267">
        <f>M904/16</f>
        <v>0.6875</v>
      </c>
      <c r="BZ904" s="267">
        <f>M904/16</f>
        <v>0.6875</v>
      </c>
      <c r="CA904" s="267">
        <f>M904/16</f>
        <v>0.6875</v>
      </c>
      <c r="CB904" s="267">
        <f>M904/16</f>
        <v>0.6875</v>
      </c>
      <c r="CC904" s="267">
        <f>M904/16</f>
        <v>0.6875</v>
      </c>
      <c r="CD904" s="267">
        <f>M904/16</f>
        <v>0.6875</v>
      </c>
      <c r="CE904" s="267">
        <f>M904/16</f>
        <v>0.6875</v>
      </c>
      <c r="CF904" s="267">
        <f>M904/16</f>
        <v>0.6875</v>
      </c>
      <c r="CG904" s="267">
        <f>M904/16</f>
        <v>0.6875</v>
      </c>
      <c r="CH904" s="267">
        <f>M904/16</f>
        <v>0.6875</v>
      </c>
      <c r="CI904" s="267">
        <f>M904/16</f>
        <v>0.6875</v>
      </c>
      <c r="CJ904" s="267">
        <f>M904/16</f>
        <v>0.6875</v>
      </c>
      <c r="CK904" s="267">
        <f>M904/16</f>
        <v>0.6875</v>
      </c>
      <c r="CL904" s="267">
        <f>M904/16</f>
        <v>0.6875</v>
      </c>
      <c r="CM904" s="267">
        <f>M904/16</f>
        <v>0.6875</v>
      </c>
      <c r="CN904" s="101">
        <f t="shared" si="132"/>
        <v>0.6875</v>
      </c>
      <c r="CO904" s="101">
        <f t="shared" si="133"/>
        <v>4.125</v>
      </c>
    </row>
    <row r="905" spans="1:93" ht="13.9" customHeight="1" x14ac:dyDescent="0.2">
      <c r="A905" s="149">
        <v>6869</v>
      </c>
      <c r="B905" s="150" t="s">
        <v>2522</v>
      </c>
      <c r="C905" s="150"/>
      <c r="D905" s="150" t="s">
        <v>2537</v>
      </c>
      <c r="E905" s="150"/>
      <c r="F905" s="149">
        <v>526639</v>
      </c>
      <c r="G905" s="149">
        <v>176128</v>
      </c>
      <c r="H905" s="150" t="s">
        <v>170</v>
      </c>
      <c r="I905" s="151"/>
      <c r="J905" s="151"/>
      <c r="K905" s="149">
        <v>0</v>
      </c>
      <c r="L905" s="149">
        <v>11</v>
      </c>
      <c r="M905" s="149">
        <v>11</v>
      </c>
      <c r="N905" s="149">
        <v>64</v>
      </c>
      <c r="O905" s="149">
        <v>64</v>
      </c>
      <c r="P905" s="152" t="s">
        <v>327</v>
      </c>
      <c r="Q905" s="150" t="s">
        <v>2524</v>
      </c>
      <c r="R905" s="150" t="s">
        <v>2525</v>
      </c>
      <c r="S905" s="151"/>
      <c r="T905" s="151"/>
      <c r="U905" s="152"/>
      <c r="V905" s="150" t="s">
        <v>330</v>
      </c>
      <c r="W905" s="151"/>
      <c r="X905" s="150" t="s">
        <v>331</v>
      </c>
      <c r="Y905" s="150" t="s">
        <v>343</v>
      </c>
      <c r="Z905" s="150" t="s">
        <v>343</v>
      </c>
      <c r="AA905" s="150" t="s">
        <v>334</v>
      </c>
      <c r="AB905" s="153">
        <v>0</v>
      </c>
      <c r="AC905" s="151"/>
      <c r="AD905" s="150"/>
      <c r="AE905" s="151"/>
      <c r="AF905" s="150" t="s">
        <v>48</v>
      </c>
      <c r="AG905" s="152" t="s">
        <v>992</v>
      </c>
      <c r="AH905" s="150" t="s">
        <v>2538</v>
      </c>
      <c r="AI905" s="99"/>
      <c r="AJ905" s="149">
        <v>0</v>
      </c>
      <c r="AK905" s="99">
        <v>0</v>
      </c>
      <c r="AL905" s="149">
        <v>0</v>
      </c>
      <c r="AM905" s="99">
        <v>0</v>
      </c>
      <c r="AN905" s="149">
        <v>0</v>
      </c>
      <c r="AO905" s="149">
        <v>0</v>
      </c>
      <c r="AP905" s="149">
        <v>0</v>
      </c>
      <c r="AQ905" s="149">
        <v>0</v>
      </c>
      <c r="AR905" s="149">
        <v>0</v>
      </c>
      <c r="AS905" s="149">
        <v>0</v>
      </c>
      <c r="AT905" s="149">
        <v>11</v>
      </c>
      <c r="AU905" s="149">
        <v>0</v>
      </c>
      <c r="AV905" s="149">
        <v>0</v>
      </c>
      <c r="AW905" s="149">
        <v>0</v>
      </c>
      <c r="AX905" s="149">
        <v>0</v>
      </c>
      <c r="AY905" s="149">
        <v>0</v>
      </c>
      <c r="AZ905" s="149">
        <v>0</v>
      </c>
      <c r="BA905" s="149">
        <v>11</v>
      </c>
      <c r="BB905" s="149">
        <v>0</v>
      </c>
      <c r="BC905" s="149">
        <v>0</v>
      </c>
      <c r="BD905" s="149">
        <v>0</v>
      </c>
      <c r="BE905" s="149">
        <v>0</v>
      </c>
      <c r="BF905" s="149">
        <v>0</v>
      </c>
      <c r="BG905" s="149">
        <v>0</v>
      </c>
      <c r="BH905" s="149">
        <v>0</v>
      </c>
      <c r="BI905" s="149">
        <v>0</v>
      </c>
      <c r="BJ905" s="149">
        <v>0</v>
      </c>
      <c r="BK905" s="149">
        <v>0</v>
      </c>
      <c r="BL905" s="149">
        <v>0</v>
      </c>
      <c r="BM905" s="149">
        <v>0</v>
      </c>
      <c r="BN905" s="149">
        <v>0</v>
      </c>
      <c r="BO905" s="149">
        <v>0</v>
      </c>
      <c r="BP905" s="136"/>
      <c r="BQ905" s="136"/>
      <c r="BR905" s="154" t="s">
        <v>408</v>
      </c>
      <c r="BS905" s="136">
        <v>19</v>
      </c>
      <c r="BT905" s="267"/>
      <c r="BU905" s="267"/>
      <c r="BV905" s="267"/>
      <c r="BW905" s="267"/>
      <c r="BX905" s="267"/>
      <c r="BY905" s="267">
        <f>M905/16</f>
        <v>0.6875</v>
      </c>
      <c r="BZ905" s="267">
        <f>M905/16</f>
        <v>0.6875</v>
      </c>
      <c r="CA905" s="267">
        <f>M905/16</f>
        <v>0.6875</v>
      </c>
      <c r="CB905" s="267">
        <f>M905/16</f>
        <v>0.6875</v>
      </c>
      <c r="CC905" s="267">
        <f>M905/16</f>
        <v>0.6875</v>
      </c>
      <c r="CD905" s="267">
        <f>M905/16</f>
        <v>0.6875</v>
      </c>
      <c r="CE905" s="267">
        <f>M905/16</f>
        <v>0.6875</v>
      </c>
      <c r="CF905" s="267">
        <f>M905/16</f>
        <v>0.6875</v>
      </c>
      <c r="CG905" s="267">
        <f>M905/16</f>
        <v>0.6875</v>
      </c>
      <c r="CH905" s="267">
        <f>M905/16</f>
        <v>0.6875</v>
      </c>
      <c r="CI905" s="267">
        <f>M905/16</f>
        <v>0.6875</v>
      </c>
      <c r="CJ905" s="267">
        <f>M905/16</f>
        <v>0.6875</v>
      </c>
      <c r="CK905" s="267">
        <f>M905/16</f>
        <v>0.6875</v>
      </c>
      <c r="CL905" s="267">
        <f>M905/16</f>
        <v>0.6875</v>
      </c>
      <c r="CM905" s="267">
        <f>M905/16</f>
        <v>0.6875</v>
      </c>
      <c r="CN905" s="101">
        <f t="shared" si="132"/>
        <v>0.6875</v>
      </c>
      <c r="CO905" s="101">
        <f t="shared" si="133"/>
        <v>4.125</v>
      </c>
    </row>
    <row r="906" spans="1:93" ht="13.9" customHeight="1" x14ac:dyDescent="0.2">
      <c r="A906" s="149">
        <v>7580</v>
      </c>
      <c r="B906" s="150" t="s">
        <v>2522</v>
      </c>
      <c r="C906" s="150"/>
      <c r="D906" s="150" t="s">
        <v>2539</v>
      </c>
      <c r="E906" s="150"/>
      <c r="F906" s="149">
        <v>527411.84160000004</v>
      </c>
      <c r="G906" s="149">
        <v>171480.26829999901</v>
      </c>
      <c r="H906" s="150" t="s">
        <v>173</v>
      </c>
      <c r="I906" s="151"/>
      <c r="J906" s="151"/>
      <c r="K906" s="149">
        <v>0</v>
      </c>
      <c r="L906" s="149">
        <v>5</v>
      </c>
      <c r="M906" s="149">
        <v>5</v>
      </c>
      <c r="N906" s="149">
        <v>5</v>
      </c>
      <c r="O906" s="149">
        <v>5</v>
      </c>
      <c r="P906" s="152"/>
      <c r="Q906" s="150" t="s">
        <v>2524</v>
      </c>
      <c r="R906" s="150" t="s">
        <v>2525</v>
      </c>
      <c r="S906" s="151"/>
      <c r="T906" s="151"/>
      <c r="U906" s="152"/>
      <c r="V906" s="150" t="s">
        <v>330</v>
      </c>
      <c r="W906" s="151"/>
      <c r="X906" s="150" t="s">
        <v>331</v>
      </c>
      <c r="Y906" s="150" t="s">
        <v>343</v>
      </c>
      <c r="Z906" s="150" t="s">
        <v>334</v>
      </c>
      <c r="AA906" s="150" t="s">
        <v>363</v>
      </c>
      <c r="AB906" s="153">
        <v>0</v>
      </c>
      <c r="AC906" s="151"/>
      <c r="AD906" s="150"/>
      <c r="AE906" s="151"/>
      <c r="AF906" s="150" t="s">
        <v>70</v>
      </c>
      <c r="AG906" s="152" t="s">
        <v>352</v>
      </c>
      <c r="AH906" s="150" t="s">
        <v>2540</v>
      </c>
      <c r="AI906" s="99"/>
      <c r="AJ906" s="149">
        <v>0</v>
      </c>
      <c r="AK906" s="99">
        <v>0</v>
      </c>
      <c r="AL906" s="149">
        <v>0</v>
      </c>
      <c r="AM906" s="99">
        <v>0</v>
      </c>
      <c r="AN906" s="149">
        <v>0</v>
      </c>
      <c r="AO906" s="149">
        <v>0</v>
      </c>
      <c r="AP906" s="149">
        <v>0</v>
      </c>
      <c r="AQ906" s="149">
        <v>0</v>
      </c>
      <c r="AR906" s="149">
        <v>0</v>
      </c>
      <c r="AS906" s="149">
        <v>0</v>
      </c>
      <c r="AT906" s="149">
        <v>5</v>
      </c>
      <c r="AU906" s="149">
        <v>0</v>
      </c>
      <c r="AV906" s="149">
        <v>0</v>
      </c>
      <c r="AW906" s="149">
        <v>0</v>
      </c>
      <c r="AX906" s="149">
        <v>0</v>
      </c>
      <c r="AY906" s="149">
        <v>0</v>
      </c>
      <c r="AZ906" s="149">
        <v>0</v>
      </c>
      <c r="BA906" s="149">
        <v>5</v>
      </c>
      <c r="BB906" s="149">
        <v>0</v>
      </c>
      <c r="BC906" s="149">
        <v>0</v>
      </c>
      <c r="BD906" s="149">
        <v>0</v>
      </c>
      <c r="BE906" s="149">
        <v>0</v>
      </c>
      <c r="BF906" s="149">
        <v>0</v>
      </c>
      <c r="BG906" s="149">
        <v>0</v>
      </c>
      <c r="BH906" s="149">
        <v>0</v>
      </c>
      <c r="BI906" s="149">
        <v>0</v>
      </c>
      <c r="BJ906" s="149">
        <v>0</v>
      </c>
      <c r="BK906" s="149">
        <v>0</v>
      </c>
      <c r="BL906" s="149">
        <v>0</v>
      </c>
      <c r="BM906" s="149">
        <v>0</v>
      </c>
      <c r="BN906" s="149">
        <v>0</v>
      </c>
      <c r="BO906" s="149">
        <v>0</v>
      </c>
      <c r="BP906" s="136" t="s">
        <v>142</v>
      </c>
      <c r="BQ906" s="136"/>
      <c r="BR906" s="154" t="s">
        <v>142</v>
      </c>
      <c r="BS906" s="136">
        <v>19</v>
      </c>
      <c r="BT906" s="267"/>
      <c r="BU906" s="267"/>
      <c r="BV906" s="267"/>
      <c r="BW906" s="267"/>
      <c r="BX906" s="267">
        <f>M906/5</f>
        <v>1</v>
      </c>
      <c r="BY906" s="267">
        <f>M906/5</f>
        <v>1</v>
      </c>
      <c r="BZ906" s="267">
        <f>M906/5</f>
        <v>1</v>
      </c>
      <c r="CA906" s="267">
        <f>M906/5</f>
        <v>1</v>
      </c>
      <c r="CB906" s="267">
        <f>M906/5</f>
        <v>1</v>
      </c>
      <c r="CC906" s="267"/>
      <c r="CD906" s="267"/>
      <c r="CE906" s="267"/>
      <c r="CF906" s="267"/>
      <c r="CG906" s="267"/>
      <c r="CH906" s="267"/>
      <c r="CI906" s="267"/>
      <c r="CJ906" s="267"/>
      <c r="CK906" s="267"/>
      <c r="CL906" s="267"/>
      <c r="CM906" s="267"/>
      <c r="CN906" s="101">
        <f t="shared" si="132"/>
        <v>2</v>
      </c>
      <c r="CO906" s="101">
        <f t="shared" si="133"/>
        <v>5</v>
      </c>
    </row>
    <row r="907" spans="1:93" ht="13.9" customHeight="1" x14ac:dyDescent="0.2">
      <c r="A907" s="149">
        <v>3515</v>
      </c>
      <c r="B907" s="150" t="s">
        <v>2522</v>
      </c>
      <c r="C907" s="150"/>
      <c r="D907" s="150" t="s">
        <v>2541</v>
      </c>
      <c r="E907" s="150"/>
      <c r="F907" s="149">
        <v>524039</v>
      </c>
      <c r="G907" s="149">
        <v>175460</v>
      </c>
      <c r="H907" s="150" t="s">
        <v>171</v>
      </c>
      <c r="I907" s="151"/>
      <c r="J907" s="151"/>
      <c r="K907" s="149">
        <v>0</v>
      </c>
      <c r="L907" s="149">
        <v>63</v>
      </c>
      <c r="M907" s="149">
        <v>63</v>
      </c>
      <c r="N907" s="149">
        <v>97</v>
      </c>
      <c r="O907" s="149">
        <v>97</v>
      </c>
      <c r="P907" s="152" t="s">
        <v>327</v>
      </c>
      <c r="Q907" s="150" t="s">
        <v>2524</v>
      </c>
      <c r="R907" s="150" t="s">
        <v>2525</v>
      </c>
      <c r="S907" s="151"/>
      <c r="T907" s="151"/>
      <c r="U907" s="152"/>
      <c r="V907" s="150" t="s">
        <v>330</v>
      </c>
      <c r="W907" s="151"/>
      <c r="X907" s="150" t="s">
        <v>331</v>
      </c>
      <c r="Y907" s="150" t="s">
        <v>343</v>
      </c>
      <c r="Z907" s="150" t="s">
        <v>343</v>
      </c>
      <c r="AA907" s="150" t="s">
        <v>334</v>
      </c>
      <c r="AB907" s="153">
        <v>0</v>
      </c>
      <c r="AC907" s="151"/>
      <c r="AD907" s="150"/>
      <c r="AE907" s="151"/>
      <c r="AF907" s="150" t="s">
        <v>70</v>
      </c>
      <c r="AG907" s="152" t="s">
        <v>352</v>
      </c>
      <c r="AH907" s="150" t="s">
        <v>2542</v>
      </c>
      <c r="AI907" s="99"/>
      <c r="AJ907" s="149">
        <v>0</v>
      </c>
      <c r="AK907" s="99">
        <v>0</v>
      </c>
      <c r="AL907" s="149">
        <v>0</v>
      </c>
      <c r="AM907" s="99">
        <v>0</v>
      </c>
      <c r="AN907" s="149">
        <v>0</v>
      </c>
      <c r="AO907" s="149">
        <v>0</v>
      </c>
      <c r="AP907" s="149">
        <v>0</v>
      </c>
      <c r="AQ907" s="149">
        <v>0</v>
      </c>
      <c r="AR907" s="149">
        <v>0</v>
      </c>
      <c r="AS907" s="149">
        <v>0</v>
      </c>
      <c r="AT907" s="149">
        <v>63</v>
      </c>
      <c r="AU907" s="149">
        <v>0</v>
      </c>
      <c r="AV907" s="149">
        <v>0</v>
      </c>
      <c r="AW907" s="149">
        <v>0</v>
      </c>
      <c r="AX907" s="149">
        <v>0</v>
      </c>
      <c r="AY907" s="149">
        <v>0</v>
      </c>
      <c r="AZ907" s="149">
        <v>0</v>
      </c>
      <c r="BA907" s="149">
        <v>63</v>
      </c>
      <c r="BB907" s="149">
        <v>0</v>
      </c>
      <c r="BC907" s="149">
        <v>0</v>
      </c>
      <c r="BD907" s="149">
        <v>0</v>
      </c>
      <c r="BE907" s="149">
        <v>0</v>
      </c>
      <c r="BF907" s="149">
        <v>0</v>
      </c>
      <c r="BG907" s="149">
        <v>0</v>
      </c>
      <c r="BH907" s="149">
        <v>0</v>
      </c>
      <c r="BI907" s="149">
        <v>0</v>
      </c>
      <c r="BJ907" s="149">
        <v>0</v>
      </c>
      <c r="BK907" s="149">
        <v>0</v>
      </c>
      <c r="BL907" s="149">
        <v>0</v>
      </c>
      <c r="BM907" s="149">
        <v>0</v>
      </c>
      <c r="BN907" s="149">
        <v>0</v>
      </c>
      <c r="BO907" s="149">
        <v>0</v>
      </c>
      <c r="BP907" s="136" t="s">
        <v>141</v>
      </c>
      <c r="BQ907" s="136"/>
      <c r="BR907" s="154" t="s">
        <v>141</v>
      </c>
      <c r="BS907" s="136">
        <v>19</v>
      </c>
      <c r="BT907" s="267"/>
      <c r="BU907" s="267"/>
      <c r="BV907" s="267"/>
      <c r="BW907" s="267"/>
      <c r="BX907" s="267"/>
      <c r="BY907" s="267"/>
      <c r="BZ907" s="267"/>
      <c r="CA907" s="267">
        <f>M907/4</f>
        <v>15.75</v>
      </c>
      <c r="CB907" s="267">
        <f>M907/4</f>
        <v>15.75</v>
      </c>
      <c r="CC907" s="267">
        <f>M907/4</f>
        <v>15.75</v>
      </c>
      <c r="CD907" s="267">
        <f>M907/4</f>
        <v>15.75</v>
      </c>
      <c r="CE907" s="267"/>
      <c r="CF907" s="267"/>
      <c r="CG907" s="267"/>
      <c r="CH907" s="267"/>
      <c r="CI907" s="267"/>
      <c r="CJ907" s="267"/>
      <c r="CK907" s="267"/>
      <c r="CL907" s="267"/>
      <c r="CM907" s="267"/>
      <c r="CN907" s="101">
        <f t="shared" si="132"/>
        <v>0</v>
      </c>
      <c r="CO907" s="101">
        <f t="shared" si="133"/>
        <v>63</v>
      </c>
    </row>
    <row r="908" spans="1:93" ht="13.9" customHeight="1" x14ac:dyDescent="0.2">
      <c r="A908" s="149">
        <v>3515</v>
      </c>
      <c r="B908" s="150" t="s">
        <v>2522</v>
      </c>
      <c r="C908" s="150"/>
      <c r="D908" s="150" t="s">
        <v>2541</v>
      </c>
      <c r="E908" s="150"/>
      <c r="F908" s="149">
        <v>524039</v>
      </c>
      <c r="G908" s="149">
        <v>175460</v>
      </c>
      <c r="H908" s="150" t="s">
        <v>171</v>
      </c>
      <c r="I908" s="151"/>
      <c r="J908" s="151"/>
      <c r="K908" s="149">
        <v>0</v>
      </c>
      <c r="L908" s="149">
        <v>17</v>
      </c>
      <c r="M908" s="149">
        <v>17</v>
      </c>
      <c r="N908" s="149">
        <v>97</v>
      </c>
      <c r="O908" s="149">
        <v>97</v>
      </c>
      <c r="P908" s="152" t="s">
        <v>327</v>
      </c>
      <c r="Q908" s="150" t="s">
        <v>2524</v>
      </c>
      <c r="R908" s="150" t="s">
        <v>2525</v>
      </c>
      <c r="S908" s="151"/>
      <c r="T908" s="151"/>
      <c r="U908" s="152"/>
      <c r="V908" s="150" t="s">
        <v>330</v>
      </c>
      <c r="W908" s="151"/>
      <c r="X908" s="150" t="s">
        <v>331</v>
      </c>
      <c r="Y908" s="150" t="s">
        <v>343</v>
      </c>
      <c r="Z908" s="150" t="s">
        <v>343</v>
      </c>
      <c r="AA908" s="150" t="s">
        <v>334</v>
      </c>
      <c r="AB908" s="153">
        <v>0</v>
      </c>
      <c r="AC908" s="151"/>
      <c r="AD908" s="150"/>
      <c r="AE908" s="151"/>
      <c r="AF908" s="150" t="s">
        <v>49</v>
      </c>
      <c r="AG908" s="152" t="s">
        <v>470</v>
      </c>
      <c r="AH908" s="150" t="s">
        <v>2542</v>
      </c>
      <c r="AI908" s="99"/>
      <c r="AJ908" s="149">
        <v>0</v>
      </c>
      <c r="AK908" s="99">
        <v>0</v>
      </c>
      <c r="AL908" s="149">
        <v>0</v>
      </c>
      <c r="AM908" s="99">
        <v>0</v>
      </c>
      <c r="AN908" s="149">
        <v>0</v>
      </c>
      <c r="AO908" s="149">
        <v>0</v>
      </c>
      <c r="AP908" s="149">
        <v>0</v>
      </c>
      <c r="AQ908" s="149">
        <v>0</v>
      </c>
      <c r="AR908" s="149">
        <v>0</v>
      </c>
      <c r="AS908" s="149">
        <v>0</v>
      </c>
      <c r="AT908" s="149">
        <v>17</v>
      </c>
      <c r="AU908" s="149">
        <v>0</v>
      </c>
      <c r="AV908" s="149">
        <v>0</v>
      </c>
      <c r="AW908" s="149">
        <v>0</v>
      </c>
      <c r="AX908" s="149">
        <v>0</v>
      </c>
      <c r="AY908" s="149">
        <v>0</v>
      </c>
      <c r="AZ908" s="149">
        <v>0</v>
      </c>
      <c r="BA908" s="149">
        <v>17</v>
      </c>
      <c r="BB908" s="149">
        <v>0</v>
      </c>
      <c r="BC908" s="149">
        <v>0</v>
      </c>
      <c r="BD908" s="149">
        <v>0</v>
      </c>
      <c r="BE908" s="149">
        <v>0</v>
      </c>
      <c r="BF908" s="149">
        <v>0</v>
      </c>
      <c r="BG908" s="149">
        <v>0</v>
      </c>
      <c r="BH908" s="149">
        <v>0</v>
      </c>
      <c r="BI908" s="149">
        <v>0</v>
      </c>
      <c r="BJ908" s="149">
        <v>0</v>
      </c>
      <c r="BK908" s="149">
        <v>0</v>
      </c>
      <c r="BL908" s="149">
        <v>0</v>
      </c>
      <c r="BM908" s="149">
        <v>0</v>
      </c>
      <c r="BN908" s="149">
        <v>0</v>
      </c>
      <c r="BO908" s="149">
        <v>0</v>
      </c>
      <c r="BP908" s="136" t="s">
        <v>141</v>
      </c>
      <c r="BQ908" s="136"/>
      <c r="BR908" s="154" t="s">
        <v>141</v>
      </c>
      <c r="BS908" s="136">
        <v>19</v>
      </c>
      <c r="BT908" s="267"/>
      <c r="BU908" s="267"/>
      <c r="BV908" s="267"/>
      <c r="BW908" s="267"/>
      <c r="BX908" s="267"/>
      <c r="BY908" s="267"/>
      <c r="BZ908" s="267"/>
      <c r="CA908" s="267">
        <f>M908/4</f>
        <v>4.25</v>
      </c>
      <c r="CB908" s="267">
        <f>M908/4</f>
        <v>4.25</v>
      </c>
      <c r="CC908" s="267">
        <f>M908/4</f>
        <v>4.25</v>
      </c>
      <c r="CD908" s="267">
        <f>M908/4</f>
        <v>4.25</v>
      </c>
      <c r="CE908" s="267"/>
      <c r="CF908" s="267"/>
      <c r="CG908" s="267"/>
      <c r="CH908" s="267"/>
      <c r="CI908" s="267"/>
      <c r="CJ908" s="267"/>
      <c r="CK908" s="267"/>
      <c r="CL908" s="267"/>
      <c r="CM908" s="267"/>
      <c r="CN908" s="101">
        <f t="shared" si="132"/>
        <v>0</v>
      </c>
      <c r="CO908" s="101">
        <f t="shared" si="133"/>
        <v>17</v>
      </c>
    </row>
    <row r="909" spans="1:93" ht="13.9" customHeight="1" x14ac:dyDescent="0.2">
      <c r="A909" s="149">
        <v>3515</v>
      </c>
      <c r="B909" s="150" t="s">
        <v>2522</v>
      </c>
      <c r="C909" s="150"/>
      <c r="D909" s="150" t="s">
        <v>2541</v>
      </c>
      <c r="E909" s="150"/>
      <c r="F909" s="149">
        <v>524039</v>
      </c>
      <c r="G909" s="149">
        <v>175460</v>
      </c>
      <c r="H909" s="150" t="s">
        <v>171</v>
      </c>
      <c r="I909" s="151"/>
      <c r="J909" s="151"/>
      <c r="K909" s="149">
        <v>0</v>
      </c>
      <c r="L909" s="149">
        <v>17</v>
      </c>
      <c r="M909" s="149">
        <v>17</v>
      </c>
      <c r="N909" s="149">
        <v>97</v>
      </c>
      <c r="O909" s="149">
        <v>97</v>
      </c>
      <c r="P909" s="152" t="s">
        <v>327</v>
      </c>
      <c r="Q909" s="150" t="s">
        <v>2524</v>
      </c>
      <c r="R909" s="150" t="s">
        <v>2525</v>
      </c>
      <c r="S909" s="151"/>
      <c r="T909" s="151"/>
      <c r="U909" s="152"/>
      <c r="V909" s="150" t="s">
        <v>330</v>
      </c>
      <c r="W909" s="151"/>
      <c r="X909" s="150" t="s">
        <v>331</v>
      </c>
      <c r="Y909" s="150" t="s">
        <v>343</v>
      </c>
      <c r="Z909" s="150" t="s">
        <v>343</v>
      </c>
      <c r="AA909" s="150" t="s">
        <v>334</v>
      </c>
      <c r="AB909" s="153">
        <v>0</v>
      </c>
      <c r="AC909" s="151"/>
      <c r="AD909" s="150"/>
      <c r="AE909" s="151"/>
      <c r="AF909" s="150" t="s">
        <v>48</v>
      </c>
      <c r="AG909" s="152" t="s">
        <v>992</v>
      </c>
      <c r="AH909" s="150" t="s">
        <v>2542</v>
      </c>
      <c r="AI909" s="99"/>
      <c r="AJ909" s="149">
        <v>0</v>
      </c>
      <c r="AK909" s="99">
        <v>0</v>
      </c>
      <c r="AL909" s="149">
        <v>0</v>
      </c>
      <c r="AM909" s="99">
        <v>0</v>
      </c>
      <c r="AN909" s="149">
        <v>0</v>
      </c>
      <c r="AO909" s="149">
        <v>0</v>
      </c>
      <c r="AP909" s="149">
        <v>0</v>
      </c>
      <c r="AQ909" s="149">
        <v>0</v>
      </c>
      <c r="AR909" s="149">
        <v>0</v>
      </c>
      <c r="AS909" s="149">
        <v>0</v>
      </c>
      <c r="AT909" s="149">
        <v>17</v>
      </c>
      <c r="AU909" s="149">
        <v>0</v>
      </c>
      <c r="AV909" s="149">
        <v>0</v>
      </c>
      <c r="AW909" s="149">
        <v>0</v>
      </c>
      <c r="AX909" s="149">
        <v>0</v>
      </c>
      <c r="AY909" s="149">
        <v>0</v>
      </c>
      <c r="AZ909" s="149">
        <v>0</v>
      </c>
      <c r="BA909" s="149">
        <v>17</v>
      </c>
      <c r="BB909" s="149">
        <v>0</v>
      </c>
      <c r="BC909" s="149">
        <v>0</v>
      </c>
      <c r="BD909" s="149">
        <v>0</v>
      </c>
      <c r="BE909" s="149">
        <v>0</v>
      </c>
      <c r="BF909" s="149">
        <v>0</v>
      </c>
      <c r="BG909" s="149">
        <v>0</v>
      </c>
      <c r="BH909" s="149">
        <v>0</v>
      </c>
      <c r="BI909" s="149">
        <v>0</v>
      </c>
      <c r="BJ909" s="149">
        <v>0</v>
      </c>
      <c r="BK909" s="149">
        <v>0</v>
      </c>
      <c r="BL909" s="149">
        <v>0</v>
      </c>
      <c r="BM909" s="149">
        <v>0</v>
      </c>
      <c r="BN909" s="149">
        <v>0</v>
      </c>
      <c r="BO909" s="149">
        <v>0</v>
      </c>
      <c r="BP909" s="136" t="s">
        <v>141</v>
      </c>
      <c r="BQ909" s="136"/>
      <c r="BR909" s="154" t="s">
        <v>141</v>
      </c>
      <c r="BS909" s="136">
        <v>19</v>
      </c>
      <c r="BT909" s="267"/>
      <c r="BU909" s="267"/>
      <c r="BV909" s="267"/>
      <c r="BW909" s="267"/>
      <c r="BX909" s="267"/>
      <c r="BY909" s="267"/>
      <c r="BZ909" s="267"/>
      <c r="CA909" s="267">
        <f>M909/4</f>
        <v>4.25</v>
      </c>
      <c r="CB909" s="267">
        <f>M909/4</f>
        <v>4.25</v>
      </c>
      <c r="CC909" s="267">
        <f>M909/4</f>
        <v>4.25</v>
      </c>
      <c r="CD909" s="267">
        <f>M909/4</f>
        <v>4.25</v>
      </c>
      <c r="CE909" s="267"/>
      <c r="CF909" s="267"/>
      <c r="CG909" s="267"/>
      <c r="CH909" s="267"/>
      <c r="CI909" s="267"/>
      <c r="CJ909" s="267"/>
      <c r="CK909" s="267"/>
      <c r="CL909" s="267"/>
      <c r="CM909" s="267"/>
      <c r="CN909" s="101">
        <f t="shared" si="132"/>
        <v>0</v>
      </c>
      <c r="CO909" s="101">
        <f t="shared" si="133"/>
        <v>17</v>
      </c>
    </row>
    <row r="910" spans="1:93" ht="13.9" customHeight="1" x14ac:dyDescent="0.2">
      <c r="A910" s="149">
        <v>7132</v>
      </c>
      <c r="B910" s="150" t="s">
        <v>2522</v>
      </c>
      <c r="C910" s="150"/>
      <c r="D910" s="150" t="s">
        <v>2543</v>
      </c>
      <c r="E910" s="150"/>
      <c r="F910" s="149">
        <v>525690.77379999903</v>
      </c>
      <c r="G910" s="149">
        <v>174603.17490000001</v>
      </c>
      <c r="H910" s="150" t="s">
        <v>177</v>
      </c>
      <c r="I910" s="151"/>
      <c r="J910" s="151"/>
      <c r="K910" s="149">
        <v>0</v>
      </c>
      <c r="L910" s="149">
        <v>7</v>
      </c>
      <c r="M910" s="149">
        <v>7</v>
      </c>
      <c r="N910" s="149">
        <v>7</v>
      </c>
      <c r="O910" s="149">
        <v>7</v>
      </c>
      <c r="P910" s="152"/>
      <c r="Q910" s="150" t="s">
        <v>2524</v>
      </c>
      <c r="R910" s="150" t="s">
        <v>2525</v>
      </c>
      <c r="S910" s="151"/>
      <c r="T910" s="151"/>
      <c r="U910" s="152"/>
      <c r="V910" s="150" t="s">
        <v>330</v>
      </c>
      <c r="W910" s="151"/>
      <c r="X910" s="150" t="s">
        <v>331</v>
      </c>
      <c r="Y910" s="150" t="s">
        <v>343</v>
      </c>
      <c r="Z910" s="150" t="s">
        <v>334</v>
      </c>
      <c r="AA910" s="150" t="s">
        <v>363</v>
      </c>
      <c r="AB910" s="153">
        <v>0</v>
      </c>
      <c r="AC910" s="151"/>
      <c r="AD910" s="150"/>
      <c r="AE910" s="151"/>
      <c r="AF910" s="150" t="s">
        <v>70</v>
      </c>
      <c r="AG910" s="152" t="s">
        <v>352</v>
      </c>
      <c r="AH910" s="150" t="s">
        <v>2544</v>
      </c>
      <c r="AI910" s="99"/>
      <c r="AJ910" s="149">
        <v>0</v>
      </c>
      <c r="AK910" s="99">
        <v>0</v>
      </c>
      <c r="AL910" s="149">
        <v>0</v>
      </c>
      <c r="AM910" s="99">
        <v>0</v>
      </c>
      <c r="AN910" s="149">
        <v>0</v>
      </c>
      <c r="AO910" s="149">
        <v>0</v>
      </c>
      <c r="AP910" s="149">
        <v>0</v>
      </c>
      <c r="AQ910" s="149">
        <v>0</v>
      </c>
      <c r="AR910" s="149">
        <v>0</v>
      </c>
      <c r="AS910" s="149">
        <v>0</v>
      </c>
      <c r="AT910" s="149">
        <v>7</v>
      </c>
      <c r="AU910" s="149">
        <v>0</v>
      </c>
      <c r="AV910" s="149">
        <v>0</v>
      </c>
      <c r="AW910" s="149">
        <v>0</v>
      </c>
      <c r="AX910" s="149">
        <v>0</v>
      </c>
      <c r="AY910" s="149">
        <v>0</v>
      </c>
      <c r="AZ910" s="149">
        <v>0</v>
      </c>
      <c r="BA910" s="149">
        <v>7</v>
      </c>
      <c r="BB910" s="149">
        <v>0</v>
      </c>
      <c r="BC910" s="149">
        <v>0</v>
      </c>
      <c r="BD910" s="149">
        <v>0</v>
      </c>
      <c r="BE910" s="149">
        <v>0</v>
      </c>
      <c r="BF910" s="149">
        <v>0</v>
      </c>
      <c r="BG910" s="149">
        <v>0</v>
      </c>
      <c r="BH910" s="149">
        <v>0</v>
      </c>
      <c r="BI910" s="149">
        <v>0</v>
      </c>
      <c r="BJ910" s="149">
        <v>0</v>
      </c>
      <c r="BK910" s="149">
        <v>0</v>
      </c>
      <c r="BL910" s="149">
        <v>0</v>
      </c>
      <c r="BM910" s="149">
        <v>0</v>
      </c>
      <c r="BN910" s="149">
        <v>0</v>
      </c>
      <c r="BO910" s="149">
        <v>0</v>
      </c>
      <c r="BP910" s="136" t="s">
        <v>143</v>
      </c>
      <c r="BQ910" s="136"/>
      <c r="BR910" s="154" t="s">
        <v>463</v>
      </c>
      <c r="BS910" s="136">
        <v>19</v>
      </c>
      <c r="BT910" s="267"/>
      <c r="BU910" s="267"/>
      <c r="BV910" s="267"/>
      <c r="BW910" s="267"/>
      <c r="BX910" s="267"/>
      <c r="BY910" s="267"/>
      <c r="BZ910" s="267"/>
      <c r="CA910" s="267"/>
      <c r="CB910" s="267"/>
      <c r="CC910" s="267">
        <f>M910/12</f>
        <v>0.58333333333333337</v>
      </c>
      <c r="CD910" s="267">
        <f>M910/12</f>
        <v>0.58333333333333337</v>
      </c>
      <c r="CE910" s="267">
        <f>M910/12</f>
        <v>0.58333333333333337</v>
      </c>
      <c r="CF910" s="267">
        <f>M910/12</f>
        <v>0.58333333333333337</v>
      </c>
      <c r="CG910" s="267">
        <f>M910/12</f>
        <v>0.58333333333333337</v>
      </c>
      <c r="CH910" s="267">
        <f>M910/12</f>
        <v>0.58333333333333337</v>
      </c>
      <c r="CI910" s="267">
        <f>M910/12</f>
        <v>0.58333333333333337</v>
      </c>
      <c r="CJ910" s="267">
        <f>M910/12</f>
        <v>0.58333333333333337</v>
      </c>
      <c r="CK910" s="267">
        <f>M910/12</f>
        <v>0.58333333333333337</v>
      </c>
      <c r="CL910" s="267">
        <f>M910/12</f>
        <v>0.58333333333333337</v>
      </c>
      <c r="CM910" s="267">
        <f>M910/12</f>
        <v>0.58333333333333337</v>
      </c>
      <c r="CN910" s="101">
        <f t="shared" si="132"/>
        <v>0</v>
      </c>
      <c r="CO910" s="101">
        <f t="shared" si="133"/>
        <v>1.1666666666666667</v>
      </c>
    </row>
    <row r="911" spans="1:93" ht="13.9" customHeight="1" x14ac:dyDescent="0.2">
      <c r="A911" s="149">
        <v>7587</v>
      </c>
      <c r="B911" s="150" t="s">
        <v>2522</v>
      </c>
      <c r="C911" s="150"/>
      <c r="D911" s="150" t="s">
        <v>2545</v>
      </c>
      <c r="E911" s="150"/>
      <c r="F911" s="149">
        <v>525271.18099999905</v>
      </c>
      <c r="G911" s="149">
        <v>174956.73670000001</v>
      </c>
      <c r="H911" s="150" t="s">
        <v>177</v>
      </c>
      <c r="I911" s="151"/>
      <c r="J911" s="151"/>
      <c r="K911" s="149">
        <v>0</v>
      </c>
      <c r="L911" s="149">
        <v>16</v>
      </c>
      <c r="M911" s="149">
        <v>16</v>
      </c>
      <c r="N911" s="149">
        <v>25</v>
      </c>
      <c r="O911" s="149">
        <v>25</v>
      </c>
      <c r="P911" s="152" t="s">
        <v>327</v>
      </c>
      <c r="Q911" s="150" t="s">
        <v>2524</v>
      </c>
      <c r="R911" s="150" t="s">
        <v>2525</v>
      </c>
      <c r="S911" s="151"/>
      <c r="T911" s="151"/>
      <c r="U911" s="152"/>
      <c r="V911" s="150" t="s">
        <v>330</v>
      </c>
      <c r="W911" s="151"/>
      <c r="X911" s="150" t="s">
        <v>331</v>
      </c>
      <c r="Y911" s="150" t="s">
        <v>343</v>
      </c>
      <c r="Z911" s="150" t="s">
        <v>343</v>
      </c>
      <c r="AA911" s="150" t="s">
        <v>334</v>
      </c>
      <c r="AB911" s="153">
        <v>0</v>
      </c>
      <c r="AC911" s="151"/>
      <c r="AD911" s="150"/>
      <c r="AE911" s="151"/>
      <c r="AF911" s="150" t="s">
        <v>70</v>
      </c>
      <c r="AG911" s="152" t="s">
        <v>352</v>
      </c>
      <c r="AH911" s="150" t="s">
        <v>2546</v>
      </c>
      <c r="AI911" s="99"/>
      <c r="AJ911" s="149">
        <v>0</v>
      </c>
      <c r="AK911" s="99">
        <v>0</v>
      </c>
      <c r="AL911" s="149">
        <v>0</v>
      </c>
      <c r="AM911" s="99">
        <v>0</v>
      </c>
      <c r="AN911" s="149">
        <v>0</v>
      </c>
      <c r="AO911" s="149">
        <v>0</v>
      </c>
      <c r="AP911" s="149">
        <v>0</v>
      </c>
      <c r="AQ911" s="149">
        <v>0</v>
      </c>
      <c r="AR911" s="149">
        <v>0</v>
      </c>
      <c r="AS911" s="149">
        <v>0</v>
      </c>
      <c r="AT911" s="149">
        <v>16</v>
      </c>
      <c r="AU911" s="149">
        <v>0</v>
      </c>
      <c r="AV911" s="149">
        <v>0</v>
      </c>
      <c r="AW911" s="149">
        <v>0</v>
      </c>
      <c r="AX911" s="149">
        <v>0</v>
      </c>
      <c r="AY911" s="149">
        <v>0</v>
      </c>
      <c r="AZ911" s="149">
        <v>0</v>
      </c>
      <c r="BA911" s="149">
        <v>16</v>
      </c>
      <c r="BB911" s="149">
        <v>0</v>
      </c>
      <c r="BC911" s="149">
        <v>0</v>
      </c>
      <c r="BD911" s="149">
        <v>0</v>
      </c>
      <c r="BE911" s="149">
        <v>0</v>
      </c>
      <c r="BF911" s="149">
        <v>0</v>
      </c>
      <c r="BG911" s="149">
        <v>0</v>
      </c>
      <c r="BH911" s="149">
        <v>0</v>
      </c>
      <c r="BI911" s="149">
        <v>0</v>
      </c>
      <c r="BJ911" s="149">
        <v>0</v>
      </c>
      <c r="BK911" s="149">
        <v>0</v>
      </c>
      <c r="BL911" s="149">
        <v>0</v>
      </c>
      <c r="BM911" s="149">
        <v>0</v>
      </c>
      <c r="BN911" s="149">
        <v>0</v>
      </c>
      <c r="BO911" s="149">
        <v>0</v>
      </c>
      <c r="BP911" s="136"/>
      <c r="BQ911" s="136"/>
      <c r="BR911" s="154" t="s">
        <v>463</v>
      </c>
      <c r="BS911" s="136">
        <v>19</v>
      </c>
      <c r="BT911" s="267"/>
      <c r="BU911" s="267"/>
      <c r="BV911" s="267"/>
      <c r="BW911" s="267"/>
      <c r="BX911" s="267">
        <f>M911</f>
        <v>16</v>
      </c>
      <c r="BY911" s="267"/>
      <c r="BZ911" s="267"/>
      <c r="CA911" s="267"/>
      <c r="CB911" s="267"/>
      <c r="CC911" s="267"/>
      <c r="CD911" s="267"/>
      <c r="CE911" s="267"/>
      <c r="CF911" s="267"/>
      <c r="CG911" s="267"/>
      <c r="CH911" s="267"/>
      <c r="CI911" s="267"/>
      <c r="CJ911" s="267"/>
      <c r="CK911" s="267"/>
      <c r="CL911" s="267"/>
      <c r="CM911" s="267"/>
      <c r="CN911" s="101">
        <f t="shared" si="132"/>
        <v>16</v>
      </c>
      <c r="CO911" s="101">
        <f t="shared" si="133"/>
        <v>16</v>
      </c>
    </row>
    <row r="912" spans="1:93" ht="13.9" customHeight="1" x14ac:dyDescent="0.2">
      <c r="A912" s="149">
        <v>7587</v>
      </c>
      <c r="B912" s="150" t="s">
        <v>2522</v>
      </c>
      <c r="C912" s="150"/>
      <c r="D912" s="150" t="s">
        <v>2545</v>
      </c>
      <c r="E912" s="150"/>
      <c r="F912" s="149">
        <v>525271.18099999905</v>
      </c>
      <c r="G912" s="149">
        <v>174956.73670000001</v>
      </c>
      <c r="H912" s="150" t="s">
        <v>177</v>
      </c>
      <c r="I912" s="151"/>
      <c r="J912" s="151"/>
      <c r="K912" s="149">
        <v>0</v>
      </c>
      <c r="L912" s="149">
        <v>5</v>
      </c>
      <c r="M912" s="149">
        <v>5</v>
      </c>
      <c r="N912" s="149">
        <v>25</v>
      </c>
      <c r="O912" s="149">
        <v>25</v>
      </c>
      <c r="P912" s="152" t="s">
        <v>327</v>
      </c>
      <c r="Q912" s="150" t="s">
        <v>2524</v>
      </c>
      <c r="R912" s="150" t="s">
        <v>2525</v>
      </c>
      <c r="S912" s="151"/>
      <c r="T912" s="151"/>
      <c r="U912" s="152"/>
      <c r="V912" s="150" t="s">
        <v>330</v>
      </c>
      <c r="W912" s="151"/>
      <c r="X912" s="150" t="s">
        <v>331</v>
      </c>
      <c r="Y912" s="150" t="s">
        <v>343</v>
      </c>
      <c r="Z912" s="150" t="s">
        <v>343</v>
      </c>
      <c r="AA912" s="150" t="s">
        <v>334</v>
      </c>
      <c r="AB912" s="153">
        <v>0</v>
      </c>
      <c r="AC912" s="151"/>
      <c r="AD912" s="150"/>
      <c r="AE912" s="151"/>
      <c r="AF912" s="150" t="s">
        <v>49</v>
      </c>
      <c r="AG912" s="152" t="s">
        <v>470</v>
      </c>
      <c r="AH912" s="150" t="s">
        <v>2546</v>
      </c>
      <c r="AI912" s="99"/>
      <c r="AJ912" s="149">
        <v>0</v>
      </c>
      <c r="AK912" s="99">
        <v>0</v>
      </c>
      <c r="AL912" s="149">
        <v>0</v>
      </c>
      <c r="AM912" s="99">
        <v>0</v>
      </c>
      <c r="AN912" s="149">
        <v>0</v>
      </c>
      <c r="AO912" s="149">
        <v>0</v>
      </c>
      <c r="AP912" s="149">
        <v>0</v>
      </c>
      <c r="AQ912" s="149">
        <v>0</v>
      </c>
      <c r="AR912" s="149">
        <v>0</v>
      </c>
      <c r="AS912" s="149">
        <v>0</v>
      </c>
      <c r="AT912" s="149">
        <v>5</v>
      </c>
      <c r="AU912" s="149">
        <v>0</v>
      </c>
      <c r="AV912" s="149">
        <v>0</v>
      </c>
      <c r="AW912" s="149">
        <v>0</v>
      </c>
      <c r="AX912" s="149">
        <v>0</v>
      </c>
      <c r="AY912" s="149">
        <v>0</v>
      </c>
      <c r="AZ912" s="149">
        <v>0</v>
      </c>
      <c r="BA912" s="149">
        <v>5</v>
      </c>
      <c r="BB912" s="149">
        <v>0</v>
      </c>
      <c r="BC912" s="149">
        <v>0</v>
      </c>
      <c r="BD912" s="149">
        <v>0</v>
      </c>
      <c r="BE912" s="149">
        <v>0</v>
      </c>
      <c r="BF912" s="149">
        <v>0</v>
      </c>
      <c r="BG912" s="149">
        <v>0</v>
      </c>
      <c r="BH912" s="149">
        <v>0</v>
      </c>
      <c r="BI912" s="149">
        <v>0</v>
      </c>
      <c r="BJ912" s="149">
        <v>0</v>
      </c>
      <c r="BK912" s="149">
        <v>0</v>
      </c>
      <c r="BL912" s="149">
        <v>0</v>
      </c>
      <c r="BM912" s="149">
        <v>0</v>
      </c>
      <c r="BN912" s="149">
        <v>0</v>
      </c>
      <c r="BO912" s="149">
        <v>0</v>
      </c>
      <c r="BP912" s="136"/>
      <c r="BQ912" s="136"/>
      <c r="BR912" s="154" t="s">
        <v>463</v>
      </c>
      <c r="BS912" s="136">
        <v>19</v>
      </c>
      <c r="BT912" s="267"/>
      <c r="BU912" s="267"/>
      <c r="BV912" s="267"/>
      <c r="BW912" s="267"/>
      <c r="BX912" s="267">
        <f>M912</f>
        <v>5</v>
      </c>
      <c r="BY912" s="267"/>
      <c r="BZ912" s="267"/>
      <c r="CA912" s="267"/>
      <c r="CB912" s="267"/>
      <c r="CC912" s="267"/>
      <c r="CD912" s="267"/>
      <c r="CE912" s="267"/>
      <c r="CF912" s="267"/>
      <c r="CG912" s="267"/>
      <c r="CH912" s="267"/>
      <c r="CI912" s="267"/>
      <c r="CJ912" s="267"/>
      <c r="CK912" s="267"/>
      <c r="CL912" s="267"/>
      <c r="CM912" s="267"/>
      <c r="CN912" s="101">
        <f t="shared" si="132"/>
        <v>5</v>
      </c>
      <c r="CO912" s="101">
        <f t="shared" si="133"/>
        <v>5</v>
      </c>
    </row>
    <row r="913" spans="1:93" ht="13.9" customHeight="1" x14ac:dyDescent="0.2">
      <c r="A913" s="149">
        <v>7587</v>
      </c>
      <c r="B913" s="150" t="s">
        <v>2522</v>
      </c>
      <c r="C913" s="150"/>
      <c r="D913" s="150" t="s">
        <v>2545</v>
      </c>
      <c r="E913" s="150"/>
      <c r="F913" s="149">
        <v>525271.18099999905</v>
      </c>
      <c r="G913" s="149">
        <v>174956.73670000001</v>
      </c>
      <c r="H913" s="150" t="s">
        <v>177</v>
      </c>
      <c r="I913" s="151"/>
      <c r="J913" s="151"/>
      <c r="K913" s="149">
        <v>0</v>
      </c>
      <c r="L913" s="149">
        <v>4</v>
      </c>
      <c r="M913" s="149">
        <v>4</v>
      </c>
      <c r="N913" s="149">
        <v>25</v>
      </c>
      <c r="O913" s="149">
        <v>25</v>
      </c>
      <c r="P913" s="152" t="s">
        <v>327</v>
      </c>
      <c r="Q913" s="150" t="s">
        <v>2524</v>
      </c>
      <c r="R913" s="150" t="s">
        <v>2525</v>
      </c>
      <c r="S913" s="151"/>
      <c r="T913" s="151"/>
      <c r="U913" s="152"/>
      <c r="V913" s="150" t="s">
        <v>330</v>
      </c>
      <c r="W913" s="151"/>
      <c r="X913" s="150" t="s">
        <v>331</v>
      </c>
      <c r="Y913" s="150" t="s">
        <v>343</v>
      </c>
      <c r="Z913" s="150" t="s">
        <v>343</v>
      </c>
      <c r="AA913" s="150" t="s">
        <v>334</v>
      </c>
      <c r="AB913" s="153">
        <v>0</v>
      </c>
      <c r="AC913" s="151"/>
      <c r="AD913" s="150"/>
      <c r="AE913" s="151"/>
      <c r="AF913" s="150" t="s">
        <v>48</v>
      </c>
      <c r="AG913" s="152" t="s">
        <v>992</v>
      </c>
      <c r="AH913" s="150" t="s">
        <v>2546</v>
      </c>
      <c r="AI913" s="99"/>
      <c r="AJ913" s="149">
        <v>0</v>
      </c>
      <c r="AK913" s="99">
        <v>0</v>
      </c>
      <c r="AL913" s="149">
        <v>0</v>
      </c>
      <c r="AM913" s="99">
        <v>0</v>
      </c>
      <c r="AN913" s="149">
        <v>0</v>
      </c>
      <c r="AO913" s="149">
        <v>0</v>
      </c>
      <c r="AP913" s="149">
        <v>0</v>
      </c>
      <c r="AQ913" s="149">
        <v>0</v>
      </c>
      <c r="AR913" s="149">
        <v>0</v>
      </c>
      <c r="AS913" s="149">
        <v>0</v>
      </c>
      <c r="AT913" s="149">
        <v>4</v>
      </c>
      <c r="AU913" s="149">
        <v>0</v>
      </c>
      <c r="AV913" s="149">
        <v>0</v>
      </c>
      <c r="AW913" s="149">
        <v>0</v>
      </c>
      <c r="AX913" s="149">
        <v>0</v>
      </c>
      <c r="AY913" s="149">
        <v>0</v>
      </c>
      <c r="AZ913" s="149">
        <v>0</v>
      </c>
      <c r="BA913" s="149">
        <v>4</v>
      </c>
      <c r="BB913" s="149">
        <v>0</v>
      </c>
      <c r="BC913" s="149">
        <v>0</v>
      </c>
      <c r="BD913" s="149">
        <v>0</v>
      </c>
      <c r="BE913" s="149">
        <v>0</v>
      </c>
      <c r="BF913" s="149">
        <v>0</v>
      </c>
      <c r="BG913" s="149">
        <v>0</v>
      </c>
      <c r="BH913" s="149">
        <v>0</v>
      </c>
      <c r="BI913" s="149">
        <v>0</v>
      </c>
      <c r="BJ913" s="149">
        <v>0</v>
      </c>
      <c r="BK913" s="149">
        <v>0</v>
      </c>
      <c r="BL913" s="149">
        <v>0</v>
      </c>
      <c r="BM913" s="149">
        <v>0</v>
      </c>
      <c r="BN913" s="149">
        <v>0</v>
      </c>
      <c r="BO913" s="149">
        <v>0</v>
      </c>
      <c r="BP913" s="136"/>
      <c r="BQ913" s="136"/>
      <c r="BR913" s="154" t="s">
        <v>463</v>
      </c>
      <c r="BS913" s="136">
        <v>19</v>
      </c>
      <c r="BT913" s="267"/>
      <c r="BU913" s="267"/>
      <c r="BV913" s="267"/>
      <c r="BW913" s="267"/>
      <c r="BX913" s="267">
        <f>M913</f>
        <v>4</v>
      </c>
      <c r="BY913" s="267"/>
      <c r="BZ913" s="267"/>
      <c r="CA913" s="267"/>
      <c r="CB913" s="267"/>
      <c r="CC913" s="267"/>
      <c r="CD913" s="267"/>
      <c r="CE913" s="267"/>
      <c r="CF913" s="267"/>
      <c r="CG913" s="267"/>
      <c r="CH913" s="267"/>
      <c r="CI913" s="267"/>
      <c r="CJ913" s="267"/>
      <c r="CK913" s="267"/>
      <c r="CL913" s="267"/>
      <c r="CM913" s="267"/>
      <c r="CN913" s="101">
        <f t="shared" si="132"/>
        <v>4</v>
      </c>
      <c r="CO913" s="101">
        <f t="shared" si="133"/>
        <v>4</v>
      </c>
    </row>
    <row r="914" spans="1:93" ht="13.9" customHeight="1" x14ac:dyDescent="0.2">
      <c r="A914" s="149">
        <v>6871</v>
      </c>
      <c r="B914" s="150" t="s">
        <v>2522</v>
      </c>
      <c r="C914" s="150"/>
      <c r="D914" s="150" t="s">
        <v>2547</v>
      </c>
      <c r="E914" s="150"/>
      <c r="F914" s="149">
        <v>526746</v>
      </c>
      <c r="G914" s="149">
        <v>176345</v>
      </c>
      <c r="H914" s="150" t="s">
        <v>170</v>
      </c>
      <c r="I914" s="151"/>
      <c r="J914" s="151"/>
      <c r="K914" s="149">
        <v>0</v>
      </c>
      <c r="L914" s="149">
        <v>46</v>
      </c>
      <c r="M914" s="149">
        <v>46</v>
      </c>
      <c r="N914" s="149">
        <v>71</v>
      </c>
      <c r="O914" s="149">
        <v>71</v>
      </c>
      <c r="P914" s="152" t="s">
        <v>327</v>
      </c>
      <c r="Q914" s="150" t="s">
        <v>2524</v>
      </c>
      <c r="R914" s="150" t="s">
        <v>2525</v>
      </c>
      <c r="S914" s="151"/>
      <c r="T914" s="151"/>
      <c r="U914" s="152"/>
      <c r="V914" s="150" t="s">
        <v>330</v>
      </c>
      <c r="W914" s="151"/>
      <c r="X914" s="150" t="s">
        <v>331</v>
      </c>
      <c r="Y914" s="150" t="s">
        <v>343</v>
      </c>
      <c r="Z914" s="150" t="s">
        <v>343</v>
      </c>
      <c r="AA914" s="150" t="s">
        <v>334</v>
      </c>
      <c r="AB914" s="153">
        <v>0</v>
      </c>
      <c r="AC914" s="151"/>
      <c r="AD914" s="150"/>
      <c r="AE914" s="151"/>
      <c r="AF914" s="150" t="s">
        <v>70</v>
      </c>
      <c r="AG914" s="152" t="s">
        <v>352</v>
      </c>
      <c r="AH914" s="150" t="s">
        <v>2548</v>
      </c>
      <c r="AI914" s="99"/>
      <c r="AJ914" s="149">
        <v>0</v>
      </c>
      <c r="AK914" s="99">
        <v>0</v>
      </c>
      <c r="AL914" s="149">
        <v>0</v>
      </c>
      <c r="AM914" s="99">
        <v>0</v>
      </c>
      <c r="AN914" s="149">
        <v>0</v>
      </c>
      <c r="AO914" s="149">
        <v>0</v>
      </c>
      <c r="AP914" s="149">
        <v>0</v>
      </c>
      <c r="AQ914" s="149">
        <v>0</v>
      </c>
      <c r="AR914" s="149">
        <v>0</v>
      </c>
      <c r="AS914" s="149">
        <v>0</v>
      </c>
      <c r="AT914" s="149">
        <v>46</v>
      </c>
      <c r="AU914" s="149">
        <v>0</v>
      </c>
      <c r="AV914" s="149">
        <v>0</v>
      </c>
      <c r="AW914" s="149">
        <v>0</v>
      </c>
      <c r="AX914" s="149">
        <v>0</v>
      </c>
      <c r="AY914" s="149">
        <v>0</v>
      </c>
      <c r="AZ914" s="149">
        <v>0</v>
      </c>
      <c r="BA914" s="149">
        <v>46</v>
      </c>
      <c r="BB914" s="149">
        <v>0</v>
      </c>
      <c r="BC914" s="149">
        <v>0</v>
      </c>
      <c r="BD914" s="149">
        <v>0</v>
      </c>
      <c r="BE914" s="149">
        <v>0</v>
      </c>
      <c r="BF914" s="149">
        <v>0</v>
      </c>
      <c r="BG914" s="149">
        <v>0</v>
      </c>
      <c r="BH914" s="149">
        <v>0</v>
      </c>
      <c r="BI914" s="149">
        <v>0</v>
      </c>
      <c r="BJ914" s="149">
        <v>0</v>
      </c>
      <c r="BK914" s="149">
        <v>0</v>
      </c>
      <c r="BL914" s="149">
        <v>0</v>
      </c>
      <c r="BM914" s="149">
        <v>0</v>
      </c>
      <c r="BN914" s="149">
        <v>0</v>
      </c>
      <c r="BO914" s="149">
        <v>0</v>
      </c>
      <c r="BP914" s="136"/>
      <c r="BQ914" s="136"/>
      <c r="BR914" s="154" t="s">
        <v>408</v>
      </c>
      <c r="BS914" s="136">
        <v>19</v>
      </c>
      <c r="BT914" s="267"/>
      <c r="BU914" s="267"/>
      <c r="BV914" s="267"/>
      <c r="BW914" s="267"/>
      <c r="BX914" s="267"/>
      <c r="BY914" s="267">
        <f>M914/16</f>
        <v>2.875</v>
      </c>
      <c r="BZ914" s="267">
        <f>M914/16</f>
        <v>2.875</v>
      </c>
      <c r="CA914" s="267">
        <f>M914/16</f>
        <v>2.875</v>
      </c>
      <c r="CB914" s="267">
        <f>M914/16</f>
        <v>2.875</v>
      </c>
      <c r="CC914" s="267">
        <f>M914/16</f>
        <v>2.875</v>
      </c>
      <c r="CD914" s="267">
        <f>M914/16</f>
        <v>2.875</v>
      </c>
      <c r="CE914" s="267">
        <f>M914/16</f>
        <v>2.875</v>
      </c>
      <c r="CF914" s="267">
        <f>M914/16</f>
        <v>2.875</v>
      </c>
      <c r="CG914" s="267">
        <f>M914/16</f>
        <v>2.875</v>
      </c>
      <c r="CH914" s="267">
        <f>M914/16</f>
        <v>2.875</v>
      </c>
      <c r="CI914" s="267">
        <f>M914/16</f>
        <v>2.875</v>
      </c>
      <c r="CJ914" s="267">
        <f>M914/16</f>
        <v>2.875</v>
      </c>
      <c r="CK914" s="267">
        <f>M914/16</f>
        <v>2.875</v>
      </c>
      <c r="CL914" s="267">
        <f>M914/16</f>
        <v>2.875</v>
      </c>
      <c r="CM914" s="267">
        <f>M914/16</f>
        <v>2.875</v>
      </c>
      <c r="CN914" s="101">
        <f t="shared" si="132"/>
        <v>2.875</v>
      </c>
      <c r="CO914" s="101">
        <f t="shared" si="133"/>
        <v>17.25</v>
      </c>
    </row>
    <row r="915" spans="1:93" ht="13.9" customHeight="1" x14ac:dyDescent="0.2">
      <c r="A915" s="149">
        <v>6871</v>
      </c>
      <c r="B915" s="150" t="s">
        <v>2522</v>
      </c>
      <c r="C915" s="150"/>
      <c r="D915" s="150" t="s">
        <v>2547</v>
      </c>
      <c r="E915" s="150"/>
      <c r="F915" s="149">
        <v>526746</v>
      </c>
      <c r="G915" s="149">
        <v>176345</v>
      </c>
      <c r="H915" s="150" t="s">
        <v>170</v>
      </c>
      <c r="I915" s="151"/>
      <c r="J915" s="151"/>
      <c r="K915" s="149">
        <v>0</v>
      </c>
      <c r="L915" s="149">
        <v>13</v>
      </c>
      <c r="M915" s="149">
        <v>13</v>
      </c>
      <c r="N915" s="149">
        <v>71</v>
      </c>
      <c r="O915" s="149">
        <v>71</v>
      </c>
      <c r="P915" s="152" t="s">
        <v>327</v>
      </c>
      <c r="Q915" s="150" t="s">
        <v>2524</v>
      </c>
      <c r="R915" s="150" t="s">
        <v>2525</v>
      </c>
      <c r="S915" s="151"/>
      <c r="T915" s="151"/>
      <c r="U915" s="152"/>
      <c r="V915" s="150" t="s">
        <v>330</v>
      </c>
      <c r="W915" s="151"/>
      <c r="X915" s="150" t="s">
        <v>331</v>
      </c>
      <c r="Y915" s="150" t="s">
        <v>343</v>
      </c>
      <c r="Z915" s="150" t="s">
        <v>343</v>
      </c>
      <c r="AA915" s="150" t="s">
        <v>334</v>
      </c>
      <c r="AB915" s="153">
        <v>0</v>
      </c>
      <c r="AC915" s="151"/>
      <c r="AD915" s="150"/>
      <c r="AE915" s="151"/>
      <c r="AF915" s="150" t="s">
        <v>49</v>
      </c>
      <c r="AG915" s="152" t="s">
        <v>470</v>
      </c>
      <c r="AH915" s="150" t="s">
        <v>2548</v>
      </c>
      <c r="AI915" s="99"/>
      <c r="AJ915" s="149">
        <v>0</v>
      </c>
      <c r="AK915" s="99">
        <v>0</v>
      </c>
      <c r="AL915" s="149">
        <v>0</v>
      </c>
      <c r="AM915" s="99">
        <v>0</v>
      </c>
      <c r="AN915" s="149">
        <v>0</v>
      </c>
      <c r="AO915" s="149">
        <v>0</v>
      </c>
      <c r="AP915" s="149">
        <v>0</v>
      </c>
      <c r="AQ915" s="149">
        <v>0</v>
      </c>
      <c r="AR915" s="149">
        <v>0</v>
      </c>
      <c r="AS915" s="149">
        <v>0</v>
      </c>
      <c r="AT915" s="149">
        <v>13</v>
      </c>
      <c r="AU915" s="149">
        <v>0</v>
      </c>
      <c r="AV915" s="149">
        <v>0</v>
      </c>
      <c r="AW915" s="149">
        <v>0</v>
      </c>
      <c r="AX915" s="149">
        <v>0</v>
      </c>
      <c r="AY915" s="149">
        <v>0</v>
      </c>
      <c r="AZ915" s="149">
        <v>0</v>
      </c>
      <c r="BA915" s="149">
        <v>13</v>
      </c>
      <c r="BB915" s="149">
        <v>0</v>
      </c>
      <c r="BC915" s="149">
        <v>0</v>
      </c>
      <c r="BD915" s="149">
        <v>0</v>
      </c>
      <c r="BE915" s="149">
        <v>0</v>
      </c>
      <c r="BF915" s="149">
        <v>0</v>
      </c>
      <c r="BG915" s="149">
        <v>0</v>
      </c>
      <c r="BH915" s="149">
        <v>0</v>
      </c>
      <c r="BI915" s="149">
        <v>0</v>
      </c>
      <c r="BJ915" s="149">
        <v>0</v>
      </c>
      <c r="BK915" s="149">
        <v>0</v>
      </c>
      <c r="BL915" s="149">
        <v>0</v>
      </c>
      <c r="BM915" s="149">
        <v>0</v>
      </c>
      <c r="BN915" s="149">
        <v>0</v>
      </c>
      <c r="BO915" s="149">
        <v>0</v>
      </c>
      <c r="BP915" s="136"/>
      <c r="BQ915" s="136"/>
      <c r="BR915" s="154" t="s">
        <v>408</v>
      </c>
      <c r="BS915" s="136">
        <v>19</v>
      </c>
      <c r="BT915" s="267"/>
      <c r="BU915" s="267"/>
      <c r="BV915" s="267"/>
      <c r="BW915" s="267"/>
      <c r="BX915" s="267"/>
      <c r="BY915" s="267">
        <f>M915/16</f>
        <v>0.8125</v>
      </c>
      <c r="BZ915" s="267">
        <f>M915/16</f>
        <v>0.8125</v>
      </c>
      <c r="CA915" s="267">
        <f>M915/16</f>
        <v>0.8125</v>
      </c>
      <c r="CB915" s="267">
        <f>M915/16</f>
        <v>0.8125</v>
      </c>
      <c r="CC915" s="267">
        <f>M915/16</f>
        <v>0.8125</v>
      </c>
      <c r="CD915" s="267">
        <f>M915/16</f>
        <v>0.8125</v>
      </c>
      <c r="CE915" s="267">
        <f>M915/16</f>
        <v>0.8125</v>
      </c>
      <c r="CF915" s="267">
        <f>M915/16</f>
        <v>0.8125</v>
      </c>
      <c r="CG915" s="267">
        <f>M915/16</f>
        <v>0.8125</v>
      </c>
      <c r="CH915" s="267">
        <f>M915/16</f>
        <v>0.8125</v>
      </c>
      <c r="CI915" s="267">
        <f>M915/16</f>
        <v>0.8125</v>
      </c>
      <c r="CJ915" s="267">
        <f>M915/16</f>
        <v>0.8125</v>
      </c>
      <c r="CK915" s="267">
        <f>M915/16</f>
        <v>0.8125</v>
      </c>
      <c r="CL915" s="267">
        <f>M915/16</f>
        <v>0.8125</v>
      </c>
      <c r="CM915" s="267">
        <f>M915/16</f>
        <v>0.8125</v>
      </c>
      <c r="CN915" s="101">
        <f t="shared" si="132"/>
        <v>0.8125</v>
      </c>
      <c r="CO915" s="101">
        <f t="shared" si="133"/>
        <v>4.875</v>
      </c>
    </row>
    <row r="916" spans="1:93" ht="13.9" customHeight="1" x14ac:dyDescent="0.2">
      <c r="A916" s="149">
        <v>6871</v>
      </c>
      <c r="B916" s="150" t="s">
        <v>2522</v>
      </c>
      <c r="C916" s="150"/>
      <c r="D916" s="150" t="s">
        <v>2547</v>
      </c>
      <c r="E916" s="150"/>
      <c r="F916" s="149">
        <v>526746</v>
      </c>
      <c r="G916" s="149">
        <v>176345</v>
      </c>
      <c r="H916" s="150" t="s">
        <v>170</v>
      </c>
      <c r="I916" s="151"/>
      <c r="J916" s="151"/>
      <c r="K916" s="149">
        <v>0</v>
      </c>
      <c r="L916" s="149">
        <v>12</v>
      </c>
      <c r="M916" s="149">
        <v>12</v>
      </c>
      <c r="N916" s="149">
        <v>71</v>
      </c>
      <c r="O916" s="149">
        <v>71</v>
      </c>
      <c r="P916" s="152" t="s">
        <v>327</v>
      </c>
      <c r="Q916" s="150" t="s">
        <v>2524</v>
      </c>
      <c r="R916" s="150" t="s">
        <v>2525</v>
      </c>
      <c r="S916" s="151"/>
      <c r="T916" s="151"/>
      <c r="U916" s="152"/>
      <c r="V916" s="150" t="s">
        <v>330</v>
      </c>
      <c r="W916" s="151"/>
      <c r="X916" s="150" t="s">
        <v>331</v>
      </c>
      <c r="Y916" s="150" t="s">
        <v>343</v>
      </c>
      <c r="Z916" s="150" t="s">
        <v>343</v>
      </c>
      <c r="AA916" s="150" t="s">
        <v>334</v>
      </c>
      <c r="AB916" s="153">
        <v>0</v>
      </c>
      <c r="AC916" s="151"/>
      <c r="AD916" s="150"/>
      <c r="AE916" s="151"/>
      <c r="AF916" s="150" t="s">
        <v>48</v>
      </c>
      <c r="AG916" s="152" t="s">
        <v>992</v>
      </c>
      <c r="AH916" s="150" t="s">
        <v>2548</v>
      </c>
      <c r="AI916" s="99"/>
      <c r="AJ916" s="149">
        <v>0</v>
      </c>
      <c r="AK916" s="99">
        <v>0</v>
      </c>
      <c r="AL916" s="149">
        <v>0</v>
      </c>
      <c r="AM916" s="99">
        <v>0</v>
      </c>
      <c r="AN916" s="149">
        <v>0</v>
      </c>
      <c r="AO916" s="149">
        <v>0</v>
      </c>
      <c r="AP916" s="149">
        <v>0</v>
      </c>
      <c r="AQ916" s="149">
        <v>0</v>
      </c>
      <c r="AR916" s="149">
        <v>0</v>
      </c>
      <c r="AS916" s="149">
        <v>0</v>
      </c>
      <c r="AT916" s="149">
        <v>12</v>
      </c>
      <c r="AU916" s="149">
        <v>0</v>
      </c>
      <c r="AV916" s="149">
        <v>0</v>
      </c>
      <c r="AW916" s="149">
        <v>0</v>
      </c>
      <c r="AX916" s="149">
        <v>0</v>
      </c>
      <c r="AY916" s="149">
        <v>0</v>
      </c>
      <c r="AZ916" s="149">
        <v>0</v>
      </c>
      <c r="BA916" s="149">
        <v>12</v>
      </c>
      <c r="BB916" s="149">
        <v>0</v>
      </c>
      <c r="BC916" s="149">
        <v>0</v>
      </c>
      <c r="BD916" s="149">
        <v>0</v>
      </c>
      <c r="BE916" s="149">
        <v>0</v>
      </c>
      <c r="BF916" s="149">
        <v>0</v>
      </c>
      <c r="BG916" s="149">
        <v>0</v>
      </c>
      <c r="BH916" s="149">
        <v>0</v>
      </c>
      <c r="BI916" s="149">
        <v>0</v>
      </c>
      <c r="BJ916" s="149">
        <v>0</v>
      </c>
      <c r="BK916" s="149">
        <v>0</v>
      </c>
      <c r="BL916" s="149">
        <v>0</v>
      </c>
      <c r="BM916" s="149">
        <v>0</v>
      </c>
      <c r="BN916" s="149">
        <v>0</v>
      </c>
      <c r="BO916" s="149">
        <v>0</v>
      </c>
      <c r="BP916" s="136"/>
      <c r="BQ916" s="136"/>
      <c r="BR916" s="154" t="s">
        <v>408</v>
      </c>
      <c r="BS916" s="136">
        <v>19</v>
      </c>
      <c r="BT916" s="267"/>
      <c r="BU916" s="267"/>
      <c r="BV916" s="267"/>
      <c r="BW916" s="267"/>
      <c r="BX916" s="267"/>
      <c r="BY916" s="267">
        <f>M916/16</f>
        <v>0.75</v>
      </c>
      <c r="BZ916" s="267">
        <f>M916/16</f>
        <v>0.75</v>
      </c>
      <c r="CA916" s="267">
        <f>M916/16</f>
        <v>0.75</v>
      </c>
      <c r="CB916" s="267">
        <f>M916/16</f>
        <v>0.75</v>
      </c>
      <c r="CC916" s="267">
        <f>M916/16</f>
        <v>0.75</v>
      </c>
      <c r="CD916" s="267">
        <f>M916/16</f>
        <v>0.75</v>
      </c>
      <c r="CE916" s="267">
        <f>M916/16</f>
        <v>0.75</v>
      </c>
      <c r="CF916" s="267">
        <f>M916/16</f>
        <v>0.75</v>
      </c>
      <c r="CG916" s="267">
        <f>M916/16</f>
        <v>0.75</v>
      </c>
      <c r="CH916" s="267">
        <f>M916/16</f>
        <v>0.75</v>
      </c>
      <c r="CI916" s="267">
        <f>M916/16</f>
        <v>0.75</v>
      </c>
      <c r="CJ916" s="267">
        <f>M916/16</f>
        <v>0.75</v>
      </c>
      <c r="CK916" s="267">
        <f>M916/16</f>
        <v>0.75</v>
      </c>
      <c r="CL916" s="267">
        <f>M916/16</f>
        <v>0.75</v>
      </c>
      <c r="CM916" s="267">
        <f>M916/16</f>
        <v>0.75</v>
      </c>
      <c r="CN916" s="101">
        <f t="shared" si="132"/>
        <v>0.75</v>
      </c>
      <c r="CO916" s="101">
        <f t="shared" si="133"/>
        <v>4.5</v>
      </c>
    </row>
    <row r="917" spans="1:93" ht="13.9" customHeight="1" x14ac:dyDescent="0.2">
      <c r="A917" s="149">
        <v>7546</v>
      </c>
      <c r="B917" s="150" t="s">
        <v>2522</v>
      </c>
      <c r="C917" s="150"/>
      <c r="D917" s="150" t="s">
        <v>2549</v>
      </c>
      <c r="E917" s="150"/>
      <c r="F917" s="149">
        <v>523936</v>
      </c>
      <c r="G917" s="149">
        <v>175285</v>
      </c>
      <c r="H917" s="150" t="s">
        <v>171</v>
      </c>
      <c r="I917" s="151"/>
      <c r="J917" s="151"/>
      <c r="K917" s="149">
        <v>0</v>
      </c>
      <c r="L917" s="149">
        <v>1</v>
      </c>
      <c r="M917" s="149">
        <v>1</v>
      </c>
      <c r="N917" s="149">
        <v>1</v>
      </c>
      <c r="O917" s="149">
        <v>1</v>
      </c>
      <c r="P917" s="152"/>
      <c r="Q917" s="150" t="s">
        <v>2524</v>
      </c>
      <c r="R917" s="150" t="s">
        <v>2525</v>
      </c>
      <c r="S917" s="151"/>
      <c r="T917" s="151"/>
      <c r="U917" s="152"/>
      <c r="V917" s="150" t="s">
        <v>330</v>
      </c>
      <c r="W917" s="151"/>
      <c r="X917" s="150" t="s">
        <v>331</v>
      </c>
      <c r="Y917" s="150" t="s">
        <v>343</v>
      </c>
      <c r="Z917" s="150" t="s">
        <v>334</v>
      </c>
      <c r="AA917" s="150" t="s">
        <v>363</v>
      </c>
      <c r="AB917" s="153">
        <v>0</v>
      </c>
      <c r="AC917" s="151"/>
      <c r="AD917" s="150"/>
      <c r="AE917" s="151"/>
      <c r="AF917" s="150" t="s">
        <v>70</v>
      </c>
      <c r="AG917" s="152" t="s">
        <v>352</v>
      </c>
      <c r="AH917" s="150"/>
      <c r="AI917" s="99"/>
      <c r="AJ917" s="149">
        <v>0</v>
      </c>
      <c r="AK917" s="99">
        <v>0</v>
      </c>
      <c r="AL917" s="149">
        <v>0</v>
      </c>
      <c r="AM917" s="99">
        <v>0</v>
      </c>
      <c r="AN917" s="149">
        <v>0</v>
      </c>
      <c r="AO917" s="149">
        <v>0</v>
      </c>
      <c r="AP917" s="149">
        <v>0</v>
      </c>
      <c r="AQ917" s="149">
        <v>0</v>
      </c>
      <c r="AR917" s="149">
        <v>0</v>
      </c>
      <c r="AS917" s="149">
        <v>0</v>
      </c>
      <c r="AT917" s="149">
        <v>1</v>
      </c>
      <c r="AU917" s="149">
        <v>0</v>
      </c>
      <c r="AV917" s="149">
        <v>0</v>
      </c>
      <c r="AW917" s="149">
        <v>0</v>
      </c>
      <c r="AX917" s="149">
        <v>0</v>
      </c>
      <c r="AY917" s="149">
        <v>0</v>
      </c>
      <c r="AZ917" s="149">
        <v>0</v>
      </c>
      <c r="BA917" s="149">
        <v>1</v>
      </c>
      <c r="BB917" s="149">
        <v>0</v>
      </c>
      <c r="BC917" s="149">
        <v>0</v>
      </c>
      <c r="BD917" s="149">
        <v>0</v>
      </c>
      <c r="BE917" s="149">
        <v>0</v>
      </c>
      <c r="BF917" s="149">
        <v>0</v>
      </c>
      <c r="BG917" s="149">
        <v>0</v>
      </c>
      <c r="BH917" s="149">
        <v>0</v>
      </c>
      <c r="BI917" s="149">
        <v>0</v>
      </c>
      <c r="BJ917" s="149">
        <v>0</v>
      </c>
      <c r="BK917" s="149">
        <v>0</v>
      </c>
      <c r="BL917" s="149">
        <v>0</v>
      </c>
      <c r="BM917" s="149">
        <v>0</v>
      </c>
      <c r="BN917" s="149">
        <v>0</v>
      </c>
      <c r="BO917" s="149">
        <v>0</v>
      </c>
      <c r="BP917" s="136" t="s">
        <v>141</v>
      </c>
      <c r="BQ917" s="136"/>
      <c r="BR917" s="154" t="s">
        <v>141</v>
      </c>
      <c r="BS917" s="136">
        <v>19</v>
      </c>
      <c r="BT917" s="267"/>
      <c r="BU917" s="267"/>
      <c r="BV917" s="267"/>
      <c r="BW917" s="267"/>
      <c r="BX917" s="267"/>
      <c r="BY917" s="267">
        <f>M917</f>
        <v>1</v>
      </c>
      <c r="BZ917" s="267"/>
      <c r="CA917" s="267"/>
      <c r="CB917" s="267"/>
      <c r="CC917" s="267"/>
      <c r="CD917" s="267"/>
      <c r="CE917" s="267"/>
      <c r="CF917" s="267"/>
      <c r="CG917" s="267"/>
      <c r="CH917" s="267"/>
      <c r="CI917" s="267"/>
      <c r="CJ917" s="267"/>
      <c r="CK917" s="267"/>
      <c r="CL917" s="267"/>
      <c r="CM917" s="267"/>
      <c r="CN917" s="101">
        <f t="shared" si="132"/>
        <v>1</v>
      </c>
      <c r="CO917" s="101">
        <f t="shared" si="133"/>
        <v>1</v>
      </c>
    </row>
    <row r="918" spans="1:93" ht="13.9" customHeight="1" x14ac:dyDescent="0.2">
      <c r="A918" s="149">
        <v>6897</v>
      </c>
      <c r="B918" s="150" t="s">
        <v>2522</v>
      </c>
      <c r="C918" s="150"/>
      <c r="D918" s="150" t="s">
        <v>2550</v>
      </c>
      <c r="E918" s="150"/>
      <c r="F918" s="149">
        <v>527569</v>
      </c>
      <c r="G918" s="149">
        <v>175602</v>
      </c>
      <c r="H918" s="150" t="s">
        <v>167</v>
      </c>
      <c r="I918" s="151"/>
      <c r="J918" s="151"/>
      <c r="K918" s="149">
        <v>0</v>
      </c>
      <c r="L918" s="149">
        <v>51</v>
      </c>
      <c r="M918" s="149">
        <v>51</v>
      </c>
      <c r="N918" s="149">
        <v>79</v>
      </c>
      <c r="O918" s="149">
        <v>79</v>
      </c>
      <c r="P918" s="152" t="s">
        <v>327</v>
      </c>
      <c r="Q918" s="150" t="s">
        <v>2524</v>
      </c>
      <c r="R918" s="150" t="s">
        <v>2525</v>
      </c>
      <c r="S918" s="151"/>
      <c r="T918" s="151"/>
      <c r="U918" s="152"/>
      <c r="V918" s="150" t="s">
        <v>330</v>
      </c>
      <c r="W918" s="151"/>
      <c r="X918" s="150" t="s">
        <v>331</v>
      </c>
      <c r="Y918" s="150" t="s">
        <v>343</v>
      </c>
      <c r="Z918" s="150" t="s">
        <v>343</v>
      </c>
      <c r="AA918" s="150" t="s">
        <v>334</v>
      </c>
      <c r="AB918" s="153">
        <v>0</v>
      </c>
      <c r="AC918" s="151"/>
      <c r="AD918" s="150"/>
      <c r="AE918" s="151"/>
      <c r="AF918" s="150" t="s">
        <v>70</v>
      </c>
      <c r="AG918" s="152" t="s">
        <v>352</v>
      </c>
      <c r="AH918" s="150" t="s">
        <v>2551</v>
      </c>
      <c r="AI918" s="99"/>
      <c r="AJ918" s="149">
        <v>0</v>
      </c>
      <c r="AK918" s="99">
        <v>0</v>
      </c>
      <c r="AL918" s="149">
        <v>0</v>
      </c>
      <c r="AM918" s="99">
        <v>0</v>
      </c>
      <c r="AN918" s="149">
        <v>0</v>
      </c>
      <c r="AO918" s="149">
        <v>0</v>
      </c>
      <c r="AP918" s="149">
        <v>0</v>
      </c>
      <c r="AQ918" s="149">
        <v>0</v>
      </c>
      <c r="AR918" s="149">
        <v>0</v>
      </c>
      <c r="AS918" s="149">
        <v>0</v>
      </c>
      <c r="AT918" s="149">
        <v>51</v>
      </c>
      <c r="AU918" s="149">
        <v>0</v>
      </c>
      <c r="AV918" s="149">
        <v>0</v>
      </c>
      <c r="AW918" s="149">
        <v>0</v>
      </c>
      <c r="AX918" s="149">
        <v>0</v>
      </c>
      <c r="AY918" s="149">
        <v>0</v>
      </c>
      <c r="AZ918" s="149">
        <v>0</v>
      </c>
      <c r="BA918" s="149">
        <v>51</v>
      </c>
      <c r="BB918" s="149">
        <v>0</v>
      </c>
      <c r="BC918" s="149">
        <v>0</v>
      </c>
      <c r="BD918" s="149">
        <v>0</v>
      </c>
      <c r="BE918" s="149">
        <v>0</v>
      </c>
      <c r="BF918" s="149">
        <v>0</v>
      </c>
      <c r="BG918" s="149">
        <v>0</v>
      </c>
      <c r="BH918" s="149">
        <v>0</v>
      </c>
      <c r="BI918" s="149">
        <v>0</v>
      </c>
      <c r="BJ918" s="149">
        <v>0</v>
      </c>
      <c r="BK918" s="149">
        <v>0</v>
      </c>
      <c r="BL918" s="149">
        <v>0</v>
      </c>
      <c r="BM918" s="149">
        <v>0</v>
      </c>
      <c r="BN918" s="149">
        <v>0</v>
      </c>
      <c r="BO918" s="149">
        <v>0</v>
      </c>
      <c r="BP918" s="136" t="s">
        <v>140</v>
      </c>
      <c r="BQ918" s="136"/>
      <c r="BR918" s="154" t="s">
        <v>148</v>
      </c>
      <c r="BS918" s="136">
        <v>19</v>
      </c>
      <c r="BT918" s="267"/>
      <c r="BU918" s="267"/>
      <c r="BV918" s="267"/>
      <c r="BW918" s="267"/>
      <c r="BX918" s="267"/>
      <c r="BY918" s="267"/>
      <c r="BZ918" s="267"/>
      <c r="CA918" s="267"/>
      <c r="CB918" s="267"/>
      <c r="CC918" s="267">
        <f>M918/12</f>
        <v>4.25</v>
      </c>
      <c r="CD918" s="267">
        <f>M918/12</f>
        <v>4.25</v>
      </c>
      <c r="CE918" s="267">
        <f>M918/12</f>
        <v>4.25</v>
      </c>
      <c r="CF918" s="267">
        <f>M918/12</f>
        <v>4.25</v>
      </c>
      <c r="CG918" s="267">
        <f>M918/12</f>
        <v>4.25</v>
      </c>
      <c r="CH918" s="267">
        <f>M918/12</f>
        <v>4.25</v>
      </c>
      <c r="CI918" s="267">
        <f>M918/12</f>
        <v>4.25</v>
      </c>
      <c r="CJ918" s="267">
        <f>M918/12</f>
        <v>4.25</v>
      </c>
      <c r="CK918" s="267">
        <f>M918/12</f>
        <v>4.25</v>
      </c>
      <c r="CL918" s="267">
        <f>M918/12</f>
        <v>4.25</v>
      </c>
      <c r="CM918" s="267">
        <f>M918/12</f>
        <v>4.25</v>
      </c>
      <c r="CN918" s="101">
        <f t="shared" si="132"/>
        <v>0</v>
      </c>
      <c r="CO918" s="101">
        <f t="shared" si="133"/>
        <v>8.5</v>
      </c>
    </row>
    <row r="919" spans="1:93" ht="13.9" customHeight="1" x14ac:dyDescent="0.2">
      <c r="A919" s="149">
        <v>6897</v>
      </c>
      <c r="B919" s="150" t="s">
        <v>2522</v>
      </c>
      <c r="C919" s="150"/>
      <c r="D919" s="150" t="s">
        <v>2550</v>
      </c>
      <c r="E919" s="150"/>
      <c r="F919" s="149">
        <v>527569</v>
      </c>
      <c r="G919" s="149">
        <v>175602</v>
      </c>
      <c r="H919" s="150" t="s">
        <v>167</v>
      </c>
      <c r="I919" s="151"/>
      <c r="J919" s="151"/>
      <c r="K919" s="149">
        <v>0</v>
      </c>
      <c r="L919" s="149">
        <v>14</v>
      </c>
      <c r="M919" s="149">
        <v>14</v>
      </c>
      <c r="N919" s="149">
        <v>79</v>
      </c>
      <c r="O919" s="149">
        <v>79</v>
      </c>
      <c r="P919" s="152" t="s">
        <v>327</v>
      </c>
      <c r="Q919" s="150" t="s">
        <v>2524</v>
      </c>
      <c r="R919" s="150" t="s">
        <v>2525</v>
      </c>
      <c r="S919" s="151"/>
      <c r="T919" s="151"/>
      <c r="U919" s="152"/>
      <c r="V919" s="150" t="s">
        <v>330</v>
      </c>
      <c r="W919" s="151"/>
      <c r="X919" s="150" t="s">
        <v>331</v>
      </c>
      <c r="Y919" s="150" t="s">
        <v>343</v>
      </c>
      <c r="Z919" s="150" t="s">
        <v>343</v>
      </c>
      <c r="AA919" s="150" t="s">
        <v>334</v>
      </c>
      <c r="AB919" s="153">
        <v>0</v>
      </c>
      <c r="AC919" s="151"/>
      <c r="AD919" s="150"/>
      <c r="AE919" s="151"/>
      <c r="AF919" s="150" t="s">
        <v>49</v>
      </c>
      <c r="AG919" s="152" t="s">
        <v>470</v>
      </c>
      <c r="AH919" s="150" t="s">
        <v>2551</v>
      </c>
      <c r="AI919" s="99"/>
      <c r="AJ919" s="149">
        <v>0</v>
      </c>
      <c r="AK919" s="99">
        <v>0</v>
      </c>
      <c r="AL919" s="149">
        <v>0</v>
      </c>
      <c r="AM919" s="99">
        <v>0</v>
      </c>
      <c r="AN919" s="149">
        <v>0</v>
      </c>
      <c r="AO919" s="149">
        <v>0</v>
      </c>
      <c r="AP919" s="149">
        <v>0</v>
      </c>
      <c r="AQ919" s="149">
        <v>0</v>
      </c>
      <c r="AR919" s="149">
        <v>0</v>
      </c>
      <c r="AS919" s="149">
        <v>0</v>
      </c>
      <c r="AT919" s="149">
        <v>14</v>
      </c>
      <c r="AU919" s="149">
        <v>0</v>
      </c>
      <c r="AV919" s="149">
        <v>0</v>
      </c>
      <c r="AW919" s="149">
        <v>0</v>
      </c>
      <c r="AX919" s="149">
        <v>0</v>
      </c>
      <c r="AY919" s="149">
        <v>0</v>
      </c>
      <c r="AZ919" s="149">
        <v>0</v>
      </c>
      <c r="BA919" s="149">
        <v>14</v>
      </c>
      <c r="BB919" s="149">
        <v>0</v>
      </c>
      <c r="BC919" s="149">
        <v>0</v>
      </c>
      <c r="BD919" s="149">
        <v>0</v>
      </c>
      <c r="BE919" s="149">
        <v>0</v>
      </c>
      <c r="BF919" s="149">
        <v>0</v>
      </c>
      <c r="BG919" s="149">
        <v>0</v>
      </c>
      <c r="BH919" s="149">
        <v>0</v>
      </c>
      <c r="BI919" s="149">
        <v>0</v>
      </c>
      <c r="BJ919" s="149">
        <v>0</v>
      </c>
      <c r="BK919" s="149">
        <v>0</v>
      </c>
      <c r="BL919" s="149">
        <v>0</v>
      </c>
      <c r="BM919" s="149">
        <v>0</v>
      </c>
      <c r="BN919" s="149">
        <v>0</v>
      </c>
      <c r="BO919" s="149">
        <v>0</v>
      </c>
      <c r="BP919" s="136" t="s">
        <v>140</v>
      </c>
      <c r="BQ919" s="136"/>
      <c r="BR919" s="154" t="s">
        <v>148</v>
      </c>
      <c r="BS919" s="136">
        <v>19</v>
      </c>
      <c r="BT919" s="267"/>
      <c r="BU919" s="267"/>
      <c r="BV919" s="267"/>
      <c r="BW919" s="267"/>
      <c r="BX919" s="267"/>
      <c r="BY919" s="267"/>
      <c r="BZ919" s="267"/>
      <c r="CA919" s="267"/>
      <c r="CB919" s="267"/>
      <c r="CC919" s="267">
        <f>M919/12</f>
        <v>1.1666666666666667</v>
      </c>
      <c r="CD919" s="267">
        <f>M919/12</f>
        <v>1.1666666666666667</v>
      </c>
      <c r="CE919" s="267">
        <f>M919/12</f>
        <v>1.1666666666666667</v>
      </c>
      <c r="CF919" s="267">
        <f>M919/12</f>
        <v>1.1666666666666667</v>
      </c>
      <c r="CG919" s="267">
        <f>M919/12</f>
        <v>1.1666666666666667</v>
      </c>
      <c r="CH919" s="267">
        <f>M919/12</f>
        <v>1.1666666666666667</v>
      </c>
      <c r="CI919" s="267">
        <f>M919/12</f>
        <v>1.1666666666666667</v>
      </c>
      <c r="CJ919" s="267">
        <f>M919/12</f>
        <v>1.1666666666666667</v>
      </c>
      <c r="CK919" s="267">
        <f>M919/12</f>
        <v>1.1666666666666667</v>
      </c>
      <c r="CL919" s="267">
        <f>M919/12</f>
        <v>1.1666666666666667</v>
      </c>
      <c r="CM919" s="267">
        <f>M919/12</f>
        <v>1.1666666666666667</v>
      </c>
      <c r="CN919" s="101">
        <f t="shared" si="132"/>
        <v>0</v>
      </c>
      <c r="CO919" s="101">
        <f t="shared" si="133"/>
        <v>2.3333333333333335</v>
      </c>
    </row>
    <row r="920" spans="1:93" ht="13.9" customHeight="1" x14ac:dyDescent="0.2">
      <c r="A920" s="149">
        <v>6897</v>
      </c>
      <c r="B920" s="150" t="s">
        <v>2522</v>
      </c>
      <c r="C920" s="150"/>
      <c r="D920" s="150" t="s">
        <v>2550</v>
      </c>
      <c r="E920" s="150"/>
      <c r="F920" s="149">
        <v>527569</v>
      </c>
      <c r="G920" s="149">
        <v>175602</v>
      </c>
      <c r="H920" s="150" t="s">
        <v>167</v>
      </c>
      <c r="I920" s="151"/>
      <c r="J920" s="151"/>
      <c r="K920" s="149">
        <v>0</v>
      </c>
      <c r="L920" s="149">
        <v>14</v>
      </c>
      <c r="M920" s="149">
        <v>14</v>
      </c>
      <c r="N920" s="149">
        <v>79</v>
      </c>
      <c r="O920" s="149">
        <v>79</v>
      </c>
      <c r="P920" s="152" t="s">
        <v>327</v>
      </c>
      <c r="Q920" s="150" t="s">
        <v>2524</v>
      </c>
      <c r="R920" s="150" t="s">
        <v>2525</v>
      </c>
      <c r="S920" s="151"/>
      <c r="T920" s="151"/>
      <c r="U920" s="152"/>
      <c r="V920" s="150" t="s">
        <v>330</v>
      </c>
      <c r="W920" s="151"/>
      <c r="X920" s="150" t="s">
        <v>331</v>
      </c>
      <c r="Y920" s="150" t="s">
        <v>343</v>
      </c>
      <c r="Z920" s="150" t="s">
        <v>343</v>
      </c>
      <c r="AA920" s="150" t="s">
        <v>334</v>
      </c>
      <c r="AB920" s="153">
        <v>0</v>
      </c>
      <c r="AC920" s="151"/>
      <c r="AD920" s="150"/>
      <c r="AE920" s="151"/>
      <c r="AF920" s="150" t="s">
        <v>48</v>
      </c>
      <c r="AG920" s="152" t="s">
        <v>992</v>
      </c>
      <c r="AH920" s="150" t="s">
        <v>2551</v>
      </c>
      <c r="AI920" s="99"/>
      <c r="AJ920" s="149">
        <v>0</v>
      </c>
      <c r="AK920" s="99">
        <v>0</v>
      </c>
      <c r="AL920" s="149">
        <v>0</v>
      </c>
      <c r="AM920" s="99">
        <v>0</v>
      </c>
      <c r="AN920" s="149">
        <v>0</v>
      </c>
      <c r="AO920" s="149">
        <v>0</v>
      </c>
      <c r="AP920" s="149">
        <v>0</v>
      </c>
      <c r="AQ920" s="149">
        <v>0</v>
      </c>
      <c r="AR920" s="149">
        <v>0</v>
      </c>
      <c r="AS920" s="149">
        <v>0</v>
      </c>
      <c r="AT920" s="149">
        <v>14</v>
      </c>
      <c r="AU920" s="149">
        <v>0</v>
      </c>
      <c r="AV920" s="149">
        <v>0</v>
      </c>
      <c r="AW920" s="149">
        <v>0</v>
      </c>
      <c r="AX920" s="149">
        <v>0</v>
      </c>
      <c r="AY920" s="149">
        <v>0</v>
      </c>
      <c r="AZ920" s="149">
        <v>0</v>
      </c>
      <c r="BA920" s="149">
        <v>14</v>
      </c>
      <c r="BB920" s="149">
        <v>0</v>
      </c>
      <c r="BC920" s="149">
        <v>0</v>
      </c>
      <c r="BD920" s="149">
        <v>0</v>
      </c>
      <c r="BE920" s="149">
        <v>0</v>
      </c>
      <c r="BF920" s="149">
        <v>0</v>
      </c>
      <c r="BG920" s="149">
        <v>0</v>
      </c>
      <c r="BH920" s="149">
        <v>0</v>
      </c>
      <c r="BI920" s="149">
        <v>0</v>
      </c>
      <c r="BJ920" s="149">
        <v>0</v>
      </c>
      <c r="BK920" s="149">
        <v>0</v>
      </c>
      <c r="BL920" s="149">
        <v>0</v>
      </c>
      <c r="BM920" s="149">
        <v>0</v>
      </c>
      <c r="BN920" s="149">
        <v>0</v>
      </c>
      <c r="BO920" s="149">
        <v>0</v>
      </c>
      <c r="BP920" s="136" t="s">
        <v>140</v>
      </c>
      <c r="BQ920" s="136"/>
      <c r="BR920" s="154" t="s">
        <v>148</v>
      </c>
      <c r="BS920" s="136">
        <v>19</v>
      </c>
      <c r="BT920" s="267"/>
      <c r="BU920" s="267"/>
      <c r="BV920" s="267"/>
      <c r="BW920" s="267"/>
      <c r="BX920" s="267"/>
      <c r="BY920" s="267"/>
      <c r="BZ920" s="267"/>
      <c r="CA920" s="267"/>
      <c r="CB920" s="267"/>
      <c r="CC920" s="267">
        <f>M920/12</f>
        <v>1.1666666666666667</v>
      </c>
      <c r="CD920" s="267">
        <f>M920/12</f>
        <v>1.1666666666666667</v>
      </c>
      <c r="CE920" s="267">
        <f>M920/12</f>
        <v>1.1666666666666667</v>
      </c>
      <c r="CF920" s="267">
        <f>M920/12</f>
        <v>1.1666666666666667</v>
      </c>
      <c r="CG920" s="267">
        <f>M920/12</f>
        <v>1.1666666666666667</v>
      </c>
      <c r="CH920" s="267">
        <f>M920/12</f>
        <v>1.1666666666666667</v>
      </c>
      <c r="CI920" s="267">
        <f>M920/12</f>
        <v>1.1666666666666667</v>
      </c>
      <c r="CJ920" s="267">
        <f>M920/12</f>
        <v>1.1666666666666667</v>
      </c>
      <c r="CK920" s="267">
        <f>M920/12</f>
        <v>1.1666666666666667</v>
      </c>
      <c r="CL920" s="267">
        <f>M920/12</f>
        <v>1.1666666666666667</v>
      </c>
      <c r="CM920" s="267">
        <f>M920/12</f>
        <v>1.1666666666666667</v>
      </c>
      <c r="CN920" s="101">
        <f t="shared" si="132"/>
        <v>0</v>
      </c>
      <c r="CO920" s="101">
        <f t="shared" si="133"/>
        <v>2.3333333333333335</v>
      </c>
    </row>
    <row r="921" spans="1:93" ht="13.9" customHeight="1" x14ac:dyDescent="0.2">
      <c r="A921" s="149">
        <v>7387</v>
      </c>
      <c r="B921" s="150" t="s">
        <v>2522</v>
      </c>
      <c r="C921" s="150"/>
      <c r="D921" s="150" t="s">
        <v>2552</v>
      </c>
      <c r="E921" s="150"/>
      <c r="F921" s="149">
        <v>523041</v>
      </c>
      <c r="G921" s="149">
        <v>174501</v>
      </c>
      <c r="H921" s="150" t="s">
        <v>179</v>
      </c>
      <c r="I921" s="151"/>
      <c r="J921" s="151"/>
      <c r="K921" s="149">
        <v>0</v>
      </c>
      <c r="L921" s="149">
        <v>1</v>
      </c>
      <c r="M921" s="149">
        <v>1</v>
      </c>
      <c r="N921" s="149">
        <v>1</v>
      </c>
      <c r="O921" s="149">
        <v>1</v>
      </c>
      <c r="P921" s="152"/>
      <c r="Q921" s="150" t="s">
        <v>2524</v>
      </c>
      <c r="R921" s="150" t="s">
        <v>2525</v>
      </c>
      <c r="S921" s="151"/>
      <c r="T921" s="151"/>
      <c r="U921" s="152"/>
      <c r="V921" s="150" t="s">
        <v>330</v>
      </c>
      <c r="W921" s="151"/>
      <c r="X921" s="150" t="s">
        <v>331</v>
      </c>
      <c r="Y921" s="150" t="s">
        <v>343</v>
      </c>
      <c r="Z921" s="150" t="s">
        <v>334</v>
      </c>
      <c r="AA921" s="150" t="s">
        <v>363</v>
      </c>
      <c r="AB921" s="153">
        <v>0</v>
      </c>
      <c r="AC921" s="151"/>
      <c r="AD921" s="150"/>
      <c r="AE921" s="151"/>
      <c r="AF921" s="150" t="s">
        <v>70</v>
      </c>
      <c r="AG921" s="152" t="s">
        <v>352</v>
      </c>
      <c r="AH921" s="150"/>
      <c r="AI921" s="99"/>
      <c r="AJ921" s="149">
        <v>0</v>
      </c>
      <c r="AK921" s="99">
        <v>0</v>
      </c>
      <c r="AL921" s="149">
        <v>0</v>
      </c>
      <c r="AM921" s="99">
        <v>0</v>
      </c>
      <c r="AN921" s="149">
        <v>0</v>
      </c>
      <c r="AO921" s="149">
        <v>0</v>
      </c>
      <c r="AP921" s="149">
        <v>0</v>
      </c>
      <c r="AQ921" s="149">
        <v>0</v>
      </c>
      <c r="AR921" s="149">
        <v>0</v>
      </c>
      <c r="AS921" s="149">
        <v>0</v>
      </c>
      <c r="AT921" s="149">
        <v>1</v>
      </c>
      <c r="AU921" s="149">
        <v>0</v>
      </c>
      <c r="AV921" s="149">
        <v>0</v>
      </c>
      <c r="AW921" s="149">
        <v>0</v>
      </c>
      <c r="AX921" s="149">
        <v>0</v>
      </c>
      <c r="AY921" s="149">
        <v>0</v>
      </c>
      <c r="AZ921" s="149">
        <v>0</v>
      </c>
      <c r="BA921" s="149">
        <v>1</v>
      </c>
      <c r="BB921" s="149">
        <v>0</v>
      </c>
      <c r="BC921" s="149">
        <v>0</v>
      </c>
      <c r="BD921" s="149">
        <v>0</v>
      </c>
      <c r="BE921" s="149">
        <v>0</v>
      </c>
      <c r="BF921" s="149">
        <v>0</v>
      </c>
      <c r="BG921" s="149">
        <v>0</v>
      </c>
      <c r="BH921" s="149">
        <v>0</v>
      </c>
      <c r="BI921" s="149">
        <v>0</v>
      </c>
      <c r="BJ921" s="149">
        <v>0</v>
      </c>
      <c r="BK921" s="149">
        <v>0</v>
      </c>
      <c r="BL921" s="149">
        <v>0</v>
      </c>
      <c r="BM921" s="149">
        <v>0</v>
      </c>
      <c r="BN921" s="149">
        <v>0</v>
      </c>
      <c r="BO921" s="149">
        <v>0</v>
      </c>
      <c r="BP921" s="136"/>
      <c r="BQ921" s="136"/>
      <c r="BR921" s="154" t="s">
        <v>359</v>
      </c>
      <c r="BS921" s="136">
        <v>19</v>
      </c>
      <c r="BT921" s="267"/>
      <c r="BU921" s="267"/>
      <c r="BV921" s="267"/>
      <c r="BW921" s="267"/>
      <c r="BX921" s="267"/>
      <c r="BY921" s="267">
        <f>M921</f>
        <v>1</v>
      </c>
      <c r="BZ921" s="267"/>
      <c r="CA921" s="267"/>
      <c r="CB921" s="267"/>
      <c r="CC921" s="267"/>
      <c r="CD921" s="267"/>
      <c r="CE921" s="267"/>
      <c r="CF921" s="267"/>
      <c r="CG921" s="267"/>
      <c r="CH921" s="267"/>
      <c r="CI921" s="267"/>
      <c r="CJ921" s="267"/>
      <c r="CK921" s="267"/>
      <c r="CL921" s="267"/>
      <c r="CM921" s="267"/>
      <c r="CN921" s="101">
        <f t="shared" si="132"/>
        <v>1</v>
      </c>
      <c r="CO921" s="101">
        <f t="shared" si="133"/>
        <v>1</v>
      </c>
    </row>
    <row r="922" spans="1:93" ht="13.9" customHeight="1" x14ac:dyDescent="0.2">
      <c r="A922" s="149">
        <v>6910</v>
      </c>
      <c r="B922" s="150" t="s">
        <v>2522</v>
      </c>
      <c r="C922" s="150"/>
      <c r="D922" s="150" t="s">
        <v>2553</v>
      </c>
      <c r="E922" s="150"/>
      <c r="F922" s="149">
        <v>528743</v>
      </c>
      <c r="G922" s="149">
        <v>172931</v>
      </c>
      <c r="H922" s="150" t="s">
        <v>168</v>
      </c>
      <c r="I922" s="151"/>
      <c r="J922" s="151"/>
      <c r="K922" s="149">
        <v>0</v>
      </c>
      <c r="L922" s="149">
        <v>29</v>
      </c>
      <c r="M922" s="149">
        <v>29</v>
      </c>
      <c r="N922" s="149">
        <v>44</v>
      </c>
      <c r="O922" s="149">
        <v>44</v>
      </c>
      <c r="P922" s="152" t="s">
        <v>327</v>
      </c>
      <c r="Q922" s="150" t="s">
        <v>2524</v>
      </c>
      <c r="R922" s="150" t="s">
        <v>2525</v>
      </c>
      <c r="S922" s="151"/>
      <c r="T922" s="151"/>
      <c r="U922" s="152"/>
      <c r="V922" s="150" t="s">
        <v>330</v>
      </c>
      <c r="W922" s="151"/>
      <c r="X922" s="150" t="s">
        <v>331</v>
      </c>
      <c r="Y922" s="150" t="s">
        <v>343</v>
      </c>
      <c r="Z922" s="150" t="s">
        <v>343</v>
      </c>
      <c r="AA922" s="150" t="s">
        <v>334</v>
      </c>
      <c r="AB922" s="153">
        <v>0</v>
      </c>
      <c r="AC922" s="151"/>
      <c r="AD922" s="150"/>
      <c r="AE922" s="151"/>
      <c r="AF922" s="150" t="s">
        <v>70</v>
      </c>
      <c r="AG922" s="152" t="s">
        <v>352</v>
      </c>
      <c r="AH922" s="150" t="s">
        <v>2554</v>
      </c>
      <c r="AI922" s="99"/>
      <c r="AJ922" s="149">
        <v>0</v>
      </c>
      <c r="AK922" s="99">
        <v>0</v>
      </c>
      <c r="AL922" s="149">
        <v>0</v>
      </c>
      <c r="AM922" s="99">
        <v>0</v>
      </c>
      <c r="AN922" s="149">
        <v>0</v>
      </c>
      <c r="AO922" s="149">
        <v>0</v>
      </c>
      <c r="AP922" s="149">
        <v>0</v>
      </c>
      <c r="AQ922" s="149">
        <v>0</v>
      </c>
      <c r="AR922" s="149">
        <v>0</v>
      </c>
      <c r="AS922" s="149">
        <v>0</v>
      </c>
      <c r="AT922" s="149">
        <v>29</v>
      </c>
      <c r="AU922" s="149">
        <v>0</v>
      </c>
      <c r="AV922" s="149">
        <v>0</v>
      </c>
      <c r="AW922" s="149">
        <v>0</v>
      </c>
      <c r="AX922" s="149">
        <v>0</v>
      </c>
      <c r="AY922" s="149">
        <v>0</v>
      </c>
      <c r="AZ922" s="149">
        <v>0</v>
      </c>
      <c r="BA922" s="149">
        <v>29</v>
      </c>
      <c r="BB922" s="149">
        <v>0</v>
      </c>
      <c r="BC922" s="149">
        <v>0</v>
      </c>
      <c r="BD922" s="149">
        <v>0</v>
      </c>
      <c r="BE922" s="149">
        <v>0</v>
      </c>
      <c r="BF922" s="149">
        <v>0</v>
      </c>
      <c r="BG922" s="149">
        <v>0</v>
      </c>
      <c r="BH922" s="149">
        <v>0</v>
      </c>
      <c r="BI922" s="149">
        <v>0</v>
      </c>
      <c r="BJ922" s="149">
        <v>0</v>
      </c>
      <c r="BK922" s="149">
        <v>0</v>
      </c>
      <c r="BL922" s="149">
        <v>0</v>
      </c>
      <c r="BM922" s="149">
        <v>0</v>
      </c>
      <c r="BN922" s="149">
        <v>0</v>
      </c>
      <c r="BO922" s="149">
        <v>0</v>
      </c>
      <c r="BP922" s="136"/>
      <c r="BQ922" s="136"/>
      <c r="BR922" s="154" t="s">
        <v>359</v>
      </c>
      <c r="BS922" s="136">
        <v>19</v>
      </c>
      <c r="BT922" s="267"/>
      <c r="BU922" s="267"/>
      <c r="BV922" s="267"/>
      <c r="BW922" s="267"/>
      <c r="BX922" s="267"/>
      <c r="BY922" s="267">
        <f>M922/16</f>
        <v>1.8125</v>
      </c>
      <c r="BZ922" s="267">
        <f>M922/16</f>
        <v>1.8125</v>
      </c>
      <c r="CA922" s="267">
        <f>M922/16</f>
        <v>1.8125</v>
      </c>
      <c r="CB922" s="267">
        <f>M922/16</f>
        <v>1.8125</v>
      </c>
      <c r="CC922" s="267">
        <f>M922/16</f>
        <v>1.8125</v>
      </c>
      <c r="CD922" s="267">
        <f>M922/16</f>
        <v>1.8125</v>
      </c>
      <c r="CE922" s="267">
        <f>M922/16</f>
        <v>1.8125</v>
      </c>
      <c r="CF922" s="267">
        <f>M922/16</f>
        <v>1.8125</v>
      </c>
      <c r="CG922" s="267">
        <f>M922/16</f>
        <v>1.8125</v>
      </c>
      <c r="CH922" s="267">
        <f>M922/16</f>
        <v>1.8125</v>
      </c>
      <c r="CI922" s="267">
        <f>M922/16</f>
        <v>1.8125</v>
      </c>
      <c r="CJ922" s="267">
        <f>M922/16</f>
        <v>1.8125</v>
      </c>
      <c r="CK922" s="267">
        <f>M922/16</f>
        <v>1.8125</v>
      </c>
      <c r="CL922" s="267">
        <f>M922/16</f>
        <v>1.8125</v>
      </c>
      <c r="CM922" s="267">
        <f>M922/16</f>
        <v>1.8125</v>
      </c>
      <c r="CN922" s="101">
        <f t="shared" si="132"/>
        <v>1.8125</v>
      </c>
      <c r="CO922" s="101">
        <f t="shared" si="133"/>
        <v>10.875</v>
      </c>
    </row>
    <row r="923" spans="1:93" ht="13.9" customHeight="1" x14ac:dyDescent="0.2">
      <c r="A923" s="149">
        <v>6910</v>
      </c>
      <c r="B923" s="150" t="s">
        <v>2522</v>
      </c>
      <c r="C923" s="150"/>
      <c r="D923" s="150" t="s">
        <v>2553</v>
      </c>
      <c r="E923" s="150"/>
      <c r="F923" s="149">
        <v>528743</v>
      </c>
      <c r="G923" s="149">
        <v>172931</v>
      </c>
      <c r="H923" s="150" t="s">
        <v>168</v>
      </c>
      <c r="I923" s="151"/>
      <c r="J923" s="151"/>
      <c r="K923" s="149">
        <v>0</v>
      </c>
      <c r="L923" s="149">
        <v>8</v>
      </c>
      <c r="M923" s="149">
        <v>8</v>
      </c>
      <c r="N923" s="149">
        <v>44</v>
      </c>
      <c r="O923" s="149">
        <v>44</v>
      </c>
      <c r="P923" s="152" t="s">
        <v>327</v>
      </c>
      <c r="Q923" s="150" t="s">
        <v>2524</v>
      </c>
      <c r="R923" s="150" t="s">
        <v>2525</v>
      </c>
      <c r="S923" s="151"/>
      <c r="T923" s="151"/>
      <c r="U923" s="152"/>
      <c r="V923" s="150" t="s">
        <v>330</v>
      </c>
      <c r="W923" s="151"/>
      <c r="X923" s="150" t="s">
        <v>331</v>
      </c>
      <c r="Y923" s="150" t="s">
        <v>343</v>
      </c>
      <c r="Z923" s="150" t="s">
        <v>343</v>
      </c>
      <c r="AA923" s="150" t="s">
        <v>334</v>
      </c>
      <c r="AB923" s="153">
        <v>0</v>
      </c>
      <c r="AC923" s="151"/>
      <c r="AD923" s="150"/>
      <c r="AE923" s="151"/>
      <c r="AF923" s="150" t="s">
        <v>49</v>
      </c>
      <c r="AG923" s="152" t="s">
        <v>470</v>
      </c>
      <c r="AH923" s="150" t="s">
        <v>2554</v>
      </c>
      <c r="AI923" s="99"/>
      <c r="AJ923" s="149">
        <v>0</v>
      </c>
      <c r="AK923" s="99">
        <v>0</v>
      </c>
      <c r="AL923" s="149">
        <v>0</v>
      </c>
      <c r="AM923" s="99">
        <v>0</v>
      </c>
      <c r="AN923" s="149">
        <v>0</v>
      </c>
      <c r="AO923" s="149">
        <v>0</v>
      </c>
      <c r="AP923" s="149">
        <v>0</v>
      </c>
      <c r="AQ923" s="149">
        <v>0</v>
      </c>
      <c r="AR923" s="149">
        <v>0</v>
      </c>
      <c r="AS923" s="149">
        <v>0</v>
      </c>
      <c r="AT923" s="149">
        <v>8</v>
      </c>
      <c r="AU923" s="149">
        <v>0</v>
      </c>
      <c r="AV923" s="149">
        <v>0</v>
      </c>
      <c r="AW923" s="149">
        <v>0</v>
      </c>
      <c r="AX923" s="149">
        <v>0</v>
      </c>
      <c r="AY923" s="149">
        <v>0</v>
      </c>
      <c r="AZ923" s="149">
        <v>0</v>
      </c>
      <c r="BA923" s="149">
        <v>8</v>
      </c>
      <c r="BB923" s="149">
        <v>0</v>
      </c>
      <c r="BC923" s="149">
        <v>0</v>
      </c>
      <c r="BD923" s="149">
        <v>0</v>
      </c>
      <c r="BE923" s="149">
        <v>0</v>
      </c>
      <c r="BF923" s="149">
        <v>0</v>
      </c>
      <c r="BG923" s="149">
        <v>0</v>
      </c>
      <c r="BH923" s="149">
        <v>0</v>
      </c>
      <c r="BI923" s="149">
        <v>0</v>
      </c>
      <c r="BJ923" s="149">
        <v>0</v>
      </c>
      <c r="BK923" s="149">
        <v>0</v>
      </c>
      <c r="BL923" s="149">
        <v>0</v>
      </c>
      <c r="BM923" s="149">
        <v>0</v>
      </c>
      <c r="BN923" s="149">
        <v>0</v>
      </c>
      <c r="BO923" s="149">
        <v>0</v>
      </c>
      <c r="BP923" s="136"/>
      <c r="BQ923" s="136"/>
      <c r="BR923" s="154" t="s">
        <v>359</v>
      </c>
      <c r="BS923" s="136">
        <v>19</v>
      </c>
      <c r="BT923" s="267"/>
      <c r="BU923" s="267"/>
      <c r="BV923" s="267"/>
      <c r="BW923" s="267"/>
      <c r="BX923" s="267"/>
      <c r="BY923" s="267">
        <f>M923/16</f>
        <v>0.5</v>
      </c>
      <c r="BZ923" s="267">
        <f>M923/16</f>
        <v>0.5</v>
      </c>
      <c r="CA923" s="267">
        <f>M923/16</f>
        <v>0.5</v>
      </c>
      <c r="CB923" s="267">
        <f>M923/16</f>
        <v>0.5</v>
      </c>
      <c r="CC923" s="267">
        <f>M923/16</f>
        <v>0.5</v>
      </c>
      <c r="CD923" s="267">
        <f>M923/16</f>
        <v>0.5</v>
      </c>
      <c r="CE923" s="267">
        <f>M923/16</f>
        <v>0.5</v>
      </c>
      <c r="CF923" s="267">
        <f>M923/16</f>
        <v>0.5</v>
      </c>
      <c r="CG923" s="267">
        <f>M923/16</f>
        <v>0.5</v>
      </c>
      <c r="CH923" s="267">
        <f>M923/16</f>
        <v>0.5</v>
      </c>
      <c r="CI923" s="267">
        <f>M923/16</f>
        <v>0.5</v>
      </c>
      <c r="CJ923" s="267">
        <f>M923/16</f>
        <v>0.5</v>
      </c>
      <c r="CK923" s="267">
        <f>M923/16</f>
        <v>0.5</v>
      </c>
      <c r="CL923" s="267">
        <f>M923/16</f>
        <v>0.5</v>
      </c>
      <c r="CM923" s="267">
        <f>M923/16</f>
        <v>0.5</v>
      </c>
      <c r="CN923" s="101">
        <f t="shared" si="132"/>
        <v>0.5</v>
      </c>
      <c r="CO923" s="101">
        <f t="shared" si="133"/>
        <v>3</v>
      </c>
    </row>
    <row r="924" spans="1:93" ht="13.9" customHeight="1" x14ac:dyDescent="0.2">
      <c r="A924" s="149">
        <v>6910</v>
      </c>
      <c r="B924" s="150" t="s">
        <v>2522</v>
      </c>
      <c r="C924" s="150"/>
      <c r="D924" s="150" t="s">
        <v>2553</v>
      </c>
      <c r="E924" s="150"/>
      <c r="F924" s="149">
        <v>528743</v>
      </c>
      <c r="G924" s="149">
        <v>172931</v>
      </c>
      <c r="H924" s="150" t="s">
        <v>168</v>
      </c>
      <c r="I924" s="151"/>
      <c r="J924" s="151"/>
      <c r="K924" s="149">
        <v>0</v>
      </c>
      <c r="L924" s="149">
        <v>7</v>
      </c>
      <c r="M924" s="149">
        <v>7</v>
      </c>
      <c r="N924" s="149">
        <v>44</v>
      </c>
      <c r="O924" s="149">
        <v>44</v>
      </c>
      <c r="P924" s="152" t="s">
        <v>327</v>
      </c>
      <c r="Q924" s="150" t="s">
        <v>2524</v>
      </c>
      <c r="R924" s="150" t="s">
        <v>2525</v>
      </c>
      <c r="S924" s="151"/>
      <c r="T924" s="151"/>
      <c r="U924" s="152"/>
      <c r="V924" s="150" t="s">
        <v>330</v>
      </c>
      <c r="W924" s="151"/>
      <c r="X924" s="150" t="s">
        <v>331</v>
      </c>
      <c r="Y924" s="150" t="s">
        <v>343</v>
      </c>
      <c r="Z924" s="150" t="s">
        <v>343</v>
      </c>
      <c r="AA924" s="150" t="s">
        <v>334</v>
      </c>
      <c r="AB924" s="153">
        <v>0</v>
      </c>
      <c r="AC924" s="151"/>
      <c r="AD924" s="150"/>
      <c r="AE924" s="151"/>
      <c r="AF924" s="150" t="s">
        <v>48</v>
      </c>
      <c r="AG924" s="152" t="s">
        <v>992</v>
      </c>
      <c r="AH924" s="150" t="s">
        <v>2554</v>
      </c>
      <c r="AI924" s="99"/>
      <c r="AJ924" s="149">
        <v>0</v>
      </c>
      <c r="AK924" s="99">
        <v>0</v>
      </c>
      <c r="AL924" s="149">
        <v>0</v>
      </c>
      <c r="AM924" s="99">
        <v>0</v>
      </c>
      <c r="AN924" s="149">
        <v>0</v>
      </c>
      <c r="AO924" s="149">
        <v>0</v>
      </c>
      <c r="AP924" s="149">
        <v>0</v>
      </c>
      <c r="AQ924" s="149">
        <v>0</v>
      </c>
      <c r="AR924" s="149">
        <v>0</v>
      </c>
      <c r="AS924" s="149">
        <v>0</v>
      </c>
      <c r="AT924" s="149">
        <v>7</v>
      </c>
      <c r="AU924" s="149">
        <v>0</v>
      </c>
      <c r="AV924" s="149">
        <v>0</v>
      </c>
      <c r="AW924" s="149">
        <v>0</v>
      </c>
      <c r="AX924" s="149">
        <v>0</v>
      </c>
      <c r="AY924" s="149">
        <v>0</v>
      </c>
      <c r="AZ924" s="149">
        <v>0</v>
      </c>
      <c r="BA924" s="149">
        <v>7</v>
      </c>
      <c r="BB924" s="149">
        <v>0</v>
      </c>
      <c r="BC924" s="149">
        <v>0</v>
      </c>
      <c r="BD924" s="149">
        <v>0</v>
      </c>
      <c r="BE924" s="149">
        <v>0</v>
      </c>
      <c r="BF924" s="149">
        <v>0</v>
      </c>
      <c r="BG924" s="149">
        <v>0</v>
      </c>
      <c r="BH924" s="149">
        <v>0</v>
      </c>
      <c r="BI924" s="149">
        <v>0</v>
      </c>
      <c r="BJ924" s="149">
        <v>0</v>
      </c>
      <c r="BK924" s="149">
        <v>0</v>
      </c>
      <c r="BL924" s="149">
        <v>0</v>
      </c>
      <c r="BM924" s="149">
        <v>0</v>
      </c>
      <c r="BN924" s="149">
        <v>0</v>
      </c>
      <c r="BO924" s="149">
        <v>0</v>
      </c>
      <c r="BP924" s="136"/>
      <c r="BQ924" s="136"/>
      <c r="BR924" s="154" t="s">
        <v>359</v>
      </c>
      <c r="BS924" s="136">
        <v>19</v>
      </c>
      <c r="BT924" s="267"/>
      <c r="BU924" s="267"/>
      <c r="BV924" s="267"/>
      <c r="BW924" s="267"/>
      <c r="BX924" s="267"/>
      <c r="BY924" s="267">
        <f>M924/16</f>
        <v>0.4375</v>
      </c>
      <c r="BZ924" s="267">
        <f>M924/16</f>
        <v>0.4375</v>
      </c>
      <c r="CA924" s="267">
        <f>M924/16</f>
        <v>0.4375</v>
      </c>
      <c r="CB924" s="267">
        <f>M924/16</f>
        <v>0.4375</v>
      </c>
      <c r="CC924" s="267">
        <f>M924/16</f>
        <v>0.4375</v>
      </c>
      <c r="CD924" s="267">
        <f>M924/16</f>
        <v>0.4375</v>
      </c>
      <c r="CE924" s="267">
        <f>M924/16</f>
        <v>0.4375</v>
      </c>
      <c r="CF924" s="267">
        <f>M924/16</f>
        <v>0.4375</v>
      </c>
      <c r="CG924" s="267">
        <f>M924/16</f>
        <v>0.4375</v>
      </c>
      <c r="CH924" s="267">
        <f>M924/16</f>
        <v>0.4375</v>
      </c>
      <c r="CI924" s="267">
        <f>M924/16</f>
        <v>0.4375</v>
      </c>
      <c r="CJ924" s="267">
        <f>M924/16</f>
        <v>0.4375</v>
      </c>
      <c r="CK924" s="267">
        <f>M924/16</f>
        <v>0.4375</v>
      </c>
      <c r="CL924" s="267">
        <f>M924/16</f>
        <v>0.4375</v>
      </c>
      <c r="CM924" s="267">
        <f>M924/16</f>
        <v>0.4375</v>
      </c>
      <c r="CN924" s="101">
        <f t="shared" si="132"/>
        <v>0.4375</v>
      </c>
      <c r="CO924" s="101">
        <f t="shared" si="133"/>
        <v>2.625</v>
      </c>
    </row>
    <row r="925" spans="1:93" ht="13.9" customHeight="1" x14ac:dyDescent="0.2">
      <c r="A925" s="149">
        <v>7575</v>
      </c>
      <c r="B925" s="150" t="s">
        <v>2522</v>
      </c>
      <c r="C925" s="150"/>
      <c r="D925" s="150" t="s">
        <v>2555</v>
      </c>
      <c r="E925" s="150"/>
      <c r="F925" s="149">
        <v>529080.52989999903</v>
      </c>
      <c r="G925" s="149">
        <v>177186.61449999901</v>
      </c>
      <c r="H925" s="150" t="s">
        <v>167</v>
      </c>
      <c r="I925" s="151"/>
      <c r="J925" s="151"/>
      <c r="K925" s="149">
        <v>0</v>
      </c>
      <c r="L925" s="149">
        <v>109</v>
      </c>
      <c r="M925" s="149">
        <v>109</v>
      </c>
      <c r="N925" s="149">
        <v>168</v>
      </c>
      <c r="O925" s="149">
        <v>168</v>
      </c>
      <c r="P925" s="152" t="s">
        <v>327</v>
      </c>
      <c r="Q925" s="150" t="s">
        <v>2524</v>
      </c>
      <c r="R925" s="150" t="s">
        <v>2525</v>
      </c>
      <c r="S925" s="151"/>
      <c r="T925" s="151"/>
      <c r="U925" s="152"/>
      <c r="V925" s="150" t="s">
        <v>330</v>
      </c>
      <c r="W925" s="151"/>
      <c r="X925" s="150" t="s">
        <v>331</v>
      </c>
      <c r="Y925" s="150" t="s">
        <v>343</v>
      </c>
      <c r="Z925" s="150" t="s">
        <v>343</v>
      </c>
      <c r="AA925" s="150" t="s">
        <v>334</v>
      </c>
      <c r="AB925" s="153">
        <v>0</v>
      </c>
      <c r="AC925" s="151"/>
      <c r="AD925" s="150"/>
      <c r="AE925" s="151"/>
      <c r="AF925" s="150" t="s">
        <v>70</v>
      </c>
      <c r="AG925" s="152" t="s">
        <v>352</v>
      </c>
      <c r="AH925" s="150" t="s">
        <v>2556</v>
      </c>
      <c r="AI925" s="99"/>
      <c r="AJ925" s="149">
        <v>0</v>
      </c>
      <c r="AK925" s="99">
        <v>0</v>
      </c>
      <c r="AL925" s="149">
        <v>0</v>
      </c>
      <c r="AM925" s="99">
        <v>0</v>
      </c>
      <c r="AN925" s="149">
        <v>0</v>
      </c>
      <c r="AO925" s="149">
        <v>0</v>
      </c>
      <c r="AP925" s="149">
        <v>0</v>
      </c>
      <c r="AQ925" s="149">
        <v>0</v>
      </c>
      <c r="AR925" s="149">
        <v>0</v>
      </c>
      <c r="AS925" s="149">
        <v>0</v>
      </c>
      <c r="AT925" s="149">
        <v>109</v>
      </c>
      <c r="AU925" s="149">
        <v>0</v>
      </c>
      <c r="AV925" s="149">
        <v>0</v>
      </c>
      <c r="AW925" s="149">
        <v>0</v>
      </c>
      <c r="AX925" s="149">
        <v>0</v>
      </c>
      <c r="AY925" s="149">
        <v>0</v>
      </c>
      <c r="AZ925" s="149">
        <v>0</v>
      </c>
      <c r="BA925" s="149">
        <v>109</v>
      </c>
      <c r="BB925" s="149">
        <v>0</v>
      </c>
      <c r="BC925" s="149">
        <v>0</v>
      </c>
      <c r="BD925" s="149">
        <v>0</v>
      </c>
      <c r="BE925" s="149">
        <v>0</v>
      </c>
      <c r="BF925" s="149">
        <v>0</v>
      </c>
      <c r="BG925" s="149">
        <v>0</v>
      </c>
      <c r="BH925" s="149">
        <v>0</v>
      </c>
      <c r="BI925" s="149">
        <v>0</v>
      </c>
      <c r="BJ925" s="149">
        <v>0</v>
      </c>
      <c r="BK925" s="149">
        <v>0</v>
      </c>
      <c r="BL925" s="149">
        <v>0</v>
      </c>
      <c r="BM925" s="149">
        <v>0</v>
      </c>
      <c r="BN925" s="149">
        <v>0</v>
      </c>
      <c r="BO925" s="149">
        <v>0</v>
      </c>
      <c r="BP925" s="136"/>
      <c r="BQ925" s="136" t="s">
        <v>327</v>
      </c>
      <c r="BR925" s="154" t="s">
        <v>149</v>
      </c>
      <c r="BS925" s="136">
        <v>20</v>
      </c>
      <c r="BT925" s="267"/>
      <c r="BU925" s="267"/>
      <c r="BV925" s="267"/>
      <c r="BW925" s="267"/>
      <c r="BX925" s="267">
        <f>M925/5</f>
        <v>21.8</v>
      </c>
      <c r="BY925" s="267">
        <f>M925/5</f>
        <v>21.8</v>
      </c>
      <c r="BZ925" s="267">
        <f>M925/5</f>
        <v>21.8</v>
      </c>
      <c r="CA925" s="267">
        <f>M925/5</f>
        <v>21.8</v>
      </c>
      <c r="CB925" s="267">
        <f>M925/5</f>
        <v>21.8</v>
      </c>
      <c r="CC925" s="267"/>
      <c r="CD925" s="267"/>
      <c r="CE925" s="267"/>
      <c r="CF925" s="267"/>
      <c r="CG925" s="267"/>
      <c r="CH925" s="267"/>
      <c r="CI925" s="267"/>
      <c r="CJ925" s="267"/>
      <c r="CK925" s="267"/>
      <c r="CL925" s="267"/>
      <c r="CM925" s="267"/>
      <c r="CN925" s="101">
        <f t="shared" si="132"/>
        <v>43.6</v>
      </c>
      <c r="CO925" s="101">
        <f t="shared" si="133"/>
        <v>109</v>
      </c>
    </row>
    <row r="926" spans="1:93" ht="13.9" customHeight="1" x14ac:dyDescent="0.2">
      <c r="A926" s="149">
        <v>7575</v>
      </c>
      <c r="B926" s="150" t="s">
        <v>2522</v>
      </c>
      <c r="C926" s="150"/>
      <c r="D926" s="150" t="s">
        <v>2555</v>
      </c>
      <c r="E926" s="150"/>
      <c r="F926" s="149">
        <v>529080.52989999903</v>
      </c>
      <c r="G926" s="149">
        <v>177186.61449999901</v>
      </c>
      <c r="H926" s="150" t="s">
        <v>167</v>
      </c>
      <c r="I926" s="151"/>
      <c r="J926" s="151"/>
      <c r="K926" s="149">
        <v>0</v>
      </c>
      <c r="L926" s="149">
        <v>30</v>
      </c>
      <c r="M926" s="149">
        <v>30</v>
      </c>
      <c r="N926" s="149">
        <v>168</v>
      </c>
      <c r="O926" s="149">
        <v>168</v>
      </c>
      <c r="P926" s="152" t="s">
        <v>327</v>
      </c>
      <c r="Q926" s="150" t="s">
        <v>2524</v>
      </c>
      <c r="R926" s="150" t="s">
        <v>2525</v>
      </c>
      <c r="S926" s="151"/>
      <c r="T926" s="151"/>
      <c r="U926" s="152"/>
      <c r="V926" s="150" t="s">
        <v>330</v>
      </c>
      <c r="W926" s="151"/>
      <c r="X926" s="150" t="s">
        <v>331</v>
      </c>
      <c r="Y926" s="150" t="s">
        <v>343</v>
      </c>
      <c r="Z926" s="150" t="s">
        <v>343</v>
      </c>
      <c r="AA926" s="150" t="s">
        <v>334</v>
      </c>
      <c r="AB926" s="153">
        <v>0</v>
      </c>
      <c r="AC926" s="151"/>
      <c r="AD926" s="150"/>
      <c r="AE926" s="151"/>
      <c r="AF926" s="150" t="s">
        <v>49</v>
      </c>
      <c r="AG926" s="152" t="s">
        <v>470</v>
      </c>
      <c r="AH926" s="150" t="s">
        <v>2556</v>
      </c>
      <c r="AI926" s="99"/>
      <c r="AJ926" s="149">
        <v>0</v>
      </c>
      <c r="AK926" s="99">
        <v>0</v>
      </c>
      <c r="AL926" s="149">
        <v>0</v>
      </c>
      <c r="AM926" s="99">
        <v>0</v>
      </c>
      <c r="AN926" s="149">
        <v>0</v>
      </c>
      <c r="AO926" s="149">
        <v>0</v>
      </c>
      <c r="AP926" s="149">
        <v>0</v>
      </c>
      <c r="AQ926" s="149">
        <v>0</v>
      </c>
      <c r="AR926" s="149">
        <v>0</v>
      </c>
      <c r="AS926" s="149">
        <v>0</v>
      </c>
      <c r="AT926" s="149">
        <v>30</v>
      </c>
      <c r="AU926" s="149">
        <v>0</v>
      </c>
      <c r="AV926" s="149">
        <v>0</v>
      </c>
      <c r="AW926" s="149">
        <v>0</v>
      </c>
      <c r="AX926" s="149">
        <v>0</v>
      </c>
      <c r="AY926" s="149">
        <v>0</v>
      </c>
      <c r="AZ926" s="149">
        <v>0</v>
      </c>
      <c r="BA926" s="149">
        <v>30</v>
      </c>
      <c r="BB926" s="149">
        <v>0</v>
      </c>
      <c r="BC926" s="149">
        <v>0</v>
      </c>
      <c r="BD926" s="149">
        <v>0</v>
      </c>
      <c r="BE926" s="149">
        <v>0</v>
      </c>
      <c r="BF926" s="149">
        <v>0</v>
      </c>
      <c r="BG926" s="149">
        <v>0</v>
      </c>
      <c r="BH926" s="149">
        <v>0</v>
      </c>
      <c r="BI926" s="149">
        <v>0</v>
      </c>
      <c r="BJ926" s="149">
        <v>0</v>
      </c>
      <c r="BK926" s="149">
        <v>0</v>
      </c>
      <c r="BL926" s="149">
        <v>0</v>
      </c>
      <c r="BM926" s="149">
        <v>0</v>
      </c>
      <c r="BN926" s="149">
        <v>0</v>
      </c>
      <c r="BO926" s="149">
        <v>0</v>
      </c>
      <c r="BP926" s="136"/>
      <c r="BQ926" s="136" t="s">
        <v>327</v>
      </c>
      <c r="BR926" s="154" t="s">
        <v>149</v>
      </c>
      <c r="BS926" s="136">
        <v>20</v>
      </c>
      <c r="BT926" s="267"/>
      <c r="BU926" s="267"/>
      <c r="BV926" s="267"/>
      <c r="BW926" s="267"/>
      <c r="BX926" s="267">
        <f>M926/5</f>
        <v>6</v>
      </c>
      <c r="BY926" s="267">
        <f>M926/5</f>
        <v>6</v>
      </c>
      <c r="BZ926" s="267">
        <f>M926/5</f>
        <v>6</v>
      </c>
      <c r="CA926" s="267">
        <f>M926/5</f>
        <v>6</v>
      </c>
      <c r="CB926" s="267">
        <f>M926/5</f>
        <v>6</v>
      </c>
      <c r="CC926" s="267"/>
      <c r="CD926" s="267"/>
      <c r="CE926" s="267"/>
      <c r="CF926" s="267"/>
      <c r="CG926" s="267"/>
      <c r="CH926" s="267"/>
      <c r="CI926" s="267"/>
      <c r="CJ926" s="267"/>
      <c r="CK926" s="267"/>
      <c r="CL926" s="267"/>
      <c r="CM926" s="267"/>
      <c r="CN926" s="101">
        <f t="shared" si="132"/>
        <v>12</v>
      </c>
      <c r="CO926" s="101">
        <f t="shared" si="133"/>
        <v>30</v>
      </c>
    </row>
    <row r="927" spans="1:93" ht="13.9" customHeight="1" x14ac:dyDescent="0.2">
      <c r="A927" s="149">
        <v>7575</v>
      </c>
      <c r="B927" s="150" t="s">
        <v>2522</v>
      </c>
      <c r="C927" s="150"/>
      <c r="D927" s="150" t="s">
        <v>2555</v>
      </c>
      <c r="E927" s="150"/>
      <c r="F927" s="149">
        <v>529080.52989999903</v>
      </c>
      <c r="G927" s="149">
        <v>177186.61449999901</v>
      </c>
      <c r="H927" s="150" t="s">
        <v>167</v>
      </c>
      <c r="I927" s="151"/>
      <c r="J927" s="151"/>
      <c r="K927" s="149">
        <v>0</v>
      </c>
      <c r="L927" s="149">
        <v>29</v>
      </c>
      <c r="M927" s="149">
        <v>29</v>
      </c>
      <c r="N927" s="149">
        <v>168</v>
      </c>
      <c r="O927" s="149">
        <v>168</v>
      </c>
      <c r="P927" s="152" t="s">
        <v>327</v>
      </c>
      <c r="Q927" s="150" t="s">
        <v>2524</v>
      </c>
      <c r="R927" s="150" t="s">
        <v>2525</v>
      </c>
      <c r="S927" s="151"/>
      <c r="T927" s="151"/>
      <c r="U927" s="152"/>
      <c r="V927" s="150" t="s">
        <v>330</v>
      </c>
      <c r="W927" s="151"/>
      <c r="X927" s="150" t="s">
        <v>331</v>
      </c>
      <c r="Y927" s="150" t="s">
        <v>343</v>
      </c>
      <c r="Z927" s="150" t="s">
        <v>343</v>
      </c>
      <c r="AA927" s="150" t="s">
        <v>334</v>
      </c>
      <c r="AB927" s="153">
        <v>0</v>
      </c>
      <c r="AC927" s="151"/>
      <c r="AD927" s="150"/>
      <c r="AE927" s="151"/>
      <c r="AF927" s="150" t="s">
        <v>48</v>
      </c>
      <c r="AG927" s="152" t="s">
        <v>992</v>
      </c>
      <c r="AH927" s="150" t="s">
        <v>2556</v>
      </c>
      <c r="AI927" s="99"/>
      <c r="AJ927" s="149">
        <v>0</v>
      </c>
      <c r="AK927" s="99">
        <v>0</v>
      </c>
      <c r="AL927" s="149">
        <v>0</v>
      </c>
      <c r="AM927" s="99">
        <v>0</v>
      </c>
      <c r="AN927" s="149">
        <v>0</v>
      </c>
      <c r="AO927" s="149">
        <v>0</v>
      </c>
      <c r="AP927" s="149">
        <v>0</v>
      </c>
      <c r="AQ927" s="149">
        <v>0</v>
      </c>
      <c r="AR927" s="149">
        <v>0</v>
      </c>
      <c r="AS927" s="149">
        <v>0</v>
      </c>
      <c r="AT927" s="149">
        <v>29</v>
      </c>
      <c r="AU927" s="149">
        <v>0</v>
      </c>
      <c r="AV927" s="149">
        <v>0</v>
      </c>
      <c r="AW927" s="149">
        <v>0</v>
      </c>
      <c r="AX927" s="149">
        <v>0</v>
      </c>
      <c r="AY927" s="149">
        <v>0</v>
      </c>
      <c r="AZ927" s="149">
        <v>0</v>
      </c>
      <c r="BA927" s="149">
        <v>29</v>
      </c>
      <c r="BB927" s="149">
        <v>0</v>
      </c>
      <c r="BC927" s="149">
        <v>0</v>
      </c>
      <c r="BD927" s="149">
        <v>0</v>
      </c>
      <c r="BE927" s="149">
        <v>0</v>
      </c>
      <c r="BF927" s="149">
        <v>0</v>
      </c>
      <c r="BG927" s="149">
        <v>0</v>
      </c>
      <c r="BH927" s="149">
        <v>0</v>
      </c>
      <c r="BI927" s="149">
        <v>0</v>
      </c>
      <c r="BJ927" s="149">
        <v>0</v>
      </c>
      <c r="BK927" s="149">
        <v>0</v>
      </c>
      <c r="BL927" s="149">
        <v>0</v>
      </c>
      <c r="BM927" s="149">
        <v>0</v>
      </c>
      <c r="BN927" s="149">
        <v>0</v>
      </c>
      <c r="BO927" s="149">
        <v>0</v>
      </c>
      <c r="BP927" s="136"/>
      <c r="BQ927" s="136" t="s">
        <v>327</v>
      </c>
      <c r="BR927" s="154" t="s">
        <v>149</v>
      </c>
      <c r="BS927" s="136">
        <v>20</v>
      </c>
      <c r="BT927" s="267"/>
      <c r="BU927" s="267"/>
      <c r="BV927" s="267"/>
      <c r="BW927" s="267"/>
      <c r="BX927" s="267">
        <f>M927/5</f>
        <v>5.8</v>
      </c>
      <c r="BY927" s="267">
        <f>M927/5</f>
        <v>5.8</v>
      </c>
      <c r="BZ927" s="267">
        <f>M927/5</f>
        <v>5.8</v>
      </c>
      <c r="CA927" s="267">
        <f>M927/5</f>
        <v>5.8</v>
      </c>
      <c r="CB927" s="267">
        <f>M927/5</f>
        <v>5.8</v>
      </c>
      <c r="CC927" s="267"/>
      <c r="CD927" s="267"/>
      <c r="CE927" s="267"/>
      <c r="CF927" s="267"/>
      <c r="CG927" s="267"/>
      <c r="CH927" s="267"/>
      <c r="CI927" s="267"/>
      <c r="CJ927" s="267"/>
      <c r="CK927" s="267"/>
      <c r="CL927" s="267"/>
      <c r="CM927" s="267"/>
      <c r="CN927" s="101">
        <f t="shared" si="132"/>
        <v>11.6</v>
      </c>
      <c r="CO927" s="101">
        <f t="shared" si="133"/>
        <v>29</v>
      </c>
    </row>
    <row r="928" spans="1:93" ht="13.9" customHeight="1" x14ac:dyDescent="0.2">
      <c r="A928" s="149">
        <v>4437</v>
      </c>
      <c r="B928" s="150" t="s">
        <v>2522</v>
      </c>
      <c r="C928" s="150"/>
      <c r="D928" s="150" t="s">
        <v>2557</v>
      </c>
      <c r="E928" s="150"/>
      <c r="F928" s="149">
        <v>527446.42059999902</v>
      </c>
      <c r="G928" s="149">
        <v>176521.567799999</v>
      </c>
      <c r="H928" s="150" t="s">
        <v>170</v>
      </c>
      <c r="I928" s="151"/>
      <c r="J928" s="151"/>
      <c r="K928" s="149">
        <v>0</v>
      </c>
      <c r="L928" s="149">
        <v>5</v>
      </c>
      <c r="M928" s="149">
        <v>5</v>
      </c>
      <c r="N928" s="149">
        <v>5</v>
      </c>
      <c r="O928" s="149">
        <v>5</v>
      </c>
      <c r="P928" s="152"/>
      <c r="Q928" s="150" t="s">
        <v>2524</v>
      </c>
      <c r="R928" s="150" t="s">
        <v>2525</v>
      </c>
      <c r="S928" s="151"/>
      <c r="T928" s="151"/>
      <c r="U928" s="152"/>
      <c r="V928" s="150" t="s">
        <v>330</v>
      </c>
      <c r="W928" s="151"/>
      <c r="X928" s="150" t="s">
        <v>331</v>
      </c>
      <c r="Y928" s="150" t="s">
        <v>343</v>
      </c>
      <c r="Z928" s="150" t="s">
        <v>334</v>
      </c>
      <c r="AA928" s="150" t="s">
        <v>363</v>
      </c>
      <c r="AB928" s="153">
        <v>0</v>
      </c>
      <c r="AC928" s="151"/>
      <c r="AD928" s="150"/>
      <c r="AE928" s="151"/>
      <c r="AF928" s="150" t="s">
        <v>70</v>
      </c>
      <c r="AG928" s="152" t="s">
        <v>352</v>
      </c>
      <c r="AH928" s="150" t="s">
        <v>2558</v>
      </c>
      <c r="AI928" s="99"/>
      <c r="AJ928" s="149">
        <v>0</v>
      </c>
      <c r="AK928" s="99">
        <v>0</v>
      </c>
      <c r="AL928" s="149">
        <v>0</v>
      </c>
      <c r="AM928" s="99">
        <v>0</v>
      </c>
      <c r="AN928" s="149">
        <v>0</v>
      </c>
      <c r="AO928" s="149">
        <v>0</v>
      </c>
      <c r="AP928" s="149">
        <v>0</v>
      </c>
      <c r="AQ928" s="149">
        <v>0</v>
      </c>
      <c r="AR928" s="149">
        <v>0</v>
      </c>
      <c r="AS928" s="149">
        <v>0</v>
      </c>
      <c r="AT928" s="149">
        <v>5</v>
      </c>
      <c r="AU928" s="149">
        <v>0</v>
      </c>
      <c r="AV928" s="149">
        <v>0</v>
      </c>
      <c r="AW928" s="149">
        <v>0</v>
      </c>
      <c r="AX928" s="149">
        <v>0</v>
      </c>
      <c r="AY928" s="149">
        <v>0</v>
      </c>
      <c r="AZ928" s="149">
        <v>0</v>
      </c>
      <c r="BA928" s="149">
        <v>5</v>
      </c>
      <c r="BB928" s="149">
        <v>0</v>
      </c>
      <c r="BC928" s="149">
        <v>0</v>
      </c>
      <c r="BD928" s="149">
        <v>0</v>
      </c>
      <c r="BE928" s="149">
        <v>0</v>
      </c>
      <c r="BF928" s="149">
        <v>0</v>
      </c>
      <c r="BG928" s="149">
        <v>0</v>
      </c>
      <c r="BH928" s="149">
        <v>0</v>
      </c>
      <c r="BI928" s="149">
        <v>0</v>
      </c>
      <c r="BJ928" s="149">
        <v>0</v>
      </c>
      <c r="BK928" s="149">
        <v>0</v>
      </c>
      <c r="BL928" s="149">
        <v>0</v>
      </c>
      <c r="BM928" s="149">
        <v>0</v>
      </c>
      <c r="BN928" s="149">
        <v>0</v>
      </c>
      <c r="BO928" s="149">
        <v>0</v>
      </c>
      <c r="BP928" s="136"/>
      <c r="BQ928" s="136"/>
      <c r="BR928" s="154" t="s">
        <v>359</v>
      </c>
      <c r="BS928" s="136">
        <v>19</v>
      </c>
      <c r="BT928" s="267"/>
      <c r="BU928" s="267"/>
      <c r="BV928" s="267"/>
      <c r="BW928" s="267"/>
      <c r="BX928" s="267">
        <f>M928/10</f>
        <v>0.5</v>
      </c>
      <c r="BY928" s="267">
        <f>M928/10</f>
        <v>0.5</v>
      </c>
      <c r="BZ928" s="267">
        <f>M928/10</f>
        <v>0.5</v>
      </c>
      <c r="CA928" s="267">
        <f>M928/10</f>
        <v>0.5</v>
      </c>
      <c r="CB928" s="267">
        <f>M928/10</f>
        <v>0.5</v>
      </c>
      <c r="CC928" s="267">
        <f>M928/10</f>
        <v>0.5</v>
      </c>
      <c r="CD928" s="267">
        <f>M928/10</f>
        <v>0.5</v>
      </c>
      <c r="CE928" s="267">
        <f>M928/10</f>
        <v>0.5</v>
      </c>
      <c r="CF928" s="267">
        <f>M928/10</f>
        <v>0.5</v>
      </c>
      <c r="CG928" s="267">
        <f>M928/10</f>
        <v>0.5</v>
      </c>
      <c r="CH928" s="267"/>
      <c r="CI928" s="267"/>
      <c r="CJ928" s="267"/>
      <c r="CK928" s="267"/>
      <c r="CL928" s="267"/>
      <c r="CM928" s="267"/>
      <c r="CN928" s="101">
        <f t="shared" si="132"/>
        <v>1</v>
      </c>
      <c r="CO928" s="101">
        <f t="shared" si="133"/>
        <v>3.5</v>
      </c>
    </row>
    <row r="929" spans="1:93" ht="13.9" customHeight="1" x14ac:dyDescent="0.2">
      <c r="A929" s="149">
        <v>4472</v>
      </c>
      <c r="B929" s="150" t="s">
        <v>2522</v>
      </c>
      <c r="C929" s="150"/>
      <c r="D929" s="150" t="s">
        <v>2559</v>
      </c>
      <c r="E929" s="150"/>
      <c r="F929" s="149">
        <v>529267</v>
      </c>
      <c r="G929" s="149">
        <v>177387</v>
      </c>
      <c r="H929" s="150" t="s">
        <v>149</v>
      </c>
      <c r="I929" s="151"/>
      <c r="J929" s="151"/>
      <c r="K929" s="149">
        <v>0</v>
      </c>
      <c r="L929" s="149">
        <v>24</v>
      </c>
      <c r="M929" s="149">
        <v>24</v>
      </c>
      <c r="N929" s="149">
        <v>37</v>
      </c>
      <c r="O929" s="149">
        <v>37</v>
      </c>
      <c r="P929" s="152" t="s">
        <v>327</v>
      </c>
      <c r="Q929" s="150" t="s">
        <v>2524</v>
      </c>
      <c r="R929" s="150" t="s">
        <v>2525</v>
      </c>
      <c r="S929" s="151"/>
      <c r="T929" s="151"/>
      <c r="U929" s="152"/>
      <c r="V929" s="150" t="s">
        <v>330</v>
      </c>
      <c r="W929" s="151"/>
      <c r="X929" s="150" t="s">
        <v>331</v>
      </c>
      <c r="Y929" s="150" t="s">
        <v>343</v>
      </c>
      <c r="Z929" s="150" t="s">
        <v>343</v>
      </c>
      <c r="AA929" s="150" t="s">
        <v>334</v>
      </c>
      <c r="AB929" s="153">
        <v>0</v>
      </c>
      <c r="AC929" s="151"/>
      <c r="AD929" s="150"/>
      <c r="AE929" s="151"/>
      <c r="AF929" s="150" t="s">
        <v>70</v>
      </c>
      <c r="AG929" s="152" t="s">
        <v>352</v>
      </c>
      <c r="AH929" s="150" t="s">
        <v>2560</v>
      </c>
      <c r="AI929" s="99"/>
      <c r="AJ929" s="149">
        <v>0</v>
      </c>
      <c r="AK929" s="99">
        <v>0</v>
      </c>
      <c r="AL929" s="149">
        <v>0</v>
      </c>
      <c r="AM929" s="99">
        <v>0</v>
      </c>
      <c r="AN929" s="149">
        <v>0</v>
      </c>
      <c r="AO929" s="149">
        <v>0</v>
      </c>
      <c r="AP929" s="149">
        <v>0</v>
      </c>
      <c r="AQ929" s="149">
        <v>0</v>
      </c>
      <c r="AR929" s="149">
        <v>0</v>
      </c>
      <c r="AS929" s="149">
        <v>0</v>
      </c>
      <c r="AT929" s="149">
        <v>24</v>
      </c>
      <c r="AU929" s="149">
        <v>0</v>
      </c>
      <c r="AV929" s="149">
        <v>0</v>
      </c>
      <c r="AW929" s="149">
        <v>0</v>
      </c>
      <c r="AX929" s="149">
        <v>0</v>
      </c>
      <c r="AY929" s="149">
        <v>0</v>
      </c>
      <c r="AZ929" s="149">
        <v>0</v>
      </c>
      <c r="BA929" s="149">
        <v>24</v>
      </c>
      <c r="BB929" s="149">
        <v>0</v>
      </c>
      <c r="BC929" s="149">
        <v>0</v>
      </c>
      <c r="BD929" s="149">
        <v>0</v>
      </c>
      <c r="BE929" s="149">
        <v>0</v>
      </c>
      <c r="BF929" s="149">
        <v>0</v>
      </c>
      <c r="BG929" s="149">
        <v>0</v>
      </c>
      <c r="BH929" s="149">
        <v>0</v>
      </c>
      <c r="BI929" s="149">
        <v>0</v>
      </c>
      <c r="BJ929" s="149">
        <v>0</v>
      </c>
      <c r="BK929" s="149">
        <v>0</v>
      </c>
      <c r="BL929" s="149">
        <v>0</v>
      </c>
      <c r="BM929" s="149">
        <v>0</v>
      </c>
      <c r="BN929" s="149">
        <v>0</v>
      </c>
      <c r="BO929" s="149">
        <v>0</v>
      </c>
      <c r="BP929" s="136"/>
      <c r="BQ929" s="136" t="s">
        <v>327</v>
      </c>
      <c r="BR929" s="154" t="s">
        <v>149</v>
      </c>
      <c r="BS929" s="136">
        <v>20</v>
      </c>
      <c r="BT929" s="267"/>
      <c r="BU929" s="267"/>
      <c r="BV929" s="267"/>
      <c r="BW929" s="267"/>
      <c r="BX929" s="267"/>
      <c r="BY929" s="267">
        <f t="shared" ref="BY929:BY934" si="134">M929</f>
        <v>24</v>
      </c>
      <c r="BZ929" s="267"/>
      <c r="CA929" s="267"/>
      <c r="CB929" s="267"/>
      <c r="CC929" s="267"/>
      <c r="CD929" s="267"/>
      <c r="CE929" s="267"/>
      <c r="CF929" s="267"/>
      <c r="CG929" s="267"/>
      <c r="CH929" s="267"/>
      <c r="CI929" s="267"/>
      <c r="CJ929" s="267"/>
      <c r="CK929" s="267"/>
      <c r="CL929" s="267"/>
      <c r="CM929" s="267"/>
      <c r="CN929" s="101">
        <f t="shared" si="132"/>
        <v>24</v>
      </c>
      <c r="CO929" s="101">
        <f t="shared" si="133"/>
        <v>24</v>
      </c>
    </row>
    <row r="930" spans="1:93" ht="13.9" customHeight="1" x14ac:dyDescent="0.2">
      <c r="A930" s="149">
        <v>4472</v>
      </c>
      <c r="B930" s="150" t="s">
        <v>2522</v>
      </c>
      <c r="C930" s="150"/>
      <c r="D930" s="150" t="s">
        <v>2559</v>
      </c>
      <c r="E930" s="150"/>
      <c r="F930" s="149">
        <v>529267</v>
      </c>
      <c r="G930" s="149">
        <v>177387</v>
      </c>
      <c r="H930" s="150" t="s">
        <v>149</v>
      </c>
      <c r="I930" s="151"/>
      <c r="J930" s="151"/>
      <c r="K930" s="149">
        <v>0</v>
      </c>
      <c r="L930" s="149">
        <v>7</v>
      </c>
      <c r="M930" s="149">
        <v>7</v>
      </c>
      <c r="N930" s="149">
        <v>37</v>
      </c>
      <c r="O930" s="149">
        <v>37</v>
      </c>
      <c r="P930" s="152" t="s">
        <v>327</v>
      </c>
      <c r="Q930" s="150" t="s">
        <v>2524</v>
      </c>
      <c r="R930" s="150" t="s">
        <v>2525</v>
      </c>
      <c r="S930" s="151"/>
      <c r="T930" s="151"/>
      <c r="U930" s="152"/>
      <c r="V930" s="150" t="s">
        <v>330</v>
      </c>
      <c r="W930" s="151"/>
      <c r="X930" s="150" t="s">
        <v>331</v>
      </c>
      <c r="Y930" s="150" t="s">
        <v>343</v>
      </c>
      <c r="Z930" s="150" t="s">
        <v>343</v>
      </c>
      <c r="AA930" s="150" t="s">
        <v>334</v>
      </c>
      <c r="AB930" s="153">
        <v>0</v>
      </c>
      <c r="AC930" s="151"/>
      <c r="AD930" s="150"/>
      <c r="AE930" s="151"/>
      <c r="AF930" s="150" t="s">
        <v>49</v>
      </c>
      <c r="AG930" s="152" t="s">
        <v>470</v>
      </c>
      <c r="AH930" s="150" t="s">
        <v>2560</v>
      </c>
      <c r="AI930" s="99"/>
      <c r="AJ930" s="149">
        <v>0</v>
      </c>
      <c r="AK930" s="99">
        <v>0</v>
      </c>
      <c r="AL930" s="149">
        <v>0</v>
      </c>
      <c r="AM930" s="99">
        <v>0</v>
      </c>
      <c r="AN930" s="149">
        <v>0</v>
      </c>
      <c r="AO930" s="149">
        <v>0</v>
      </c>
      <c r="AP930" s="149">
        <v>0</v>
      </c>
      <c r="AQ930" s="149">
        <v>0</v>
      </c>
      <c r="AR930" s="149">
        <v>0</v>
      </c>
      <c r="AS930" s="149">
        <v>0</v>
      </c>
      <c r="AT930" s="149">
        <v>7</v>
      </c>
      <c r="AU930" s="149">
        <v>0</v>
      </c>
      <c r="AV930" s="149">
        <v>0</v>
      </c>
      <c r="AW930" s="149">
        <v>0</v>
      </c>
      <c r="AX930" s="149">
        <v>0</v>
      </c>
      <c r="AY930" s="149">
        <v>0</v>
      </c>
      <c r="AZ930" s="149">
        <v>0</v>
      </c>
      <c r="BA930" s="149">
        <v>7</v>
      </c>
      <c r="BB930" s="149">
        <v>0</v>
      </c>
      <c r="BC930" s="149">
        <v>0</v>
      </c>
      <c r="BD930" s="149">
        <v>0</v>
      </c>
      <c r="BE930" s="149">
        <v>0</v>
      </c>
      <c r="BF930" s="149">
        <v>0</v>
      </c>
      <c r="BG930" s="149">
        <v>0</v>
      </c>
      <c r="BH930" s="149">
        <v>0</v>
      </c>
      <c r="BI930" s="149">
        <v>0</v>
      </c>
      <c r="BJ930" s="149">
        <v>0</v>
      </c>
      <c r="BK930" s="149">
        <v>0</v>
      </c>
      <c r="BL930" s="149">
        <v>0</v>
      </c>
      <c r="BM930" s="149">
        <v>0</v>
      </c>
      <c r="BN930" s="149">
        <v>0</v>
      </c>
      <c r="BO930" s="149">
        <v>0</v>
      </c>
      <c r="BP930" s="136"/>
      <c r="BQ930" s="136" t="s">
        <v>327</v>
      </c>
      <c r="BR930" s="154" t="s">
        <v>149</v>
      </c>
      <c r="BS930" s="136">
        <v>20</v>
      </c>
      <c r="BT930" s="267"/>
      <c r="BU930" s="267"/>
      <c r="BV930" s="267"/>
      <c r="BW930" s="267"/>
      <c r="BX930" s="267"/>
      <c r="BY930" s="267">
        <f t="shared" si="134"/>
        <v>7</v>
      </c>
      <c r="BZ930" s="267"/>
      <c r="CA930" s="267"/>
      <c r="CB930" s="267"/>
      <c r="CC930" s="267"/>
      <c r="CD930" s="267"/>
      <c r="CE930" s="267"/>
      <c r="CF930" s="267"/>
      <c r="CG930" s="267"/>
      <c r="CH930" s="267"/>
      <c r="CI930" s="267"/>
      <c r="CJ930" s="267"/>
      <c r="CK930" s="267"/>
      <c r="CL930" s="267"/>
      <c r="CM930" s="267"/>
      <c r="CN930" s="101">
        <f t="shared" si="132"/>
        <v>7</v>
      </c>
      <c r="CO930" s="101">
        <f t="shared" si="133"/>
        <v>7</v>
      </c>
    </row>
    <row r="931" spans="1:93" ht="13.9" customHeight="1" x14ac:dyDescent="0.2">
      <c r="A931" s="149">
        <v>4472</v>
      </c>
      <c r="B931" s="150" t="s">
        <v>2522</v>
      </c>
      <c r="C931" s="150"/>
      <c r="D931" s="150" t="s">
        <v>2559</v>
      </c>
      <c r="E931" s="150"/>
      <c r="F931" s="149">
        <v>529267</v>
      </c>
      <c r="G931" s="149">
        <v>177387</v>
      </c>
      <c r="H931" s="150" t="s">
        <v>149</v>
      </c>
      <c r="I931" s="151"/>
      <c r="J931" s="151"/>
      <c r="K931" s="149">
        <v>0</v>
      </c>
      <c r="L931" s="149">
        <v>6</v>
      </c>
      <c r="M931" s="149">
        <v>6</v>
      </c>
      <c r="N931" s="149">
        <v>37</v>
      </c>
      <c r="O931" s="149">
        <v>37</v>
      </c>
      <c r="P931" s="152" t="s">
        <v>327</v>
      </c>
      <c r="Q931" s="150" t="s">
        <v>2524</v>
      </c>
      <c r="R931" s="150" t="s">
        <v>2525</v>
      </c>
      <c r="S931" s="151"/>
      <c r="T931" s="151"/>
      <c r="U931" s="152"/>
      <c r="V931" s="150" t="s">
        <v>330</v>
      </c>
      <c r="W931" s="151"/>
      <c r="X931" s="150" t="s">
        <v>331</v>
      </c>
      <c r="Y931" s="150" t="s">
        <v>343</v>
      </c>
      <c r="Z931" s="150" t="s">
        <v>343</v>
      </c>
      <c r="AA931" s="150" t="s">
        <v>334</v>
      </c>
      <c r="AB931" s="153">
        <v>0</v>
      </c>
      <c r="AC931" s="151"/>
      <c r="AD931" s="150"/>
      <c r="AE931" s="151"/>
      <c r="AF931" s="150" t="s">
        <v>48</v>
      </c>
      <c r="AG931" s="152" t="s">
        <v>992</v>
      </c>
      <c r="AH931" s="150" t="s">
        <v>2560</v>
      </c>
      <c r="AI931" s="99"/>
      <c r="AJ931" s="149">
        <v>0</v>
      </c>
      <c r="AK931" s="99">
        <v>0</v>
      </c>
      <c r="AL931" s="149">
        <v>0</v>
      </c>
      <c r="AM931" s="99">
        <v>0</v>
      </c>
      <c r="AN931" s="149">
        <v>0</v>
      </c>
      <c r="AO931" s="149">
        <v>0</v>
      </c>
      <c r="AP931" s="149">
        <v>0</v>
      </c>
      <c r="AQ931" s="149">
        <v>0</v>
      </c>
      <c r="AR931" s="149">
        <v>0</v>
      </c>
      <c r="AS931" s="149">
        <v>0</v>
      </c>
      <c r="AT931" s="149">
        <v>6</v>
      </c>
      <c r="AU931" s="149">
        <v>0</v>
      </c>
      <c r="AV931" s="149">
        <v>0</v>
      </c>
      <c r="AW931" s="149">
        <v>0</v>
      </c>
      <c r="AX931" s="149">
        <v>0</v>
      </c>
      <c r="AY931" s="149">
        <v>0</v>
      </c>
      <c r="AZ931" s="149">
        <v>0</v>
      </c>
      <c r="BA931" s="149">
        <v>6</v>
      </c>
      <c r="BB931" s="149">
        <v>0</v>
      </c>
      <c r="BC931" s="149">
        <v>0</v>
      </c>
      <c r="BD931" s="149">
        <v>0</v>
      </c>
      <c r="BE931" s="149">
        <v>0</v>
      </c>
      <c r="BF931" s="149">
        <v>0</v>
      </c>
      <c r="BG931" s="149">
        <v>0</v>
      </c>
      <c r="BH931" s="149">
        <v>0</v>
      </c>
      <c r="BI931" s="149">
        <v>0</v>
      </c>
      <c r="BJ931" s="149">
        <v>0</v>
      </c>
      <c r="BK931" s="149">
        <v>0</v>
      </c>
      <c r="BL931" s="149">
        <v>0</v>
      </c>
      <c r="BM931" s="149">
        <v>0</v>
      </c>
      <c r="BN931" s="149">
        <v>0</v>
      </c>
      <c r="BO931" s="149">
        <v>0</v>
      </c>
      <c r="BP931" s="136"/>
      <c r="BQ931" s="136" t="s">
        <v>327</v>
      </c>
      <c r="BR931" s="154" t="s">
        <v>149</v>
      </c>
      <c r="BS931" s="136">
        <v>20</v>
      </c>
      <c r="BT931" s="267"/>
      <c r="BU931" s="267"/>
      <c r="BV931" s="267"/>
      <c r="BW931" s="267"/>
      <c r="BX931" s="267"/>
      <c r="BY931" s="267">
        <f t="shared" si="134"/>
        <v>6</v>
      </c>
      <c r="BZ931" s="267"/>
      <c r="CA931" s="267"/>
      <c r="CB931" s="267"/>
      <c r="CC931" s="267"/>
      <c r="CD931" s="267"/>
      <c r="CE931" s="267"/>
      <c r="CF931" s="267"/>
      <c r="CG931" s="267"/>
      <c r="CH931" s="267"/>
      <c r="CI931" s="267"/>
      <c r="CJ931" s="267"/>
      <c r="CK931" s="267"/>
      <c r="CL931" s="267"/>
      <c r="CM931" s="267"/>
      <c r="CN931" s="101">
        <f t="shared" si="132"/>
        <v>6</v>
      </c>
      <c r="CO931" s="101">
        <f t="shared" si="133"/>
        <v>6</v>
      </c>
    </row>
    <row r="932" spans="1:93" ht="13.9" customHeight="1" x14ac:dyDescent="0.2">
      <c r="A932" s="149">
        <v>6877</v>
      </c>
      <c r="B932" s="150" t="s">
        <v>2522</v>
      </c>
      <c r="C932" s="150"/>
      <c r="D932" s="150" t="s">
        <v>2561</v>
      </c>
      <c r="E932" s="150"/>
      <c r="F932" s="149">
        <v>529311</v>
      </c>
      <c r="G932" s="149">
        <v>177427</v>
      </c>
      <c r="H932" s="150" t="s">
        <v>149</v>
      </c>
      <c r="I932" s="151"/>
      <c r="J932" s="151"/>
      <c r="K932" s="149">
        <v>0</v>
      </c>
      <c r="L932" s="149">
        <v>100</v>
      </c>
      <c r="M932" s="149">
        <v>100</v>
      </c>
      <c r="N932" s="149">
        <v>154</v>
      </c>
      <c r="O932" s="149">
        <v>154</v>
      </c>
      <c r="P932" s="152" t="s">
        <v>327</v>
      </c>
      <c r="Q932" s="150" t="s">
        <v>2524</v>
      </c>
      <c r="R932" s="150" t="s">
        <v>2525</v>
      </c>
      <c r="S932" s="151"/>
      <c r="T932" s="151"/>
      <c r="U932" s="152"/>
      <c r="V932" s="150" t="s">
        <v>330</v>
      </c>
      <c r="W932" s="151"/>
      <c r="X932" s="150" t="s">
        <v>331</v>
      </c>
      <c r="Y932" s="150" t="s">
        <v>343</v>
      </c>
      <c r="Z932" s="150" t="s">
        <v>343</v>
      </c>
      <c r="AA932" s="150" t="s">
        <v>334</v>
      </c>
      <c r="AB932" s="153">
        <v>0</v>
      </c>
      <c r="AC932" s="151"/>
      <c r="AD932" s="150"/>
      <c r="AE932" s="151"/>
      <c r="AF932" s="150" t="s">
        <v>70</v>
      </c>
      <c r="AG932" s="152" t="s">
        <v>352</v>
      </c>
      <c r="AH932" s="150" t="s">
        <v>2562</v>
      </c>
      <c r="AI932" s="99"/>
      <c r="AJ932" s="149">
        <v>0</v>
      </c>
      <c r="AK932" s="99">
        <v>0</v>
      </c>
      <c r="AL932" s="149">
        <v>0</v>
      </c>
      <c r="AM932" s="99">
        <v>0</v>
      </c>
      <c r="AN932" s="149">
        <v>0</v>
      </c>
      <c r="AO932" s="149">
        <v>0</v>
      </c>
      <c r="AP932" s="149">
        <v>0</v>
      </c>
      <c r="AQ932" s="149">
        <v>0</v>
      </c>
      <c r="AR932" s="149">
        <v>0</v>
      </c>
      <c r="AS932" s="149">
        <v>0</v>
      </c>
      <c r="AT932" s="149">
        <v>100</v>
      </c>
      <c r="AU932" s="149">
        <v>0</v>
      </c>
      <c r="AV932" s="149">
        <v>0</v>
      </c>
      <c r="AW932" s="149">
        <v>0</v>
      </c>
      <c r="AX932" s="149">
        <v>0</v>
      </c>
      <c r="AY932" s="149">
        <v>0</v>
      </c>
      <c r="AZ932" s="149">
        <v>0</v>
      </c>
      <c r="BA932" s="149">
        <v>100</v>
      </c>
      <c r="BB932" s="149">
        <v>0</v>
      </c>
      <c r="BC932" s="149">
        <v>0</v>
      </c>
      <c r="BD932" s="149">
        <v>0</v>
      </c>
      <c r="BE932" s="149">
        <v>0</v>
      </c>
      <c r="BF932" s="149">
        <v>0</v>
      </c>
      <c r="BG932" s="149">
        <v>0</v>
      </c>
      <c r="BH932" s="149">
        <v>0</v>
      </c>
      <c r="BI932" s="149">
        <v>0</v>
      </c>
      <c r="BJ932" s="149">
        <v>0</v>
      </c>
      <c r="BK932" s="149">
        <v>0</v>
      </c>
      <c r="BL932" s="149">
        <v>0</v>
      </c>
      <c r="BM932" s="149">
        <v>0</v>
      </c>
      <c r="BN932" s="149">
        <v>0</v>
      </c>
      <c r="BO932" s="149">
        <v>0</v>
      </c>
      <c r="BP932" s="136"/>
      <c r="BQ932" s="136" t="s">
        <v>327</v>
      </c>
      <c r="BR932" s="154" t="s">
        <v>149</v>
      </c>
      <c r="BS932" s="136">
        <v>20</v>
      </c>
      <c r="BT932" s="267"/>
      <c r="BU932" s="267"/>
      <c r="BV932" s="267"/>
      <c r="BW932" s="267"/>
      <c r="BX932" s="267"/>
      <c r="BY932" s="267">
        <f t="shared" si="134"/>
        <v>100</v>
      </c>
      <c r="BZ932" s="267"/>
      <c r="CA932" s="267"/>
      <c r="CB932" s="267"/>
      <c r="CC932" s="267"/>
      <c r="CD932" s="267"/>
      <c r="CE932" s="267"/>
      <c r="CF932" s="267"/>
      <c r="CG932" s="267"/>
      <c r="CH932" s="267"/>
      <c r="CI932" s="267"/>
      <c r="CJ932" s="267"/>
      <c r="CK932" s="267"/>
      <c r="CL932" s="267"/>
      <c r="CM932" s="267"/>
      <c r="CN932" s="101">
        <f t="shared" si="132"/>
        <v>100</v>
      </c>
      <c r="CO932" s="101">
        <f t="shared" si="133"/>
        <v>100</v>
      </c>
    </row>
    <row r="933" spans="1:93" ht="13.9" customHeight="1" x14ac:dyDescent="0.2">
      <c r="A933" s="149">
        <v>6877</v>
      </c>
      <c r="B933" s="150" t="s">
        <v>2522</v>
      </c>
      <c r="C933" s="150"/>
      <c r="D933" s="150" t="s">
        <v>2561</v>
      </c>
      <c r="E933" s="150"/>
      <c r="F933" s="149">
        <v>529311</v>
      </c>
      <c r="G933" s="149">
        <v>177427</v>
      </c>
      <c r="H933" s="150" t="s">
        <v>149</v>
      </c>
      <c r="I933" s="151"/>
      <c r="J933" s="151"/>
      <c r="K933" s="149">
        <v>0</v>
      </c>
      <c r="L933" s="149">
        <v>27</v>
      </c>
      <c r="M933" s="149">
        <v>27</v>
      </c>
      <c r="N933" s="149">
        <v>154</v>
      </c>
      <c r="O933" s="149">
        <v>154</v>
      </c>
      <c r="P933" s="152" t="s">
        <v>327</v>
      </c>
      <c r="Q933" s="150" t="s">
        <v>2524</v>
      </c>
      <c r="R933" s="150" t="s">
        <v>2525</v>
      </c>
      <c r="S933" s="151"/>
      <c r="T933" s="151"/>
      <c r="U933" s="152"/>
      <c r="V933" s="150" t="s">
        <v>330</v>
      </c>
      <c r="W933" s="151"/>
      <c r="X933" s="150" t="s">
        <v>331</v>
      </c>
      <c r="Y933" s="150" t="s">
        <v>343</v>
      </c>
      <c r="Z933" s="150" t="s">
        <v>343</v>
      </c>
      <c r="AA933" s="150" t="s">
        <v>334</v>
      </c>
      <c r="AB933" s="153">
        <v>0</v>
      </c>
      <c r="AC933" s="151"/>
      <c r="AD933" s="150"/>
      <c r="AE933" s="151"/>
      <c r="AF933" s="150" t="s">
        <v>49</v>
      </c>
      <c r="AG933" s="152" t="s">
        <v>470</v>
      </c>
      <c r="AH933" s="150" t="s">
        <v>2562</v>
      </c>
      <c r="AI933" s="99"/>
      <c r="AJ933" s="149">
        <v>0</v>
      </c>
      <c r="AK933" s="99">
        <v>0</v>
      </c>
      <c r="AL933" s="149">
        <v>0</v>
      </c>
      <c r="AM933" s="99">
        <v>0</v>
      </c>
      <c r="AN933" s="149">
        <v>0</v>
      </c>
      <c r="AO933" s="149">
        <v>0</v>
      </c>
      <c r="AP933" s="149">
        <v>0</v>
      </c>
      <c r="AQ933" s="149">
        <v>0</v>
      </c>
      <c r="AR933" s="149">
        <v>0</v>
      </c>
      <c r="AS933" s="149">
        <v>0</v>
      </c>
      <c r="AT933" s="149">
        <v>27</v>
      </c>
      <c r="AU933" s="149">
        <v>0</v>
      </c>
      <c r="AV933" s="149">
        <v>0</v>
      </c>
      <c r="AW933" s="149">
        <v>0</v>
      </c>
      <c r="AX933" s="149">
        <v>0</v>
      </c>
      <c r="AY933" s="149">
        <v>0</v>
      </c>
      <c r="AZ933" s="149">
        <v>0</v>
      </c>
      <c r="BA933" s="149">
        <v>27</v>
      </c>
      <c r="BB933" s="149">
        <v>0</v>
      </c>
      <c r="BC933" s="149">
        <v>0</v>
      </c>
      <c r="BD933" s="149">
        <v>0</v>
      </c>
      <c r="BE933" s="149">
        <v>0</v>
      </c>
      <c r="BF933" s="149">
        <v>0</v>
      </c>
      <c r="BG933" s="149">
        <v>0</v>
      </c>
      <c r="BH933" s="149">
        <v>0</v>
      </c>
      <c r="BI933" s="149">
        <v>0</v>
      </c>
      <c r="BJ933" s="149">
        <v>0</v>
      </c>
      <c r="BK933" s="149">
        <v>0</v>
      </c>
      <c r="BL933" s="149">
        <v>0</v>
      </c>
      <c r="BM933" s="149">
        <v>0</v>
      </c>
      <c r="BN933" s="149">
        <v>0</v>
      </c>
      <c r="BO933" s="149">
        <v>0</v>
      </c>
      <c r="BP933" s="136"/>
      <c r="BQ933" s="136" t="s">
        <v>327</v>
      </c>
      <c r="BR933" s="154" t="s">
        <v>149</v>
      </c>
      <c r="BS933" s="136">
        <v>20</v>
      </c>
      <c r="BT933" s="267"/>
      <c r="BU933" s="267"/>
      <c r="BV933" s="267"/>
      <c r="BW933" s="267"/>
      <c r="BX933" s="267"/>
      <c r="BY933" s="267">
        <f t="shared" si="134"/>
        <v>27</v>
      </c>
      <c r="BZ933" s="267"/>
      <c r="CA933" s="267"/>
      <c r="CB933" s="267"/>
      <c r="CC933" s="267"/>
      <c r="CD933" s="267"/>
      <c r="CE933" s="267"/>
      <c r="CF933" s="267"/>
      <c r="CG933" s="267"/>
      <c r="CH933" s="267"/>
      <c r="CI933" s="267"/>
      <c r="CJ933" s="267"/>
      <c r="CK933" s="267"/>
      <c r="CL933" s="267"/>
      <c r="CM933" s="267"/>
      <c r="CN933" s="101">
        <f t="shared" si="132"/>
        <v>27</v>
      </c>
      <c r="CO933" s="101">
        <f t="shared" si="133"/>
        <v>27</v>
      </c>
    </row>
    <row r="934" spans="1:93" ht="13.9" customHeight="1" x14ac:dyDescent="0.2">
      <c r="A934" s="149">
        <v>6877</v>
      </c>
      <c r="B934" s="150" t="s">
        <v>2522</v>
      </c>
      <c r="C934" s="150"/>
      <c r="D934" s="150" t="s">
        <v>2561</v>
      </c>
      <c r="E934" s="150"/>
      <c r="F934" s="149">
        <v>529311</v>
      </c>
      <c r="G934" s="149">
        <v>177427</v>
      </c>
      <c r="H934" s="150" t="s">
        <v>149</v>
      </c>
      <c r="I934" s="151"/>
      <c r="J934" s="151"/>
      <c r="K934" s="149">
        <v>0</v>
      </c>
      <c r="L934" s="149">
        <v>27</v>
      </c>
      <c r="M934" s="149">
        <v>27</v>
      </c>
      <c r="N934" s="149">
        <v>154</v>
      </c>
      <c r="O934" s="149">
        <v>154</v>
      </c>
      <c r="P934" s="152" t="s">
        <v>327</v>
      </c>
      <c r="Q934" s="150" t="s">
        <v>2524</v>
      </c>
      <c r="R934" s="150" t="s">
        <v>2525</v>
      </c>
      <c r="S934" s="151"/>
      <c r="T934" s="151"/>
      <c r="U934" s="152"/>
      <c r="V934" s="150" t="s">
        <v>330</v>
      </c>
      <c r="W934" s="151"/>
      <c r="X934" s="150" t="s">
        <v>331</v>
      </c>
      <c r="Y934" s="150" t="s">
        <v>343</v>
      </c>
      <c r="Z934" s="150" t="s">
        <v>343</v>
      </c>
      <c r="AA934" s="150" t="s">
        <v>334</v>
      </c>
      <c r="AB934" s="153">
        <v>0</v>
      </c>
      <c r="AC934" s="151"/>
      <c r="AD934" s="150"/>
      <c r="AE934" s="151"/>
      <c r="AF934" s="150" t="s">
        <v>48</v>
      </c>
      <c r="AG934" s="152" t="s">
        <v>992</v>
      </c>
      <c r="AH934" s="150" t="s">
        <v>2562</v>
      </c>
      <c r="AI934" s="99"/>
      <c r="AJ934" s="149">
        <v>0</v>
      </c>
      <c r="AK934" s="99">
        <v>0</v>
      </c>
      <c r="AL934" s="149">
        <v>0</v>
      </c>
      <c r="AM934" s="99">
        <v>0</v>
      </c>
      <c r="AN934" s="149">
        <v>0</v>
      </c>
      <c r="AO934" s="149">
        <v>0</v>
      </c>
      <c r="AP934" s="149">
        <v>0</v>
      </c>
      <c r="AQ934" s="149">
        <v>0</v>
      </c>
      <c r="AR934" s="149">
        <v>0</v>
      </c>
      <c r="AS934" s="149">
        <v>0</v>
      </c>
      <c r="AT934" s="149">
        <v>27</v>
      </c>
      <c r="AU934" s="149">
        <v>0</v>
      </c>
      <c r="AV934" s="149">
        <v>0</v>
      </c>
      <c r="AW934" s="149">
        <v>0</v>
      </c>
      <c r="AX934" s="149">
        <v>0</v>
      </c>
      <c r="AY934" s="149">
        <v>0</v>
      </c>
      <c r="AZ934" s="149">
        <v>0</v>
      </c>
      <c r="BA934" s="149">
        <v>27</v>
      </c>
      <c r="BB934" s="149">
        <v>0</v>
      </c>
      <c r="BC934" s="149">
        <v>0</v>
      </c>
      <c r="BD934" s="149">
        <v>0</v>
      </c>
      <c r="BE934" s="149">
        <v>0</v>
      </c>
      <c r="BF934" s="149">
        <v>0</v>
      </c>
      <c r="BG934" s="149">
        <v>0</v>
      </c>
      <c r="BH934" s="149">
        <v>0</v>
      </c>
      <c r="BI934" s="149">
        <v>0</v>
      </c>
      <c r="BJ934" s="149">
        <v>0</v>
      </c>
      <c r="BK934" s="149">
        <v>0</v>
      </c>
      <c r="BL934" s="149">
        <v>0</v>
      </c>
      <c r="BM934" s="149">
        <v>0</v>
      </c>
      <c r="BN934" s="149">
        <v>0</v>
      </c>
      <c r="BO934" s="149">
        <v>0</v>
      </c>
      <c r="BP934" s="136"/>
      <c r="BQ934" s="136" t="s">
        <v>327</v>
      </c>
      <c r="BR934" s="154" t="s">
        <v>149</v>
      </c>
      <c r="BS934" s="136">
        <v>20</v>
      </c>
      <c r="BT934" s="267"/>
      <c r="BU934" s="267"/>
      <c r="BV934" s="267"/>
      <c r="BW934" s="267"/>
      <c r="BX934" s="267"/>
      <c r="BY934" s="267">
        <f t="shared" si="134"/>
        <v>27</v>
      </c>
      <c r="BZ934" s="267"/>
      <c r="CA934" s="267"/>
      <c r="CB934" s="267"/>
      <c r="CC934" s="267"/>
      <c r="CD934" s="267"/>
      <c r="CE934" s="267"/>
      <c r="CF934" s="267"/>
      <c r="CG934" s="267"/>
      <c r="CH934" s="267"/>
      <c r="CI934" s="267"/>
      <c r="CJ934" s="267"/>
      <c r="CK934" s="267"/>
      <c r="CL934" s="267"/>
      <c r="CM934" s="267"/>
      <c r="CN934" s="101">
        <f t="shared" si="132"/>
        <v>27</v>
      </c>
      <c r="CO934" s="101">
        <f t="shared" si="133"/>
        <v>27</v>
      </c>
    </row>
    <row r="935" spans="1:93" ht="13.9" customHeight="1" x14ac:dyDescent="0.2">
      <c r="A935" s="149">
        <v>4510</v>
      </c>
      <c r="B935" s="150" t="s">
        <v>2522</v>
      </c>
      <c r="C935" s="150"/>
      <c r="D935" s="150" t="s">
        <v>2563</v>
      </c>
      <c r="E935" s="150"/>
      <c r="F935" s="149">
        <v>529218</v>
      </c>
      <c r="G935" s="149">
        <v>177561</v>
      </c>
      <c r="H935" s="150" t="s">
        <v>149</v>
      </c>
      <c r="I935" s="151"/>
      <c r="J935" s="151"/>
      <c r="K935" s="149">
        <v>0</v>
      </c>
      <c r="L935" s="149">
        <v>8</v>
      </c>
      <c r="M935" s="149">
        <v>8</v>
      </c>
      <c r="N935" s="149">
        <v>12</v>
      </c>
      <c r="O935" s="149">
        <v>12</v>
      </c>
      <c r="P935" s="152" t="s">
        <v>327</v>
      </c>
      <c r="Q935" s="150" t="s">
        <v>2524</v>
      </c>
      <c r="R935" s="150" t="s">
        <v>2525</v>
      </c>
      <c r="S935" s="151"/>
      <c r="T935" s="151"/>
      <c r="U935" s="152"/>
      <c r="V935" s="150" t="s">
        <v>330</v>
      </c>
      <c r="W935" s="151"/>
      <c r="X935" s="150" t="s">
        <v>331</v>
      </c>
      <c r="Y935" s="150" t="s">
        <v>398</v>
      </c>
      <c r="Z935" s="150" t="s">
        <v>343</v>
      </c>
      <c r="AA935" s="150" t="s">
        <v>334</v>
      </c>
      <c r="AB935" s="153">
        <v>0</v>
      </c>
      <c r="AC935" s="151"/>
      <c r="AD935" s="150"/>
      <c r="AE935" s="151"/>
      <c r="AF935" s="150" t="s">
        <v>70</v>
      </c>
      <c r="AG935" s="152" t="s">
        <v>352</v>
      </c>
      <c r="AH935" s="150" t="s">
        <v>2564</v>
      </c>
      <c r="AI935" s="99"/>
      <c r="AJ935" s="149">
        <v>0</v>
      </c>
      <c r="AK935" s="99">
        <v>0</v>
      </c>
      <c r="AL935" s="149">
        <v>0</v>
      </c>
      <c r="AM935" s="99">
        <v>0</v>
      </c>
      <c r="AN935" s="149">
        <v>0</v>
      </c>
      <c r="AO935" s="149">
        <v>0</v>
      </c>
      <c r="AP935" s="149">
        <v>0</v>
      </c>
      <c r="AQ935" s="149">
        <v>0</v>
      </c>
      <c r="AR935" s="149">
        <v>0</v>
      </c>
      <c r="AS935" s="149">
        <v>0</v>
      </c>
      <c r="AT935" s="149">
        <v>8</v>
      </c>
      <c r="AU935" s="149">
        <v>0</v>
      </c>
      <c r="AV935" s="149">
        <v>0</v>
      </c>
      <c r="AW935" s="149">
        <v>0</v>
      </c>
      <c r="AX935" s="149">
        <v>0</v>
      </c>
      <c r="AY935" s="149">
        <v>0</v>
      </c>
      <c r="AZ935" s="149">
        <v>0</v>
      </c>
      <c r="BA935" s="149">
        <v>8</v>
      </c>
      <c r="BB935" s="149">
        <v>0</v>
      </c>
      <c r="BC935" s="149">
        <v>0</v>
      </c>
      <c r="BD935" s="149">
        <v>0</v>
      </c>
      <c r="BE935" s="149">
        <v>0</v>
      </c>
      <c r="BF935" s="149">
        <v>0</v>
      </c>
      <c r="BG935" s="149">
        <v>0</v>
      </c>
      <c r="BH935" s="149">
        <v>0</v>
      </c>
      <c r="BI935" s="149">
        <v>0</v>
      </c>
      <c r="BJ935" s="149">
        <v>0</v>
      </c>
      <c r="BK935" s="149">
        <v>0</v>
      </c>
      <c r="BL935" s="149">
        <v>0</v>
      </c>
      <c r="BM935" s="149">
        <v>0</v>
      </c>
      <c r="BN935" s="149">
        <v>0</v>
      </c>
      <c r="BO935" s="149">
        <v>0</v>
      </c>
      <c r="BP935" s="136"/>
      <c r="BQ935" s="136" t="s">
        <v>327</v>
      </c>
      <c r="BR935" s="154" t="s">
        <v>149</v>
      </c>
      <c r="BS935" s="136">
        <v>20</v>
      </c>
      <c r="BT935" s="267"/>
      <c r="BU935" s="267"/>
      <c r="BV935" s="267"/>
      <c r="BW935" s="267"/>
      <c r="BX935" s="267">
        <f>M935</f>
        <v>8</v>
      </c>
      <c r="BY935" s="267"/>
      <c r="BZ935" s="267"/>
      <c r="CA935" s="267"/>
      <c r="CB935" s="267"/>
      <c r="CC935" s="267"/>
      <c r="CD935" s="267"/>
      <c r="CE935" s="267"/>
      <c r="CF935" s="267"/>
      <c r="CG935" s="267"/>
      <c r="CH935" s="267"/>
      <c r="CI935" s="267"/>
      <c r="CJ935" s="267"/>
      <c r="CK935" s="267"/>
      <c r="CL935" s="267"/>
      <c r="CM935" s="267"/>
      <c r="CN935" s="101">
        <f t="shared" si="132"/>
        <v>8</v>
      </c>
      <c r="CO935" s="101">
        <f t="shared" si="133"/>
        <v>8</v>
      </c>
    </row>
    <row r="936" spans="1:93" ht="13.9" customHeight="1" x14ac:dyDescent="0.2">
      <c r="A936" s="149">
        <v>4510</v>
      </c>
      <c r="B936" s="150" t="s">
        <v>2522</v>
      </c>
      <c r="C936" s="150"/>
      <c r="D936" s="150" t="s">
        <v>2563</v>
      </c>
      <c r="E936" s="150"/>
      <c r="F936" s="149">
        <v>529218</v>
      </c>
      <c r="G936" s="149">
        <v>177561</v>
      </c>
      <c r="H936" s="150" t="s">
        <v>149</v>
      </c>
      <c r="I936" s="151"/>
      <c r="J936" s="151"/>
      <c r="K936" s="149">
        <v>0</v>
      </c>
      <c r="L936" s="149">
        <v>2</v>
      </c>
      <c r="M936" s="149">
        <v>2</v>
      </c>
      <c r="N936" s="149">
        <v>12</v>
      </c>
      <c r="O936" s="149">
        <v>12</v>
      </c>
      <c r="P936" s="152" t="s">
        <v>327</v>
      </c>
      <c r="Q936" s="150" t="s">
        <v>2524</v>
      </c>
      <c r="R936" s="150" t="s">
        <v>2525</v>
      </c>
      <c r="S936" s="151"/>
      <c r="T936" s="151"/>
      <c r="U936" s="152"/>
      <c r="V936" s="150" t="s">
        <v>330</v>
      </c>
      <c r="W936" s="151"/>
      <c r="X936" s="150" t="s">
        <v>331</v>
      </c>
      <c r="Y936" s="150" t="s">
        <v>398</v>
      </c>
      <c r="Z936" s="150" t="s">
        <v>343</v>
      </c>
      <c r="AA936" s="150" t="s">
        <v>334</v>
      </c>
      <c r="AB936" s="153">
        <v>0</v>
      </c>
      <c r="AC936" s="151"/>
      <c r="AD936" s="150"/>
      <c r="AE936" s="151"/>
      <c r="AF936" s="150" t="s">
        <v>48</v>
      </c>
      <c r="AG936" s="152" t="s">
        <v>992</v>
      </c>
      <c r="AH936" s="150" t="s">
        <v>2564</v>
      </c>
      <c r="AI936" s="99"/>
      <c r="AJ936" s="149">
        <v>0</v>
      </c>
      <c r="AK936" s="99">
        <v>0</v>
      </c>
      <c r="AL936" s="149">
        <v>0</v>
      </c>
      <c r="AM936" s="99">
        <v>0</v>
      </c>
      <c r="AN936" s="149">
        <v>0</v>
      </c>
      <c r="AO936" s="149">
        <v>0</v>
      </c>
      <c r="AP936" s="149">
        <v>0</v>
      </c>
      <c r="AQ936" s="149">
        <v>0</v>
      </c>
      <c r="AR936" s="149">
        <v>0</v>
      </c>
      <c r="AS936" s="149">
        <v>0</v>
      </c>
      <c r="AT936" s="149">
        <v>2</v>
      </c>
      <c r="AU936" s="149">
        <v>0</v>
      </c>
      <c r="AV936" s="149">
        <v>0</v>
      </c>
      <c r="AW936" s="149">
        <v>0</v>
      </c>
      <c r="AX936" s="149">
        <v>0</v>
      </c>
      <c r="AY936" s="149">
        <v>0</v>
      </c>
      <c r="AZ936" s="149">
        <v>0</v>
      </c>
      <c r="BA936" s="149">
        <v>2</v>
      </c>
      <c r="BB936" s="149">
        <v>0</v>
      </c>
      <c r="BC936" s="149">
        <v>0</v>
      </c>
      <c r="BD936" s="149">
        <v>0</v>
      </c>
      <c r="BE936" s="149">
        <v>0</v>
      </c>
      <c r="BF936" s="149">
        <v>0</v>
      </c>
      <c r="BG936" s="149">
        <v>0</v>
      </c>
      <c r="BH936" s="149">
        <v>0</v>
      </c>
      <c r="BI936" s="149">
        <v>0</v>
      </c>
      <c r="BJ936" s="149">
        <v>0</v>
      </c>
      <c r="BK936" s="149">
        <v>0</v>
      </c>
      <c r="BL936" s="149">
        <v>0</v>
      </c>
      <c r="BM936" s="149">
        <v>0</v>
      </c>
      <c r="BN936" s="149">
        <v>0</v>
      </c>
      <c r="BO936" s="149">
        <v>0</v>
      </c>
      <c r="BP936" s="136"/>
      <c r="BQ936" s="136" t="s">
        <v>327</v>
      </c>
      <c r="BR936" s="154" t="s">
        <v>149</v>
      </c>
      <c r="BS936" s="136">
        <v>20</v>
      </c>
      <c r="BT936" s="267"/>
      <c r="BU936" s="267"/>
      <c r="BV936" s="267"/>
      <c r="BW936" s="267"/>
      <c r="BX936" s="267">
        <f>M936</f>
        <v>2</v>
      </c>
      <c r="BY936" s="267"/>
      <c r="BZ936" s="267"/>
      <c r="CA936" s="267"/>
      <c r="CB936" s="267"/>
      <c r="CC936" s="267"/>
      <c r="CD936" s="267"/>
      <c r="CE936" s="267"/>
      <c r="CF936" s="267"/>
      <c r="CG936" s="267"/>
      <c r="CH936" s="267"/>
      <c r="CI936" s="267"/>
      <c r="CJ936" s="267"/>
      <c r="CK936" s="267"/>
      <c r="CL936" s="267"/>
      <c r="CM936" s="267"/>
      <c r="CN936" s="101">
        <f t="shared" si="132"/>
        <v>2</v>
      </c>
      <c r="CO936" s="101">
        <f t="shared" si="133"/>
        <v>2</v>
      </c>
    </row>
    <row r="937" spans="1:93" ht="13.9" customHeight="1" x14ac:dyDescent="0.2">
      <c r="A937" s="149">
        <v>4510</v>
      </c>
      <c r="B937" s="150" t="s">
        <v>2522</v>
      </c>
      <c r="C937" s="150"/>
      <c r="D937" s="150" t="s">
        <v>2563</v>
      </c>
      <c r="E937" s="150"/>
      <c r="F937" s="149">
        <v>529218</v>
      </c>
      <c r="G937" s="149">
        <v>177561</v>
      </c>
      <c r="H937" s="150" t="s">
        <v>149</v>
      </c>
      <c r="I937" s="151"/>
      <c r="J937" s="151"/>
      <c r="K937" s="149">
        <v>0</v>
      </c>
      <c r="L937" s="149">
        <v>2</v>
      </c>
      <c r="M937" s="149">
        <v>2</v>
      </c>
      <c r="N937" s="149">
        <v>12</v>
      </c>
      <c r="O937" s="149">
        <v>12</v>
      </c>
      <c r="P937" s="152" t="s">
        <v>327</v>
      </c>
      <c r="Q937" s="150" t="s">
        <v>2524</v>
      </c>
      <c r="R937" s="150" t="s">
        <v>2525</v>
      </c>
      <c r="S937" s="151"/>
      <c r="T937" s="151"/>
      <c r="U937" s="152"/>
      <c r="V937" s="150" t="s">
        <v>330</v>
      </c>
      <c r="W937" s="151"/>
      <c r="X937" s="150" t="s">
        <v>331</v>
      </c>
      <c r="Y937" s="150" t="s">
        <v>398</v>
      </c>
      <c r="Z937" s="150" t="s">
        <v>343</v>
      </c>
      <c r="AA937" s="150" t="s">
        <v>334</v>
      </c>
      <c r="AB937" s="153">
        <v>0</v>
      </c>
      <c r="AC937" s="151"/>
      <c r="AD937" s="150"/>
      <c r="AE937" s="151"/>
      <c r="AF937" s="150" t="s">
        <v>49</v>
      </c>
      <c r="AG937" s="152" t="s">
        <v>470</v>
      </c>
      <c r="AH937" s="150" t="s">
        <v>2564</v>
      </c>
      <c r="AI937" s="99"/>
      <c r="AJ937" s="149">
        <v>0</v>
      </c>
      <c r="AK937" s="99">
        <v>0</v>
      </c>
      <c r="AL937" s="149">
        <v>0</v>
      </c>
      <c r="AM937" s="99">
        <v>0</v>
      </c>
      <c r="AN937" s="149">
        <v>0</v>
      </c>
      <c r="AO937" s="149">
        <v>0</v>
      </c>
      <c r="AP937" s="149">
        <v>0</v>
      </c>
      <c r="AQ937" s="149">
        <v>0</v>
      </c>
      <c r="AR937" s="149">
        <v>0</v>
      </c>
      <c r="AS937" s="149">
        <v>0</v>
      </c>
      <c r="AT937" s="149">
        <v>2</v>
      </c>
      <c r="AU937" s="149">
        <v>0</v>
      </c>
      <c r="AV937" s="149">
        <v>0</v>
      </c>
      <c r="AW937" s="149">
        <v>0</v>
      </c>
      <c r="AX937" s="149">
        <v>0</v>
      </c>
      <c r="AY937" s="149">
        <v>0</v>
      </c>
      <c r="AZ937" s="149">
        <v>0</v>
      </c>
      <c r="BA937" s="149">
        <v>2</v>
      </c>
      <c r="BB937" s="149">
        <v>0</v>
      </c>
      <c r="BC937" s="149">
        <v>0</v>
      </c>
      <c r="BD937" s="149">
        <v>0</v>
      </c>
      <c r="BE937" s="149">
        <v>0</v>
      </c>
      <c r="BF937" s="149">
        <v>0</v>
      </c>
      <c r="BG937" s="149">
        <v>0</v>
      </c>
      <c r="BH937" s="149">
        <v>0</v>
      </c>
      <c r="BI937" s="149">
        <v>0</v>
      </c>
      <c r="BJ937" s="149">
        <v>0</v>
      </c>
      <c r="BK937" s="149">
        <v>0</v>
      </c>
      <c r="BL937" s="149">
        <v>0</v>
      </c>
      <c r="BM937" s="149">
        <v>0</v>
      </c>
      <c r="BN937" s="149">
        <v>0</v>
      </c>
      <c r="BO937" s="149">
        <v>0</v>
      </c>
      <c r="BP937" s="136"/>
      <c r="BQ937" s="136" t="s">
        <v>327</v>
      </c>
      <c r="BR937" s="154" t="s">
        <v>149</v>
      </c>
      <c r="BS937" s="136">
        <v>20</v>
      </c>
      <c r="BT937" s="267"/>
      <c r="BU937" s="267"/>
      <c r="BV937" s="267"/>
      <c r="BW937" s="267"/>
      <c r="BX937" s="267">
        <f>M937</f>
        <v>2</v>
      </c>
      <c r="BY937" s="267"/>
      <c r="BZ937" s="267"/>
      <c r="CA937" s="267"/>
      <c r="CB937" s="267"/>
      <c r="CC937" s="267"/>
      <c r="CD937" s="267"/>
      <c r="CE937" s="267"/>
      <c r="CF937" s="267"/>
      <c r="CG937" s="267"/>
      <c r="CH937" s="267"/>
      <c r="CI937" s="267"/>
      <c r="CJ937" s="267"/>
      <c r="CK937" s="267"/>
      <c r="CL937" s="267"/>
      <c r="CM937" s="267"/>
      <c r="CN937" s="101">
        <f t="shared" si="132"/>
        <v>2</v>
      </c>
      <c r="CO937" s="101">
        <f t="shared" si="133"/>
        <v>2</v>
      </c>
    </row>
    <row r="938" spans="1:93" ht="13.9" customHeight="1" x14ac:dyDescent="0.2">
      <c r="A938" s="149">
        <v>6904</v>
      </c>
      <c r="B938" s="150" t="s">
        <v>2522</v>
      </c>
      <c r="C938" s="150"/>
      <c r="D938" s="150" t="s">
        <v>2565</v>
      </c>
      <c r="E938" s="150"/>
      <c r="F938" s="149">
        <v>525354</v>
      </c>
      <c r="G938" s="149">
        <v>174734</v>
      </c>
      <c r="H938" s="150" t="s">
        <v>177</v>
      </c>
      <c r="I938" s="151"/>
      <c r="J938" s="151"/>
      <c r="K938" s="149">
        <v>0</v>
      </c>
      <c r="L938" s="149">
        <v>7</v>
      </c>
      <c r="M938" s="149">
        <v>7</v>
      </c>
      <c r="N938" s="149">
        <v>11</v>
      </c>
      <c r="O938" s="149">
        <v>11</v>
      </c>
      <c r="P938" s="152" t="s">
        <v>327</v>
      </c>
      <c r="Q938" s="150" t="s">
        <v>2524</v>
      </c>
      <c r="R938" s="150" t="s">
        <v>2525</v>
      </c>
      <c r="S938" s="151"/>
      <c r="T938" s="151"/>
      <c r="U938" s="152"/>
      <c r="V938" s="150" t="s">
        <v>330</v>
      </c>
      <c r="W938" s="151"/>
      <c r="X938" s="150" t="s">
        <v>331</v>
      </c>
      <c r="Y938" s="150" t="s">
        <v>343</v>
      </c>
      <c r="Z938" s="150" t="s">
        <v>343</v>
      </c>
      <c r="AA938" s="150" t="s">
        <v>334</v>
      </c>
      <c r="AB938" s="153">
        <v>0</v>
      </c>
      <c r="AC938" s="151"/>
      <c r="AD938" s="150"/>
      <c r="AE938" s="151"/>
      <c r="AF938" s="150" t="s">
        <v>70</v>
      </c>
      <c r="AG938" s="152" t="s">
        <v>352</v>
      </c>
      <c r="AH938" s="150" t="s">
        <v>2566</v>
      </c>
      <c r="AI938" s="99"/>
      <c r="AJ938" s="149">
        <v>0</v>
      </c>
      <c r="AK938" s="99">
        <v>0</v>
      </c>
      <c r="AL938" s="149">
        <v>0</v>
      </c>
      <c r="AM938" s="99">
        <v>0</v>
      </c>
      <c r="AN938" s="149">
        <v>0</v>
      </c>
      <c r="AO938" s="149">
        <v>0</v>
      </c>
      <c r="AP938" s="149">
        <v>0</v>
      </c>
      <c r="AQ938" s="149">
        <v>0</v>
      </c>
      <c r="AR938" s="149">
        <v>0</v>
      </c>
      <c r="AS938" s="149">
        <v>0</v>
      </c>
      <c r="AT938" s="149">
        <v>7</v>
      </c>
      <c r="AU938" s="149">
        <v>0</v>
      </c>
      <c r="AV938" s="149">
        <v>0</v>
      </c>
      <c r="AW938" s="149">
        <v>0</v>
      </c>
      <c r="AX938" s="149">
        <v>0</v>
      </c>
      <c r="AY938" s="149">
        <v>0</v>
      </c>
      <c r="AZ938" s="149">
        <v>0</v>
      </c>
      <c r="BA938" s="149">
        <v>7</v>
      </c>
      <c r="BB938" s="149">
        <v>0</v>
      </c>
      <c r="BC938" s="149">
        <v>0</v>
      </c>
      <c r="BD938" s="149">
        <v>0</v>
      </c>
      <c r="BE938" s="149">
        <v>0</v>
      </c>
      <c r="BF938" s="149">
        <v>0</v>
      </c>
      <c r="BG938" s="149">
        <v>0</v>
      </c>
      <c r="BH938" s="149">
        <v>0</v>
      </c>
      <c r="BI938" s="149">
        <v>0</v>
      </c>
      <c r="BJ938" s="149">
        <v>0</v>
      </c>
      <c r="BK938" s="149">
        <v>0</v>
      </c>
      <c r="BL938" s="149">
        <v>0</v>
      </c>
      <c r="BM938" s="149">
        <v>0</v>
      </c>
      <c r="BN938" s="149">
        <v>0</v>
      </c>
      <c r="BO938" s="149">
        <v>0</v>
      </c>
      <c r="BP938" s="136" t="s">
        <v>143</v>
      </c>
      <c r="BQ938" s="136"/>
      <c r="BR938" s="154" t="s">
        <v>463</v>
      </c>
      <c r="BS938" s="136">
        <v>19</v>
      </c>
      <c r="BT938" s="267"/>
      <c r="BU938" s="267"/>
      <c r="BV938" s="267"/>
      <c r="BW938" s="267"/>
      <c r="BX938" s="267"/>
      <c r="BY938" s="267">
        <f>M938/5</f>
        <v>1.4</v>
      </c>
      <c r="BZ938" s="267">
        <f>M938/5</f>
        <v>1.4</v>
      </c>
      <c r="CA938" s="267">
        <f>M938/5</f>
        <v>1.4</v>
      </c>
      <c r="CB938" s="267">
        <f>M938/5</f>
        <v>1.4</v>
      </c>
      <c r="CC938" s="267">
        <f>M938/5</f>
        <v>1.4</v>
      </c>
      <c r="CD938" s="267"/>
      <c r="CE938" s="267"/>
      <c r="CF938" s="267"/>
      <c r="CG938" s="267"/>
      <c r="CH938" s="267"/>
      <c r="CI938" s="267"/>
      <c r="CJ938" s="267"/>
      <c r="CK938" s="267"/>
      <c r="CL938" s="267"/>
      <c r="CM938" s="267"/>
      <c r="CN938" s="101">
        <f t="shared" si="132"/>
        <v>1.4</v>
      </c>
      <c r="CO938" s="101">
        <f t="shared" si="133"/>
        <v>7</v>
      </c>
    </row>
    <row r="939" spans="1:93" ht="13.9" customHeight="1" x14ac:dyDescent="0.2">
      <c r="A939" s="149">
        <v>6904</v>
      </c>
      <c r="B939" s="150" t="s">
        <v>2522</v>
      </c>
      <c r="C939" s="150"/>
      <c r="D939" s="150" t="s">
        <v>2565</v>
      </c>
      <c r="E939" s="150"/>
      <c r="F939" s="149">
        <v>525354</v>
      </c>
      <c r="G939" s="149">
        <v>174734</v>
      </c>
      <c r="H939" s="150" t="s">
        <v>177</v>
      </c>
      <c r="I939" s="151"/>
      <c r="J939" s="151"/>
      <c r="K939" s="149">
        <v>0</v>
      </c>
      <c r="L939" s="149">
        <v>2</v>
      </c>
      <c r="M939" s="149">
        <v>2</v>
      </c>
      <c r="N939" s="149">
        <v>11</v>
      </c>
      <c r="O939" s="149">
        <v>11</v>
      </c>
      <c r="P939" s="152" t="s">
        <v>327</v>
      </c>
      <c r="Q939" s="150" t="s">
        <v>2524</v>
      </c>
      <c r="R939" s="150" t="s">
        <v>2525</v>
      </c>
      <c r="S939" s="151"/>
      <c r="T939" s="151"/>
      <c r="U939" s="152"/>
      <c r="V939" s="150" t="s">
        <v>330</v>
      </c>
      <c r="W939" s="151"/>
      <c r="X939" s="150" t="s">
        <v>331</v>
      </c>
      <c r="Y939" s="150" t="s">
        <v>343</v>
      </c>
      <c r="Z939" s="150" t="s">
        <v>343</v>
      </c>
      <c r="AA939" s="150" t="s">
        <v>334</v>
      </c>
      <c r="AB939" s="153">
        <v>0</v>
      </c>
      <c r="AC939" s="151"/>
      <c r="AD939" s="150"/>
      <c r="AE939" s="151"/>
      <c r="AF939" s="150" t="s">
        <v>49</v>
      </c>
      <c r="AG939" s="152" t="s">
        <v>470</v>
      </c>
      <c r="AH939" s="150" t="s">
        <v>2566</v>
      </c>
      <c r="AI939" s="99"/>
      <c r="AJ939" s="149">
        <v>0</v>
      </c>
      <c r="AK939" s="99">
        <v>0</v>
      </c>
      <c r="AL939" s="149">
        <v>0</v>
      </c>
      <c r="AM939" s="99">
        <v>0</v>
      </c>
      <c r="AN939" s="149">
        <v>0</v>
      </c>
      <c r="AO939" s="149">
        <v>0</v>
      </c>
      <c r="AP939" s="149">
        <v>0</v>
      </c>
      <c r="AQ939" s="149">
        <v>0</v>
      </c>
      <c r="AR939" s="149">
        <v>0</v>
      </c>
      <c r="AS939" s="149">
        <v>0</v>
      </c>
      <c r="AT939" s="149">
        <v>2</v>
      </c>
      <c r="AU939" s="149">
        <v>0</v>
      </c>
      <c r="AV939" s="149">
        <v>0</v>
      </c>
      <c r="AW939" s="149">
        <v>0</v>
      </c>
      <c r="AX939" s="149">
        <v>0</v>
      </c>
      <c r="AY939" s="149">
        <v>0</v>
      </c>
      <c r="AZ939" s="149">
        <v>0</v>
      </c>
      <c r="BA939" s="149">
        <v>2</v>
      </c>
      <c r="BB939" s="149">
        <v>0</v>
      </c>
      <c r="BC939" s="149">
        <v>0</v>
      </c>
      <c r="BD939" s="149">
        <v>0</v>
      </c>
      <c r="BE939" s="149">
        <v>0</v>
      </c>
      <c r="BF939" s="149">
        <v>0</v>
      </c>
      <c r="BG939" s="149">
        <v>0</v>
      </c>
      <c r="BH939" s="149">
        <v>0</v>
      </c>
      <c r="BI939" s="149">
        <v>0</v>
      </c>
      <c r="BJ939" s="149">
        <v>0</v>
      </c>
      <c r="BK939" s="149">
        <v>0</v>
      </c>
      <c r="BL939" s="149">
        <v>0</v>
      </c>
      <c r="BM939" s="149">
        <v>0</v>
      </c>
      <c r="BN939" s="149">
        <v>0</v>
      </c>
      <c r="BO939" s="149">
        <v>0</v>
      </c>
      <c r="BP939" s="136" t="s">
        <v>143</v>
      </c>
      <c r="BQ939" s="136"/>
      <c r="BR939" s="154" t="s">
        <v>463</v>
      </c>
      <c r="BS939" s="136">
        <v>19</v>
      </c>
      <c r="BT939" s="267"/>
      <c r="BU939" s="267"/>
      <c r="BV939" s="267"/>
      <c r="BW939" s="267"/>
      <c r="BX939" s="267"/>
      <c r="BY939" s="267">
        <f>M939/5</f>
        <v>0.4</v>
      </c>
      <c r="BZ939" s="267">
        <f>M939/5</f>
        <v>0.4</v>
      </c>
      <c r="CA939" s="267">
        <f>M939/5</f>
        <v>0.4</v>
      </c>
      <c r="CB939" s="267">
        <f>M939/5</f>
        <v>0.4</v>
      </c>
      <c r="CC939" s="267">
        <f>M939/5</f>
        <v>0.4</v>
      </c>
      <c r="CD939" s="267"/>
      <c r="CE939" s="267"/>
      <c r="CF939" s="267"/>
      <c r="CG939" s="267"/>
      <c r="CH939" s="267"/>
      <c r="CI939" s="267"/>
      <c r="CJ939" s="267"/>
      <c r="CK939" s="267"/>
      <c r="CL939" s="267"/>
      <c r="CM939" s="267"/>
      <c r="CN939" s="101">
        <f t="shared" si="132"/>
        <v>0.4</v>
      </c>
      <c r="CO939" s="101">
        <f t="shared" si="133"/>
        <v>2</v>
      </c>
    </row>
    <row r="940" spans="1:93" ht="13.9" customHeight="1" x14ac:dyDescent="0.2">
      <c r="A940" s="149">
        <v>6904</v>
      </c>
      <c r="B940" s="150" t="s">
        <v>2522</v>
      </c>
      <c r="C940" s="150"/>
      <c r="D940" s="150" t="s">
        <v>2565</v>
      </c>
      <c r="E940" s="150"/>
      <c r="F940" s="149">
        <v>525354</v>
      </c>
      <c r="G940" s="149">
        <v>174734</v>
      </c>
      <c r="H940" s="150" t="s">
        <v>177</v>
      </c>
      <c r="I940" s="151"/>
      <c r="J940" s="151"/>
      <c r="K940" s="149">
        <v>0</v>
      </c>
      <c r="L940" s="149">
        <v>2</v>
      </c>
      <c r="M940" s="149">
        <v>2</v>
      </c>
      <c r="N940" s="149">
        <v>11</v>
      </c>
      <c r="O940" s="149">
        <v>11</v>
      </c>
      <c r="P940" s="152" t="s">
        <v>327</v>
      </c>
      <c r="Q940" s="150" t="s">
        <v>2524</v>
      </c>
      <c r="R940" s="150" t="s">
        <v>2525</v>
      </c>
      <c r="S940" s="151"/>
      <c r="T940" s="151"/>
      <c r="U940" s="152"/>
      <c r="V940" s="150" t="s">
        <v>330</v>
      </c>
      <c r="W940" s="151"/>
      <c r="X940" s="150" t="s">
        <v>331</v>
      </c>
      <c r="Y940" s="150" t="s">
        <v>343</v>
      </c>
      <c r="Z940" s="150" t="s">
        <v>343</v>
      </c>
      <c r="AA940" s="150" t="s">
        <v>334</v>
      </c>
      <c r="AB940" s="153">
        <v>0</v>
      </c>
      <c r="AC940" s="151"/>
      <c r="AD940" s="150"/>
      <c r="AE940" s="151"/>
      <c r="AF940" s="150" t="s">
        <v>48</v>
      </c>
      <c r="AG940" s="152" t="s">
        <v>992</v>
      </c>
      <c r="AH940" s="150" t="s">
        <v>2566</v>
      </c>
      <c r="AI940" s="99"/>
      <c r="AJ940" s="149">
        <v>0</v>
      </c>
      <c r="AK940" s="99">
        <v>0</v>
      </c>
      <c r="AL940" s="149">
        <v>0</v>
      </c>
      <c r="AM940" s="99">
        <v>0</v>
      </c>
      <c r="AN940" s="149">
        <v>0</v>
      </c>
      <c r="AO940" s="149">
        <v>0</v>
      </c>
      <c r="AP940" s="149">
        <v>0</v>
      </c>
      <c r="AQ940" s="149">
        <v>0</v>
      </c>
      <c r="AR940" s="149">
        <v>0</v>
      </c>
      <c r="AS940" s="149">
        <v>0</v>
      </c>
      <c r="AT940" s="149">
        <v>2</v>
      </c>
      <c r="AU940" s="149">
        <v>0</v>
      </c>
      <c r="AV940" s="149">
        <v>0</v>
      </c>
      <c r="AW940" s="149">
        <v>0</v>
      </c>
      <c r="AX940" s="149">
        <v>0</v>
      </c>
      <c r="AY940" s="149">
        <v>0</v>
      </c>
      <c r="AZ940" s="149">
        <v>0</v>
      </c>
      <c r="BA940" s="149">
        <v>2</v>
      </c>
      <c r="BB940" s="149">
        <v>0</v>
      </c>
      <c r="BC940" s="149">
        <v>0</v>
      </c>
      <c r="BD940" s="149">
        <v>0</v>
      </c>
      <c r="BE940" s="149">
        <v>0</v>
      </c>
      <c r="BF940" s="149">
        <v>0</v>
      </c>
      <c r="BG940" s="149">
        <v>0</v>
      </c>
      <c r="BH940" s="149">
        <v>0</v>
      </c>
      <c r="BI940" s="149">
        <v>0</v>
      </c>
      <c r="BJ940" s="149">
        <v>0</v>
      </c>
      <c r="BK940" s="149">
        <v>0</v>
      </c>
      <c r="BL940" s="149">
        <v>0</v>
      </c>
      <c r="BM940" s="149">
        <v>0</v>
      </c>
      <c r="BN940" s="149">
        <v>0</v>
      </c>
      <c r="BO940" s="149">
        <v>0</v>
      </c>
      <c r="BP940" s="136" t="s">
        <v>143</v>
      </c>
      <c r="BQ940" s="136"/>
      <c r="BR940" s="154" t="s">
        <v>463</v>
      </c>
      <c r="BS940" s="136">
        <v>19</v>
      </c>
      <c r="BT940" s="267"/>
      <c r="BU940" s="267"/>
      <c r="BV940" s="267"/>
      <c r="BW940" s="267"/>
      <c r="BX940" s="267"/>
      <c r="BY940" s="267">
        <f>M940/5</f>
        <v>0.4</v>
      </c>
      <c r="BZ940" s="267">
        <f>M940/5</f>
        <v>0.4</v>
      </c>
      <c r="CA940" s="267">
        <f>M940/5</f>
        <v>0.4</v>
      </c>
      <c r="CB940" s="267">
        <f>M940/5</f>
        <v>0.4</v>
      </c>
      <c r="CC940" s="267">
        <f>M940/5</f>
        <v>0.4</v>
      </c>
      <c r="CD940" s="267"/>
      <c r="CE940" s="267"/>
      <c r="CF940" s="267"/>
      <c r="CG940" s="267"/>
      <c r="CH940" s="267"/>
      <c r="CI940" s="267"/>
      <c r="CJ940" s="267"/>
      <c r="CK940" s="267"/>
      <c r="CL940" s="267"/>
      <c r="CM940" s="267"/>
      <c r="CN940" s="101">
        <f t="shared" si="132"/>
        <v>0.4</v>
      </c>
      <c r="CO940" s="101">
        <f t="shared" si="133"/>
        <v>2</v>
      </c>
    </row>
    <row r="941" spans="1:93" ht="13.9" customHeight="1" x14ac:dyDescent="0.2">
      <c r="A941" s="149">
        <v>7573</v>
      </c>
      <c r="B941" s="150" t="s">
        <v>2522</v>
      </c>
      <c r="C941" s="150"/>
      <c r="D941" s="150" t="s">
        <v>2567</v>
      </c>
      <c r="E941" s="150"/>
      <c r="F941" s="149">
        <v>527299.08160000003</v>
      </c>
      <c r="G941" s="149">
        <v>175481.82680000001</v>
      </c>
      <c r="H941" s="150" t="s">
        <v>162</v>
      </c>
      <c r="I941" s="151"/>
      <c r="J941" s="151"/>
      <c r="K941" s="149">
        <v>0</v>
      </c>
      <c r="L941" s="149">
        <v>131</v>
      </c>
      <c r="M941" s="149">
        <v>131</v>
      </c>
      <c r="N941" s="149">
        <v>202</v>
      </c>
      <c r="O941" s="149">
        <v>202</v>
      </c>
      <c r="P941" s="152" t="s">
        <v>327</v>
      </c>
      <c r="Q941" s="150" t="s">
        <v>2524</v>
      </c>
      <c r="R941" s="150" t="s">
        <v>2525</v>
      </c>
      <c r="S941" s="151"/>
      <c r="T941" s="151"/>
      <c r="U941" s="152"/>
      <c r="V941" s="150" t="s">
        <v>330</v>
      </c>
      <c r="W941" s="151"/>
      <c r="X941" s="150" t="s">
        <v>331</v>
      </c>
      <c r="Y941" s="150" t="s">
        <v>343</v>
      </c>
      <c r="Z941" s="150" t="s">
        <v>343</v>
      </c>
      <c r="AA941" s="150" t="s">
        <v>334</v>
      </c>
      <c r="AB941" s="153">
        <v>0</v>
      </c>
      <c r="AC941" s="151"/>
      <c r="AD941" s="150"/>
      <c r="AE941" s="151"/>
      <c r="AF941" s="150" t="s">
        <v>70</v>
      </c>
      <c r="AG941" s="152" t="s">
        <v>352</v>
      </c>
      <c r="AH941" s="150" t="s">
        <v>2568</v>
      </c>
      <c r="AI941" s="99"/>
      <c r="AJ941" s="149">
        <v>0</v>
      </c>
      <c r="AK941" s="99">
        <v>0</v>
      </c>
      <c r="AL941" s="149">
        <v>0</v>
      </c>
      <c r="AM941" s="99">
        <v>0</v>
      </c>
      <c r="AN941" s="149">
        <v>0</v>
      </c>
      <c r="AO941" s="149">
        <v>0</v>
      </c>
      <c r="AP941" s="149">
        <v>0</v>
      </c>
      <c r="AQ941" s="149">
        <v>0</v>
      </c>
      <c r="AR941" s="149">
        <v>0</v>
      </c>
      <c r="AS941" s="149">
        <v>0</v>
      </c>
      <c r="AT941" s="149">
        <v>131</v>
      </c>
      <c r="AU941" s="149">
        <v>0</v>
      </c>
      <c r="AV941" s="149">
        <v>0</v>
      </c>
      <c r="AW941" s="149">
        <v>0</v>
      </c>
      <c r="AX941" s="149">
        <v>0</v>
      </c>
      <c r="AY941" s="149">
        <v>0</v>
      </c>
      <c r="AZ941" s="149">
        <v>0</v>
      </c>
      <c r="BA941" s="149">
        <v>131</v>
      </c>
      <c r="BB941" s="149">
        <v>0</v>
      </c>
      <c r="BC941" s="149">
        <v>0</v>
      </c>
      <c r="BD941" s="149">
        <v>0</v>
      </c>
      <c r="BE941" s="149">
        <v>0</v>
      </c>
      <c r="BF941" s="149">
        <v>0</v>
      </c>
      <c r="BG941" s="149">
        <v>0</v>
      </c>
      <c r="BH941" s="149">
        <v>0</v>
      </c>
      <c r="BI941" s="149">
        <v>0</v>
      </c>
      <c r="BJ941" s="149">
        <v>0</v>
      </c>
      <c r="BK941" s="149">
        <v>0</v>
      </c>
      <c r="BL941" s="149">
        <v>0</v>
      </c>
      <c r="BM941" s="149">
        <v>0</v>
      </c>
      <c r="BN941" s="149">
        <v>0</v>
      </c>
      <c r="BO941" s="149">
        <v>0</v>
      </c>
      <c r="BP941" s="136" t="s">
        <v>140</v>
      </c>
      <c r="BQ941" s="136"/>
      <c r="BR941" s="154" t="s">
        <v>148</v>
      </c>
      <c r="BS941" s="136">
        <v>19</v>
      </c>
      <c r="BT941" s="267"/>
      <c r="BU941" s="267"/>
      <c r="BV941" s="267"/>
      <c r="BW941" s="267"/>
      <c r="BX941" s="267"/>
      <c r="BY941" s="267">
        <f>M941/10</f>
        <v>13.1</v>
      </c>
      <c r="BZ941" s="267">
        <f>M941/10</f>
        <v>13.1</v>
      </c>
      <c r="CA941" s="267">
        <f>M941/10</f>
        <v>13.1</v>
      </c>
      <c r="CB941" s="267">
        <f>M941/10</f>
        <v>13.1</v>
      </c>
      <c r="CC941" s="267">
        <f>M941/10</f>
        <v>13.1</v>
      </c>
      <c r="CD941" s="267">
        <f>M941/10</f>
        <v>13.1</v>
      </c>
      <c r="CE941" s="267">
        <f>M941/10</f>
        <v>13.1</v>
      </c>
      <c r="CF941" s="267">
        <f>M941/10</f>
        <v>13.1</v>
      </c>
      <c r="CG941" s="267">
        <f>M941/10</f>
        <v>13.1</v>
      </c>
      <c r="CH941" s="267">
        <f>M941/10</f>
        <v>13.1</v>
      </c>
      <c r="CI941" s="267"/>
      <c r="CJ941" s="267"/>
      <c r="CK941" s="267"/>
      <c r="CL941" s="267"/>
      <c r="CM941" s="267"/>
      <c r="CN941" s="101">
        <f t="shared" si="132"/>
        <v>13.1</v>
      </c>
      <c r="CO941" s="101">
        <f t="shared" si="133"/>
        <v>78.599999999999994</v>
      </c>
    </row>
    <row r="942" spans="1:93" ht="13.9" customHeight="1" x14ac:dyDescent="0.2">
      <c r="A942" s="149">
        <v>7573</v>
      </c>
      <c r="B942" s="150" t="s">
        <v>2522</v>
      </c>
      <c r="C942" s="150"/>
      <c r="D942" s="150" t="s">
        <v>2567</v>
      </c>
      <c r="E942" s="150"/>
      <c r="F942" s="149">
        <v>527299.08160000003</v>
      </c>
      <c r="G942" s="149">
        <v>175481.82680000001</v>
      </c>
      <c r="H942" s="150" t="s">
        <v>162</v>
      </c>
      <c r="I942" s="151"/>
      <c r="J942" s="151"/>
      <c r="K942" s="149">
        <v>0</v>
      </c>
      <c r="L942" s="149">
        <v>36</v>
      </c>
      <c r="M942" s="149">
        <v>36</v>
      </c>
      <c r="N942" s="149">
        <v>202</v>
      </c>
      <c r="O942" s="149">
        <v>202</v>
      </c>
      <c r="P942" s="152" t="s">
        <v>327</v>
      </c>
      <c r="Q942" s="150" t="s">
        <v>2524</v>
      </c>
      <c r="R942" s="150" t="s">
        <v>2525</v>
      </c>
      <c r="S942" s="151"/>
      <c r="T942" s="151"/>
      <c r="U942" s="152"/>
      <c r="V942" s="150" t="s">
        <v>330</v>
      </c>
      <c r="W942" s="151"/>
      <c r="X942" s="150" t="s">
        <v>331</v>
      </c>
      <c r="Y942" s="150" t="s">
        <v>343</v>
      </c>
      <c r="Z942" s="150" t="s">
        <v>343</v>
      </c>
      <c r="AA942" s="150" t="s">
        <v>334</v>
      </c>
      <c r="AB942" s="153">
        <v>0</v>
      </c>
      <c r="AC942" s="151"/>
      <c r="AD942" s="150"/>
      <c r="AE942" s="151"/>
      <c r="AF942" s="150" t="s">
        <v>49</v>
      </c>
      <c r="AG942" s="152" t="s">
        <v>470</v>
      </c>
      <c r="AH942" s="150" t="s">
        <v>2568</v>
      </c>
      <c r="AI942" s="99"/>
      <c r="AJ942" s="149">
        <v>0</v>
      </c>
      <c r="AK942" s="99">
        <v>0</v>
      </c>
      <c r="AL942" s="149">
        <v>0</v>
      </c>
      <c r="AM942" s="99">
        <v>0</v>
      </c>
      <c r="AN942" s="149">
        <v>0</v>
      </c>
      <c r="AO942" s="149">
        <v>0</v>
      </c>
      <c r="AP942" s="149">
        <v>0</v>
      </c>
      <c r="AQ942" s="149">
        <v>0</v>
      </c>
      <c r="AR942" s="149">
        <v>0</v>
      </c>
      <c r="AS942" s="149">
        <v>0</v>
      </c>
      <c r="AT942" s="149">
        <v>36</v>
      </c>
      <c r="AU942" s="149">
        <v>0</v>
      </c>
      <c r="AV942" s="149">
        <v>0</v>
      </c>
      <c r="AW942" s="149">
        <v>0</v>
      </c>
      <c r="AX942" s="149">
        <v>0</v>
      </c>
      <c r="AY942" s="149">
        <v>0</v>
      </c>
      <c r="AZ942" s="149">
        <v>0</v>
      </c>
      <c r="BA942" s="149">
        <v>36</v>
      </c>
      <c r="BB942" s="149">
        <v>0</v>
      </c>
      <c r="BC942" s="149">
        <v>0</v>
      </c>
      <c r="BD942" s="149">
        <v>0</v>
      </c>
      <c r="BE942" s="149">
        <v>0</v>
      </c>
      <c r="BF942" s="149">
        <v>0</v>
      </c>
      <c r="BG942" s="149">
        <v>0</v>
      </c>
      <c r="BH942" s="149">
        <v>0</v>
      </c>
      <c r="BI942" s="149">
        <v>0</v>
      </c>
      <c r="BJ942" s="149">
        <v>0</v>
      </c>
      <c r="BK942" s="149">
        <v>0</v>
      </c>
      <c r="BL942" s="149">
        <v>0</v>
      </c>
      <c r="BM942" s="149">
        <v>0</v>
      </c>
      <c r="BN942" s="149">
        <v>0</v>
      </c>
      <c r="BO942" s="149">
        <v>0</v>
      </c>
      <c r="BP942" s="136" t="s">
        <v>140</v>
      </c>
      <c r="BQ942" s="136"/>
      <c r="BR942" s="154" t="s">
        <v>148</v>
      </c>
      <c r="BS942" s="136">
        <v>19</v>
      </c>
      <c r="BT942" s="267"/>
      <c r="BU942" s="267"/>
      <c r="BV942" s="267"/>
      <c r="BW942" s="267"/>
      <c r="BX942" s="267"/>
      <c r="BY942" s="267">
        <f>M942/10</f>
        <v>3.6</v>
      </c>
      <c r="BZ942" s="267">
        <f>M942/10</f>
        <v>3.6</v>
      </c>
      <c r="CA942" s="267">
        <f>M942/10</f>
        <v>3.6</v>
      </c>
      <c r="CB942" s="267">
        <f>M942/10</f>
        <v>3.6</v>
      </c>
      <c r="CC942" s="267">
        <f>M942/10</f>
        <v>3.6</v>
      </c>
      <c r="CD942" s="267">
        <f>M942/10</f>
        <v>3.6</v>
      </c>
      <c r="CE942" s="267">
        <f>M942/10</f>
        <v>3.6</v>
      </c>
      <c r="CF942" s="267">
        <f>M942/10</f>
        <v>3.6</v>
      </c>
      <c r="CG942" s="267">
        <f>M942/10</f>
        <v>3.6</v>
      </c>
      <c r="CH942" s="267">
        <f>M942/10</f>
        <v>3.6</v>
      </c>
      <c r="CI942" s="267"/>
      <c r="CJ942" s="267"/>
      <c r="CK942" s="267"/>
      <c r="CL942" s="267"/>
      <c r="CM942" s="267"/>
      <c r="CN942" s="101">
        <f t="shared" si="132"/>
        <v>3.6</v>
      </c>
      <c r="CO942" s="101">
        <f t="shared" si="133"/>
        <v>21.6</v>
      </c>
    </row>
    <row r="943" spans="1:93" ht="13.9" customHeight="1" x14ac:dyDescent="0.2">
      <c r="A943" s="149">
        <v>7573</v>
      </c>
      <c r="B943" s="150" t="s">
        <v>2522</v>
      </c>
      <c r="C943" s="150"/>
      <c r="D943" s="150" t="s">
        <v>2567</v>
      </c>
      <c r="E943" s="150"/>
      <c r="F943" s="149">
        <v>527299.08160000003</v>
      </c>
      <c r="G943" s="149">
        <v>175481.82680000001</v>
      </c>
      <c r="H943" s="150" t="s">
        <v>162</v>
      </c>
      <c r="I943" s="151"/>
      <c r="J943" s="151"/>
      <c r="K943" s="149">
        <v>0</v>
      </c>
      <c r="L943" s="149">
        <v>35</v>
      </c>
      <c r="M943" s="149">
        <v>35</v>
      </c>
      <c r="N943" s="149">
        <v>202</v>
      </c>
      <c r="O943" s="149">
        <v>202</v>
      </c>
      <c r="P943" s="152" t="s">
        <v>327</v>
      </c>
      <c r="Q943" s="150" t="s">
        <v>2524</v>
      </c>
      <c r="R943" s="150" t="s">
        <v>2525</v>
      </c>
      <c r="S943" s="151"/>
      <c r="T943" s="151"/>
      <c r="U943" s="152"/>
      <c r="V943" s="150" t="s">
        <v>330</v>
      </c>
      <c r="W943" s="151"/>
      <c r="X943" s="150" t="s">
        <v>331</v>
      </c>
      <c r="Y943" s="150" t="s">
        <v>343</v>
      </c>
      <c r="Z943" s="150" t="s">
        <v>343</v>
      </c>
      <c r="AA943" s="150" t="s">
        <v>334</v>
      </c>
      <c r="AB943" s="153">
        <v>0</v>
      </c>
      <c r="AC943" s="151"/>
      <c r="AD943" s="150"/>
      <c r="AE943" s="151"/>
      <c r="AF943" s="150" t="s">
        <v>48</v>
      </c>
      <c r="AG943" s="152" t="s">
        <v>992</v>
      </c>
      <c r="AH943" s="150" t="s">
        <v>2568</v>
      </c>
      <c r="AI943" s="99"/>
      <c r="AJ943" s="149">
        <v>0</v>
      </c>
      <c r="AK943" s="99">
        <v>0</v>
      </c>
      <c r="AL943" s="149">
        <v>0</v>
      </c>
      <c r="AM943" s="99">
        <v>0</v>
      </c>
      <c r="AN943" s="149">
        <v>0</v>
      </c>
      <c r="AO943" s="149">
        <v>0</v>
      </c>
      <c r="AP943" s="149">
        <v>0</v>
      </c>
      <c r="AQ943" s="149">
        <v>0</v>
      </c>
      <c r="AR943" s="149">
        <v>0</v>
      </c>
      <c r="AS943" s="149">
        <v>0</v>
      </c>
      <c r="AT943" s="149">
        <v>35</v>
      </c>
      <c r="AU943" s="149">
        <v>0</v>
      </c>
      <c r="AV943" s="149">
        <v>0</v>
      </c>
      <c r="AW943" s="149">
        <v>0</v>
      </c>
      <c r="AX943" s="149">
        <v>0</v>
      </c>
      <c r="AY943" s="149">
        <v>0</v>
      </c>
      <c r="AZ943" s="149">
        <v>0</v>
      </c>
      <c r="BA943" s="149">
        <v>35</v>
      </c>
      <c r="BB943" s="149">
        <v>0</v>
      </c>
      <c r="BC943" s="149">
        <v>0</v>
      </c>
      <c r="BD943" s="149">
        <v>0</v>
      </c>
      <c r="BE943" s="149">
        <v>0</v>
      </c>
      <c r="BF943" s="149">
        <v>0</v>
      </c>
      <c r="BG943" s="149">
        <v>0</v>
      </c>
      <c r="BH943" s="149">
        <v>0</v>
      </c>
      <c r="BI943" s="149">
        <v>0</v>
      </c>
      <c r="BJ943" s="149">
        <v>0</v>
      </c>
      <c r="BK943" s="149">
        <v>0</v>
      </c>
      <c r="BL943" s="149">
        <v>0</v>
      </c>
      <c r="BM943" s="149">
        <v>0</v>
      </c>
      <c r="BN943" s="149">
        <v>0</v>
      </c>
      <c r="BO943" s="149">
        <v>0</v>
      </c>
      <c r="BP943" s="136" t="s">
        <v>140</v>
      </c>
      <c r="BQ943" s="136"/>
      <c r="BR943" s="154" t="s">
        <v>148</v>
      </c>
      <c r="BS943" s="136">
        <v>19</v>
      </c>
      <c r="BT943" s="267"/>
      <c r="BU943" s="267"/>
      <c r="BV943" s="267"/>
      <c r="BW943" s="267"/>
      <c r="BX943" s="267"/>
      <c r="BY943" s="267">
        <f>M943/10</f>
        <v>3.5</v>
      </c>
      <c r="BZ943" s="267">
        <f>M943/10</f>
        <v>3.5</v>
      </c>
      <c r="CA943" s="267">
        <f>M943/10</f>
        <v>3.5</v>
      </c>
      <c r="CB943" s="267">
        <f>M943/10</f>
        <v>3.5</v>
      </c>
      <c r="CC943" s="267">
        <f>M943/10</f>
        <v>3.5</v>
      </c>
      <c r="CD943" s="267">
        <f>M943/10</f>
        <v>3.5</v>
      </c>
      <c r="CE943" s="267">
        <f>M943/10</f>
        <v>3.5</v>
      </c>
      <c r="CF943" s="267">
        <f>M943/10</f>
        <v>3.5</v>
      </c>
      <c r="CG943" s="267">
        <f>M943/10</f>
        <v>3.5</v>
      </c>
      <c r="CH943" s="267">
        <f>M943/10</f>
        <v>3.5</v>
      </c>
      <c r="CI943" s="267"/>
      <c r="CJ943" s="267"/>
      <c r="CK943" s="267"/>
      <c r="CL943" s="267"/>
      <c r="CM943" s="267"/>
      <c r="CN943" s="101">
        <f t="shared" si="132"/>
        <v>3.5</v>
      </c>
      <c r="CO943" s="101">
        <f t="shared" si="133"/>
        <v>21</v>
      </c>
    </row>
    <row r="944" spans="1:93" ht="13.9" customHeight="1" x14ac:dyDescent="0.2">
      <c r="A944" s="149">
        <v>58</v>
      </c>
      <c r="B944" s="150" t="s">
        <v>2522</v>
      </c>
      <c r="C944" s="150"/>
      <c r="D944" s="150" t="s">
        <v>2569</v>
      </c>
      <c r="E944" s="150"/>
      <c r="F944" s="149">
        <v>528810</v>
      </c>
      <c r="G944" s="149">
        <v>177019</v>
      </c>
      <c r="H944" s="150" t="s">
        <v>149</v>
      </c>
      <c r="I944" s="151"/>
      <c r="J944" s="151"/>
      <c r="K944" s="149">
        <v>0</v>
      </c>
      <c r="L944" s="149">
        <v>2</v>
      </c>
      <c r="M944" s="149">
        <v>2</v>
      </c>
      <c r="N944" s="149">
        <v>2</v>
      </c>
      <c r="O944" s="149">
        <v>2</v>
      </c>
      <c r="P944" s="152"/>
      <c r="Q944" s="150" t="s">
        <v>2524</v>
      </c>
      <c r="R944" s="150" t="s">
        <v>2525</v>
      </c>
      <c r="S944" s="151"/>
      <c r="T944" s="151"/>
      <c r="U944" s="152"/>
      <c r="V944" s="150" t="s">
        <v>330</v>
      </c>
      <c r="W944" s="151"/>
      <c r="X944" s="150" t="s">
        <v>331</v>
      </c>
      <c r="Y944" s="150" t="s">
        <v>343</v>
      </c>
      <c r="Z944" s="150" t="s">
        <v>334</v>
      </c>
      <c r="AA944" s="150" t="s">
        <v>363</v>
      </c>
      <c r="AB944" s="153">
        <v>0</v>
      </c>
      <c r="AC944" s="151"/>
      <c r="AD944" s="150"/>
      <c r="AE944" s="151"/>
      <c r="AF944" s="150" t="s">
        <v>70</v>
      </c>
      <c r="AG944" s="152" t="s">
        <v>352</v>
      </c>
      <c r="AH944" s="150"/>
      <c r="AI944" s="99"/>
      <c r="AJ944" s="149">
        <v>0</v>
      </c>
      <c r="AK944" s="99">
        <v>0</v>
      </c>
      <c r="AL944" s="149">
        <v>0</v>
      </c>
      <c r="AM944" s="99">
        <v>0</v>
      </c>
      <c r="AN944" s="149">
        <v>0</v>
      </c>
      <c r="AO944" s="149">
        <v>0</v>
      </c>
      <c r="AP944" s="149">
        <v>0</v>
      </c>
      <c r="AQ944" s="149">
        <v>0</v>
      </c>
      <c r="AR944" s="149">
        <v>0</v>
      </c>
      <c r="AS944" s="149">
        <v>0</v>
      </c>
      <c r="AT944" s="149">
        <v>2</v>
      </c>
      <c r="AU944" s="149">
        <v>0</v>
      </c>
      <c r="AV944" s="149">
        <v>0</v>
      </c>
      <c r="AW944" s="149">
        <v>0</v>
      </c>
      <c r="AX944" s="149">
        <v>0</v>
      </c>
      <c r="AY944" s="149">
        <v>0</v>
      </c>
      <c r="AZ944" s="149">
        <v>0</v>
      </c>
      <c r="BA944" s="149">
        <v>2</v>
      </c>
      <c r="BB944" s="149">
        <v>0</v>
      </c>
      <c r="BC944" s="149">
        <v>0</v>
      </c>
      <c r="BD944" s="149">
        <v>0</v>
      </c>
      <c r="BE944" s="149">
        <v>0</v>
      </c>
      <c r="BF944" s="149">
        <v>0</v>
      </c>
      <c r="BG944" s="149">
        <v>0</v>
      </c>
      <c r="BH944" s="149">
        <v>0</v>
      </c>
      <c r="BI944" s="149">
        <v>0</v>
      </c>
      <c r="BJ944" s="149">
        <v>0</v>
      </c>
      <c r="BK944" s="149">
        <v>0</v>
      </c>
      <c r="BL944" s="149">
        <v>0</v>
      </c>
      <c r="BM944" s="149">
        <v>0</v>
      </c>
      <c r="BN944" s="149">
        <v>0</v>
      </c>
      <c r="BO944" s="149">
        <v>0</v>
      </c>
      <c r="BP944" s="136"/>
      <c r="BQ944" s="136" t="s">
        <v>327</v>
      </c>
      <c r="BR944" s="154" t="s">
        <v>149</v>
      </c>
      <c r="BS944" s="136">
        <v>20</v>
      </c>
      <c r="BT944" s="267"/>
      <c r="BU944" s="267"/>
      <c r="BV944" s="267"/>
      <c r="BW944" s="267"/>
      <c r="BX944" s="267"/>
      <c r="BY944" s="267"/>
      <c r="BZ944" s="267">
        <f>M944</f>
        <v>2</v>
      </c>
      <c r="CA944" s="267"/>
      <c r="CB944" s="267"/>
      <c r="CC944" s="267"/>
      <c r="CD944" s="267"/>
      <c r="CE944" s="267"/>
      <c r="CF944" s="267"/>
      <c r="CG944" s="267"/>
      <c r="CH944" s="267"/>
      <c r="CI944" s="267"/>
      <c r="CJ944" s="267"/>
      <c r="CK944" s="267"/>
      <c r="CL944" s="267"/>
      <c r="CM944" s="267"/>
      <c r="CN944" s="101">
        <f t="shared" si="132"/>
        <v>0</v>
      </c>
      <c r="CO944" s="101">
        <f t="shared" si="133"/>
        <v>2</v>
      </c>
    </row>
    <row r="945" spans="1:93" ht="13.9" customHeight="1" x14ac:dyDescent="0.2">
      <c r="A945" s="149">
        <v>8056</v>
      </c>
      <c r="B945" s="150" t="s">
        <v>2522</v>
      </c>
      <c r="C945" s="150"/>
      <c r="D945" s="150" t="s">
        <v>2570</v>
      </c>
      <c r="E945" s="150"/>
      <c r="F945" s="149">
        <v>529149</v>
      </c>
      <c r="G945" s="149">
        <v>177464</v>
      </c>
      <c r="H945" s="150" t="s">
        <v>149</v>
      </c>
      <c r="I945" s="151"/>
      <c r="J945" s="151"/>
      <c r="K945" s="149">
        <v>0</v>
      </c>
      <c r="L945" s="149">
        <v>65</v>
      </c>
      <c r="M945" s="149">
        <v>65</v>
      </c>
      <c r="N945" s="149">
        <v>100</v>
      </c>
      <c r="O945" s="149">
        <v>100</v>
      </c>
      <c r="P945" s="152" t="s">
        <v>327</v>
      </c>
      <c r="Q945" s="150" t="s">
        <v>2524</v>
      </c>
      <c r="R945" s="150" t="s">
        <v>2525</v>
      </c>
      <c r="S945" s="151"/>
      <c r="T945" s="151"/>
      <c r="U945" s="152"/>
      <c r="V945" s="150" t="s">
        <v>330</v>
      </c>
      <c r="W945" s="151"/>
      <c r="X945" s="150" t="s">
        <v>331</v>
      </c>
      <c r="Y945" s="150" t="s">
        <v>398</v>
      </c>
      <c r="Z945" s="150" t="s">
        <v>343</v>
      </c>
      <c r="AA945" s="150" t="s">
        <v>334</v>
      </c>
      <c r="AB945" s="153">
        <v>0</v>
      </c>
      <c r="AC945" s="151"/>
      <c r="AD945" s="150"/>
      <c r="AE945" s="151"/>
      <c r="AF945" s="150" t="s">
        <v>70</v>
      </c>
      <c r="AG945" s="152" t="s">
        <v>352</v>
      </c>
      <c r="AH945" s="150" t="s">
        <v>2571</v>
      </c>
      <c r="AI945" s="99"/>
      <c r="AJ945" s="149">
        <v>0</v>
      </c>
      <c r="AK945" s="99">
        <v>0</v>
      </c>
      <c r="AL945" s="149">
        <v>0</v>
      </c>
      <c r="AM945" s="99">
        <v>0</v>
      </c>
      <c r="AN945" s="149">
        <v>0</v>
      </c>
      <c r="AO945" s="149">
        <v>0</v>
      </c>
      <c r="AP945" s="149">
        <v>0</v>
      </c>
      <c r="AQ945" s="149">
        <v>0</v>
      </c>
      <c r="AR945" s="149">
        <v>0</v>
      </c>
      <c r="AS945" s="149">
        <v>0</v>
      </c>
      <c r="AT945" s="149">
        <v>65</v>
      </c>
      <c r="AU945" s="149">
        <v>0</v>
      </c>
      <c r="AV945" s="149">
        <v>0</v>
      </c>
      <c r="AW945" s="149">
        <v>0</v>
      </c>
      <c r="AX945" s="149">
        <v>0</v>
      </c>
      <c r="AY945" s="149">
        <v>0</v>
      </c>
      <c r="AZ945" s="149">
        <v>0</v>
      </c>
      <c r="BA945" s="149">
        <v>65</v>
      </c>
      <c r="BB945" s="149">
        <v>0</v>
      </c>
      <c r="BC945" s="149">
        <v>0</v>
      </c>
      <c r="BD945" s="149">
        <v>0</v>
      </c>
      <c r="BE945" s="149">
        <v>0</v>
      </c>
      <c r="BF945" s="149">
        <v>0</v>
      </c>
      <c r="BG945" s="149">
        <v>0</v>
      </c>
      <c r="BH945" s="149">
        <v>0</v>
      </c>
      <c r="BI945" s="149">
        <v>0</v>
      </c>
      <c r="BJ945" s="149">
        <v>0</v>
      </c>
      <c r="BK945" s="149">
        <v>0</v>
      </c>
      <c r="BL945" s="149">
        <v>0</v>
      </c>
      <c r="BM945" s="149">
        <v>0</v>
      </c>
      <c r="BN945" s="149">
        <v>0</v>
      </c>
      <c r="BO945" s="149">
        <v>0</v>
      </c>
      <c r="BP945" s="136"/>
      <c r="BQ945" s="136" t="s">
        <v>327</v>
      </c>
      <c r="BR945" s="154" t="s">
        <v>149</v>
      </c>
      <c r="BS945" s="136">
        <v>20</v>
      </c>
      <c r="BT945" s="267"/>
      <c r="BU945" s="267"/>
      <c r="BV945" s="267"/>
      <c r="BW945" s="267"/>
      <c r="BX945" s="267"/>
      <c r="BY945" s="267"/>
      <c r="BZ945" s="267">
        <f>M945/3</f>
        <v>21.666666666666668</v>
      </c>
      <c r="CA945" s="267">
        <f>M945/3</f>
        <v>21.666666666666668</v>
      </c>
      <c r="CB945" s="267">
        <f>M945/3</f>
        <v>21.666666666666668</v>
      </c>
      <c r="CC945" s="267"/>
      <c r="CD945" s="267"/>
      <c r="CE945" s="267"/>
      <c r="CF945" s="267"/>
      <c r="CG945" s="267"/>
      <c r="CH945" s="267"/>
      <c r="CI945" s="267"/>
      <c r="CJ945" s="267"/>
      <c r="CK945" s="267"/>
      <c r="CL945" s="267"/>
      <c r="CM945" s="267"/>
      <c r="CN945" s="101">
        <f t="shared" si="132"/>
        <v>0</v>
      </c>
      <c r="CO945" s="101">
        <f t="shared" si="133"/>
        <v>65</v>
      </c>
    </row>
    <row r="946" spans="1:93" ht="13.9" customHeight="1" x14ac:dyDescent="0.2">
      <c r="A946" s="149">
        <v>8056</v>
      </c>
      <c r="B946" s="150" t="s">
        <v>2522</v>
      </c>
      <c r="C946" s="150"/>
      <c r="D946" s="150" t="s">
        <v>2570</v>
      </c>
      <c r="E946" s="150"/>
      <c r="F946" s="149">
        <v>529149</v>
      </c>
      <c r="G946" s="149">
        <v>177464</v>
      </c>
      <c r="H946" s="150" t="s">
        <v>149</v>
      </c>
      <c r="I946" s="151"/>
      <c r="J946" s="151"/>
      <c r="K946" s="149">
        <v>0</v>
      </c>
      <c r="L946" s="149">
        <v>18</v>
      </c>
      <c r="M946" s="149">
        <v>18</v>
      </c>
      <c r="N946" s="149">
        <v>100</v>
      </c>
      <c r="O946" s="149">
        <v>100</v>
      </c>
      <c r="P946" s="152" t="s">
        <v>327</v>
      </c>
      <c r="Q946" s="150" t="s">
        <v>2524</v>
      </c>
      <c r="R946" s="150" t="s">
        <v>2525</v>
      </c>
      <c r="S946" s="151"/>
      <c r="T946" s="151"/>
      <c r="U946" s="152"/>
      <c r="V946" s="150" t="s">
        <v>330</v>
      </c>
      <c r="W946" s="151"/>
      <c r="X946" s="150" t="s">
        <v>331</v>
      </c>
      <c r="Y946" s="150" t="s">
        <v>398</v>
      </c>
      <c r="Z946" s="150" t="s">
        <v>343</v>
      </c>
      <c r="AA946" s="150" t="s">
        <v>334</v>
      </c>
      <c r="AB946" s="153">
        <v>0</v>
      </c>
      <c r="AC946" s="151"/>
      <c r="AD946" s="150"/>
      <c r="AE946" s="151"/>
      <c r="AF946" s="150" t="s">
        <v>49</v>
      </c>
      <c r="AG946" s="152" t="s">
        <v>470</v>
      </c>
      <c r="AH946" s="150" t="s">
        <v>2571</v>
      </c>
      <c r="AI946" s="99"/>
      <c r="AJ946" s="149">
        <v>0</v>
      </c>
      <c r="AK946" s="99">
        <v>0</v>
      </c>
      <c r="AL946" s="149">
        <v>0</v>
      </c>
      <c r="AM946" s="99">
        <v>0</v>
      </c>
      <c r="AN946" s="149">
        <v>0</v>
      </c>
      <c r="AO946" s="149">
        <v>0</v>
      </c>
      <c r="AP946" s="149">
        <v>0</v>
      </c>
      <c r="AQ946" s="149">
        <v>0</v>
      </c>
      <c r="AR946" s="149">
        <v>0</v>
      </c>
      <c r="AS946" s="149">
        <v>0</v>
      </c>
      <c r="AT946" s="149">
        <v>18</v>
      </c>
      <c r="AU946" s="149">
        <v>0</v>
      </c>
      <c r="AV946" s="149">
        <v>0</v>
      </c>
      <c r="AW946" s="149">
        <v>0</v>
      </c>
      <c r="AX946" s="149">
        <v>0</v>
      </c>
      <c r="AY946" s="149">
        <v>0</v>
      </c>
      <c r="AZ946" s="149">
        <v>0</v>
      </c>
      <c r="BA946" s="149">
        <v>18</v>
      </c>
      <c r="BB946" s="149">
        <v>0</v>
      </c>
      <c r="BC946" s="149">
        <v>0</v>
      </c>
      <c r="BD946" s="149">
        <v>0</v>
      </c>
      <c r="BE946" s="149">
        <v>0</v>
      </c>
      <c r="BF946" s="149">
        <v>0</v>
      </c>
      <c r="BG946" s="149">
        <v>0</v>
      </c>
      <c r="BH946" s="149">
        <v>0</v>
      </c>
      <c r="BI946" s="149">
        <v>0</v>
      </c>
      <c r="BJ946" s="149">
        <v>0</v>
      </c>
      <c r="BK946" s="149">
        <v>0</v>
      </c>
      <c r="BL946" s="149">
        <v>0</v>
      </c>
      <c r="BM946" s="149">
        <v>0</v>
      </c>
      <c r="BN946" s="149">
        <v>0</v>
      </c>
      <c r="BO946" s="149">
        <v>0</v>
      </c>
      <c r="BP946" s="136"/>
      <c r="BQ946" s="136" t="s">
        <v>327</v>
      </c>
      <c r="BR946" s="154" t="s">
        <v>149</v>
      </c>
      <c r="BS946" s="136">
        <v>20</v>
      </c>
      <c r="BT946" s="267"/>
      <c r="BU946" s="267"/>
      <c r="BV946" s="267"/>
      <c r="BW946" s="267"/>
      <c r="BX946" s="267"/>
      <c r="BY946" s="267"/>
      <c r="BZ946" s="267">
        <f>M946/3</f>
        <v>6</v>
      </c>
      <c r="CA946" s="267">
        <f>M946/3</f>
        <v>6</v>
      </c>
      <c r="CB946" s="267">
        <f>M946/3</f>
        <v>6</v>
      </c>
      <c r="CC946" s="267"/>
      <c r="CD946" s="267"/>
      <c r="CE946" s="267"/>
      <c r="CF946" s="267"/>
      <c r="CG946" s="267"/>
      <c r="CH946" s="267"/>
      <c r="CI946" s="267"/>
      <c r="CJ946" s="267"/>
      <c r="CK946" s="267"/>
      <c r="CL946" s="267"/>
      <c r="CM946" s="267"/>
      <c r="CN946" s="101">
        <f t="shared" si="132"/>
        <v>0</v>
      </c>
      <c r="CO946" s="101">
        <f t="shared" si="133"/>
        <v>18</v>
      </c>
    </row>
    <row r="947" spans="1:93" ht="13.9" customHeight="1" x14ac:dyDescent="0.2">
      <c r="A947" s="149">
        <v>8056</v>
      </c>
      <c r="B947" s="150" t="s">
        <v>2522</v>
      </c>
      <c r="C947" s="150"/>
      <c r="D947" s="150" t="s">
        <v>2570</v>
      </c>
      <c r="E947" s="150"/>
      <c r="F947" s="149">
        <v>529149</v>
      </c>
      <c r="G947" s="149">
        <v>177464</v>
      </c>
      <c r="H947" s="150" t="s">
        <v>149</v>
      </c>
      <c r="I947" s="151"/>
      <c r="J947" s="151"/>
      <c r="K947" s="149">
        <v>0</v>
      </c>
      <c r="L947" s="149">
        <v>17</v>
      </c>
      <c r="M947" s="149">
        <v>17</v>
      </c>
      <c r="N947" s="149">
        <v>100</v>
      </c>
      <c r="O947" s="149">
        <v>100</v>
      </c>
      <c r="P947" s="152" t="s">
        <v>327</v>
      </c>
      <c r="Q947" s="150" t="s">
        <v>2524</v>
      </c>
      <c r="R947" s="150" t="s">
        <v>2525</v>
      </c>
      <c r="S947" s="151"/>
      <c r="T947" s="151"/>
      <c r="U947" s="152"/>
      <c r="V947" s="150" t="s">
        <v>330</v>
      </c>
      <c r="W947" s="151"/>
      <c r="X947" s="150" t="s">
        <v>331</v>
      </c>
      <c r="Y947" s="150" t="s">
        <v>398</v>
      </c>
      <c r="Z947" s="150" t="s">
        <v>343</v>
      </c>
      <c r="AA947" s="150" t="s">
        <v>334</v>
      </c>
      <c r="AB947" s="153">
        <v>0</v>
      </c>
      <c r="AC947" s="151"/>
      <c r="AD947" s="150"/>
      <c r="AE947" s="151"/>
      <c r="AF947" s="150" t="s">
        <v>48</v>
      </c>
      <c r="AG947" s="152" t="s">
        <v>992</v>
      </c>
      <c r="AH947" s="150" t="s">
        <v>2571</v>
      </c>
      <c r="AI947" s="99"/>
      <c r="AJ947" s="149">
        <v>0</v>
      </c>
      <c r="AK947" s="99">
        <v>0</v>
      </c>
      <c r="AL947" s="149">
        <v>0</v>
      </c>
      <c r="AM947" s="99">
        <v>0</v>
      </c>
      <c r="AN947" s="149">
        <v>0</v>
      </c>
      <c r="AO947" s="149">
        <v>0</v>
      </c>
      <c r="AP947" s="149">
        <v>0</v>
      </c>
      <c r="AQ947" s="149">
        <v>0</v>
      </c>
      <c r="AR947" s="149">
        <v>0</v>
      </c>
      <c r="AS947" s="149">
        <v>0</v>
      </c>
      <c r="AT947" s="149">
        <v>17</v>
      </c>
      <c r="AU947" s="149">
        <v>0</v>
      </c>
      <c r="AV947" s="149">
        <v>0</v>
      </c>
      <c r="AW947" s="149">
        <v>0</v>
      </c>
      <c r="AX947" s="149">
        <v>0</v>
      </c>
      <c r="AY947" s="149">
        <v>0</v>
      </c>
      <c r="AZ947" s="149">
        <v>0</v>
      </c>
      <c r="BA947" s="149">
        <v>17</v>
      </c>
      <c r="BB947" s="149">
        <v>0</v>
      </c>
      <c r="BC947" s="149">
        <v>0</v>
      </c>
      <c r="BD947" s="149">
        <v>0</v>
      </c>
      <c r="BE947" s="149">
        <v>0</v>
      </c>
      <c r="BF947" s="149">
        <v>0</v>
      </c>
      <c r="BG947" s="149">
        <v>0</v>
      </c>
      <c r="BH947" s="149">
        <v>0</v>
      </c>
      <c r="BI947" s="149">
        <v>0</v>
      </c>
      <c r="BJ947" s="149">
        <v>0</v>
      </c>
      <c r="BK947" s="149">
        <v>0</v>
      </c>
      <c r="BL947" s="149">
        <v>0</v>
      </c>
      <c r="BM947" s="149">
        <v>0</v>
      </c>
      <c r="BN947" s="149">
        <v>0</v>
      </c>
      <c r="BO947" s="149">
        <v>0</v>
      </c>
      <c r="BP947" s="136"/>
      <c r="BQ947" s="136" t="s">
        <v>327</v>
      </c>
      <c r="BR947" s="154" t="s">
        <v>149</v>
      </c>
      <c r="BS947" s="136">
        <v>20</v>
      </c>
      <c r="BT947" s="267"/>
      <c r="BU947" s="267"/>
      <c r="BV947" s="267"/>
      <c r="BW947" s="267"/>
      <c r="BX947" s="267"/>
      <c r="BY947" s="267"/>
      <c r="BZ947" s="267">
        <f>M947/3</f>
        <v>5.666666666666667</v>
      </c>
      <c r="CA947" s="267">
        <f>M947/3</f>
        <v>5.666666666666667</v>
      </c>
      <c r="CB947" s="267">
        <f>M947/3</f>
        <v>5.666666666666667</v>
      </c>
      <c r="CC947" s="267"/>
      <c r="CD947" s="267"/>
      <c r="CE947" s="267"/>
      <c r="CF947" s="267"/>
      <c r="CG947" s="267"/>
      <c r="CH947" s="267"/>
      <c r="CI947" s="267"/>
      <c r="CJ947" s="267"/>
      <c r="CK947" s="267"/>
      <c r="CL947" s="267"/>
      <c r="CM947" s="267"/>
      <c r="CN947" s="101">
        <f t="shared" si="132"/>
        <v>0</v>
      </c>
      <c r="CO947" s="101">
        <f t="shared" si="133"/>
        <v>17</v>
      </c>
    </row>
    <row r="948" spans="1:93" ht="13.9" customHeight="1" x14ac:dyDescent="0.2">
      <c r="A948" s="149">
        <v>4509</v>
      </c>
      <c r="B948" s="150" t="s">
        <v>2522</v>
      </c>
      <c r="C948" s="150"/>
      <c r="D948" s="150" t="s">
        <v>2572</v>
      </c>
      <c r="E948" s="150"/>
      <c r="F948" s="149">
        <v>529144.33070000005</v>
      </c>
      <c r="G948" s="149">
        <v>177568.643099999</v>
      </c>
      <c r="H948" s="150" t="s">
        <v>149</v>
      </c>
      <c r="I948" s="151"/>
      <c r="J948" s="151"/>
      <c r="K948" s="149">
        <v>0</v>
      </c>
      <c r="L948" s="149">
        <v>14</v>
      </c>
      <c r="M948" s="149">
        <v>14</v>
      </c>
      <c r="N948" s="149">
        <v>21</v>
      </c>
      <c r="O948" s="149">
        <v>21</v>
      </c>
      <c r="P948" s="152" t="s">
        <v>327</v>
      </c>
      <c r="Q948" s="150" t="s">
        <v>2524</v>
      </c>
      <c r="R948" s="150" t="s">
        <v>2525</v>
      </c>
      <c r="S948" s="151"/>
      <c r="T948" s="151"/>
      <c r="U948" s="152"/>
      <c r="V948" s="150" t="s">
        <v>330</v>
      </c>
      <c r="W948" s="151"/>
      <c r="X948" s="150" t="s">
        <v>331</v>
      </c>
      <c r="Y948" s="150" t="s">
        <v>343</v>
      </c>
      <c r="Z948" s="150" t="s">
        <v>343</v>
      </c>
      <c r="AA948" s="150" t="s">
        <v>334</v>
      </c>
      <c r="AB948" s="153">
        <v>0</v>
      </c>
      <c r="AC948" s="151"/>
      <c r="AD948" s="150"/>
      <c r="AE948" s="151"/>
      <c r="AF948" s="150" t="s">
        <v>70</v>
      </c>
      <c r="AG948" s="152" t="s">
        <v>352</v>
      </c>
      <c r="AH948" s="150" t="s">
        <v>2573</v>
      </c>
      <c r="AI948" s="99"/>
      <c r="AJ948" s="149">
        <v>0</v>
      </c>
      <c r="AK948" s="99">
        <v>0</v>
      </c>
      <c r="AL948" s="149">
        <v>0</v>
      </c>
      <c r="AM948" s="99">
        <v>0</v>
      </c>
      <c r="AN948" s="149">
        <v>0</v>
      </c>
      <c r="AO948" s="149">
        <v>0</v>
      </c>
      <c r="AP948" s="149">
        <v>0</v>
      </c>
      <c r="AQ948" s="149">
        <v>0</v>
      </c>
      <c r="AR948" s="149">
        <v>0</v>
      </c>
      <c r="AS948" s="149">
        <v>0</v>
      </c>
      <c r="AT948" s="149">
        <v>14</v>
      </c>
      <c r="AU948" s="149">
        <v>0</v>
      </c>
      <c r="AV948" s="149">
        <v>0</v>
      </c>
      <c r="AW948" s="149">
        <v>0</v>
      </c>
      <c r="AX948" s="149">
        <v>0</v>
      </c>
      <c r="AY948" s="149">
        <v>0</v>
      </c>
      <c r="AZ948" s="149">
        <v>0</v>
      </c>
      <c r="BA948" s="149">
        <v>14</v>
      </c>
      <c r="BB948" s="149">
        <v>0</v>
      </c>
      <c r="BC948" s="149">
        <v>0</v>
      </c>
      <c r="BD948" s="149">
        <v>0</v>
      </c>
      <c r="BE948" s="149">
        <v>0</v>
      </c>
      <c r="BF948" s="149">
        <v>0</v>
      </c>
      <c r="BG948" s="149">
        <v>0</v>
      </c>
      <c r="BH948" s="149">
        <v>0</v>
      </c>
      <c r="BI948" s="149">
        <v>0</v>
      </c>
      <c r="BJ948" s="149">
        <v>0</v>
      </c>
      <c r="BK948" s="149">
        <v>0</v>
      </c>
      <c r="BL948" s="149">
        <v>0</v>
      </c>
      <c r="BM948" s="149">
        <v>0</v>
      </c>
      <c r="BN948" s="149">
        <v>0</v>
      </c>
      <c r="BO948" s="149">
        <v>0</v>
      </c>
      <c r="BP948" s="136"/>
      <c r="BQ948" s="136" t="s">
        <v>327</v>
      </c>
      <c r="BR948" s="154" t="s">
        <v>149</v>
      </c>
      <c r="BS948" s="136">
        <v>20</v>
      </c>
      <c r="BT948" s="267"/>
      <c r="BU948" s="267"/>
      <c r="BV948" s="267"/>
      <c r="BW948" s="267"/>
      <c r="BX948" s="267">
        <f>M948/5</f>
        <v>2.8</v>
      </c>
      <c r="BY948" s="267">
        <f>M948/5</f>
        <v>2.8</v>
      </c>
      <c r="BZ948" s="267">
        <f>M948/5</f>
        <v>2.8</v>
      </c>
      <c r="CA948" s="267">
        <f>M948/5</f>
        <v>2.8</v>
      </c>
      <c r="CB948" s="267">
        <f>M948/5</f>
        <v>2.8</v>
      </c>
      <c r="CC948" s="267"/>
      <c r="CD948" s="267"/>
      <c r="CE948" s="267"/>
      <c r="CF948" s="267"/>
      <c r="CG948" s="267"/>
      <c r="CH948" s="267"/>
      <c r="CI948" s="267"/>
      <c r="CJ948" s="267"/>
      <c r="CK948" s="267"/>
      <c r="CL948" s="267"/>
      <c r="CM948" s="267"/>
      <c r="CN948" s="101">
        <f t="shared" si="132"/>
        <v>5.6</v>
      </c>
      <c r="CO948" s="101">
        <f t="shared" si="133"/>
        <v>14</v>
      </c>
    </row>
    <row r="949" spans="1:93" ht="13.9" customHeight="1" x14ac:dyDescent="0.2">
      <c r="A949" s="149">
        <v>4509</v>
      </c>
      <c r="B949" s="150" t="s">
        <v>2522</v>
      </c>
      <c r="C949" s="150"/>
      <c r="D949" s="150" t="s">
        <v>2572</v>
      </c>
      <c r="E949" s="150"/>
      <c r="F949" s="149">
        <v>529144.33070000005</v>
      </c>
      <c r="G949" s="149">
        <v>177568.643099999</v>
      </c>
      <c r="H949" s="150" t="s">
        <v>149</v>
      </c>
      <c r="I949" s="151"/>
      <c r="J949" s="151"/>
      <c r="K949" s="149">
        <v>0</v>
      </c>
      <c r="L949" s="149">
        <v>4</v>
      </c>
      <c r="M949" s="149">
        <v>4</v>
      </c>
      <c r="N949" s="149">
        <v>21</v>
      </c>
      <c r="O949" s="149">
        <v>21</v>
      </c>
      <c r="P949" s="152" t="s">
        <v>327</v>
      </c>
      <c r="Q949" s="150" t="s">
        <v>2524</v>
      </c>
      <c r="R949" s="150" t="s">
        <v>2525</v>
      </c>
      <c r="S949" s="151"/>
      <c r="T949" s="151"/>
      <c r="U949" s="152"/>
      <c r="V949" s="150" t="s">
        <v>330</v>
      </c>
      <c r="W949" s="151"/>
      <c r="X949" s="150" t="s">
        <v>331</v>
      </c>
      <c r="Y949" s="150" t="s">
        <v>343</v>
      </c>
      <c r="Z949" s="150" t="s">
        <v>343</v>
      </c>
      <c r="AA949" s="150" t="s">
        <v>334</v>
      </c>
      <c r="AB949" s="153">
        <v>0</v>
      </c>
      <c r="AC949" s="151"/>
      <c r="AD949" s="150"/>
      <c r="AE949" s="151"/>
      <c r="AF949" s="150" t="s">
        <v>49</v>
      </c>
      <c r="AG949" s="152" t="s">
        <v>470</v>
      </c>
      <c r="AH949" s="150" t="s">
        <v>2573</v>
      </c>
      <c r="AI949" s="99"/>
      <c r="AJ949" s="149">
        <v>0</v>
      </c>
      <c r="AK949" s="99">
        <v>0</v>
      </c>
      <c r="AL949" s="149">
        <v>0</v>
      </c>
      <c r="AM949" s="99">
        <v>0</v>
      </c>
      <c r="AN949" s="149">
        <v>0</v>
      </c>
      <c r="AO949" s="149">
        <v>0</v>
      </c>
      <c r="AP949" s="149">
        <v>0</v>
      </c>
      <c r="AQ949" s="149">
        <v>0</v>
      </c>
      <c r="AR949" s="149">
        <v>0</v>
      </c>
      <c r="AS949" s="149">
        <v>0</v>
      </c>
      <c r="AT949" s="149">
        <v>4</v>
      </c>
      <c r="AU949" s="149">
        <v>0</v>
      </c>
      <c r="AV949" s="149">
        <v>0</v>
      </c>
      <c r="AW949" s="149">
        <v>0</v>
      </c>
      <c r="AX949" s="149">
        <v>0</v>
      </c>
      <c r="AY949" s="149">
        <v>0</v>
      </c>
      <c r="AZ949" s="149">
        <v>0</v>
      </c>
      <c r="BA949" s="149">
        <v>4</v>
      </c>
      <c r="BB949" s="149">
        <v>0</v>
      </c>
      <c r="BC949" s="149">
        <v>0</v>
      </c>
      <c r="BD949" s="149">
        <v>0</v>
      </c>
      <c r="BE949" s="149">
        <v>0</v>
      </c>
      <c r="BF949" s="149">
        <v>0</v>
      </c>
      <c r="BG949" s="149">
        <v>0</v>
      </c>
      <c r="BH949" s="149">
        <v>0</v>
      </c>
      <c r="BI949" s="149">
        <v>0</v>
      </c>
      <c r="BJ949" s="149">
        <v>0</v>
      </c>
      <c r="BK949" s="149">
        <v>0</v>
      </c>
      <c r="BL949" s="149">
        <v>0</v>
      </c>
      <c r="BM949" s="149">
        <v>0</v>
      </c>
      <c r="BN949" s="149">
        <v>0</v>
      </c>
      <c r="BO949" s="149">
        <v>0</v>
      </c>
      <c r="BP949" s="136"/>
      <c r="BQ949" s="136" t="s">
        <v>327</v>
      </c>
      <c r="BR949" s="154" t="s">
        <v>149</v>
      </c>
      <c r="BS949" s="136">
        <v>20</v>
      </c>
      <c r="BT949" s="267"/>
      <c r="BU949" s="267"/>
      <c r="BV949" s="267"/>
      <c r="BW949" s="267"/>
      <c r="BX949" s="267">
        <f>M949/5</f>
        <v>0.8</v>
      </c>
      <c r="BY949" s="267">
        <f>M949/5</f>
        <v>0.8</v>
      </c>
      <c r="BZ949" s="267">
        <f>M949/5</f>
        <v>0.8</v>
      </c>
      <c r="CA949" s="267">
        <f>M949/5</f>
        <v>0.8</v>
      </c>
      <c r="CB949" s="267">
        <f>M949/5</f>
        <v>0.8</v>
      </c>
      <c r="CC949" s="267"/>
      <c r="CD949" s="267"/>
      <c r="CE949" s="267"/>
      <c r="CF949" s="267"/>
      <c r="CG949" s="267"/>
      <c r="CH949" s="267"/>
      <c r="CI949" s="267"/>
      <c r="CJ949" s="267"/>
      <c r="CK949" s="267"/>
      <c r="CL949" s="267"/>
      <c r="CM949" s="267"/>
      <c r="CN949" s="101">
        <f t="shared" si="132"/>
        <v>1.6</v>
      </c>
      <c r="CO949" s="101">
        <f t="shared" si="133"/>
        <v>4</v>
      </c>
    </row>
    <row r="950" spans="1:93" ht="13.9" customHeight="1" x14ac:dyDescent="0.2">
      <c r="A950" s="149">
        <v>4509</v>
      </c>
      <c r="B950" s="150" t="s">
        <v>2522</v>
      </c>
      <c r="C950" s="150"/>
      <c r="D950" s="150" t="s">
        <v>2572</v>
      </c>
      <c r="E950" s="150"/>
      <c r="F950" s="149">
        <v>529144.33070000005</v>
      </c>
      <c r="G950" s="149">
        <v>177568.643099999</v>
      </c>
      <c r="H950" s="150" t="s">
        <v>149</v>
      </c>
      <c r="I950" s="151"/>
      <c r="J950" s="151"/>
      <c r="K950" s="149">
        <v>0</v>
      </c>
      <c r="L950" s="149">
        <v>3</v>
      </c>
      <c r="M950" s="149">
        <v>3</v>
      </c>
      <c r="N950" s="149">
        <v>21</v>
      </c>
      <c r="O950" s="149">
        <v>21</v>
      </c>
      <c r="P950" s="152" t="s">
        <v>327</v>
      </c>
      <c r="Q950" s="150" t="s">
        <v>2524</v>
      </c>
      <c r="R950" s="150" t="s">
        <v>2525</v>
      </c>
      <c r="S950" s="151"/>
      <c r="T950" s="151"/>
      <c r="U950" s="152"/>
      <c r="V950" s="150" t="s">
        <v>330</v>
      </c>
      <c r="W950" s="151"/>
      <c r="X950" s="150" t="s">
        <v>331</v>
      </c>
      <c r="Y950" s="150" t="s">
        <v>343</v>
      </c>
      <c r="Z950" s="150" t="s">
        <v>343</v>
      </c>
      <c r="AA950" s="150" t="s">
        <v>334</v>
      </c>
      <c r="AB950" s="153">
        <v>0</v>
      </c>
      <c r="AC950" s="151"/>
      <c r="AD950" s="150"/>
      <c r="AE950" s="151"/>
      <c r="AF950" s="150" t="s">
        <v>48</v>
      </c>
      <c r="AG950" s="152" t="s">
        <v>992</v>
      </c>
      <c r="AH950" s="150" t="s">
        <v>2573</v>
      </c>
      <c r="AI950" s="99"/>
      <c r="AJ950" s="149">
        <v>0</v>
      </c>
      <c r="AK950" s="99">
        <v>0</v>
      </c>
      <c r="AL950" s="149">
        <v>0</v>
      </c>
      <c r="AM950" s="99">
        <v>0</v>
      </c>
      <c r="AN950" s="149">
        <v>0</v>
      </c>
      <c r="AO950" s="149">
        <v>0</v>
      </c>
      <c r="AP950" s="149">
        <v>0</v>
      </c>
      <c r="AQ950" s="149">
        <v>0</v>
      </c>
      <c r="AR950" s="149">
        <v>0</v>
      </c>
      <c r="AS950" s="149">
        <v>0</v>
      </c>
      <c r="AT950" s="149">
        <v>3</v>
      </c>
      <c r="AU950" s="149">
        <v>0</v>
      </c>
      <c r="AV950" s="149">
        <v>0</v>
      </c>
      <c r="AW950" s="149">
        <v>0</v>
      </c>
      <c r="AX950" s="149">
        <v>0</v>
      </c>
      <c r="AY950" s="149">
        <v>0</v>
      </c>
      <c r="AZ950" s="149">
        <v>0</v>
      </c>
      <c r="BA950" s="149">
        <v>3</v>
      </c>
      <c r="BB950" s="149">
        <v>0</v>
      </c>
      <c r="BC950" s="149">
        <v>0</v>
      </c>
      <c r="BD950" s="149">
        <v>0</v>
      </c>
      <c r="BE950" s="149">
        <v>0</v>
      </c>
      <c r="BF950" s="149">
        <v>0</v>
      </c>
      <c r="BG950" s="149">
        <v>0</v>
      </c>
      <c r="BH950" s="149">
        <v>0</v>
      </c>
      <c r="BI950" s="149">
        <v>0</v>
      </c>
      <c r="BJ950" s="149">
        <v>0</v>
      </c>
      <c r="BK950" s="149">
        <v>0</v>
      </c>
      <c r="BL950" s="149">
        <v>0</v>
      </c>
      <c r="BM950" s="149">
        <v>0</v>
      </c>
      <c r="BN950" s="149">
        <v>0</v>
      </c>
      <c r="BO950" s="149">
        <v>0</v>
      </c>
      <c r="BP950" s="136"/>
      <c r="BQ950" s="136" t="s">
        <v>327</v>
      </c>
      <c r="BR950" s="154" t="s">
        <v>149</v>
      </c>
      <c r="BS950" s="136">
        <v>20</v>
      </c>
      <c r="BT950" s="267"/>
      <c r="BU950" s="267"/>
      <c r="BV950" s="267"/>
      <c r="BW950" s="267"/>
      <c r="BX950" s="267">
        <f>M950/5</f>
        <v>0.6</v>
      </c>
      <c r="BY950" s="267">
        <f>M950/5</f>
        <v>0.6</v>
      </c>
      <c r="BZ950" s="267">
        <f>M950/5</f>
        <v>0.6</v>
      </c>
      <c r="CA950" s="267">
        <f>M950/5</f>
        <v>0.6</v>
      </c>
      <c r="CB950" s="267">
        <f>M950/5</f>
        <v>0.6</v>
      </c>
      <c r="CC950" s="267"/>
      <c r="CD950" s="267"/>
      <c r="CE950" s="267"/>
      <c r="CF950" s="267"/>
      <c r="CG950" s="267"/>
      <c r="CH950" s="267"/>
      <c r="CI950" s="267"/>
      <c r="CJ950" s="267"/>
      <c r="CK950" s="267"/>
      <c r="CL950" s="267"/>
      <c r="CM950" s="267"/>
      <c r="CN950" s="101">
        <f t="shared" si="132"/>
        <v>1.2</v>
      </c>
      <c r="CO950" s="101">
        <f t="shared" si="133"/>
        <v>3</v>
      </c>
    </row>
    <row r="951" spans="1:93" ht="13.9" customHeight="1" x14ac:dyDescent="0.2">
      <c r="A951" s="149">
        <v>6876</v>
      </c>
      <c r="B951" s="150" t="s">
        <v>2522</v>
      </c>
      <c r="C951" s="150"/>
      <c r="D951" s="150" t="s">
        <v>2574</v>
      </c>
      <c r="E951" s="150"/>
      <c r="F951" s="149">
        <v>526665</v>
      </c>
      <c r="G951" s="149">
        <v>176051</v>
      </c>
      <c r="H951" s="150" t="s">
        <v>170</v>
      </c>
      <c r="I951" s="151"/>
      <c r="J951" s="151"/>
      <c r="K951" s="149">
        <v>0</v>
      </c>
      <c r="L951" s="149">
        <v>182</v>
      </c>
      <c r="M951" s="149">
        <v>182</v>
      </c>
      <c r="N951" s="149">
        <v>280</v>
      </c>
      <c r="O951" s="149">
        <v>280</v>
      </c>
      <c r="P951" s="152" t="s">
        <v>327</v>
      </c>
      <c r="Q951" s="150" t="s">
        <v>2524</v>
      </c>
      <c r="R951" s="150" t="s">
        <v>2525</v>
      </c>
      <c r="S951" s="151"/>
      <c r="T951" s="151"/>
      <c r="U951" s="152"/>
      <c r="V951" s="150" t="s">
        <v>330</v>
      </c>
      <c r="W951" s="151"/>
      <c r="X951" s="150" t="s">
        <v>331</v>
      </c>
      <c r="Y951" s="150" t="s">
        <v>343</v>
      </c>
      <c r="Z951" s="150" t="s">
        <v>343</v>
      </c>
      <c r="AA951" s="150" t="s">
        <v>334</v>
      </c>
      <c r="AB951" s="153">
        <v>0</v>
      </c>
      <c r="AC951" s="151"/>
      <c r="AD951" s="150"/>
      <c r="AE951" s="151"/>
      <c r="AF951" s="150" t="s">
        <v>70</v>
      </c>
      <c r="AG951" s="152" t="s">
        <v>352</v>
      </c>
      <c r="AH951" s="150" t="s">
        <v>2575</v>
      </c>
      <c r="AI951" s="99"/>
      <c r="AJ951" s="149">
        <v>0</v>
      </c>
      <c r="AK951" s="99">
        <v>0</v>
      </c>
      <c r="AL951" s="149">
        <v>0</v>
      </c>
      <c r="AM951" s="99">
        <v>0</v>
      </c>
      <c r="AN951" s="149">
        <v>0</v>
      </c>
      <c r="AO951" s="149">
        <v>0</v>
      </c>
      <c r="AP951" s="149">
        <v>0</v>
      </c>
      <c r="AQ951" s="149">
        <v>0</v>
      </c>
      <c r="AR951" s="149">
        <v>0</v>
      </c>
      <c r="AS951" s="149">
        <v>0</v>
      </c>
      <c r="AT951" s="149">
        <v>182</v>
      </c>
      <c r="AU951" s="149">
        <v>0</v>
      </c>
      <c r="AV951" s="149">
        <v>0</v>
      </c>
      <c r="AW951" s="149">
        <v>0</v>
      </c>
      <c r="AX951" s="149">
        <v>0</v>
      </c>
      <c r="AY951" s="149">
        <v>0</v>
      </c>
      <c r="AZ951" s="149">
        <v>0</v>
      </c>
      <c r="BA951" s="149">
        <v>182</v>
      </c>
      <c r="BB951" s="149">
        <v>0</v>
      </c>
      <c r="BC951" s="149">
        <v>0</v>
      </c>
      <c r="BD951" s="149">
        <v>0</v>
      </c>
      <c r="BE951" s="149">
        <v>0</v>
      </c>
      <c r="BF951" s="149">
        <v>0</v>
      </c>
      <c r="BG951" s="149">
        <v>0</v>
      </c>
      <c r="BH951" s="149">
        <v>0</v>
      </c>
      <c r="BI951" s="149">
        <v>0</v>
      </c>
      <c r="BJ951" s="149">
        <v>0</v>
      </c>
      <c r="BK951" s="149">
        <v>0</v>
      </c>
      <c r="BL951" s="149">
        <v>0</v>
      </c>
      <c r="BM951" s="149">
        <v>0</v>
      </c>
      <c r="BN951" s="149">
        <v>0</v>
      </c>
      <c r="BO951" s="149">
        <v>0</v>
      </c>
      <c r="BP951" s="136"/>
      <c r="BQ951" s="136"/>
      <c r="BR951" s="154" t="s">
        <v>148</v>
      </c>
      <c r="BS951" s="136">
        <v>19</v>
      </c>
      <c r="BT951" s="267"/>
      <c r="BU951" s="267"/>
      <c r="BV951" s="267"/>
      <c r="BW951" s="267"/>
      <c r="BX951" s="267"/>
      <c r="BY951" s="267">
        <f>M951/16</f>
        <v>11.375</v>
      </c>
      <c r="BZ951" s="267">
        <f>M951/16</f>
        <v>11.375</v>
      </c>
      <c r="CA951" s="267">
        <f>M951/16</f>
        <v>11.375</v>
      </c>
      <c r="CB951" s="267">
        <f>M951/16</f>
        <v>11.375</v>
      </c>
      <c r="CC951" s="267">
        <f>M951/16</f>
        <v>11.375</v>
      </c>
      <c r="CD951" s="267">
        <f>M951/16</f>
        <v>11.375</v>
      </c>
      <c r="CE951" s="267">
        <f>M951/16</f>
        <v>11.375</v>
      </c>
      <c r="CF951" s="267">
        <f>M951/16</f>
        <v>11.375</v>
      </c>
      <c r="CG951" s="267">
        <f>M951/16</f>
        <v>11.375</v>
      </c>
      <c r="CH951" s="267">
        <f>M951/16</f>
        <v>11.375</v>
      </c>
      <c r="CI951" s="267">
        <f>M951/16</f>
        <v>11.375</v>
      </c>
      <c r="CJ951" s="267">
        <f>M951/16</f>
        <v>11.375</v>
      </c>
      <c r="CK951" s="267">
        <f>M951/16</f>
        <v>11.375</v>
      </c>
      <c r="CL951" s="267">
        <f>M951/16</f>
        <v>11.375</v>
      </c>
      <c r="CM951" s="267">
        <f>M951/16</f>
        <v>11.375</v>
      </c>
      <c r="CN951" s="101">
        <f t="shared" si="132"/>
        <v>11.375</v>
      </c>
      <c r="CO951" s="101">
        <f t="shared" si="133"/>
        <v>68.25</v>
      </c>
    </row>
    <row r="952" spans="1:93" ht="13.9" customHeight="1" x14ac:dyDescent="0.2">
      <c r="A952" s="149">
        <v>6876</v>
      </c>
      <c r="B952" s="150" t="s">
        <v>2522</v>
      </c>
      <c r="C952" s="150"/>
      <c r="D952" s="150" t="s">
        <v>2574</v>
      </c>
      <c r="E952" s="150"/>
      <c r="F952" s="149">
        <v>526665</v>
      </c>
      <c r="G952" s="149">
        <v>176051</v>
      </c>
      <c r="H952" s="150" t="s">
        <v>170</v>
      </c>
      <c r="I952" s="151"/>
      <c r="J952" s="151"/>
      <c r="K952" s="149">
        <v>0</v>
      </c>
      <c r="L952" s="149">
        <v>49</v>
      </c>
      <c r="M952" s="149">
        <v>49</v>
      </c>
      <c r="N952" s="149">
        <v>280</v>
      </c>
      <c r="O952" s="149">
        <v>280</v>
      </c>
      <c r="P952" s="152" t="s">
        <v>327</v>
      </c>
      <c r="Q952" s="150" t="s">
        <v>2524</v>
      </c>
      <c r="R952" s="150" t="s">
        <v>2525</v>
      </c>
      <c r="S952" s="151"/>
      <c r="T952" s="151"/>
      <c r="U952" s="152"/>
      <c r="V952" s="150" t="s">
        <v>330</v>
      </c>
      <c r="W952" s="151"/>
      <c r="X952" s="150" t="s">
        <v>331</v>
      </c>
      <c r="Y952" s="150" t="s">
        <v>343</v>
      </c>
      <c r="Z952" s="150" t="s">
        <v>343</v>
      </c>
      <c r="AA952" s="150" t="s">
        <v>334</v>
      </c>
      <c r="AB952" s="153">
        <v>0</v>
      </c>
      <c r="AC952" s="151"/>
      <c r="AD952" s="150"/>
      <c r="AE952" s="151"/>
      <c r="AF952" s="150" t="s">
        <v>49</v>
      </c>
      <c r="AG952" s="152" t="s">
        <v>470</v>
      </c>
      <c r="AH952" s="150" t="s">
        <v>2575</v>
      </c>
      <c r="AI952" s="99"/>
      <c r="AJ952" s="149">
        <v>0</v>
      </c>
      <c r="AK952" s="99">
        <v>0</v>
      </c>
      <c r="AL952" s="149">
        <v>0</v>
      </c>
      <c r="AM952" s="99">
        <v>0</v>
      </c>
      <c r="AN952" s="149">
        <v>0</v>
      </c>
      <c r="AO952" s="149">
        <v>0</v>
      </c>
      <c r="AP952" s="149">
        <v>0</v>
      </c>
      <c r="AQ952" s="149">
        <v>0</v>
      </c>
      <c r="AR952" s="149">
        <v>0</v>
      </c>
      <c r="AS952" s="149">
        <v>0</v>
      </c>
      <c r="AT952" s="149">
        <v>49</v>
      </c>
      <c r="AU952" s="149">
        <v>0</v>
      </c>
      <c r="AV952" s="149">
        <v>0</v>
      </c>
      <c r="AW952" s="149">
        <v>0</v>
      </c>
      <c r="AX952" s="149">
        <v>0</v>
      </c>
      <c r="AY952" s="149">
        <v>0</v>
      </c>
      <c r="AZ952" s="149">
        <v>0</v>
      </c>
      <c r="BA952" s="149">
        <v>49</v>
      </c>
      <c r="BB952" s="149">
        <v>0</v>
      </c>
      <c r="BC952" s="149">
        <v>0</v>
      </c>
      <c r="BD952" s="149">
        <v>0</v>
      </c>
      <c r="BE952" s="149">
        <v>0</v>
      </c>
      <c r="BF952" s="149">
        <v>0</v>
      </c>
      <c r="BG952" s="149">
        <v>0</v>
      </c>
      <c r="BH952" s="149">
        <v>0</v>
      </c>
      <c r="BI952" s="149">
        <v>0</v>
      </c>
      <c r="BJ952" s="149">
        <v>0</v>
      </c>
      <c r="BK952" s="149">
        <v>0</v>
      </c>
      <c r="BL952" s="149">
        <v>0</v>
      </c>
      <c r="BM952" s="149">
        <v>0</v>
      </c>
      <c r="BN952" s="149">
        <v>0</v>
      </c>
      <c r="BO952" s="149">
        <v>0</v>
      </c>
      <c r="BP952" s="136"/>
      <c r="BQ952" s="136"/>
      <c r="BR952" s="154" t="s">
        <v>148</v>
      </c>
      <c r="BS952" s="136">
        <v>19</v>
      </c>
      <c r="BT952" s="267"/>
      <c r="BU952" s="267"/>
      <c r="BV952" s="267"/>
      <c r="BW952" s="267"/>
      <c r="BX952" s="267"/>
      <c r="BY952" s="267">
        <f>M952/16</f>
        <v>3.0625</v>
      </c>
      <c r="BZ952" s="267">
        <f>M952/16</f>
        <v>3.0625</v>
      </c>
      <c r="CA952" s="267">
        <f>M952/16</f>
        <v>3.0625</v>
      </c>
      <c r="CB952" s="267">
        <f>M952/16</f>
        <v>3.0625</v>
      </c>
      <c r="CC952" s="267">
        <f>M952/16</f>
        <v>3.0625</v>
      </c>
      <c r="CD952" s="267">
        <f>M952/16</f>
        <v>3.0625</v>
      </c>
      <c r="CE952" s="267">
        <f>M952/16</f>
        <v>3.0625</v>
      </c>
      <c r="CF952" s="267">
        <f>M952/16</f>
        <v>3.0625</v>
      </c>
      <c r="CG952" s="267">
        <f>M952/16</f>
        <v>3.0625</v>
      </c>
      <c r="CH952" s="267">
        <f>M952/16</f>
        <v>3.0625</v>
      </c>
      <c r="CI952" s="267">
        <f>M952/16</f>
        <v>3.0625</v>
      </c>
      <c r="CJ952" s="267">
        <f>M952/16</f>
        <v>3.0625</v>
      </c>
      <c r="CK952" s="267">
        <f>M952/16</f>
        <v>3.0625</v>
      </c>
      <c r="CL952" s="267">
        <f>M952/16</f>
        <v>3.0625</v>
      </c>
      <c r="CM952" s="267">
        <f>M952/16</f>
        <v>3.0625</v>
      </c>
      <c r="CN952" s="101">
        <f t="shared" si="132"/>
        <v>3.0625</v>
      </c>
      <c r="CO952" s="101">
        <f t="shared" si="133"/>
        <v>18.375</v>
      </c>
    </row>
    <row r="953" spans="1:93" ht="13.9" customHeight="1" x14ac:dyDescent="0.2">
      <c r="A953" s="149">
        <v>6876</v>
      </c>
      <c r="B953" s="150" t="s">
        <v>2522</v>
      </c>
      <c r="C953" s="150"/>
      <c r="D953" s="150" t="s">
        <v>2574</v>
      </c>
      <c r="E953" s="150"/>
      <c r="F953" s="149">
        <v>526665</v>
      </c>
      <c r="G953" s="149">
        <v>176051</v>
      </c>
      <c r="H953" s="150" t="s">
        <v>170</v>
      </c>
      <c r="I953" s="151"/>
      <c r="J953" s="151"/>
      <c r="K953" s="149">
        <v>0</v>
      </c>
      <c r="L953" s="149">
        <v>49</v>
      </c>
      <c r="M953" s="149">
        <v>49</v>
      </c>
      <c r="N953" s="149">
        <v>280</v>
      </c>
      <c r="O953" s="149">
        <v>280</v>
      </c>
      <c r="P953" s="152" t="s">
        <v>327</v>
      </c>
      <c r="Q953" s="150" t="s">
        <v>2524</v>
      </c>
      <c r="R953" s="150" t="s">
        <v>2525</v>
      </c>
      <c r="S953" s="151"/>
      <c r="T953" s="151"/>
      <c r="U953" s="152"/>
      <c r="V953" s="150" t="s">
        <v>330</v>
      </c>
      <c r="W953" s="151"/>
      <c r="X953" s="150" t="s">
        <v>331</v>
      </c>
      <c r="Y953" s="150" t="s">
        <v>343</v>
      </c>
      <c r="Z953" s="150" t="s">
        <v>343</v>
      </c>
      <c r="AA953" s="150" t="s">
        <v>334</v>
      </c>
      <c r="AB953" s="153">
        <v>0</v>
      </c>
      <c r="AC953" s="151"/>
      <c r="AD953" s="150"/>
      <c r="AE953" s="151"/>
      <c r="AF953" s="150" t="s">
        <v>48</v>
      </c>
      <c r="AG953" s="152" t="s">
        <v>992</v>
      </c>
      <c r="AH953" s="150" t="s">
        <v>2575</v>
      </c>
      <c r="AI953" s="99"/>
      <c r="AJ953" s="149">
        <v>0</v>
      </c>
      <c r="AK953" s="99">
        <v>0</v>
      </c>
      <c r="AL953" s="149">
        <v>0</v>
      </c>
      <c r="AM953" s="99">
        <v>0</v>
      </c>
      <c r="AN953" s="149">
        <v>0</v>
      </c>
      <c r="AO953" s="149">
        <v>0</v>
      </c>
      <c r="AP953" s="149">
        <v>0</v>
      </c>
      <c r="AQ953" s="149">
        <v>0</v>
      </c>
      <c r="AR953" s="149">
        <v>0</v>
      </c>
      <c r="AS953" s="149">
        <v>0</v>
      </c>
      <c r="AT953" s="149">
        <v>49</v>
      </c>
      <c r="AU953" s="149">
        <v>0</v>
      </c>
      <c r="AV953" s="149">
        <v>0</v>
      </c>
      <c r="AW953" s="149">
        <v>0</v>
      </c>
      <c r="AX953" s="149">
        <v>0</v>
      </c>
      <c r="AY953" s="149">
        <v>0</v>
      </c>
      <c r="AZ953" s="149">
        <v>0</v>
      </c>
      <c r="BA953" s="149">
        <v>49</v>
      </c>
      <c r="BB953" s="149">
        <v>0</v>
      </c>
      <c r="BC953" s="149">
        <v>0</v>
      </c>
      <c r="BD953" s="149">
        <v>0</v>
      </c>
      <c r="BE953" s="149">
        <v>0</v>
      </c>
      <c r="BF953" s="149">
        <v>0</v>
      </c>
      <c r="BG953" s="149">
        <v>0</v>
      </c>
      <c r="BH953" s="149">
        <v>0</v>
      </c>
      <c r="BI953" s="149">
        <v>0</v>
      </c>
      <c r="BJ953" s="149">
        <v>0</v>
      </c>
      <c r="BK953" s="149">
        <v>0</v>
      </c>
      <c r="BL953" s="149">
        <v>0</v>
      </c>
      <c r="BM953" s="149">
        <v>0</v>
      </c>
      <c r="BN953" s="149">
        <v>0</v>
      </c>
      <c r="BO953" s="149">
        <v>0</v>
      </c>
      <c r="BP953" s="136"/>
      <c r="BQ953" s="136"/>
      <c r="BR953" s="154" t="s">
        <v>148</v>
      </c>
      <c r="BS953" s="136">
        <v>19</v>
      </c>
      <c r="BT953" s="267"/>
      <c r="BU953" s="267"/>
      <c r="BV953" s="267"/>
      <c r="BW953" s="267"/>
      <c r="BX953" s="267"/>
      <c r="BY953" s="267">
        <f>M953/16</f>
        <v>3.0625</v>
      </c>
      <c r="BZ953" s="267">
        <f>M953/16</f>
        <v>3.0625</v>
      </c>
      <c r="CA953" s="267">
        <f>M953/16</f>
        <v>3.0625</v>
      </c>
      <c r="CB953" s="267">
        <f>M953/16</f>
        <v>3.0625</v>
      </c>
      <c r="CC953" s="267">
        <f>M953/16</f>
        <v>3.0625</v>
      </c>
      <c r="CD953" s="267">
        <f>M953/16</f>
        <v>3.0625</v>
      </c>
      <c r="CE953" s="267">
        <f>M953/16</f>
        <v>3.0625</v>
      </c>
      <c r="CF953" s="267">
        <f>M953/16</f>
        <v>3.0625</v>
      </c>
      <c r="CG953" s="267">
        <f>M953/16</f>
        <v>3.0625</v>
      </c>
      <c r="CH953" s="267">
        <f>M953/16</f>
        <v>3.0625</v>
      </c>
      <c r="CI953" s="267">
        <f>M953/16</f>
        <v>3.0625</v>
      </c>
      <c r="CJ953" s="267">
        <f>M953/16</f>
        <v>3.0625</v>
      </c>
      <c r="CK953" s="267">
        <f>M953/16</f>
        <v>3.0625</v>
      </c>
      <c r="CL953" s="267">
        <f>M953/16</f>
        <v>3.0625</v>
      </c>
      <c r="CM953" s="267">
        <f>M953/16</f>
        <v>3.0625</v>
      </c>
      <c r="CN953" s="101">
        <f t="shared" si="132"/>
        <v>3.0625</v>
      </c>
      <c r="CO953" s="101">
        <f t="shared" si="133"/>
        <v>18.375</v>
      </c>
    </row>
    <row r="954" spans="1:93" ht="13.9" customHeight="1" x14ac:dyDescent="0.2">
      <c r="A954" s="149">
        <v>6895</v>
      </c>
      <c r="B954" s="150" t="s">
        <v>2522</v>
      </c>
      <c r="C954" s="150"/>
      <c r="D954" s="150" t="s">
        <v>2576</v>
      </c>
      <c r="E954" s="150"/>
      <c r="F954" s="149">
        <v>525545</v>
      </c>
      <c r="G954" s="149">
        <v>175231</v>
      </c>
      <c r="H954" s="150" t="s">
        <v>170</v>
      </c>
      <c r="I954" s="151"/>
      <c r="J954" s="151"/>
      <c r="K954" s="149">
        <v>0</v>
      </c>
      <c r="L954" s="149">
        <v>92</v>
      </c>
      <c r="M954" s="149">
        <v>92</v>
      </c>
      <c r="N954" s="149">
        <v>141</v>
      </c>
      <c r="O954" s="149">
        <v>141</v>
      </c>
      <c r="P954" s="152" t="s">
        <v>327</v>
      </c>
      <c r="Q954" s="150" t="s">
        <v>2524</v>
      </c>
      <c r="R954" s="150" t="s">
        <v>2525</v>
      </c>
      <c r="S954" s="151"/>
      <c r="T954" s="151"/>
      <c r="U954" s="152"/>
      <c r="V954" s="150" t="s">
        <v>330</v>
      </c>
      <c r="W954" s="151"/>
      <c r="X954" s="150" t="s">
        <v>331</v>
      </c>
      <c r="Y954" s="150" t="s">
        <v>343</v>
      </c>
      <c r="Z954" s="150" t="s">
        <v>343</v>
      </c>
      <c r="AA954" s="150" t="s">
        <v>334</v>
      </c>
      <c r="AB954" s="153">
        <v>0</v>
      </c>
      <c r="AC954" s="151"/>
      <c r="AD954" s="150"/>
      <c r="AE954" s="151"/>
      <c r="AF954" s="150" t="s">
        <v>70</v>
      </c>
      <c r="AG954" s="152" t="s">
        <v>352</v>
      </c>
      <c r="AH954" s="150" t="s">
        <v>2577</v>
      </c>
      <c r="AI954" s="99"/>
      <c r="AJ954" s="149">
        <v>0</v>
      </c>
      <c r="AK954" s="99">
        <v>0</v>
      </c>
      <c r="AL954" s="149">
        <v>0</v>
      </c>
      <c r="AM954" s="99">
        <v>0</v>
      </c>
      <c r="AN954" s="149">
        <v>0</v>
      </c>
      <c r="AO954" s="149">
        <v>0</v>
      </c>
      <c r="AP954" s="149">
        <v>0</v>
      </c>
      <c r="AQ954" s="149">
        <v>0</v>
      </c>
      <c r="AR954" s="149">
        <v>0</v>
      </c>
      <c r="AS954" s="149">
        <v>0</v>
      </c>
      <c r="AT954" s="149">
        <v>92</v>
      </c>
      <c r="AU954" s="149">
        <v>0</v>
      </c>
      <c r="AV954" s="149">
        <v>0</v>
      </c>
      <c r="AW954" s="149">
        <v>0</v>
      </c>
      <c r="AX954" s="149">
        <v>0</v>
      </c>
      <c r="AY954" s="149">
        <v>0</v>
      </c>
      <c r="AZ954" s="149">
        <v>0</v>
      </c>
      <c r="BA954" s="149">
        <v>92</v>
      </c>
      <c r="BB954" s="149">
        <v>0</v>
      </c>
      <c r="BC954" s="149">
        <v>0</v>
      </c>
      <c r="BD954" s="149">
        <v>0</v>
      </c>
      <c r="BE954" s="149">
        <v>0</v>
      </c>
      <c r="BF954" s="149">
        <v>0</v>
      </c>
      <c r="BG954" s="149">
        <v>0</v>
      </c>
      <c r="BH954" s="149">
        <v>0</v>
      </c>
      <c r="BI954" s="149">
        <v>0</v>
      </c>
      <c r="BJ954" s="149">
        <v>0</v>
      </c>
      <c r="BK954" s="149">
        <v>0</v>
      </c>
      <c r="BL954" s="149">
        <v>0</v>
      </c>
      <c r="BM954" s="149">
        <v>0</v>
      </c>
      <c r="BN954" s="149">
        <v>0</v>
      </c>
      <c r="BO954" s="149">
        <v>0</v>
      </c>
      <c r="BP954" s="136"/>
      <c r="BQ954" s="136"/>
      <c r="BR954" s="154" t="s">
        <v>463</v>
      </c>
      <c r="BS954" s="136">
        <v>19</v>
      </c>
      <c r="BT954" s="267"/>
      <c r="BU954" s="267"/>
      <c r="BV954" s="267"/>
      <c r="BW954" s="267"/>
      <c r="BX954" s="267"/>
      <c r="BY954" s="267"/>
      <c r="BZ954" s="267"/>
      <c r="CA954" s="267"/>
      <c r="CB954" s="267"/>
      <c r="CC954" s="267">
        <f>M954/12</f>
        <v>7.666666666666667</v>
      </c>
      <c r="CD954" s="267">
        <f>M954/12</f>
        <v>7.666666666666667</v>
      </c>
      <c r="CE954" s="267">
        <f>M954/12</f>
        <v>7.666666666666667</v>
      </c>
      <c r="CF954" s="267">
        <f>M954/12</f>
        <v>7.666666666666667</v>
      </c>
      <c r="CG954" s="267">
        <f>M954/12</f>
        <v>7.666666666666667</v>
      </c>
      <c r="CH954" s="267">
        <f>M954/12</f>
        <v>7.666666666666667</v>
      </c>
      <c r="CI954" s="267">
        <f>M954/12</f>
        <v>7.666666666666667</v>
      </c>
      <c r="CJ954" s="267">
        <f>M954/12</f>
        <v>7.666666666666667</v>
      </c>
      <c r="CK954" s="267">
        <f>M954/12</f>
        <v>7.666666666666667</v>
      </c>
      <c r="CL954" s="267">
        <f>M954/12</f>
        <v>7.666666666666667</v>
      </c>
      <c r="CM954" s="267">
        <f>M954/12</f>
        <v>7.666666666666667</v>
      </c>
      <c r="CN954" s="101">
        <f t="shared" si="132"/>
        <v>0</v>
      </c>
      <c r="CO954" s="101">
        <f t="shared" si="133"/>
        <v>15.333333333333334</v>
      </c>
    </row>
    <row r="955" spans="1:93" ht="13.9" customHeight="1" x14ac:dyDescent="0.2">
      <c r="A955" s="149">
        <v>6895</v>
      </c>
      <c r="B955" s="150" t="s">
        <v>2522</v>
      </c>
      <c r="C955" s="150"/>
      <c r="D955" s="150" t="s">
        <v>2576</v>
      </c>
      <c r="E955" s="150"/>
      <c r="F955" s="149">
        <v>525545</v>
      </c>
      <c r="G955" s="149">
        <v>175231</v>
      </c>
      <c r="H955" s="150" t="s">
        <v>170</v>
      </c>
      <c r="I955" s="151"/>
      <c r="J955" s="151"/>
      <c r="K955" s="149">
        <v>0</v>
      </c>
      <c r="L955" s="149">
        <v>25</v>
      </c>
      <c r="M955" s="149">
        <v>25</v>
      </c>
      <c r="N955" s="149">
        <v>141</v>
      </c>
      <c r="O955" s="149">
        <v>141</v>
      </c>
      <c r="P955" s="152" t="s">
        <v>327</v>
      </c>
      <c r="Q955" s="150" t="s">
        <v>2524</v>
      </c>
      <c r="R955" s="150" t="s">
        <v>2525</v>
      </c>
      <c r="S955" s="151"/>
      <c r="T955" s="151"/>
      <c r="U955" s="152"/>
      <c r="V955" s="150" t="s">
        <v>330</v>
      </c>
      <c r="W955" s="151"/>
      <c r="X955" s="150" t="s">
        <v>331</v>
      </c>
      <c r="Y955" s="150" t="s">
        <v>343</v>
      </c>
      <c r="Z955" s="150" t="s">
        <v>343</v>
      </c>
      <c r="AA955" s="150" t="s">
        <v>334</v>
      </c>
      <c r="AB955" s="153">
        <v>0</v>
      </c>
      <c r="AC955" s="151"/>
      <c r="AD955" s="150"/>
      <c r="AE955" s="151"/>
      <c r="AF955" s="150" t="s">
        <v>49</v>
      </c>
      <c r="AG955" s="152" t="s">
        <v>470</v>
      </c>
      <c r="AH955" s="150" t="s">
        <v>2577</v>
      </c>
      <c r="AI955" s="99"/>
      <c r="AJ955" s="149">
        <v>0</v>
      </c>
      <c r="AK955" s="99">
        <v>0</v>
      </c>
      <c r="AL955" s="149">
        <v>0</v>
      </c>
      <c r="AM955" s="99">
        <v>0</v>
      </c>
      <c r="AN955" s="149">
        <v>0</v>
      </c>
      <c r="AO955" s="149">
        <v>0</v>
      </c>
      <c r="AP955" s="149">
        <v>0</v>
      </c>
      <c r="AQ955" s="149">
        <v>0</v>
      </c>
      <c r="AR955" s="149">
        <v>0</v>
      </c>
      <c r="AS955" s="149">
        <v>0</v>
      </c>
      <c r="AT955" s="149">
        <v>25</v>
      </c>
      <c r="AU955" s="149">
        <v>0</v>
      </c>
      <c r="AV955" s="149">
        <v>0</v>
      </c>
      <c r="AW955" s="149">
        <v>0</v>
      </c>
      <c r="AX955" s="149">
        <v>0</v>
      </c>
      <c r="AY955" s="149">
        <v>0</v>
      </c>
      <c r="AZ955" s="149">
        <v>0</v>
      </c>
      <c r="BA955" s="149">
        <v>25</v>
      </c>
      <c r="BB955" s="149">
        <v>0</v>
      </c>
      <c r="BC955" s="149">
        <v>0</v>
      </c>
      <c r="BD955" s="149">
        <v>0</v>
      </c>
      <c r="BE955" s="149">
        <v>0</v>
      </c>
      <c r="BF955" s="149">
        <v>0</v>
      </c>
      <c r="BG955" s="149">
        <v>0</v>
      </c>
      <c r="BH955" s="149">
        <v>0</v>
      </c>
      <c r="BI955" s="149">
        <v>0</v>
      </c>
      <c r="BJ955" s="149">
        <v>0</v>
      </c>
      <c r="BK955" s="149">
        <v>0</v>
      </c>
      <c r="BL955" s="149">
        <v>0</v>
      </c>
      <c r="BM955" s="149">
        <v>0</v>
      </c>
      <c r="BN955" s="149">
        <v>0</v>
      </c>
      <c r="BO955" s="149">
        <v>0</v>
      </c>
      <c r="BP955" s="136"/>
      <c r="BQ955" s="136"/>
      <c r="BR955" s="154" t="s">
        <v>463</v>
      </c>
      <c r="BS955" s="136">
        <v>19</v>
      </c>
      <c r="BT955" s="267"/>
      <c r="BU955" s="267"/>
      <c r="BV955" s="267"/>
      <c r="BW955" s="267"/>
      <c r="BX955" s="267"/>
      <c r="BY955" s="267"/>
      <c r="BZ955" s="267"/>
      <c r="CA955" s="267"/>
      <c r="CB955" s="267"/>
      <c r="CC955" s="267">
        <f>M955/12</f>
        <v>2.0833333333333335</v>
      </c>
      <c r="CD955" s="267">
        <f>M955/12</f>
        <v>2.0833333333333335</v>
      </c>
      <c r="CE955" s="267">
        <f>M955/12</f>
        <v>2.0833333333333335</v>
      </c>
      <c r="CF955" s="267">
        <f>M955/12</f>
        <v>2.0833333333333335</v>
      </c>
      <c r="CG955" s="267">
        <f>M955/12</f>
        <v>2.0833333333333335</v>
      </c>
      <c r="CH955" s="267">
        <f>M955/12</f>
        <v>2.0833333333333335</v>
      </c>
      <c r="CI955" s="267">
        <f>M955/12</f>
        <v>2.0833333333333335</v>
      </c>
      <c r="CJ955" s="267">
        <f>M955/12</f>
        <v>2.0833333333333335</v>
      </c>
      <c r="CK955" s="267">
        <f>M955/12</f>
        <v>2.0833333333333335</v>
      </c>
      <c r="CL955" s="267">
        <f>M955/12</f>
        <v>2.0833333333333335</v>
      </c>
      <c r="CM955" s="267">
        <f>M955/12</f>
        <v>2.0833333333333335</v>
      </c>
      <c r="CN955" s="101">
        <f t="shared" si="132"/>
        <v>0</v>
      </c>
      <c r="CO955" s="101">
        <f t="shared" si="133"/>
        <v>4.166666666666667</v>
      </c>
    </row>
    <row r="956" spans="1:93" ht="13.9" customHeight="1" x14ac:dyDescent="0.2">
      <c r="A956" s="149">
        <v>6895</v>
      </c>
      <c r="B956" s="150" t="s">
        <v>2522</v>
      </c>
      <c r="C956" s="150"/>
      <c r="D956" s="150" t="s">
        <v>2576</v>
      </c>
      <c r="E956" s="150"/>
      <c r="F956" s="149">
        <v>525545</v>
      </c>
      <c r="G956" s="149">
        <v>175231</v>
      </c>
      <c r="H956" s="150" t="s">
        <v>170</v>
      </c>
      <c r="I956" s="151"/>
      <c r="J956" s="151"/>
      <c r="K956" s="149">
        <v>0</v>
      </c>
      <c r="L956" s="149">
        <v>24</v>
      </c>
      <c r="M956" s="149">
        <v>24</v>
      </c>
      <c r="N956" s="149">
        <v>141</v>
      </c>
      <c r="O956" s="149">
        <v>141</v>
      </c>
      <c r="P956" s="152" t="s">
        <v>327</v>
      </c>
      <c r="Q956" s="150" t="s">
        <v>2524</v>
      </c>
      <c r="R956" s="150" t="s">
        <v>2525</v>
      </c>
      <c r="S956" s="151"/>
      <c r="T956" s="151"/>
      <c r="U956" s="152"/>
      <c r="V956" s="150" t="s">
        <v>330</v>
      </c>
      <c r="W956" s="151"/>
      <c r="X956" s="150" t="s">
        <v>331</v>
      </c>
      <c r="Y956" s="150" t="s">
        <v>343</v>
      </c>
      <c r="Z956" s="150" t="s">
        <v>343</v>
      </c>
      <c r="AA956" s="150" t="s">
        <v>334</v>
      </c>
      <c r="AB956" s="153">
        <v>0</v>
      </c>
      <c r="AC956" s="151"/>
      <c r="AD956" s="150"/>
      <c r="AE956" s="151"/>
      <c r="AF956" s="150" t="s">
        <v>48</v>
      </c>
      <c r="AG956" s="152" t="s">
        <v>992</v>
      </c>
      <c r="AH956" s="150" t="s">
        <v>2577</v>
      </c>
      <c r="AI956" s="99"/>
      <c r="AJ956" s="149">
        <v>0</v>
      </c>
      <c r="AK956" s="99">
        <v>0</v>
      </c>
      <c r="AL956" s="149">
        <v>0</v>
      </c>
      <c r="AM956" s="99">
        <v>0</v>
      </c>
      <c r="AN956" s="149">
        <v>0</v>
      </c>
      <c r="AO956" s="149">
        <v>0</v>
      </c>
      <c r="AP956" s="149">
        <v>0</v>
      </c>
      <c r="AQ956" s="149">
        <v>0</v>
      </c>
      <c r="AR956" s="149">
        <v>0</v>
      </c>
      <c r="AS956" s="149">
        <v>0</v>
      </c>
      <c r="AT956" s="149">
        <v>24</v>
      </c>
      <c r="AU956" s="149">
        <v>0</v>
      </c>
      <c r="AV956" s="149">
        <v>0</v>
      </c>
      <c r="AW956" s="149">
        <v>0</v>
      </c>
      <c r="AX956" s="149">
        <v>0</v>
      </c>
      <c r="AY956" s="149">
        <v>0</v>
      </c>
      <c r="AZ956" s="149">
        <v>0</v>
      </c>
      <c r="BA956" s="149">
        <v>24</v>
      </c>
      <c r="BB956" s="149">
        <v>0</v>
      </c>
      <c r="BC956" s="149">
        <v>0</v>
      </c>
      <c r="BD956" s="149">
        <v>0</v>
      </c>
      <c r="BE956" s="149">
        <v>0</v>
      </c>
      <c r="BF956" s="149">
        <v>0</v>
      </c>
      <c r="BG956" s="149">
        <v>0</v>
      </c>
      <c r="BH956" s="149">
        <v>0</v>
      </c>
      <c r="BI956" s="149">
        <v>0</v>
      </c>
      <c r="BJ956" s="149">
        <v>0</v>
      </c>
      <c r="BK956" s="149">
        <v>0</v>
      </c>
      <c r="BL956" s="149">
        <v>0</v>
      </c>
      <c r="BM956" s="149">
        <v>0</v>
      </c>
      <c r="BN956" s="149">
        <v>0</v>
      </c>
      <c r="BO956" s="149">
        <v>0</v>
      </c>
      <c r="BP956" s="136"/>
      <c r="BQ956" s="136"/>
      <c r="BR956" s="154" t="s">
        <v>463</v>
      </c>
      <c r="BS956" s="136">
        <v>19</v>
      </c>
      <c r="BT956" s="267"/>
      <c r="BU956" s="267"/>
      <c r="BV956" s="267"/>
      <c r="BW956" s="267"/>
      <c r="BX956" s="267"/>
      <c r="BY956" s="267"/>
      <c r="BZ956" s="267"/>
      <c r="CA956" s="267"/>
      <c r="CB956" s="267"/>
      <c r="CC956" s="267">
        <f>M956/12</f>
        <v>2</v>
      </c>
      <c r="CD956" s="267">
        <f>M956/12</f>
        <v>2</v>
      </c>
      <c r="CE956" s="267">
        <f>M956/12</f>
        <v>2</v>
      </c>
      <c r="CF956" s="267">
        <f>M956/12</f>
        <v>2</v>
      </c>
      <c r="CG956" s="267">
        <f>M956/12</f>
        <v>2</v>
      </c>
      <c r="CH956" s="267">
        <f>M956/12</f>
        <v>2</v>
      </c>
      <c r="CI956" s="267">
        <f>M956/12</f>
        <v>2</v>
      </c>
      <c r="CJ956" s="267">
        <f>M956/12</f>
        <v>2</v>
      </c>
      <c r="CK956" s="267">
        <f>M956/12</f>
        <v>2</v>
      </c>
      <c r="CL956" s="267">
        <f>M956/12</f>
        <v>2</v>
      </c>
      <c r="CM956" s="267">
        <f>M956/12</f>
        <v>2</v>
      </c>
      <c r="CN956" s="101">
        <f t="shared" si="132"/>
        <v>0</v>
      </c>
      <c r="CO956" s="101">
        <f t="shared" si="133"/>
        <v>4</v>
      </c>
    </row>
    <row r="957" spans="1:93" ht="13.9" customHeight="1" x14ac:dyDescent="0.2">
      <c r="A957" s="149">
        <v>6905</v>
      </c>
      <c r="B957" s="150" t="s">
        <v>2522</v>
      </c>
      <c r="C957" s="150"/>
      <c r="D957" s="150" t="s">
        <v>2578</v>
      </c>
      <c r="E957" s="150"/>
      <c r="F957" s="149">
        <v>525428</v>
      </c>
      <c r="G957" s="149">
        <v>174978</v>
      </c>
      <c r="H957" s="150" t="s">
        <v>177</v>
      </c>
      <c r="I957" s="151"/>
      <c r="J957" s="151"/>
      <c r="K957" s="149">
        <v>0</v>
      </c>
      <c r="L957" s="149">
        <v>112</v>
      </c>
      <c r="M957" s="149">
        <v>112</v>
      </c>
      <c r="N957" s="149">
        <v>172</v>
      </c>
      <c r="O957" s="149">
        <v>172</v>
      </c>
      <c r="P957" s="152" t="s">
        <v>327</v>
      </c>
      <c r="Q957" s="150" t="s">
        <v>2524</v>
      </c>
      <c r="R957" s="150" t="s">
        <v>2525</v>
      </c>
      <c r="S957" s="151"/>
      <c r="T957" s="151"/>
      <c r="U957" s="152"/>
      <c r="V957" s="150" t="s">
        <v>330</v>
      </c>
      <c r="W957" s="151"/>
      <c r="X957" s="150" t="s">
        <v>331</v>
      </c>
      <c r="Y957" s="150" t="s">
        <v>343</v>
      </c>
      <c r="Z957" s="150" t="s">
        <v>343</v>
      </c>
      <c r="AA957" s="150" t="s">
        <v>334</v>
      </c>
      <c r="AB957" s="153">
        <v>0</v>
      </c>
      <c r="AC957" s="151"/>
      <c r="AD957" s="150"/>
      <c r="AE957" s="151"/>
      <c r="AF957" s="150" t="s">
        <v>70</v>
      </c>
      <c r="AG957" s="152" t="s">
        <v>352</v>
      </c>
      <c r="AH957" s="150" t="s">
        <v>2579</v>
      </c>
      <c r="AI957" s="99"/>
      <c r="AJ957" s="149">
        <v>0</v>
      </c>
      <c r="AK957" s="99">
        <v>0</v>
      </c>
      <c r="AL957" s="149">
        <v>0</v>
      </c>
      <c r="AM957" s="99">
        <v>0</v>
      </c>
      <c r="AN957" s="149">
        <v>0</v>
      </c>
      <c r="AO957" s="149">
        <v>0</v>
      </c>
      <c r="AP957" s="149">
        <v>0</v>
      </c>
      <c r="AQ957" s="149">
        <v>0</v>
      </c>
      <c r="AR957" s="149">
        <v>0</v>
      </c>
      <c r="AS957" s="149">
        <v>0</v>
      </c>
      <c r="AT957" s="149">
        <v>112</v>
      </c>
      <c r="AU957" s="149">
        <v>0</v>
      </c>
      <c r="AV957" s="149">
        <v>0</v>
      </c>
      <c r="AW957" s="149">
        <v>0</v>
      </c>
      <c r="AX957" s="149">
        <v>0</v>
      </c>
      <c r="AY957" s="149">
        <v>0</v>
      </c>
      <c r="AZ957" s="149">
        <v>0</v>
      </c>
      <c r="BA957" s="149">
        <v>112</v>
      </c>
      <c r="BB957" s="149">
        <v>0</v>
      </c>
      <c r="BC957" s="149">
        <v>0</v>
      </c>
      <c r="BD957" s="149">
        <v>0</v>
      </c>
      <c r="BE957" s="149">
        <v>0</v>
      </c>
      <c r="BF957" s="149">
        <v>0</v>
      </c>
      <c r="BG957" s="149">
        <v>0</v>
      </c>
      <c r="BH957" s="149">
        <v>0</v>
      </c>
      <c r="BI957" s="149">
        <v>0</v>
      </c>
      <c r="BJ957" s="149">
        <v>0</v>
      </c>
      <c r="BK957" s="149">
        <v>0</v>
      </c>
      <c r="BL957" s="149">
        <v>0</v>
      </c>
      <c r="BM957" s="149">
        <v>0</v>
      </c>
      <c r="BN957" s="149">
        <v>0</v>
      </c>
      <c r="BO957" s="149">
        <v>0</v>
      </c>
      <c r="BP957" s="136"/>
      <c r="BQ957" s="136"/>
      <c r="BR957" s="154" t="s">
        <v>463</v>
      </c>
      <c r="BS957" s="136">
        <v>19</v>
      </c>
      <c r="BT957" s="267"/>
      <c r="BU957" s="267"/>
      <c r="BV957" s="267"/>
      <c r="BW957" s="267"/>
      <c r="BX957" s="267"/>
      <c r="BY957" s="267">
        <f>M957/10</f>
        <v>11.2</v>
      </c>
      <c r="BZ957" s="267">
        <f>M957/10</f>
        <v>11.2</v>
      </c>
      <c r="CA957" s="267">
        <f>M957/10</f>
        <v>11.2</v>
      </c>
      <c r="CB957" s="267">
        <f>M957/10</f>
        <v>11.2</v>
      </c>
      <c r="CC957" s="267">
        <f>M957/10</f>
        <v>11.2</v>
      </c>
      <c r="CD957" s="267">
        <f>M957/10</f>
        <v>11.2</v>
      </c>
      <c r="CE957" s="267">
        <f>M957/10</f>
        <v>11.2</v>
      </c>
      <c r="CF957" s="267">
        <f>M957/10</f>
        <v>11.2</v>
      </c>
      <c r="CG957" s="267">
        <f>M957/10</f>
        <v>11.2</v>
      </c>
      <c r="CH957" s="267">
        <f>M957/10</f>
        <v>11.2</v>
      </c>
      <c r="CI957" s="267"/>
      <c r="CJ957" s="267"/>
      <c r="CK957" s="267"/>
      <c r="CL957" s="267"/>
      <c r="CM957" s="267"/>
      <c r="CN957" s="101">
        <f t="shared" si="132"/>
        <v>11.2</v>
      </c>
      <c r="CO957" s="101">
        <f t="shared" si="133"/>
        <v>67.2</v>
      </c>
    </row>
    <row r="958" spans="1:93" ht="13.9" customHeight="1" x14ac:dyDescent="0.2">
      <c r="A958" s="149">
        <v>6905</v>
      </c>
      <c r="B958" s="150" t="s">
        <v>2522</v>
      </c>
      <c r="C958" s="150"/>
      <c r="D958" s="150" t="s">
        <v>2578</v>
      </c>
      <c r="E958" s="150"/>
      <c r="F958" s="149">
        <v>525428</v>
      </c>
      <c r="G958" s="149">
        <v>174978</v>
      </c>
      <c r="H958" s="150" t="s">
        <v>177</v>
      </c>
      <c r="I958" s="151"/>
      <c r="J958" s="151"/>
      <c r="K958" s="149">
        <v>0</v>
      </c>
      <c r="L958" s="149">
        <v>30</v>
      </c>
      <c r="M958" s="149">
        <v>30</v>
      </c>
      <c r="N958" s="149">
        <v>172</v>
      </c>
      <c r="O958" s="149">
        <v>172</v>
      </c>
      <c r="P958" s="152" t="s">
        <v>327</v>
      </c>
      <c r="Q958" s="150" t="s">
        <v>2524</v>
      </c>
      <c r="R958" s="150" t="s">
        <v>2525</v>
      </c>
      <c r="S958" s="151"/>
      <c r="T958" s="151"/>
      <c r="U958" s="152"/>
      <c r="V958" s="150" t="s">
        <v>330</v>
      </c>
      <c r="W958" s="151"/>
      <c r="X958" s="150" t="s">
        <v>331</v>
      </c>
      <c r="Y958" s="150" t="s">
        <v>343</v>
      </c>
      <c r="Z958" s="150" t="s">
        <v>343</v>
      </c>
      <c r="AA958" s="150" t="s">
        <v>334</v>
      </c>
      <c r="AB958" s="153">
        <v>0</v>
      </c>
      <c r="AC958" s="151"/>
      <c r="AD958" s="150"/>
      <c r="AE958" s="151"/>
      <c r="AF958" s="150" t="s">
        <v>49</v>
      </c>
      <c r="AG958" s="152" t="s">
        <v>470</v>
      </c>
      <c r="AH958" s="150" t="s">
        <v>2579</v>
      </c>
      <c r="AI958" s="99"/>
      <c r="AJ958" s="149">
        <v>0</v>
      </c>
      <c r="AK958" s="99">
        <v>0</v>
      </c>
      <c r="AL958" s="149">
        <v>0</v>
      </c>
      <c r="AM958" s="99">
        <v>0</v>
      </c>
      <c r="AN958" s="149">
        <v>0</v>
      </c>
      <c r="AO958" s="149">
        <v>0</v>
      </c>
      <c r="AP958" s="149">
        <v>0</v>
      </c>
      <c r="AQ958" s="149">
        <v>0</v>
      </c>
      <c r="AR958" s="149">
        <v>0</v>
      </c>
      <c r="AS958" s="149">
        <v>0</v>
      </c>
      <c r="AT958" s="149">
        <v>30</v>
      </c>
      <c r="AU958" s="149">
        <v>0</v>
      </c>
      <c r="AV958" s="149">
        <v>0</v>
      </c>
      <c r="AW958" s="149">
        <v>0</v>
      </c>
      <c r="AX958" s="149">
        <v>0</v>
      </c>
      <c r="AY958" s="149">
        <v>0</v>
      </c>
      <c r="AZ958" s="149">
        <v>0</v>
      </c>
      <c r="BA958" s="149">
        <v>30</v>
      </c>
      <c r="BB958" s="149">
        <v>0</v>
      </c>
      <c r="BC958" s="149">
        <v>0</v>
      </c>
      <c r="BD958" s="149">
        <v>0</v>
      </c>
      <c r="BE958" s="149">
        <v>0</v>
      </c>
      <c r="BF958" s="149">
        <v>0</v>
      </c>
      <c r="BG958" s="149">
        <v>0</v>
      </c>
      <c r="BH958" s="149">
        <v>0</v>
      </c>
      <c r="BI958" s="149">
        <v>0</v>
      </c>
      <c r="BJ958" s="149">
        <v>0</v>
      </c>
      <c r="BK958" s="149">
        <v>0</v>
      </c>
      <c r="BL958" s="149">
        <v>0</v>
      </c>
      <c r="BM958" s="149">
        <v>0</v>
      </c>
      <c r="BN958" s="149">
        <v>0</v>
      </c>
      <c r="BO958" s="149">
        <v>0</v>
      </c>
      <c r="BP958" s="136"/>
      <c r="BQ958" s="136"/>
      <c r="BR958" s="154" t="s">
        <v>463</v>
      </c>
      <c r="BS958" s="136">
        <v>19</v>
      </c>
      <c r="BT958" s="267"/>
      <c r="BU958" s="267"/>
      <c r="BV958" s="267"/>
      <c r="BW958" s="267"/>
      <c r="BX958" s="267"/>
      <c r="BY958" s="267">
        <f>M958/10</f>
        <v>3</v>
      </c>
      <c r="BZ958" s="267">
        <f>M958/10</f>
        <v>3</v>
      </c>
      <c r="CA958" s="267">
        <f>M958/10</f>
        <v>3</v>
      </c>
      <c r="CB958" s="267">
        <f>M958/10</f>
        <v>3</v>
      </c>
      <c r="CC958" s="267">
        <f>M958/10</f>
        <v>3</v>
      </c>
      <c r="CD958" s="267">
        <f>M958/10</f>
        <v>3</v>
      </c>
      <c r="CE958" s="267">
        <f>M958/10</f>
        <v>3</v>
      </c>
      <c r="CF958" s="267">
        <f>M958/10</f>
        <v>3</v>
      </c>
      <c r="CG958" s="267">
        <f>M958/10</f>
        <v>3</v>
      </c>
      <c r="CH958" s="267">
        <f>M958/10</f>
        <v>3</v>
      </c>
      <c r="CI958" s="267"/>
      <c r="CJ958" s="267"/>
      <c r="CK958" s="267"/>
      <c r="CL958" s="267"/>
      <c r="CM958" s="267"/>
      <c r="CN958" s="101">
        <f t="shared" si="132"/>
        <v>3</v>
      </c>
      <c r="CO958" s="101">
        <f t="shared" si="133"/>
        <v>18</v>
      </c>
    </row>
    <row r="959" spans="1:93" ht="13.9" customHeight="1" x14ac:dyDescent="0.2">
      <c r="A959" s="149">
        <v>6905</v>
      </c>
      <c r="B959" s="150" t="s">
        <v>2522</v>
      </c>
      <c r="C959" s="150"/>
      <c r="D959" s="150" t="s">
        <v>2578</v>
      </c>
      <c r="E959" s="150"/>
      <c r="F959" s="149">
        <v>525428</v>
      </c>
      <c r="G959" s="149">
        <v>174978</v>
      </c>
      <c r="H959" s="150" t="s">
        <v>177</v>
      </c>
      <c r="I959" s="151"/>
      <c r="J959" s="151"/>
      <c r="K959" s="149">
        <v>0</v>
      </c>
      <c r="L959" s="149">
        <v>30</v>
      </c>
      <c r="M959" s="149">
        <v>30</v>
      </c>
      <c r="N959" s="149">
        <v>172</v>
      </c>
      <c r="O959" s="149">
        <v>172</v>
      </c>
      <c r="P959" s="152" t="s">
        <v>327</v>
      </c>
      <c r="Q959" s="150" t="s">
        <v>2524</v>
      </c>
      <c r="R959" s="150" t="s">
        <v>2525</v>
      </c>
      <c r="S959" s="151"/>
      <c r="T959" s="151"/>
      <c r="U959" s="152"/>
      <c r="V959" s="150" t="s">
        <v>330</v>
      </c>
      <c r="W959" s="151"/>
      <c r="X959" s="150" t="s">
        <v>331</v>
      </c>
      <c r="Y959" s="150" t="s">
        <v>343</v>
      </c>
      <c r="Z959" s="150" t="s">
        <v>343</v>
      </c>
      <c r="AA959" s="150" t="s">
        <v>334</v>
      </c>
      <c r="AB959" s="153">
        <v>0</v>
      </c>
      <c r="AC959" s="151"/>
      <c r="AD959" s="150"/>
      <c r="AE959" s="151"/>
      <c r="AF959" s="150" t="s">
        <v>48</v>
      </c>
      <c r="AG959" s="152" t="s">
        <v>992</v>
      </c>
      <c r="AH959" s="150" t="s">
        <v>2579</v>
      </c>
      <c r="AI959" s="99"/>
      <c r="AJ959" s="149">
        <v>0</v>
      </c>
      <c r="AK959" s="99">
        <v>0</v>
      </c>
      <c r="AL959" s="149">
        <v>0</v>
      </c>
      <c r="AM959" s="99">
        <v>0</v>
      </c>
      <c r="AN959" s="149">
        <v>0</v>
      </c>
      <c r="AO959" s="149">
        <v>0</v>
      </c>
      <c r="AP959" s="149">
        <v>0</v>
      </c>
      <c r="AQ959" s="149">
        <v>0</v>
      </c>
      <c r="AR959" s="149">
        <v>0</v>
      </c>
      <c r="AS959" s="149">
        <v>0</v>
      </c>
      <c r="AT959" s="149">
        <v>30</v>
      </c>
      <c r="AU959" s="149">
        <v>0</v>
      </c>
      <c r="AV959" s="149">
        <v>0</v>
      </c>
      <c r="AW959" s="149">
        <v>0</v>
      </c>
      <c r="AX959" s="149">
        <v>0</v>
      </c>
      <c r="AY959" s="149">
        <v>0</v>
      </c>
      <c r="AZ959" s="149">
        <v>0</v>
      </c>
      <c r="BA959" s="149">
        <v>30</v>
      </c>
      <c r="BB959" s="149">
        <v>0</v>
      </c>
      <c r="BC959" s="149">
        <v>0</v>
      </c>
      <c r="BD959" s="149">
        <v>0</v>
      </c>
      <c r="BE959" s="149">
        <v>0</v>
      </c>
      <c r="BF959" s="149">
        <v>0</v>
      </c>
      <c r="BG959" s="149">
        <v>0</v>
      </c>
      <c r="BH959" s="149">
        <v>0</v>
      </c>
      <c r="BI959" s="149">
        <v>0</v>
      </c>
      <c r="BJ959" s="149">
        <v>0</v>
      </c>
      <c r="BK959" s="149">
        <v>0</v>
      </c>
      <c r="BL959" s="149">
        <v>0</v>
      </c>
      <c r="BM959" s="149">
        <v>0</v>
      </c>
      <c r="BN959" s="149">
        <v>0</v>
      </c>
      <c r="BO959" s="149">
        <v>0</v>
      </c>
      <c r="BP959" s="136"/>
      <c r="BQ959" s="136"/>
      <c r="BR959" s="154" t="s">
        <v>463</v>
      </c>
      <c r="BS959" s="136">
        <v>19</v>
      </c>
      <c r="BT959" s="267"/>
      <c r="BU959" s="267"/>
      <c r="BV959" s="267"/>
      <c r="BW959" s="267"/>
      <c r="BX959" s="267"/>
      <c r="BY959" s="267">
        <f>M959/10</f>
        <v>3</v>
      </c>
      <c r="BZ959" s="267">
        <f>M959/10</f>
        <v>3</v>
      </c>
      <c r="CA959" s="267">
        <f>M959/10</f>
        <v>3</v>
      </c>
      <c r="CB959" s="267">
        <f>M959/10</f>
        <v>3</v>
      </c>
      <c r="CC959" s="267">
        <f>M959/10</f>
        <v>3</v>
      </c>
      <c r="CD959" s="267">
        <f>M959/10</f>
        <v>3</v>
      </c>
      <c r="CE959" s="267">
        <f>M959/10</f>
        <v>3</v>
      </c>
      <c r="CF959" s="267">
        <f>M959/10</f>
        <v>3</v>
      </c>
      <c r="CG959" s="267">
        <f>M959/10</f>
        <v>3</v>
      </c>
      <c r="CH959" s="267">
        <f>M959/10</f>
        <v>3</v>
      </c>
      <c r="CI959" s="267"/>
      <c r="CJ959" s="267"/>
      <c r="CK959" s="267"/>
      <c r="CL959" s="267"/>
      <c r="CM959" s="267"/>
      <c r="CN959" s="101">
        <f t="shared" si="132"/>
        <v>3</v>
      </c>
      <c r="CO959" s="101">
        <f t="shared" si="133"/>
        <v>18</v>
      </c>
    </row>
    <row r="960" spans="1:93" ht="13.9" customHeight="1" x14ac:dyDescent="0.2">
      <c r="A960" s="149">
        <v>6874</v>
      </c>
      <c r="B960" s="150" t="s">
        <v>2522</v>
      </c>
      <c r="C960" s="150"/>
      <c r="D960" s="150" t="s">
        <v>2580</v>
      </c>
      <c r="E960" s="150"/>
      <c r="F960" s="149">
        <v>526442</v>
      </c>
      <c r="G960" s="149">
        <v>175680</v>
      </c>
      <c r="H960" s="150" t="s">
        <v>170</v>
      </c>
      <c r="I960" s="151"/>
      <c r="J960" s="151"/>
      <c r="K960" s="149">
        <v>0</v>
      </c>
      <c r="L960" s="149">
        <v>50</v>
      </c>
      <c r="M960" s="149">
        <v>50</v>
      </c>
      <c r="N960" s="149">
        <v>77</v>
      </c>
      <c r="O960" s="149">
        <v>77</v>
      </c>
      <c r="P960" s="152" t="s">
        <v>327</v>
      </c>
      <c r="Q960" s="150" t="s">
        <v>2524</v>
      </c>
      <c r="R960" s="150" t="s">
        <v>2525</v>
      </c>
      <c r="S960" s="151"/>
      <c r="T960" s="151"/>
      <c r="U960" s="152"/>
      <c r="V960" s="150" t="s">
        <v>330</v>
      </c>
      <c r="W960" s="151"/>
      <c r="X960" s="150" t="s">
        <v>331</v>
      </c>
      <c r="Y960" s="150" t="s">
        <v>343</v>
      </c>
      <c r="Z960" s="150" t="s">
        <v>343</v>
      </c>
      <c r="AA960" s="150" t="s">
        <v>334</v>
      </c>
      <c r="AB960" s="153">
        <v>0</v>
      </c>
      <c r="AC960" s="151"/>
      <c r="AD960" s="150"/>
      <c r="AE960" s="151"/>
      <c r="AF960" s="150" t="s">
        <v>70</v>
      </c>
      <c r="AG960" s="152" t="s">
        <v>352</v>
      </c>
      <c r="AH960" s="150" t="s">
        <v>2581</v>
      </c>
      <c r="AI960" s="99"/>
      <c r="AJ960" s="149">
        <v>0</v>
      </c>
      <c r="AK960" s="99">
        <v>0</v>
      </c>
      <c r="AL960" s="149">
        <v>0</v>
      </c>
      <c r="AM960" s="99">
        <v>0</v>
      </c>
      <c r="AN960" s="149">
        <v>0</v>
      </c>
      <c r="AO960" s="149">
        <v>0</v>
      </c>
      <c r="AP960" s="149">
        <v>0</v>
      </c>
      <c r="AQ960" s="149">
        <v>0</v>
      </c>
      <c r="AR960" s="149">
        <v>0</v>
      </c>
      <c r="AS960" s="149">
        <v>0</v>
      </c>
      <c r="AT960" s="149">
        <v>50</v>
      </c>
      <c r="AU960" s="149">
        <v>0</v>
      </c>
      <c r="AV960" s="149">
        <v>0</v>
      </c>
      <c r="AW960" s="149">
        <v>0</v>
      </c>
      <c r="AX960" s="149">
        <v>0</v>
      </c>
      <c r="AY960" s="149">
        <v>0</v>
      </c>
      <c r="AZ960" s="149">
        <v>0</v>
      </c>
      <c r="BA960" s="149">
        <v>50</v>
      </c>
      <c r="BB960" s="149">
        <v>0</v>
      </c>
      <c r="BC960" s="149">
        <v>0</v>
      </c>
      <c r="BD960" s="149">
        <v>0</v>
      </c>
      <c r="BE960" s="149">
        <v>0</v>
      </c>
      <c r="BF960" s="149">
        <v>0</v>
      </c>
      <c r="BG960" s="149">
        <v>0</v>
      </c>
      <c r="BH960" s="149">
        <v>0</v>
      </c>
      <c r="BI960" s="149">
        <v>0</v>
      </c>
      <c r="BJ960" s="149">
        <v>0</v>
      </c>
      <c r="BK960" s="149">
        <v>0</v>
      </c>
      <c r="BL960" s="149">
        <v>0</v>
      </c>
      <c r="BM960" s="149">
        <v>0</v>
      </c>
      <c r="BN960" s="149">
        <v>0</v>
      </c>
      <c r="BO960" s="149">
        <v>0</v>
      </c>
      <c r="BP960" s="136"/>
      <c r="BQ960" s="136"/>
      <c r="BR960" s="154" t="s">
        <v>408</v>
      </c>
      <c r="BS960" s="136">
        <v>19</v>
      </c>
      <c r="BT960" s="267"/>
      <c r="BU960" s="267"/>
      <c r="BV960" s="267"/>
      <c r="BW960" s="267"/>
      <c r="BX960" s="267"/>
      <c r="BY960" s="267">
        <f>M960/16</f>
        <v>3.125</v>
      </c>
      <c r="BZ960" s="267">
        <f>M960/16</f>
        <v>3.125</v>
      </c>
      <c r="CA960" s="267">
        <f>M960/16</f>
        <v>3.125</v>
      </c>
      <c r="CB960" s="267">
        <f>M960/16</f>
        <v>3.125</v>
      </c>
      <c r="CC960" s="267">
        <f>M960/16</f>
        <v>3.125</v>
      </c>
      <c r="CD960" s="267">
        <f>M960/16</f>
        <v>3.125</v>
      </c>
      <c r="CE960" s="267">
        <f>M960/16</f>
        <v>3.125</v>
      </c>
      <c r="CF960" s="267">
        <f>M960/16</f>
        <v>3.125</v>
      </c>
      <c r="CG960" s="267">
        <f>M960/16</f>
        <v>3.125</v>
      </c>
      <c r="CH960" s="267">
        <f>M960/16</f>
        <v>3.125</v>
      </c>
      <c r="CI960" s="267">
        <f>M960/16</f>
        <v>3.125</v>
      </c>
      <c r="CJ960" s="267">
        <f>M960/16</f>
        <v>3.125</v>
      </c>
      <c r="CK960" s="267">
        <f>M960/16</f>
        <v>3.125</v>
      </c>
      <c r="CL960" s="267">
        <f>M960/16</f>
        <v>3.125</v>
      </c>
      <c r="CM960" s="267">
        <f>M960/16</f>
        <v>3.125</v>
      </c>
      <c r="CN960" s="101">
        <f t="shared" si="132"/>
        <v>3.125</v>
      </c>
      <c r="CO960" s="101">
        <f t="shared" si="133"/>
        <v>18.75</v>
      </c>
    </row>
    <row r="961" spans="1:93" ht="13.9" customHeight="1" x14ac:dyDescent="0.2">
      <c r="A961" s="149">
        <v>6874</v>
      </c>
      <c r="B961" s="150" t="s">
        <v>2522</v>
      </c>
      <c r="C961" s="150"/>
      <c r="D961" s="150" t="s">
        <v>2580</v>
      </c>
      <c r="E961" s="150"/>
      <c r="F961" s="149">
        <v>526442</v>
      </c>
      <c r="G961" s="149">
        <v>175680</v>
      </c>
      <c r="H961" s="150" t="s">
        <v>170</v>
      </c>
      <c r="I961" s="151"/>
      <c r="J961" s="151"/>
      <c r="K961" s="149">
        <v>0</v>
      </c>
      <c r="L961" s="149">
        <v>14</v>
      </c>
      <c r="M961" s="149">
        <v>14</v>
      </c>
      <c r="N961" s="149">
        <v>77</v>
      </c>
      <c r="O961" s="149">
        <v>77</v>
      </c>
      <c r="P961" s="152" t="s">
        <v>327</v>
      </c>
      <c r="Q961" s="150" t="s">
        <v>2524</v>
      </c>
      <c r="R961" s="150" t="s">
        <v>2525</v>
      </c>
      <c r="S961" s="151"/>
      <c r="T961" s="151"/>
      <c r="U961" s="152"/>
      <c r="V961" s="150" t="s">
        <v>330</v>
      </c>
      <c r="W961" s="151"/>
      <c r="X961" s="150" t="s">
        <v>331</v>
      </c>
      <c r="Y961" s="150" t="s">
        <v>343</v>
      </c>
      <c r="Z961" s="150" t="s">
        <v>343</v>
      </c>
      <c r="AA961" s="150" t="s">
        <v>334</v>
      </c>
      <c r="AB961" s="153">
        <v>0</v>
      </c>
      <c r="AC961" s="151"/>
      <c r="AD961" s="150"/>
      <c r="AE961" s="151"/>
      <c r="AF961" s="150" t="s">
        <v>49</v>
      </c>
      <c r="AG961" s="152" t="s">
        <v>470</v>
      </c>
      <c r="AH961" s="150" t="s">
        <v>2581</v>
      </c>
      <c r="AI961" s="99"/>
      <c r="AJ961" s="149">
        <v>0</v>
      </c>
      <c r="AK961" s="99">
        <v>0</v>
      </c>
      <c r="AL961" s="149">
        <v>0</v>
      </c>
      <c r="AM961" s="99">
        <v>0</v>
      </c>
      <c r="AN961" s="149">
        <v>0</v>
      </c>
      <c r="AO961" s="149">
        <v>0</v>
      </c>
      <c r="AP961" s="149">
        <v>0</v>
      </c>
      <c r="AQ961" s="149">
        <v>0</v>
      </c>
      <c r="AR961" s="149">
        <v>0</v>
      </c>
      <c r="AS961" s="149">
        <v>0</v>
      </c>
      <c r="AT961" s="149">
        <v>14</v>
      </c>
      <c r="AU961" s="149">
        <v>0</v>
      </c>
      <c r="AV961" s="149">
        <v>0</v>
      </c>
      <c r="AW961" s="149">
        <v>0</v>
      </c>
      <c r="AX961" s="149">
        <v>0</v>
      </c>
      <c r="AY961" s="149">
        <v>0</v>
      </c>
      <c r="AZ961" s="149">
        <v>0</v>
      </c>
      <c r="BA961" s="149">
        <v>14</v>
      </c>
      <c r="BB961" s="149">
        <v>0</v>
      </c>
      <c r="BC961" s="149">
        <v>0</v>
      </c>
      <c r="BD961" s="149">
        <v>0</v>
      </c>
      <c r="BE961" s="149">
        <v>0</v>
      </c>
      <c r="BF961" s="149">
        <v>0</v>
      </c>
      <c r="BG961" s="149">
        <v>0</v>
      </c>
      <c r="BH961" s="149">
        <v>0</v>
      </c>
      <c r="BI961" s="149">
        <v>0</v>
      </c>
      <c r="BJ961" s="149">
        <v>0</v>
      </c>
      <c r="BK961" s="149">
        <v>0</v>
      </c>
      <c r="BL961" s="149">
        <v>0</v>
      </c>
      <c r="BM961" s="149">
        <v>0</v>
      </c>
      <c r="BN961" s="149">
        <v>0</v>
      </c>
      <c r="BO961" s="149">
        <v>0</v>
      </c>
      <c r="BP961" s="136"/>
      <c r="BQ961" s="136"/>
      <c r="BR961" s="154" t="s">
        <v>408</v>
      </c>
      <c r="BS961" s="136">
        <v>19</v>
      </c>
      <c r="BT961" s="267"/>
      <c r="BU961" s="267"/>
      <c r="BV961" s="267"/>
      <c r="BW961" s="267"/>
      <c r="BX961" s="267"/>
      <c r="BY961" s="267">
        <f>M961/16</f>
        <v>0.875</v>
      </c>
      <c r="BZ961" s="267">
        <f>M961/16</f>
        <v>0.875</v>
      </c>
      <c r="CA961" s="267">
        <f>M961/16</f>
        <v>0.875</v>
      </c>
      <c r="CB961" s="267">
        <f>M961/16</f>
        <v>0.875</v>
      </c>
      <c r="CC961" s="267">
        <f>M961/16</f>
        <v>0.875</v>
      </c>
      <c r="CD961" s="267">
        <f>M961/16</f>
        <v>0.875</v>
      </c>
      <c r="CE961" s="267">
        <f>M961/16</f>
        <v>0.875</v>
      </c>
      <c r="CF961" s="267">
        <f>M961/16</f>
        <v>0.875</v>
      </c>
      <c r="CG961" s="267">
        <f>M961/16</f>
        <v>0.875</v>
      </c>
      <c r="CH961" s="267">
        <f>M961/16</f>
        <v>0.875</v>
      </c>
      <c r="CI961" s="267">
        <f>M961/16</f>
        <v>0.875</v>
      </c>
      <c r="CJ961" s="267">
        <f>M961/16</f>
        <v>0.875</v>
      </c>
      <c r="CK961" s="267">
        <f>M961/16</f>
        <v>0.875</v>
      </c>
      <c r="CL961" s="267">
        <f>M961/16</f>
        <v>0.875</v>
      </c>
      <c r="CM961" s="267">
        <f>M961/16</f>
        <v>0.875</v>
      </c>
      <c r="CN961" s="101">
        <f t="shared" si="132"/>
        <v>0.875</v>
      </c>
      <c r="CO961" s="101">
        <f t="shared" si="133"/>
        <v>5.25</v>
      </c>
    </row>
    <row r="962" spans="1:93" ht="13.9" customHeight="1" x14ac:dyDescent="0.2">
      <c r="A962" s="149">
        <v>6874</v>
      </c>
      <c r="B962" s="150" t="s">
        <v>2522</v>
      </c>
      <c r="C962" s="150"/>
      <c r="D962" s="150" t="s">
        <v>2580</v>
      </c>
      <c r="E962" s="150"/>
      <c r="F962" s="149">
        <v>526442</v>
      </c>
      <c r="G962" s="149">
        <v>175680</v>
      </c>
      <c r="H962" s="150" t="s">
        <v>170</v>
      </c>
      <c r="I962" s="151"/>
      <c r="J962" s="151"/>
      <c r="K962" s="149">
        <v>0</v>
      </c>
      <c r="L962" s="149">
        <v>13</v>
      </c>
      <c r="M962" s="149">
        <v>13</v>
      </c>
      <c r="N962" s="149">
        <v>77</v>
      </c>
      <c r="O962" s="149">
        <v>77</v>
      </c>
      <c r="P962" s="152" t="s">
        <v>327</v>
      </c>
      <c r="Q962" s="150" t="s">
        <v>2524</v>
      </c>
      <c r="R962" s="150" t="s">
        <v>2525</v>
      </c>
      <c r="S962" s="151"/>
      <c r="T962" s="151"/>
      <c r="U962" s="152"/>
      <c r="V962" s="150" t="s">
        <v>330</v>
      </c>
      <c r="W962" s="151"/>
      <c r="X962" s="150" t="s">
        <v>331</v>
      </c>
      <c r="Y962" s="150" t="s">
        <v>343</v>
      </c>
      <c r="Z962" s="150" t="s">
        <v>343</v>
      </c>
      <c r="AA962" s="150" t="s">
        <v>334</v>
      </c>
      <c r="AB962" s="153">
        <v>0</v>
      </c>
      <c r="AC962" s="151"/>
      <c r="AD962" s="150"/>
      <c r="AE962" s="151"/>
      <c r="AF962" s="150" t="s">
        <v>48</v>
      </c>
      <c r="AG962" s="152" t="s">
        <v>992</v>
      </c>
      <c r="AH962" s="150" t="s">
        <v>2581</v>
      </c>
      <c r="AI962" s="99"/>
      <c r="AJ962" s="149">
        <v>0</v>
      </c>
      <c r="AK962" s="99">
        <v>0</v>
      </c>
      <c r="AL962" s="149">
        <v>0</v>
      </c>
      <c r="AM962" s="99">
        <v>0</v>
      </c>
      <c r="AN962" s="149">
        <v>0</v>
      </c>
      <c r="AO962" s="149">
        <v>0</v>
      </c>
      <c r="AP962" s="149">
        <v>0</v>
      </c>
      <c r="AQ962" s="149">
        <v>0</v>
      </c>
      <c r="AR962" s="149">
        <v>0</v>
      </c>
      <c r="AS962" s="149">
        <v>0</v>
      </c>
      <c r="AT962" s="149">
        <v>13</v>
      </c>
      <c r="AU962" s="149">
        <v>0</v>
      </c>
      <c r="AV962" s="149">
        <v>0</v>
      </c>
      <c r="AW962" s="149">
        <v>0</v>
      </c>
      <c r="AX962" s="149">
        <v>0</v>
      </c>
      <c r="AY962" s="149">
        <v>0</v>
      </c>
      <c r="AZ962" s="149">
        <v>0</v>
      </c>
      <c r="BA962" s="149">
        <v>13</v>
      </c>
      <c r="BB962" s="149">
        <v>0</v>
      </c>
      <c r="BC962" s="149">
        <v>0</v>
      </c>
      <c r="BD962" s="149">
        <v>0</v>
      </c>
      <c r="BE962" s="149">
        <v>0</v>
      </c>
      <c r="BF962" s="149">
        <v>0</v>
      </c>
      <c r="BG962" s="149">
        <v>0</v>
      </c>
      <c r="BH962" s="149">
        <v>0</v>
      </c>
      <c r="BI962" s="149">
        <v>0</v>
      </c>
      <c r="BJ962" s="149">
        <v>0</v>
      </c>
      <c r="BK962" s="149">
        <v>0</v>
      </c>
      <c r="BL962" s="149">
        <v>0</v>
      </c>
      <c r="BM962" s="149">
        <v>0</v>
      </c>
      <c r="BN962" s="149">
        <v>0</v>
      </c>
      <c r="BO962" s="149">
        <v>0</v>
      </c>
      <c r="BP962" s="136"/>
      <c r="BQ962" s="136"/>
      <c r="BR962" s="154" t="s">
        <v>408</v>
      </c>
      <c r="BS962" s="136">
        <v>19</v>
      </c>
      <c r="BT962" s="267"/>
      <c r="BU962" s="267"/>
      <c r="BV962" s="267"/>
      <c r="BW962" s="267"/>
      <c r="BX962" s="267"/>
      <c r="BY962" s="267">
        <f>M962/16</f>
        <v>0.8125</v>
      </c>
      <c r="BZ962" s="267">
        <f>M962/16</f>
        <v>0.8125</v>
      </c>
      <c r="CA962" s="267">
        <f>M962/16</f>
        <v>0.8125</v>
      </c>
      <c r="CB962" s="267">
        <f>M962/16</f>
        <v>0.8125</v>
      </c>
      <c r="CC962" s="267">
        <f>M962/16</f>
        <v>0.8125</v>
      </c>
      <c r="CD962" s="267">
        <f>M962/16</f>
        <v>0.8125</v>
      </c>
      <c r="CE962" s="267">
        <f>M962/16</f>
        <v>0.8125</v>
      </c>
      <c r="CF962" s="267">
        <f>M962/16</f>
        <v>0.8125</v>
      </c>
      <c r="CG962" s="267">
        <f>M962/16</f>
        <v>0.8125</v>
      </c>
      <c r="CH962" s="267">
        <f>M962/16</f>
        <v>0.8125</v>
      </c>
      <c r="CI962" s="267">
        <f>M962/16</f>
        <v>0.8125</v>
      </c>
      <c r="CJ962" s="267">
        <f>M962/16</f>
        <v>0.8125</v>
      </c>
      <c r="CK962" s="267">
        <f>M962/16</f>
        <v>0.8125</v>
      </c>
      <c r="CL962" s="267">
        <f>M962/16</f>
        <v>0.8125</v>
      </c>
      <c r="CM962" s="267">
        <f>M962/16</f>
        <v>0.8125</v>
      </c>
      <c r="CN962" s="101">
        <f t="shared" ref="CN962:CN1025" si="135">SUM(BU962:BY962)</f>
        <v>0.8125</v>
      </c>
      <c r="CO962" s="101">
        <f t="shared" ref="CO962:CO1025" si="136">SUM(BU962:CD962)</f>
        <v>4.875</v>
      </c>
    </row>
    <row r="963" spans="1:93" ht="13.9" customHeight="1" x14ac:dyDescent="0.2">
      <c r="A963" s="149">
        <v>6892</v>
      </c>
      <c r="B963" s="150" t="s">
        <v>2522</v>
      </c>
      <c r="C963" s="150"/>
      <c r="D963" s="150" t="s">
        <v>2582</v>
      </c>
      <c r="E963" s="150"/>
      <c r="F963" s="149">
        <v>525690</v>
      </c>
      <c r="G963" s="149">
        <v>174971</v>
      </c>
      <c r="H963" s="150" t="s">
        <v>177</v>
      </c>
      <c r="I963" s="151"/>
      <c r="J963" s="151"/>
      <c r="K963" s="149">
        <v>0</v>
      </c>
      <c r="L963" s="149">
        <v>300</v>
      </c>
      <c r="M963" s="149">
        <v>300</v>
      </c>
      <c r="N963" s="149">
        <v>462</v>
      </c>
      <c r="O963" s="149">
        <v>462</v>
      </c>
      <c r="P963" s="152" t="s">
        <v>327</v>
      </c>
      <c r="Q963" s="150" t="s">
        <v>2524</v>
      </c>
      <c r="R963" s="150" t="s">
        <v>2525</v>
      </c>
      <c r="S963" s="151"/>
      <c r="T963" s="151"/>
      <c r="U963" s="152"/>
      <c r="V963" s="150" t="s">
        <v>330</v>
      </c>
      <c r="W963" s="151"/>
      <c r="X963" s="150" t="s">
        <v>331</v>
      </c>
      <c r="Y963" s="150" t="s">
        <v>343</v>
      </c>
      <c r="Z963" s="150" t="s">
        <v>343</v>
      </c>
      <c r="AA963" s="150" t="s">
        <v>334</v>
      </c>
      <c r="AB963" s="153">
        <v>0</v>
      </c>
      <c r="AC963" s="151"/>
      <c r="AD963" s="150"/>
      <c r="AE963" s="151"/>
      <c r="AF963" s="150" t="s">
        <v>70</v>
      </c>
      <c r="AG963" s="152" t="s">
        <v>352</v>
      </c>
      <c r="AH963" s="150" t="s">
        <v>2583</v>
      </c>
      <c r="AI963" s="99"/>
      <c r="AJ963" s="149">
        <v>0</v>
      </c>
      <c r="AK963" s="99">
        <v>0</v>
      </c>
      <c r="AL963" s="149">
        <v>0</v>
      </c>
      <c r="AM963" s="99">
        <v>0</v>
      </c>
      <c r="AN963" s="149">
        <v>0</v>
      </c>
      <c r="AO963" s="149">
        <v>0</v>
      </c>
      <c r="AP963" s="149">
        <v>0</v>
      </c>
      <c r="AQ963" s="149">
        <v>0</v>
      </c>
      <c r="AR963" s="149">
        <v>0</v>
      </c>
      <c r="AS963" s="149">
        <v>0</v>
      </c>
      <c r="AT963" s="149">
        <v>300</v>
      </c>
      <c r="AU963" s="149">
        <v>0</v>
      </c>
      <c r="AV963" s="149">
        <v>0</v>
      </c>
      <c r="AW963" s="149">
        <v>0</v>
      </c>
      <c r="AX963" s="149">
        <v>0</v>
      </c>
      <c r="AY963" s="149">
        <v>0</v>
      </c>
      <c r="AZ963" s="149">
        <v>0</v>
      </c>
      <c r="BA963" s="149">
        <v>300</v>
      </c>
      <c r="BB963" s="149">
        <v>0</v>
      </c>
      <c r="BC963" s="149">
        <v>0</v>
      </c>
      <c r="BD963" s="149">
        <v>0</v>
      </c>
      <c r="BE963" s="149">
        <v>0</v>
      </c>
      <c r="BF963" s="149">
        <v>0</v>
      </c>
      <c r="BG963" s="149">
        <v>0</v>
      </c>
      <c r="BH963" s="149">
        <v>0</v>
      </c>
      <c r="BI963" s="149">
        <v>0</v>
      </c>
      <c r="BJ963" s="149">
        <v>0</v>
      </c>
      <c r="BK963" s="149">
        <v>0</v>
      </c>
      <c r="BL963" s="149">
        <v>0</v>
      </c>
      <c r="BM963" s="149">
        <v>0</v>
      </c>
      <c r="BN963" s="149">
        <v>0</v>
      </c>
      <c r="BO963" s="149">
        <v>0</v>
      </c>
      <c r="BP963" s="136"/>
      <c r="BQ963" s="136"/>
      <c r="BR963" s="154" t="s">
        <v>463</v>
      </c>
      <c r="BS963" s="136">
        <v>19</v>
      </c>
      <c r="BT963" s="267"/>
      <c r="BU963" s="267"/>
      <c r="BV963" s="267"/>
      <c r="BW963" s="267">
        <f>M963/10</f>
        <v>30</v>
      </c>
      <c r="BX963" s="267">
        <f>M963/10</f>
        <v>30</v>
      </c>
      <c r="BY963" s="267">
        <f>M963/10</f>
        <v>30</v>
      </c>
      <c r="BZ963" s="267">
        <f>M963/10</f>
        <v>30</v>
      </c>
      <c r="CA963" s="267">
        <f>M963/10</f>
        <v>30</v>
      </c>
      <c r="CB963" s="267">
        <f>M963/10</f>
        <v>30</v>
      </c>
      <c r="CC963" s="267">
        <f>M963/10</f>
        <v>30</v>
      </c>
      <c r="CD963" s="267">
        <f>M963/10</f>
        <v>30</v>
      </c>
      <c r="CE963" s="267">
        <f>M963/10</f>
        <v>30</v>
      </c>
      <c r="CF963" s="267">
        <f>M963/10</f>
        <v>30</v>
      </c>
      <c r="CG963" s="267"/>
      <c r="CH963" s="267"/>
      <c r="CI963" s="267"/>
      <c r="CJ963" s="267"/>
      <c r="CK963" s="267"/>
      <c r="CL963" s="267"/>
      <c r="CM963" s="267"/>
      <c r="CN963" s="101">
        <f t="shared" si="135"/>
        <v>90</v>
      </c>
      <c r="CO963" s="101">
        <f t="shared" si="136"/>
        <v>240</v>
      </c>
    </row>
    <row r="964" spans="1:93" ht="13.9" customHeight="1" x14ac:dyDescent="0.2">
      <c r="A964" s="149">
        <v>6892</v>
      </c>
      <c r="B964" s="150" t="s">
        <v>2522</v>
      </c>
      <c r="C964" s="150"/>
      <c r="D964" s="150" t="s">
        <v>2582</v>
      </c>
      <c r="E964" s="150"/>
      <c r="F964" s="149">
        <v>525690</v>
      </c>
      <c r="G964" s="149">
        <v>174971</v>
      </c>
      <c r="H964" s="150" t="s">
        <v>177</v>
      </c>
      <c r="I964" s="151"/>
      <c r="J964" s="151"/>
      <c r="K964" s="149">
        <v>0</v>
      </c>
      <c r="L964" s="149">
        <v>81</v>
      </c>
      <c r="M964" s="149">
        <v>81</v>
      </c>
      <c r="N964" s="149">
        <v>462</v>
      </c>
      <c r="O964" s="149">
        <v>462</v>
      </c>
      <c r="P964" s="152" t="s">
        <v>327</v>
      </c>
      <c r="Q964" s="150" t="s">
        <v>2524</v>
      </c>
      <c r="R964" s="150" t="s">
        <v>2525</v>
      </c>
      <c r="S964" s="151"/>
      <c r="T964" s="151"/>
      <c r="U964" s="152"/>
      <c r="V964" s="150" t="s">
        <v>330</v>
      </c>
      <c r="W964" s="151"/>
      <c r="X964" s="150" t="s">
        <v>331</v>
      </c>
      <c r="Y964" s="150" t="s">
        <v>343</v>
      </c>
      <c r="Z964" s="150" t="s">
        <v>343</v>
      </c>
      <c r="AA964" s="150" t="s">
        <v>334</v>
      </c>
      <c r="AB964" s="153">
        <v>0</v>
      </c>
      <c r="AC964" s="151"/>
      <c r="AD964" s="150"/>
      <c r="AE964" s="151"/>
      <c r="AF964" s="150" t="s">
        <v>49</v>
      </c>
      <c r="AG964" s="152" t="s">
        <v>470</v>
      </c>
      <c r="AH964" s="150" t="s">
        <v>2583</v>
      </c>
      <c r="AI964" s="99"/>
      <c r="AJ964" s="149">
        <v>0</v>
      </c>
      <c r="AK964" s="99">
        <v>0</v>
      </c>
      <c r="AL964" s="149">
        <v>0</v>
      </c>
      <c r="AM964" s="99">
        <v>0</v>
      </c>
      <c r="AN964" s="149">
        <v>0</v>
      </c>
      <c r="AO964" s="149">
        <v>0</v>
      </c>
      <c r="AP964" s="149">
        <v>0</v>
      </c>
      <c r="AQ964" s="149">
        <v>0</v>
      </c>
      <c r="AR964" s="149">
        <v>0</v>
      </c>
      <c r="AS964" s="149">
        <v>0</v>
      </c>
      <c r="AT964" s="149">
        <v>81</v>
      </c>
      <c r="AU964" s="149">
        <v>0</v>
      </c>
      <c r="AV964" s="149">
        <v>0</v>
      </c>
      <c r="AW964" s="149">
        <v>0</v>
      </c>
      <c r="AX964" s="149">
        <v>0</v>
      </c>
      <c r="AY964" s="149">
        <v>0</v>
      </c>
      <c r="AZ964" s="149">
        <v>0</v>
      </c>
      <c r="BA964" s="149">
        <v>81</v>
      </c>
      <c r="BB964" s="149">
        <v>0</v>
      </c>
      <c r="BC964" s="149">
        <v>0</v>
      </c>
      <c r="BD964" s="149">
        <v>0</v>
      </c>
      <c r="BE964" s="149">
        <v>0</v>
      </c>
      <c r="BF964" s="149">
        <v>0</v>
      </c>
      <c r="BG964" s="149">
        <v>0</v>
      </c>
      <c r="BH964" s="149">
        <v>0</v>
      </c>
      <c r="BI964" s="149">
        <v>0</v>
      </c>
      <c r="BJ964" s="149">
        <v>0</v>
      </c>
      <c r="BK964" s="149">
        <v>0</v>
      </c>
      <c r="BL964" s="149">
        <v>0</v>
      </c>
      <c r="BM964" s="149">
        <v>0</v>
      </c>
      <c r="BN964" s="149">
        <v>0</v>
      </c>
      <c r="BO964" s="149">
        <v>0</v>
      </c>
      <c r="BP964" s="136"/>
      <c r="BQ964" s="136"/>
      <c r="BR964" s="154" t="s">
        <v>463</v>
      </c>
      <c r="BS964" s="136">
        <v>19</v>
      </c>
      <c r="BT964" s="267"/>
      <c r="BU964" s="267"/>
      <c r="BV964" s="267"/>
      <c r="BW964" s="267">
        <f>M964/10</f>
        <v>8.1</v>
      </c>
      <c r="BX964" s="267">
        <f>M964/10</f>
        <v>8.1</v>
      </c>
      <c r="BY964" s="267">
        <f>M964/10</f>
        <v>8.1</v>
      </c>
      <c r="BZ964" s="267">
        <f>M964/10</f>
        <v>8.1</v>
      </c>
      <c r="CA964" s="267">
        <f>M964/10</f>
        <v>8.1</v>
      </c>
      <c r="CB964" s="267">
        <f>M964/10</f>
        <v>8.1</v>
      </c>
      <c r="CC964" s="267">
        <f>M964/10</f>
        <v>8.1</v>
      </c>
      <c r="CD964" s="267">
        <f>M964/10</f>
        <v>8.1</v>
      </c>
      <c r="CE964" s="267">
        <f>M964/10</f>
        <v>8.1</v>
      </c>
      <c r="CF964" s="267">
        <f>M964/10</f>
        <v>8.1</v>
      </c>
      <c r="CG964" s="267"/>
      <c r="CH964" s="267"/>
      <c r="CI964" s="267"/>
      <c r="CJ964" s="267"/>
      <c r="CK964" s="267"/>
      <c r="CL964" s="267"/>
      <c r="CM964" s="267"/>
      <c r="CN964" s="101">
        <f t="shared" si="135"/>
        <v>24.299999999999997</v>
      </c>
      <c r="CO964" s="101">
        <f t="shared" si="136"/>
        <v>64.8</v>
      </c>
    </row>
    <row r="965" spans="1:93" ht="13.9" customHeight="1" x14ac:dyDescent="0.2">
      <c r="A965" s="149">
        <v>6892</v>
      </c>
      <c r="B965" s="150" t="s">
        <v>2522</v>
      </c>
      <c r="C965" s="150"/>
      <c r="D965" s="150" t="s">
        <v>2582</v>
      </c>
      <c r="E965" s="150"/>
      <c r="F965" s="149">
        <v>525690</v>
      </c>
      <c r="G965" s="149">
        <v>174971</v>
      </c>
      <c r="H965" s="150" t="s">
        <v>177</v>
      </c>
      <c r="I965" s="151"/>
      <c r="J965" s="151"/>
      <c r="K965" s="149">
        <v>0</v>
      </c>
      <c r="L965" s="149">
        <v>81</v>
      </c>
      <c r="M965" s="149">
        <v>81</v>
      </c>
      <c r="N965" s="149">
        <v>462</v>
      </c>
      <c r="O965" s="149">
        <v>462</v>
      </c>
      <c r="P965" s="152" t="s">
        <v>327</v>
      </c>
      <c r="Q965" s="150" t="s">
        <v>2524</v>
      </c>
      <c r="R965" s="150" t="s">
        <v>2525</v>
      </c>
      <c r="S965" s="151"/>
      <c r="T965" s="151"/>
      <c r="U965" s="152"/>
      <c r="V965" s="150" t="s">
        <v>330</v>
      </c>
      <c r="W965" s="151"/>
      <c r="X965" s="150" t="s">
        <v>331</v>
      </c>
      <c r="Y965" s="150" t="s">
        <v>343</v>
      </c>
      <c r="Z965" s="150" t="s">
        <v>343</v>
      </c>
      <c r="AA965" s="150" t="s">
        <v>334</v>
      </c>
      <c r="AB965" s="153">
        <v>0</v>
      </c>
      <c r="AC965" s="151"/>
      <c r="AD965" s="150"/>
      <c r="AE965" s="151"/>
      <c r="AF965" s="150" t="s">
        <v>48</v>
      </c>
      <c r="AG965" s="152" t="s">
        <v>992</v>
      </c>
      <c r="AH965" s="150" t="s">
        <v>2583</v>
      </c>
      <c r="AI965" s="99"/>
      <c r="AJ965" s="149">
        <v>0</v>
      </c>
      <c r="AK965" s="99">
        <v>0</v>
      </c>
      <c r="AL965" s="149">
        <v>0</v>
      </c>
      <c r="AM965" s="99">
        <v>0</v>
      </c>
      <c r="AN965" s="149">
        <v>0</v>
      </c>
      <c r="AO965" s="149">
        <v>0</v>
      </c>
      <c r="AP965" s="149">
        <v>0</v>
      </c>
      <c r="AQ965" s="149">
        <v>0</v>
      </c>
      <c r="AR965" s="149">
        <v>0</v>
      </c>
      <c r="AS965" s="149">
        <v>0</v>
      </c>
      <c r="AT965" s="149">
        <v>81</v>
      </c>
      <c r="AU965" s="149">
        <v>0</v>
      </c>
      <c r="AV965" s="149">
        <v>0</v>
      </c>
      <c r="AW965" s="149">
        <v>0</v>
      </c>
      <c r="AX965" s="149">
        <v>0</v>
      </c>
      <c r="AY965" s="149">
        <v>0</v>
      </c>
      <c r="AZ965" s="149">
        <v>0</v>
      </c>
      <c r="BA965" s="149">
        <v>81</v>
      </c>
      <c r="BB965" s="149">
        <v>0</v>
      </c>
      <c r="BC965" s="149">
        <v>0</v>
      </c>
      <c r="BD965" s="149">
        <v>0</v>
      </c>
      <c r="BE965" s="149">
        <v>0</v>
      </c>
      <c r="BF965" s="149">
        <v>0</v>
      </c>
      <c r="BG965" s="149">
        <v>0</v>
      </c>
      <c r="BH965" s="149">
        <v>0</v>
      </c>
      <c r="BI965" s="149">
        <v>0</v>
      </c>
      <c r="BJ965" s="149">
        <v>0</v>
      </c>
      <c r="BK965" s="149">
        <v>0</v>
      </c>
      <c r="BL965" s="149">
        <v>0</v>
      </c>
      <c r="BM965" s="149">
        <v>0</v>
      </c>
      <c r="BN965" s="149">
        <v>0</v>
      </c>
      <c r="BO965" s="149">
        <v>0</v>
      </c>
      <c r="BP965" s="136"/>
      <c r="BQ965" s="136"/>
      <c r="BR965" s="154" t="s">
        <v>463</v>
      </c>
      <c r="BS965" s="136">
        <v>19</v>
      </c>
      <c r="BT965" s="267"/>
      <c r="BU965" s="267"/>
      <c r="BV965" s="267"/>
      <c r="BW965" s="267">
        <f>M965/10</f>
        <v>8.1</v>
      </c>
      <c r="BX965" s="267">
        <f>M965/10</f>
        <v>8.1</v>
      </c>
      <c r="BY965" s="267">
        <f>M965/10</f>
        <v>8.1</v>
      </c>
      <c r="BZ965" s="267">
        <f>M965/10</f>
        <v>8.1</v>
      </c>
      <c r="CA965" s="267">
        <f>M965/10</f>
        <v>8.1</v>
      </c>
      <c r="CB965" s="267">
        <f>M965/10</f>
        <v>8.1</v>
      </c>
      <c r="CC965" s="267">
        <f>M965/10</f>
        <v>8.1</v>
      </c>
      <c r="CD965" s="267">
        <f>M965/10</f>
        <v>8.1</v>
      </c>
      <c r="CE965" s="267">
        <f>M965/10</f>
        <v>8.1</v>
      </c>
      <c r="CF965" s="267">
        <f>M965/10</f>
        <v>8.1</v>
      </c>
      <c r="CG965" s="267"/>
      <c r="CH965" s="267"/>
      <c r="CI965" s="267"/>
      <c r="CJ965" s="267"/>
      <c r="CK965" s="267"/>
      <c r="CL965" s="267"/>
      <c r="CM965" s="267"/>
      <c r="CN965" s="101">
        <f t="shared" si="135"/>
        <v>24.299999999999997</v>
      </c>
      <c r="CO965" s="101">
        <f t="shared" si="136"/>
        <v>64.8</v>
      </c>
    </row>
    <row r="966" spans="1:93" ht="13.5" customHeight="1" x14ac:dyDescent="0.2">
      <c r="A966" s="149">
        <v>6901</v>
      </c>
      <c r="B966" s="150" t="s">
        <v>2522</v>
      </c>
      <c r="C966" s="150"/>
      <c r="D966" s="150" t="s">
        <v>2584</v>
      </c>
      <c r="E966" s="150"/>
      <c r="F966" s="149">
        <v>524170</v>
      </c>
      <c r="G966" s="149">
        <v>175517</v>
      </c>
      <c r="H966" s="150" t="s">
        <v>171</v>
      </c>
      <c r="I966" s="151"/>
      <c r="J966" s="151"/>
      <c r="K966" s="149">
        <v>0</v>
      </c>
      <c r="L966" s="149">
        <v>5</v>
      </c>
      <c r="M966" s="149">
        <v>5</v>
      </c>
      <c r="N966" s="149">
        <v>5</v>
      </c>
      <c r="O966" s="149">
        <v>5</v>
      </c>
      <c r="P966" s="152"/>
      <c r="Q966" s="150" t="s">
        <v>2524</v>
      </c>
      <c r="R966" s="150" t="s">
        <v>2525</v>
      </c>
      <c r="S966" s="151"/>
      <c r="T966" s="151"/>
      <c r="U966" s="152"/>
      <c r="V966" s="150" t="s">
        <v>330</v>
      </c>
      <c r="W966" s="151"/>
      <c r="X966" s="150" t="s">
        <v>331</v>
      </c>
      <c r="Y966" s="150" t="s">
        <v>343</v>
      </c>
      <c r="Z966" s="150" t="s">
        <v>334</v>
      </c>
      <c r="AA966" s="150" t="s">
        <v>363</v>
      </c>
      <c r="AB966" s="153">
        <v>0</v>
      </c>
      <c r="AC966" s="151"/>
      <c r="AD966" s="150"/>
      <c r="AE966" s="151"/>
      <c r="AF966" s="150" t="s">
        <v>70</v>
      </c>
      <c r="AG966" s="152" t="s">
        <v>352</v>
      </c>
      <c r="AH966" s="150" t="s">
        <v>2585</v>
      </c>
      <c r="AI966" s="99"/>
      <c r="AJ966" s="149">
        <v>0</v>
      </c>
      <c r="AK966" s="99">
        <v>0</v>
      </c>
      <c r="AL966" s="149">
        <v>0</v>
      </c>
      <c r="AM966" s="99">
        <v>0</v>
      </c>
      <c r="AN966" s="149">
        <v>0</v>
      </c>
      <c r="AO966" s="149">
        <v>0</v>
      </c>
      <c r="AP966" s="149">
        <v>0</v>
      </c>
      <c r="AQ966" s="149">
        <v>0</v>
      </c>
      <c r="AR966" s="149">
        <v>0</v>
      </c>
      <c r="AS966" s="149">
        <v>0</v>
      </c>
      <c r="AT966" s="149">
        <v>5</v>
      </c>
      <c r="AU966" s="149">
        <v>0</v>
      </c>
      <c r="AV966" s="149">
        <v>0</v>
      </c>
      <c r="AW966" s="149">
        <v>0</v>
      </c>
      <c r="AX966" s="149">
        <v>0</v>
      </c>
      <c r="AY966" s="149">
        <v>0</v>
      </c>
      <c r="AZ966" s="149">
        <v>0</v>
      </c>
      <c r="BA966" s="149">
        <v>5</v>
      </c>
      <c r="BB966" s="149">
        <v>0</v>
      </c>
      <c r="BC966" s="149">
        <v>0</v>
      </c>
      <c r="BD966" s="149">
        <v>0</v>
      </c>
      <c r="BE966" s="149">
        <v>0</v>
      </c>
      <c r="BF966" s="149">
        <v>0</v>
      </c>
      <c r="BG966" s="149">
        <v>0</v>
      </c>
      <c r="BH966" s="149">
        <v>0</v>
      </c>
      <c r="BI966" s="149">
        <v>0</v>
      </c>
      <c r="BJ966" s="149">
        <v>0</v>
      </c>
      <c r="BK966" s="149">
        <v>0</v>
      </c>
      <c r="BL966" s="149">
        <v>0</v>
      </c>
      <c r="BM966" s="149">
        <v>0</v>
      </c>
      <c r="BN966" s="149">
        <v>0</v>
      </c>
      <c r="BO966" s="149">
        <v>0</v>
      </c>
      <c r="BP966" s="136" t="s">
        <v>141</v>
      </c>
      <c r="BQ966" s="136"/>
      <c r="BR966" s="154" t="s">
        <v>141</v>
      </c>
      <c r="BS966" s="136">
        <v>19</v>
      </c>
      <c r="BT966" s="267"/>
      <c r="BU966" s="267"/>
      <c r="BV966" s="267"/>
      <c r="BW966" s="267"/>
      <c r="BX966" s="267"/>
      <c r="BY966" s="267"/>
      <c r="BZ966" s="267"/>
      <c r="CA966" s="267"/>
      <c r="CB966" s="267"/>
      <c r="CC966" s="267">
        <f>M966/12</f>
        <v>0.41666666666666669</v>
      </c>
      <c r="CD966" s="267">
        <f>M966/12</f>
        <v>0.41666666666666669</v>
      </c>
      <c r="CE966" s="267">
        <f>M966/12</f>
        <v>0.41666666666666669</v>
      </c>
      <c r="CF966" s="267">
        <f>M966/12</f>
        <v>0.41666666666666669</v>
      </c>
      <c r="CG966" s="267">
        <f>M966/12</f>
        <v>0.41666666666666669</v>
      </c>
      <c r="CH966" s="267">
        <f>M966/12</f>
        <v>0.41666666666666669</v>
      </c>
      <c r="CI966" s="267">
        <f>M966/12</f>
        <v>0.41666666666666669</v>
      </c>
      <c r="CJ966" s="267">
        <f>M966/12</f>
        <v>0.41666666666666669</v>
      </c>
      <c r="CK966" s="267">
        <f>M966/12</f>
        <v>0.41666666666666669</v>
      </c>
      <c r="CL966" s="267">
        <f>M966/12</f>
        <v>0.41666666666666669</v>
      </c>
      <c r="CM966" s="267">
        <f>M966/12</f>
        <v>0.41666666666666669</v>
      </c>
      <c r="CN966" s="101">
        <f t="shared" si="135"/>
        <v>0</v>
      </c>
      <c r="CO966" s="101">
        <f t="shared" si="136"/>
        <v>0.83333333333333337</v>
      </c>
    </row>
    <row r="967" spans="1:93" ht="13.9" customHeight="1" x14ac:dyDescent="0.2">
      <c r="A967" s="149">
        <v>6893</v>
      </c>
      <c r="B967" s="150" t="s">
        <v>2522</v>
      </c>
      <c r="C967" s="150"/>
      <c r="D967" s="150" t="s">
        <v>2586</v>
      </c>
      <c r="E967" s="150"/>
      <c r="F967" s="149">
        <v>525561</v>
      </c>
      <c r="G967" s="149">
        <v>174936</v>
      </c>
      <c r="H967" s="150" t="s">
        <v>177</v>
      </c>
      <c r="I967" s="151"/>
      <c r="J967" s="151"/>
      <c r="K967" s="149">
        <v>0</v>
      </c>
      <c r="L967" s="149">
        <v>20</v>
      </c>
      <c r="M967" s="149">
        <v>20</v>
      </c>
      <c r="N967" s="149">
        <v>31</v>
      </c>
      <c r="O967" s="149">
        <v>31</v>
      </c>
      <c r="P967" s="152" t="s">
        <v>327</v>
      </c>
      <c r="Q967" s="150" t="s">
        <v>2524</v>
      </c>
      <c r="R967" s="150" t="s">
        <v>2525</v>
      </c>
      <c r="S967" s="151"/>
      <c r="T967" s="151"/>
      <c r="U967" s="152"/>
      <c r="V967" s="150" t="s">
        <v>330</v>
      </c>
      <c r="W967" s="151"/>
      <c r="X967" s="150" t="s">
        <v>331</v>
      </c>
      <c r="Y967" s="150" t="s">
        <v>343</v>
      </c>
      <c r="Z967" s="150" t="s">
        <v>343</v>
      </c>
      <c r="AA967" s="150" t="s">
        <v>334</v>
      </c>
      <c r="AB967" s="153">
        <v>0</v>
      </c>
      <c r="AC967" s="151"/>
      <c r="AD967" s="150"/>
      <c r="AE967" s="151"/>
      <c r="AF967" s="150" t="s">
        <v>70</v>
      </c>
      <c r="AG967" s="152" t="s">
        <v>352</v>
      </c>
      <c r="AH967" s="150" t="s">
        <v>2587</v>
      </c>
      <c r="AI967" s="99"/>
      <c r="AJ967" s="149">
        <v>0</v>
      </c>
      <c r="AK967" s="99">
        <v>0</v>
      </c>
      <c r="AL967" s="149">
        <v>0</v>
      </c>
      <c r="AM967" s="99">
        <v>0</v>
      </c>
      <c r="AN967" s="149">
        <v>0</v>
      </c>
      <c r="AO967" s="149">
        <v>0</v>
      </c>
      <c r="AP967" s="149">
        <v>0</v>
      </c>
      <c r="AQ967" s="149">
        <v>0</v>
      </c>
      <c r="AR967" s="149">
        <v>0</v>
      </c>
      <c r="AS967" s="149">
        <v>0</v>
      </c>
      <c r="AT967" s="149">
        <v>20</v>
      </c>
      <c r="AU967" s="149">
        <v>0</v>
      </c>
      <c r="AV967" s="149">
        <v>0</v>
      </c>
      <c r="AW967" s="149">
        <v>0</v>
      </c>
      <c r="AX967" s="149">
        <v>0</v>
      </c>
      <c r="AY967" s="149">
        <v>0</v>
      </c>
      <c r="AZ967" s="149">
        <v>0</v>
      </c>
      <c r="BA967" s="149">
        <v>20</v>
      </c>
      <c r="BB967" s="149">
        <v>0</v>
      </c>
      <c r="BC967" s="149">
        <v>0</v>
      </c>
      <c r="BD967" s="149">
        <v>0</v>
      </c>
      <c r="BE967" s="149">
        <v>0</v>
      </c>
      <c r="BF967" s="149">
        <v>0</v>
      </c>
      <c r="BG967" s="149">
        <v>0</v>
      </c>
      <c r="BH967" s="149">
        <v>0</v>
      </c>
      <c r="BI967" s="149">
        <v>0</v>
      </c>
      <c r="BJ967" s="149">
        <v>0</v>
      </c>
      <c r="BK967" s="149">
        <v>0</v>
      </c>
      <c r="BL967" s="149">
        <v>0</v>
      </c>
      <c r="BM967" s="149">
        <v>0</v>
      </c>
      <c r="BN967" s="149">
        <v>0</v>
      </c>
      <c r="BO967" s="149">
        <v>0</v>
      </c>
      <c r="BP967" s="136"/>
      <c r="BQ967" s="136"/>
      <c r="BR967" s="154" t="s">
        <v>463</v>
      </c>
      <c r="BS967" s="136">
        <v>19</v>
      </c>
      <c r="BT967" s="267"/>
      <c r="BU967" s="267"/>
      <c r="BV967" s="267"/>
      <c r="BW967" s="267"/>
      <c r="BX967" s="267"/>
      <c r="BY967" s="267">
        <f>M967/16</f>
        <v>1.25</v>
      </c>
      <c r="BZ967" s="267">
        <f>M967/16</f>
        <v>1.25</v>
      </c>
      <c r="CA967" s="267">
        <f>M967/16</f>
        <v>1.25</v>
      </c>
      <c r="CB967" s="267">
        <f>M967/16</f>
        <v>1.25</v>
      </c>
      <c r="CC967" s="267">
        <f>M967/16</f>
        <v>1.25</v>
      </c>
      <c r="CD967" s="267">
        <f>M967/16</f>
        <v>1.25</v>
      </c>
      <c r="CE967" s="267">
        <f>M967/16</f>
        <v>1.25</v>
      </c>
      <c r="CF967" s="267">
        <f>M967/16</f>
        <v>1.25</v>
      </c>
      <c r="CG967" s="267">
        <f>M967/16</f>
        <v>1.25</v>
      </c>
      <c r="CH967" s="267">
        <f>M967/16</f>
        <v>1.25</v>
      </c>
      <c r="CI967" s="267">
        <f>M967/16</f>
        <v>1.25</v>
      </c>
      <c r="CJ967" s="267">
        <f>M967/16</f>
        <v>1.25</v>
      </c>
      <c r="CK967" s="267">
        <f>M967/16</f>
        <v>1.25</v>
      </c>
      <c r="CL967" s="267">
        <f>M967/16</f>
        <v>1.25</v>
      </c>
      <c r="CM967" s="267">
        <f>M967/16</f>
        <v>1.25</v>
      </c>
      <c r="CN967" s="101">
        <f t="shared" si="135"/>
        <v>1.25</v>
      </c>
      <c r="CO967" s="101">
        <f t="shared" si="136"/>
        <v>7.5</v>
      </c>
    </row>
    <row r="968" spans="1:93" ht="13.9" customHeight="1" x14ac:dyDescent="0.2">
      <c r="A968" s="149">
        <v>6893</v>
      </c>
      <c r="B968" s="150" t="s">
        <v>2522</v>
      </c>
      <c r="C968" s="150"/>
      <c r="D968" s="150" t="s">
        <v>2586</v>
      </c>
      <c r="E968" s="150"/>
      <c r="F968" s="149">
        <v>525561</v>
      </c>
      <c r="G968" s="149">
        <v>174936</v>
      </c>
      <c r="H968" s="150" t="s">
        <v>177</v>
      </c>
      <c r="I968" s="151"/>
      <c r="J968" s="151"/>
      <c r="K968" s="149">
        <v>0</v>
      </c>
      <c r="L968" s="149">
        <v>6</v>
      </c>
      <c r="M968" s="149">
        <v>6</v>
      </c>
      <c r="N968" s="149">
        <v>31</v>
      </c>
      <c r="O968" s="149">
        <v>31</v>
      </c>
      <c r="P968" s="152" t="s">
        <v>327</v>
      </c>
      <c r="Q968" s="150" t="s">
        <v>2524</v>
      </c>
      <c r="R968" s="150" t="s">
        <v>2525</v>
      </c>
      <c r="S968" s="151"/>
      <c r="T968" s="151"/>
      <c r="U968" s="152"/>
      <c r="V968" s="150" t="s">
        <v>330</v>
      </c>
      <c r="W968" s="151"/>
      <c r="X968" s="150" t="s">
        <v>331</v>
      </c>
      <c r="Y968" s="150" t="s">
        <v>343</v>
      </c>
      <c r="Z968" s="150" t="s">
        <v>343</v>
      </c>
      <c r="AA968" s="150" t="s">
        <v>334</v>
      </c>
      <c r="AB968" s="153">
        <v>0</v>
      </c>
      <c r="AC968" s="151"/>
      <c r="AD968" s="150"/>
      <c r="AE968" s="151"/>
      <c r="AF968" s="150" t="s">
        <v>49</v>
      </c>
      <c r="AG968" s="152" t="s">
        <v>470</v>
      </c>
      <c r="AH968" s="150" t="s">
        <v>2587</v>
      </c>
      <c r="AI968" s="99"/>
      <c r="AJ968" s="149">
        <v>0</v>
      </c>
      <c r="AK968" s="99">
        <v>0</v>
      </c>
      <c r="AL968" s="149">
        <v>0</v>
      </c>
      <c r="AM968" s="99">
        <v>0</v>
      </c>
      <c r="AN968" s="149">
        <v>0</v>
      </c>
      <c r="AO968" s="149">
        <v>0</v>
      </c>
      <c r="AP968" s="149">
        <v>0</v>
      </c>
      <c r="AQ968" s="149">
        <v>0</v>
      </c>
      <c r="AR968" s="149">
        <v>0</v>
      </c>
      <c r="AS968" s="149">
        <v>0</v>
      </c>
      <c r="AT968" s="149">
        <v>6</v>
      </c>
      <c r="AU968" s="149">
        <v>0</v>
      </c>
      <c r="AV968" s="149">
        <v>0</v>
      </c>
      <c r="AW968" s="149">
        <v>0</v>
      </c>
      <c r="AX968" s="149">
        <v>0</v>
      </c>
      <c r="AY968" s="149">
        <v>0</v>
      </c>
      <c r="AZ968" s="149">
        <v>0</v>
      </c>
      <c r="BA968" s="149">
        <v>6</v>
      </c>
      <c r="BB968" s="149">
        <v>0</v>
      </c>
      <c r="BC968" s="149">
        <v>0</v>
      </c>
      <c r="BD968" s="149">
        <v>0</v>
      </c>
      <c r="BE968" s="149">
        <v>0</v>
      </c>
      <c r="BF968" s="149">
        <v>0</v>
      </c>
      <c r="BG968" s="149">
        <v>0</v>
      </c>
      <c r="BH968" s="149">
        <v>0</v>
      </c>
      <c r="BI968" s="149">
        <v>0</v>
      </c>
      <c r="BJ968" s="149">
        <v>0</v>
      </c>
      <c r="BK968" s="149">
        <v>0</v>
      </c>
      <c r="BL968" s="149">
        <v>0</v>
      </c>
      <c r="BM968" s="149">
        <v>0</v>
      </c>
      <c r="BN968" s="149">
        <v>0</v>
      </c>
      <c r="BO968" s="149">
        <v>0</v>
      </c>
      <c r="BP968" s="136"/>
      <c r="BQ968" s="136"/>
      <c r="BR968" s="154" t="s">
        <v>463</v>
      </c>
      <c r="BS968" s="136">
        <v>19</v>
      </c>
      <c r="BT968" s="267"/>
      <c r="BU968" s="267"/>
      <c r="BV968" s="267"/>
      <c r="BW968" s="267"/>
      <c r="BX968" s="267"/>
      <c r="BY968" s="267">
        <f>M968/16</f>
        <v>0.375</v>
      </c>
      <c r="BZ968" s="267">
        <f>M968/16</f>
        <v>0.375</v>
      </c>
      <c r="CA968" s="267">
        <f>M968/16</f>
        <v>0.375</v>
      </c>
      <c r="CB968" s="267">
        <f>M968/16</f>
        <v>0.375</v>
      </c>
      <c r="CC968" s="267">
        <f>M968/16</f>
        <v>0.375</v>
      </c>
      <c r="CD968" s="267">
        <f>M968/16</f>
        <v>0.375</v>
      </c>
      <c r="CE968" s="267">
        <f>M968/16</f>
        <v>0.375</v>
      </c>
      <c r="CF968" s="267">
        <f>M968/16</f>
        <v>0.375</v>
      </c>
      <c r="CG968" s="267">
        <f>M968/16</f>
        <v>0.375</v>
      </c>
      <c r="CH968" s="267">
        <f>M968/16</f>
        <v>0.375</v>
      </c>
      <c r="CI968" s="267">
        <f>M968/16</f>
        <v>0.375</v>
      </c>
      <c r="CJ968" s="267">
        <f>M968/16</f>
        <v>0.375</v>
      </c>
      <c r="CK968" s="267">
        <f>M968/16</f>
        <v>0.375</v>
      </c>
      <c r="CL968" s="267">
        <f>M968/16</f>
        <v>0.375</v>
      </c>
      <c r="CM968" s="267">
        <f>M968/16</f>
        <v>0.375</v>
      </c>
      <c r="CN968" s="101">
        <f t="shared" si="135"/>
        <v>0.375</v>
      </c>
      <c r="CO968" s="101">
        <f t="shared" si="136"/>
        <v>2.25</v>
      </c>
    </row>
    <row r="969" spans="1:93" ht="13.9" customHeight="1" x14ac:dyDescent="0.2">
      <c r="A969" s="149">
        <v>6893</v>
      </c>
      <c r="B969" s="150" t="s">
        <v>2522</v>
      </c>
      <c r="C969" s="150"/>
      <c r="D969" s="150" t="s">
        <v>2586</v>
      </c>
      <c r="E969" s="150"/>
      <c r="F969" s="149">
        <v>525561</v>
      </c>
      <c r="G969" s="149">
        <v>174936</v>
      </c>
      <c r="H969" s="150" t="s">
        <v>177</v>
      </c>
      <c r="I969" s="151"/>
      <c r="J969" s="151"/>
      <c r="K969" s="149">
        <v>0</v>
      </c>
      <c r="L969" s="149">
        <v>5</v>
      </c>
      <c r="M969" s="149">
        <v>5</v>
      </c>
      <c r="N969" s="149">
        <v>31</v>
      </c>
      <c r="O969" s="149">
        <v>31</v>
      </c>
      <c r="P969" s="152" t="s">
        <v>327</v>
      </c>
      <c r="Q969" s="150" t="s">
        <v>2524</v>
      </c>
      <c r="R969" s="150" t="s">
        <v>2525</v>
      </c>
      <c r="S969" s="151"/>
      <c r="T969" s="151"/>
      <c r="U969" s="152"/>
      <c r="V969" s="150" t="s">
        <v>330</v>
      </c>
      <c r="W969" s="151"/>
      <c r="X969" s="150" t="s">
        <v>331</v>
      </c>
      <c r="Y969" s="150" t="s">
        <v>343</v>
      </c>
      <c r="Z969" s="150" t="s">
        <v>343</v>
      </c>
      <c r="AA969" s="150" t="s">
        <v>334</v>
      </c>
      <c r="AB969" s="153">
        <v>0</v>
      </c>
      <c r="AC969" s="151"/>
      <c r="AD969" s="150"/>
      <c r="AE969" s="151"/>
      <c r="AF969" s="150" t="s">
        <v>48</v>
      </c>
      <c r="AG969" s="152" t="s">
        <v>992</v>
      </c>
      <c r="AH969" s="150" t="s">
        <v>2587</v>
      </c>
      <c r="AI969" s="99"/>
      <c r="AJ969" s="149">
        <v>0</v>
      </c>
      <c r="AK969" s="99">
        <v>0</v>
      </c>
      <c r="AL969" s="149">
        <v>0</v>
      </c>
      <c r="AM969" s="99">
        <v>0</v>
      </c>
      <c r="AN969" s="149">
        <v>0</v>
      </c>
      <c r="AO969" s="149">
        <v>0</v>
      </c>
      <c r="AP969" s="149">
        <v>0</v>
      </c>
      <c r="AQ969" s="149">
        <v>0</v>
      </c>
      <c r="AR969" s="149">
        <v>0</v>
      </c>
      <c r="AS969" s="149">
        <v>0</v>
      </c>
      <c r="AT969" s="149">
        <v>5</v>
      </c>
      <c r="AU969" s="149">
        <v>0</v>
      </c>
      <c r="AV969" s="149">
        <v>0</v>
      </c>
      <c r="AW969" s="149">
        <v>0</v>
      </c>
      <c r="AX969" s="149">
        <v>0</v>
      </c>
      <c r="AY969" s="149">
        <v>0</v>
      </c>
      <c r="AZ969" s="149">
        <v>0</v>
      </c>
      <c r="BA969" s="149">
        <v>5</v>
      </c>
      <c r="BB969" s="149">
        <v>0</v>
      </c>
      <c r="BC969" s="149">
        <v>0</v>
      </c>
      <c r="BD969" s="149">
        <v>0</v>
      </c>
      <c r="BE969" s="149">
        <v>0</v>
      </c>
      <c r="BF969" s="149">
        <v>0</v>
      </c>
      <c r="BG969" s="149">
        <v>0</v>
      </c>
      <c r="BH969" s="149">
        <v>0</v>
      </c>
      <c r="BI969" s="149">
        <v>0</v>
      </c>
      <c r="BJ969" s="149">
        <v>0</v>
      </c>
      <c r="BK969" s="149">
        <v>0</v>
      </c>
      <c r="BL969" s="149">
        <v>0</v>
      </c>
      <c r="BM969" s="149">
        <v>0</v>
      </c>
      <c r="BN969" s="149">
        <v>0</v>
      </c>
      <c r="BO969" s="149">
        <v>0</v>
      </c>
      <c r="BP969" s="136"/>
      <c r="BQ969" s="136"/>
      <c r="BR969" s="154" t="s">
        <v>463</v>
      </c>
      <c r="BS969" s="136">
        <v>19</v>
      </c>
      <c r="BT969" s="267"/>
      <c r="BU969" s="267"/>
      <c r="BV969" s="267"/>
      <c r="BW969" s="267"/>
      <c r="BX969" s="267"/>
      <c r="BY969" s="267">
        <f>M969/16</f>
        <v>0.3125</v>
      </c>
      <c r="BZ969" s="267">
        <f>M969/16</f>
        <v>0.3125</v>
      </c>
      <c r="CA969" s="267">
        <f>M969/16</f>
        <v>0.3125</v>
      </c>
      <c r="CB969" s="267">
        <f>M969/16</f>
        <v>0.3125</v>
      </c>
      <c r="CC969" s="267">
        <f>M969/16</f>
        <v>0.3125</v>
      </c>
      <c r="CD969" s="267">
        <f>M969/16</f>
        <v>0.3125</v>
      </c>
      <c r="CE969" s="267">
        <f>M969/16</f>
        <v>0.3125</v>
      </c>
      <c r="CF969" s="267">
        <f>M969/16</f>
        <v>0.3125</v>
      </c>
      <c r="CG969" s="267">
        <f>M969/16</f>
        <v>0.3125</v>
      </c>
      <c r="CH969" s="267">
        <f>M969/16</f>
        <v>0.3125</v>
      </c>
      <c r="CI969" s="267">
        <f>M969/16</f>
        <v>0.3125</v>
      </c>
      <c r="CJ969" s="267">
        <f>M969/16</f>
        <v>0.3125</v>
      </c>
      <c r="CK969" s="267">
        <f>M969/16</f>
        <v>0.3125</v>
      </c>
      <c r="CL969" s="267">
        <f>M969/16</f>
        <v>0.3125</v>
      </c>
      <c r="CM969" s="267">
        <f>M969/16</f>
        <v>0.3125</v>
      </c>
      <c r="CN969" s="101">
        <f t="shared" si="135"/>
        <v>0.3125</v>
      </c>
      <c r="CO969" s="101">
        <f t="shared" si="136"/>
        <v>1.875</v>
      </c>
    </row>
    <row r="970" spans="1:93" ht="13.9" customHeight="1" x14ac:dyDescent="0.2">
      <c r="A970" s="149">
        <v>7542</v>
      </c>
      <c r="B970" s="150" t="s">
        <v>2522</v>
      </c>
      <c r="C970" s="150"/>
      <c r="D970" s="150" t="s">
        <v>2588</v>
      </c>
      <c r="E970" s="150"/>
      <c r="F970" s="149">
        <v>521741</v>
      </c>
      <c r="G970" s="149">
        <v>172550</v>
      </c>
      <c r="H970" s="150" t="s">
        <v>166</v>
      </c>
      <c r="I970" s="151"/>
      <c r="J970" s="151"/>
      <c r="K970" s="149">
        <v>0</v>
      </c>
      <c r="L970" s="149">
        <v>2</v>
      </c>
      <c r="M970" s="149">
        <v>2</v>
      </c>
      <c r="N970" s="149">
        <v>2</v>
      </c>
      <c r="O970" s="149">
        <v>2</v>
      </c>
      <c r="P970" s="152"/>
      <c r="Q970" s="150" t="s">
        <v>2524</v>
      </c>
      <c r="R970" s="150" t="s">
        <v>2525</v>
      </c>
      <c r="S970" s="151"/>
      <c r="T970" s="151"/>
      <c r="U970" s="152"/>
      <c r="V970" s="150" t="s">
        <v>330</v>
      </c>
      <c r="W970" s="151"/>
      <c r="X970" s="150" t="s">
        <v>331</v>
      </c>
      <c r="Y970" s="150" t="s">
        <v>343</v>
      </c>
      <c r="Z970" s="150" t="s">
        <v>334</v>
      </c>
      <c r="AA970" s="150" t="s">
        <v>363</v>
      </c>
      <c r="AB970" s="153">
        <v>0</v>
      </c>
      <c r="AC970" s="151"/>
      <c r="AD970" s="150"/>
      <c r="AE970" s="151"/>
      <c r="AF970" s="150" t="s">
        <v>70</v>
      </c>
      <c r="AG970" s="152" t="s">
        <v>352</v>
      </c>
      <c r="AH970" s="150"/>
      <c r="AI970" s="99"/>
      <c r="AJ970" s="149">
        <v>0</v>
      </c>
      <c r="AK970" s="99">
        <v>0</v>
      </c>
      <c r="AL970" s="149">
        <v>0</v>
      </c>
      <c r="AM970" s="99">
        <v>0</v>
      </c>
      <c r="AN970" s="149">
        <v>0</v>
      </c>
      <c r="AO970" s="149">
        <v>0</v>
      </c>
      <c r="AP970" s="149">
        <v>0</v>
      </c>
      <c r="AQ970" s="149">
        <v>0</v>
      </c>
      <c r="AR970" s="149">
        <v>0</v>
      </c>
      <c r="AS970" s="149">
        <v>0</v>
      </c>
      <c r="AT970" s="149">
        <v>2</v>
      </c>
      <c r="AU970" s="149">
        <v>0</v>
      </c>
      <c r="AV970" s="149">
        <v>0</v>
      </c>
      <c r="AW970" s="149">
        <v>0</v>
      </c>
      <c r="AX970" s="149">
        <v>0</v>
      </c>
      <c r="AY970" s="149">
        <v>0</v>
      </c>
      <c r="AZ970" s="149">
        <v>0</v>
      </c>
      <c r="BA970" s="149">
        <v>2</v>
      </c>
      <c r="BB970" s="149">
        <v>0</v>
      </c>
      <c r="BC970" s="149">
        <v>0</v>
      </c>
      <c r="BD970" s="149">
        <v>0</v>
      </c>
      <c r="BE970" s="149">
        <v>0</v>
      </c>
      <c r="BF970" s="149">
        <v>0</v>
      </c>
      <c r="BG970" s="149">
        <v>0</v>
      </c>
      <c r="BH970" s="149">
        <v>0</v>
      </c>
      <c r="BI970" s="149">
        <v>0</v>
      </c>
      <c r="BJ970" s="149">
        <v>0</v>
      </c>
      <c r="BK970" s="149">
        <v>0</v>
      </c>
      <c r="BL970" s="149">
        <v>0</v>
      </c>
      <c r="BM970" s="149">
        <v>0</v>
      </c>
      <c r="BN970" s="149">
        <v>0</v>
      </c>
      <c r="BO970" s="149">
        <v>0</v>
      </c>
      <c r="BP970" s="136"/>
      <c r="BQ970" s="136"/>
      <c r="BR970" s="154" t="s">
        <v>359</v>
      </c>
      <c r="BS970" s="136">
        <v>19</v>
      </c>
      <c r="BT970" s="267"/>
      <c r="BU970" s="267"/>
      <c r="BV970" s="267"/>
      <c r="BW970" s="267"/>
      <c r="BX970" s="267"/>
      <c r="BY970" s="267">
        <f>M970</f>
        <v>2</v>
      </c>
      <c r="BZ970" s="267"/>
      <c r="CA970" s="267"/>
      <c r="CB970" s="267"/>
      <c r="CC970" s="267"/>
      <c r="CD970" s="267"/>
      <c r="CE970" s="267"/>
      <c r="CF970" s="267"/>
      <c r="CG970" s="267"/>
      <c r="CH970" s="267"/>
      <c r="CI970" s="267"/>
      <c r="CJ970" s="267"/>
      <c r="CK970" s="267"/>
      <c r="CL970" s="267"/>
      <c r="CM970" s="267"/>
      <c r="CN970" s="101">
        <f t="shared" si="135"/>
        <v>2</v>
      </c>
      <c r="CO970" s="101">
        <f t="shared" si="136"/>
        <v>2</v>
      </c>
    </row>
    <row r="971" spans="1:93" ht="13.9" customHeight="1" x14ac:dyDescent="0.2">
      <c r="A971" s="149">
        <v>4484</v>
      </c>
      <c r="B971" s="150" t="s">
        <v>2522</v>
      </c>
      <c r="C971" s="150"/>
      <c r="D971" s="150" t="s">
        <v>2589</v>
      </c>
      <c r="E971" s="150"/>
      <c r="F971" s="149">
        <v>526998.49629999895</v>
      </c>
      <c r="G971" s="149">
        <v>175370.1955</v>
      </c>
      <c r="H971" s="150" t="s">
        <v>162</v>
      </c>
      <c r="I971" s="151"/>
      <c r="J971" s="151"/>
      <c r="K971" s="149">
        <v>0</v>
      </c>
      <c r="L971" s="149">
        <v>54</v>
      </c>
      <c r="M971" s="149">
        <v>54</v>
      </c>
      <c r="N971" s="149">
        <v>83</v>
      </c>
      <c r="O971" s="149">
        <v>83</v>
      </c>
      <c r="P971" s="152" t="s">
        <v>327</v>
      </c>
      <c r="Q971" s="150" t="s">
        <v>2524</v>
      </c>
      <c r="R971" s="150" t="s">
        <v>2525</v>
      </c>
      <c r="S971" s="151"/>
      <c r="T971" s="151"/>
      <c r="U971" s="152"/>
      <c r="V971" s="150" t="s">
        <v>330</v>
      </c>
      <c r="W971" s="151"/>
      <c r="X971" s="150" t="s">
        <v>331</v>
      </c>
      <c r="Y971" s="150" t="s">
        <v>343</v>
      </c>
      <c r="Z971" s="150" t="s">
        <v>343</v>
      </c>
      <c r="AA971" s="150" t="s">
        <v>334</v>
      </c>
      <c r="AB971" s="153">
        <v>0</v>
      </c>
      <c r="AC971" s="151"/>
      <c r="AD971" s="150"/>
      <c r="AE971" s="151"/>
      <c r="AF971" s="150" t="s">
        <v>70</v>
      </c>
      <c r="AG971" s="152" t="s">
        <v>352</v>
      </c>
      <c r="AH971" s="150" t="s">
        <v>2590</v>
      </c>
      <c r="AI971" s="99"/>
      <c r="AJ971" s="149">
        <v>0</v>
      </c>
      <c r="AK971" s="99">
        <v>0</v>
      </c>
      <c r="AL971" s="149">
        <v>0</v>
      </c>
      <c r="AM971" s="99">
        <v>0</v>
      </c>
      <c r="AN971" s="149">
        <v>0</v>
      </c>
      <c r="AO971" s="149">
        <v>0</v>
      </c>
      <c r="AP971" s="149">
        <v>0</v>
      </c>
      <c r="AQ971" s="149">
        <v>0</v>
      </c>
      <c r="AR971" s="149">
        <v>0</v>
      </c>
      <c r="AS971" s="149">
        <v>0</v>
      </c>
      <c r="AT971" s="149">
        <v>54</v>
      </c>
      <c r="AU971" s="149">
        <v>0</v>
      </c>
      <c r="AV971" s="149">
        <v>0</v>
      </c>
      <c r="AW971" s="149">
        <v>0</v>
      </c>
      <c r="AX971" s="149">
        <v>0</v>
      </c>
      <c r="AY971" s="149">
        <v>0</v>
      </c>
      <c r="AZ971" s="149">
        <v>0</v>
      </c>
      <c r="BA971" s="149">
        <v>54</v>
      </c>
      <c r="BB971" s="149">
        <v>0</v>
      </c>
      <c r="BC971" s="149">
        <v>0</v>
      </c>
      <c r="BD971" s="149">
        <v>0</v>
      </c>
      <c r="BE971" s="149">
        <v>0</v>
      </c>
      <c r="BF971" s="149">
        <v>0</v>
      </c>
      <c r="BG971" s="149">
        <v>0</v>
      </c>
      <c r="BH971" s="149">
        <v>0</v>
      </c>
      <c r="BI971" s="149">
        <v>0</v>
      </c>
      <c r="BJ971" s="149">
        <v>0</v>
      </c>
      <c r="BK971" s="149">
        <v>0</v>
      </c>
      <c r="BL971" s="149">
        <v>0</v>
      </c>
      <c r="BM971" s="149">
        <v>0</v>
      </c>
      <c r="BN971" s="149">
        <v>0</v>
      </c>
      <c r="BO971" s="149">
        <v>0</v>
      </c>
      <c r="BP971" s="136"/>
      <c r="BQ971" s="136"/>
      <c r="BR971" s="154" t="s">
        <v>148</v>
      </c>
      <c r="BS971" s="136">
        <v>19</v>
      </c>
      <c r="BT971" s="267"/>
      <c r="BU971" s="267"/>
      <c r="BV971" s="267"/>
      <c r="BW971" s="267"/>
      <c r="BX971" s="267"/>
      <c r="BY971" s="267"/>
      <c r="BZ971" s="267"/>
      <c r="CA971" s="267"/>
      <c r="CB971" s="267"/>
      <c r="CC971" s="267"/>
      <c r="CD971" s="267"/>
      <c r="CE971" s="267"/>
      <c r="CF971" s="267"/>
      <c r="CG971" s="267"/>
      <c r="CH971" s="267">
        <f t="shared" ref="CH971:CH976" si="137">M971/7</f>
        <v>7.7142857142857144</v>
      </c>
      <c r="CI971" s="267">
        <f t="shared" ref="CI971:CI976" si="138">M971/7</f>
        <v>7.7142857142857144</v>
      </c>
      <c r="CJ971" s="267">
        <f t="shared" ref="CJ971:CJ976" si="139">M971/7</f>
        <v>7.7142857142857144</v>
      </c>
      <c r="CK971" s="267">
        <f t="shared" ref="CK971:CK976" si="140">M971/7</f>
        <v>7.7142857142857144</v>
      </c>
      <c r="CL971" s="267">
        <f t="shared" ref="CL971:CL976" si="141">M971/7</f>
        <v>7.7142857142857144</v>
      </c>
      <c r="CM971" s="267">
        <f t="shared" ref="CM971:CM976" si="142">M971/7</f>
        <v>7.7142857142857144</v>
      </c>
      <c r="CN971" s="101">
        <f t="shared" si="135"/>
        <v>0</v>
      </c>
      <c r="CO971" s="101">
        <f t="shared" si="136"/>
        <v>0</v>
      </c>
    </row>
    <row r="972" spans="1:93" ht="13.9" customHeight="1" x14ac:dyDescent="0.2">
      <c r="A972" s="149">
        <v>4484</v>
      </c>
      <c r="B972" s="150" t="s">
        <v>2522</v>
      </c>
      <c r="C972" s="150"/>
      <c r="D972" s="150" t="s">
        <v>2589</v>
      </c>
      <c r="E972" s="150"/>
      <c r="F972" s="149">
        <v>526998.49629999895</v>
      </c>
      <c r="G972" s="149">
        <v>175370.1955</v>
      </c>
      <c r="H972" s="150" t="s">
        <v>162</v>
      </c>
      <c r="I972" s="151"/>
      <c r="J972" s="151"/>
      <c r="K972" s="149">
        <v>0</v>
      </c>
      <c r="L972" s="149">
        <v>15</v>
      </c>
      <c r="M972" s="149">
        <v>15</v>
      </c>
      <c r="N972" s="149">
        <v>83</v>
      </c>
      <c r="O972" s="149">
        <v>83</v>
      </c>
      <c r="P972" s="152" t="s">
        <v>327</v>
      </c>
      <c r="Q972" s="150" t="s">
        <v>2524</v>
      </c>
      <c r="R972" s="150" t="s">
        <v>2525</v>
      </c>
      <c r="S972" s="151"/>
      <c r="T972" s="151"/>
      <c r="U972" s="152"/>
      <c r="V972" s="150" t="s">
        <v>330</v>
      </c>
      <c r="W972" s="151"/>
      <c r="X972" s="150" t="s">
        <v>331</v>
      </c>
      <c r="Y972" s="150" t="s">
        <v>343</v>
      </c>
      <c r="Z972" s="150" t="s">
        <v>343</v>
      </c>
      <c r="AA972" s="150" t="s">
        <v>334</v>
      </c>
      <c r="AB972" s="153">
        <v>0</v>
      </c>
      <c r="AC972" s="151"/>
      <c r="AD972" s="150"/>
      <c r="AE972" s="151"/>
      <c r="AF972" s="150" t="s">
        <v>49</v>
      </c>
      <c r="AG972" s="152" t="s">
        <v>470</v>
      </c>
      <c r="AH972" s="150" t="s">
        <v>2590</v>
      </c>
      <c r="AI972" s="99"/>
      <c r="AJ972" s="149">
        <v>0</v>
      </c>
      <c r="AK972" s="99">
        <v>0</v>
      </c>
      <c r="AL972" s="149">
        <v>0</v>
      </c>
      <c r="AM972" s="99">
        <v>0</v>
      </c>
      <c r="AN972" s="149">
        <v>0</v>
      </c>
      <c r="AO972" s="149">
        <v>0</v>
      </c>
      <c r="AP972" s="149">
        <v>0</v>
      </c>
      <c r="AQ972" s="149">
        <v>0</v>
      </c>
      <c r="AR972" s="149">
        <v>0</v>
      </c>
      <c r="AS972" s="149">
        <v>0</v>
      </c>
      <c r="AT972" s="149">
        <v>15</v>
      </c>
      <c r="AU972" s="149">
        <v>0</v>
      </c>
      <c r="AV972" s="149">
        <v>0</v>
      </c>
      <c r="AW972" s="149">
        <v>0</v>
      </c>
      <c r="AX972" s="149">
        <v>0</v>
      </c>
      <c r="AY972" s="149">
        <v>0</v>
      </c>
      <c r="AZ972" s="149">
        <v>0</v>
      </c>
      <c r="BA972" s="149">
        <v>15</v>
      </c>
      <c r="BB972" s="149">
        <v>0</v>
      </c>
      <c r="BC972" s="149">
        <v>0</v>
      </c>
      <c r="BD972" s="149">
        <v>0</v>
      </c>
      <c r="BE972" s="149">
        <v>0</v>
      </c>
      <c r="BF972" s="149">
        <v>0</v>
      </c>
      <c r="BG972" s="149">
        <v>0</v>
      </c>
      <c r="BH972" s="149">
        <v>0</v>
      </c>
      <c r="BI972" s="149">
        <v>0</v>
      </c>
      <c r="BJ972" s="149">
        <v>0</v>
      </c>
      <c r="BK972" s="149">
        <v>0</v>
      </c>
      <c r="BL972" s="149">
        <v>0</v>
      </c>
      <c r="BM972" s="149">
        <v>0</v>
      </c>
      <c r="BN972" s="149">
        <v>0</v>
      </c>
      <c r="BO972" s="149">
        <v>0</v>
      </c>
      <c r="BP972" s="136"/>
      <c r="BQ972" s="136"/>
      <c r="BR972" s="154" t="s">
        <v>148</v>
      </c>
      <c r="BS972" s="136">
        <v>19</v>
      </c>
      <c r="BT972" s="267"/>
      <c r="BU972" s="267"/>
      <c r="BV972" s="267"/>
      <c r="BW972" s="267"/>
      <c r="BX972" s="267"/>
      <c r="BY972" s="267"/>
      <c r="BZ972" s="267"/>
      <c r="CA972" s="267"/>
      <c r="CB972" s="267"/>
      <c r="CC972" s="267"/>
      <c r="CD972" s="267"/>
      <c r="CE972" s="267"/>
      <c r="CF972" s="267"/>
      <c r="CG972" s="267"/>
      <c r="CH972" s="267">
        <f t="shared" si="137"/>
        <v>2.1428571428571428</v>
      </c>
      <c r="CI972" s="267">
        <f t="shared" si="138"/>
        <v>2.1428571428571428</v>
      </c>
      <c r="CJ972" s="267">
        <f t="shared" si="139"/>
        <v>2.1428571428571428</v>
      </c>
      <c r="CK972" s="267">
        <f t="shared" si="140"/>
        <v>2.1428571428571428</v>
      </c>
      <c r="CL972" s="267">
        <f t="shared" si="141"/>
        <v>2.1428571428571428</v>
      </c>
      <c r="CM972" s="267">
        <f t="shared" si="142"/>
        <v>2.1428571428571428</v>
      </c>
      <c r="CN972" s="101">
        <f t="shared" si="135"/>
        <v>0</v>
      </c>
      <c r="CO972" s="101">
        <f t="shared" si="136"/>
        <v>0</v>
      </c>
    </row>
    <row r="973" spans="1:93" ht="13.9" customHeight="1" x14ac:dyDescent="0.2">
      <c r="A973" s="149">
        <v>4484</v>
      </c>
      <c r="B973" s="150" t="s">
        <v>2522</v>
      </c>
      <c r="C973" s="150"/>
      <c r="D973" s="150" t="s">
        <v>2589</v>
      </c>
      <c r="E973" s="150"/>
      <c r="F973" s="149">
        <v>526998.49629999895</v>
      </c>
      <c r="G973" s="149">
        <v>175370.1955</v>
      </c>
      <c r="H973" s="150" t="s">
        <v>162</v>
      </c>
      <c r="I973" s="151"/>
      <c r="J973" s="151"/>
      <c r="K973" s="149">
        <v>0</v>
      </c>
      <c r="L973" s="149">
        <v>14</v>
      </c>
      <c r="M973" s="149">
        <v>14</v>
      </c>
      <c r="N973" s="149">
        <v>83</v>
      </c>
      <c r="O973" s="149">
        <v>83</v>
      </c>
      <c r="P973" s="152" t="s">
        <v>327</v>
      </c>
      <c r="Q973" s="150" t="s">
        <v>2524</v>
      </c>
      <c r="R973" s="150" t="s">
        <v>2525</v>
      </c>
      <c r="S973" s="151"/>
      <c r="T973" s="151"/>
      <c r="U973" s="152"/>
      <c r="V973" s="150" t="s">
        <v>330</v>
      </c>
      <c r="W973" s="151"/>
      <c r="X973" s="150" t="s">
        <v>331</v>
      </c>
      <c r="Y973" s="150" t="s">
        <v>343</v>
      </c>
      <c r="Z973" s="150" t="s">
        <v>343</v>
      </c>
      <c r="AA973" s="150" t="s">
        <v>334</v>
      </c>
      <c r="AB973" s="153">
        <v>0</v>
      </c>
      <c r="AC973" s="151"/>
      <c r="AD973" s="150"/>
      <c r="AE973" s="151"/>
      <c r="AF973" s="150" t="s">
        <v>48</v>
      </c>
      <c r="AG973" s="152" t="s">
        <v>992</v>
      </c>
      <c r="AH973" s="150" t="s">
        <v>2590</v>
      </c>
      <c r="AI973" s="99"/>
      <c r="AJ973" s="149">
        <v>0</v>
      </c>
      <c r="AK973" s="99">
        <v>0</v>
      </c>
      <c r="AL973" s="149">
        <v>0</v>
      </c>
      <c r="AM973" s="99">
        <v>0</v>
      </c>
      <c r="AN973" s="149">
        <v>0</v>
      </c>
      <c r="AO973" s="149">
        <v>0</v>
      </c>
      <c r="AP973" s="149">
        <v>0</v>
      </c>
      <c r="AQ973" s="149">
        <v>0</v>
      </c>
      <c r="AR973" s="149">
        <v>0</v>
      </c>
      <c r="AS973" s="149">
        <v>0</v>
      </c>
      <c r="AT973" s="149">
        <v>14</v>
      </c>
      <c r="AU973" s="149">
        <v>0</v>
      </c>
      <c r="AV973" s="149">
        <v>0</v>
      </c>
      <c r="AW973" s="149">
        <v>0</v>
      </c>
      <c r="AX973" s="149">
        <v>0</v>
      </c>
      <c r="AY973" s="149">
        <v>0</v>
      </c>
      <c r="AZ973" s="149">
        <v>0</v>
      </c>
      <c r="BA973" s="149">
        <v>14</v>
      </c>
      <c r="BB973" s="149">
        <v>0</v>
      </c>
      <c r="BC973" s="149">
        <v>0</v>
      </c>
      <c r="BD973" s="149">
        <v>0</v>
      </c>
      <c r="BE973" s="149">
        <v>0</v>
      </c>
      <c r="BF973" s="149">
        <v>0</v>
      </c>
      <c r="BG973" s="149">
        <v>0</v>
      </c>
      <c r="BH973" s="149">
        <v>0</v>
      </c>
      <c r="BI973" s="149">
        <v>0</v>
      </c>
      <c r="BJ973" s="149">
        <v>0</v>
      </c>
      <c r="BK973" s="149">
        <v>0</v>
      </c>
      <c r="BL973" s="149">
        <v>0</v>
      </c>
      <c r="BM973" s="149">
        <v>0</v>
      </c>
      <c r="BN973" s="149">
        <v>0</v>
      </c>
      <c r="BO973" s="149">
        <v>0</v>
      </c>
      <c r="BP973" s="136"/>
      <c r="BQ973" s="136"/>
      <c r="BR973" s="154" t="s">
        <v>148</v>
      </c>
      <c r="BS973" s="136">
        <v>19</v>
      </c>
      <c r="BT973" s="267"/>
      <c r="BU973" s="267"/>
      <c r="BV973" s="267"/>
      <c r="BW973" s="267"/>
      <c r="BX973" s="267"/>
      <c r="BY973" s="267"/>
      <c r="BZ973" s="267"/>
      <c r="CA973" s="267"/>
      <c r="CB973" s="267"/>
      <c r="CC973" s="267"/>
      <c r="CD973" s="267"/>
      <c r="CE973" s="267"/>
      <c r="CF973" s="267"/>
      <c r="CG973" s="267"/>
      <c r="CH973" s="267">
        <f t="shared" si="137"/>
        <v>2</v>
      </c>
      <c r="CI973" s="267">
        <f t="shared" si="138"/>
        <v>2</v>
      </c>
      <c r="CJ973" s="267">
        <f t="shared" si="139"/>
        <v>2</v>
      </c>
      <c r="CK973" s="267">
        <f t="shared" si="140"/>
        <v>2</v>
      </c>
      <c r="CL973" s="267">
        <f t="shared" si="141"/>
        <v>2</v>
      </c>
      <c r="CM973" s="267">
        <f t="shared" si="142"/>
        <v>2</v>
      </c>
      <c r="CN973" s="101">
        <f t="shared" si="135"/>
        <v>0</v>
      </c>
      <c r="CO973" s="101">
        <f t="shared" si="136"/>
        <v>0</v>
      </c>
    </row>
    <row r="974" spans="1:93" ht="13.9" customHeight="1" x14ac:dyDescent="0.2">
      <c r="A974" s="149">
        <v>6896</v>
      </c>
      <c r="B974" s="150" t="s">
        <v>2522</v>
      </c>
      <c r="C974" s="150"/>
      <c r="D974" s="150" t="s">
        <v>2591</v>
      </c>
      <c r="E974" s="150"/>
      <c r="F974" s="149">
        <v>525597</v>
      </c>
      <c r="G974" s="149">
        <v>175113</v>
      </c>
      <c r="H974" s="150" t="s">
        <v>170</v>
      </c>
      <c r="I974" s="151"/>
      <c r="J974" s="151"/>
      <c r="K974" s="149">
        <v>0</v>
      </c>
      <c r="L974" s="149">
        <v>23</v>
      </c>
      <c r="M974" s="149">
        <v>23</v>
      </c>
      <c r="N974" s="149">
        <v>36</v>
      </c>
      <c r="O974" s="149">
        <v>36</v>
      </c>
      <c r="P974" s="152" t="s">
        <v>327</v>
      </c>
      <c r="Q974" s="150" t="s">
        <v>2524</v>
      </c>
      <c r="R974" s="150" t="s">
        <v>2525</v>
      </c>
      <c r="S974" s="151"/>
      <c r="T974" s="151"/>
      <c r="U974" s="152"/>
      <c r="V974" s="150" t="s">
        <v>330</v>
      </c>
      <c r="W974" s="151"/>
      <c r="X974" s="150" t="s">
        <v>331</v>
      </c>
      <c r="Y974" s="150" t="s">
        <v>343</v>
      </c>
      <c r="Z974" s="150" t="s">
        <v>343</v>
      </c>
      <c r="AA974" s="150" t="s">
        <v>334</v>
      </c>
      <c r="AB974" s="153">
        <v>0</v>
      </c>
      <c r="AC974" s="151"/>
      <c r="AD974" s="150"/>
      <c r="AE974" s="151"/>
      <c r="AF974" s="150" t="s">
        <v>70</v>
      </c>
      <c r="AG974" s="152" t="s">
        <v>352</v>
      </c>
      <c r="AH974" s="150" t="s">
        <v>2592</v>
      </c>
      <c r="AI974" s="99"/>
      <c r="AJ974" s="149">
        <v>0</v>
      </c>
      <c r="AK974" s="99">
        <v>0</v>
      </c>
      <c r="AL974" s="149">
        <v>0</v>
      </c>
      <c r="AM974" s="99">
        <v>0</v>
      </c>
      <c r="AN974" s="149">
        <v>0</v>
      </c>
      <c r="AO974" s="149">
        <v>0</v>
      </c>
      <c r="AP974" s="149">
        <v>0</v>
      </c>
      <c r="AQ974" s="149">
        <v>0</v>
      </c>
      <c r="AR974" s="149">
        <v>0</v>
      </c>
      <c r="AS974" s="149">
        <v>0</v>
      </c>
      <c r="AT974" s="149">
        <v>23</v>
      </c>
      <c r="AU974" s="149">
        <v>0</v>
      </c>
      <c r="AV974" s="149">
        <v>0</v>
      </c>
      <c r="AW974" s="149">
        <v>0</v>
      </c>
      <c r="AX974" s="149">
        <v>0</v>
      </c>
      <c r="AY974" s="149">
        <v>0</v>
      </c>
      <c r="AZ974" s="149">
        <v>0</v>
      </c>
      <c r="BA974" s="149">
        <v>23</v>
      </c>
      <c r="BB974" s="149">
        <v>0</v>
      </c>
      <c r="BC974" s="149">
        <v>0</v>
      </c>
      <c r="BD974" s="149">
        <v>0</v>
      </c>
      <c r="BE974" s="149">
        <v>0</v>
      </c>
      <c r="BF974" s="149">
        <v>0</v>
      </c>
      <c r="BG974" s="149">
        <v>0</v>
      </c>
      <c r="BH974" s="149">
        <v>0</v>
      </c>
      <c r="BI974" s="149">
        <v>0</v>
      </c>
      <c r="BJ974" s="149">
        <v>0</v>
      </c>
      <c r="BK974" s="149">
        <v>0</v>
      </c>
      <c r="BL974" s="149">
        <v>0</v>
      </c>
      <c r="BM974" s="149">
        <v>0</v>
      </c>
      <c r="BN974" s="149">
        <v>0</v>
      </c>
      <c r="BO974" s="149">
        <v>0</v>
      </c>
      <c r="BP974" s="136"/>
      <c r="BQ974" s="136"/>
      <c r="BR974" s="154" t="s">
        <v>463</v>
      </c>
      <c r="BS974" s="136">
        <v>19</v>
      </c>
      <c r="BT974" s="267"/>
      <c r="BU974" s="267"/>
      <c r="BV974" s="267"/>
      <c r="BW974" s="267"/>
      <c r="BX974" s="267"/>
      <c r="BY974" s="267"/>
      <c r="BZ974" s="267"/>
      <c r="CA974" s="267"/>
      <c r="CB974" s="267"/>
      <c r="CC974" s="267"/>
      <c r="CD974" s="267"/>
      <c r="CE974" s="267"/>
      <c r="CF974" s="267"/>
      <c r="CG974" s="267"/>
      <c r="CH974" s="267">
        <f t="shared" si="137"/>
        <v>3.2857142857142856</v>
      </c>
      <c r="CI974" s="267">
        <f t="shared" si="138"/>
        <v>3.2857142857142856</v>
      </c>
      <c r="CJ974" s="267">
        <f t="shared" si="139"/>
        <v>3.2857142857142856</v>
      </c>
      <c r="CK974" s="267">
        <f t="shared" si="140"/>
        <v>3.2857142857142856</v>
      </c>
      <c r="CL974" s="267">
        <f t="shared" si="141"/>
        <v>3.2857142857142856</v>
      </c>
      <c r="CM974" s="267">
        <f t="shared" si="142"/>
        <v>3.2857142857142856</v>
      </c>
      <c r="CN974" s="101">
        <f t="shared" si="135"/>
        <v>0</v>
      </c>
      <c r="CO974" s="101">
        <f t="shared" si="136"/>
        <v>0</v>
      </c>
    </row>
    <row r="975" spans="1:93" ht="13.9" customHeight="1" x14ac:dyDescent="0.2">
      <c r="A975" s="149">
        <v>6896</v>
      </c>
      <c r="B975" s="150" t="s">
        <v>2522</v>
      </c>
      <c r="C975" s="150"/>
      <c r="D975" s="150" t="s">
        <v>2591</v>
      </c>
      <c r="E975" s="150"/>
      <c r="F975" s="149">
        <v>525597</v>
      </c>
      <c r="G975" s="149">
        <v>175113</v>
      </c>
      <c r="H975" s="150" t="s">
        <v>170</v>
      </c>
      <c r="I975" s="151"/>
      <c r="J975" s="151"/>
      <c r="K975" s="149">
        <v>0</v>
      </c>
      <c r="L975" s="149">
        <v>7</v>
      </c>
      <c r="M975" s="149">
        <v>7</v>
      </c>
      <c r="N975" s="149">
        <v>36</v>
      </c>
      <c r="O975" s="149">
        <v>36</v>
      </c>
      <c r="P975" s="152" t="s">
        <v>327</v>
      </c>
      <c r="Q975" s="150" t="s">
        <v>2524</v>
      </c>
      <c r="R975" s="150" t="s">
        <v>2525</v>
      </c>
      <c r="S975" s="151"/>
      <c r="T975" s="151"/>
      <c r="U975" s="152"/>
      <c r="V975" s="150" t="s">
        <v>330</v>
      </c>
      <c r="W975" s="151"/>
      <c r="X975" s="150" t="s">
        <v>331</v>
      </c>
      <c r="Y975" s="150" t="s">
        <v>343</v>
      </c>
      <c r="Z975" s="150" t="s">
        <v>343</v>
      </c>
      <c r="AA975" s="150" t="s">
        <v>334</v>
      </c>
      <c r="AB975" s="153">
        <v>0</v>
      </c>
      <c r="AC975" s="151"/>
      <c r="AD975" s="150"/>
      <c r="AE975" s="151"/>
      <c r="AF975" s="150" t="s">
        <v>49</v>
      </c>
      <c r="AG975" s="152" t="s">
        <v>470</v>
      </c>
      <c r="AH975" s="150" t="s">
        <v>2592</v>
      </c>
      <c r="AI975" s="99"/>
      <c r="AJ975" s="149">
        <v>0</v>
      </c>
      <c r="AK975" s="99">
        <v>0</v>
      </c>
      <c r="AL975" s="149">
        <v>0</v>
      </c>
      <c r="AM975" s="99">
        <v>0</v>
      </c>
      <c r="AN975" s="149">
        <v>0</v>
      </c>
      <c r="AO975" s="149">
        <v>0</v>
      </c>
      <c r="AP975" s="149">
        <v>0</v>
      </c>
      <c r="AQ975" s="149">
        <v>0</v>
      </c>
      <c r="AR975" s="149">
        <v>0</v>
      </c>
      <c r="AS975" s="149">
        <v>0</v>
      </c>
      <c r="AT975" s="149">
        <v>7</v>
      </c>
      <c r="AU975" s="149">
        <v>0</v>
      </c>
      <c r="AV975" s="149">
        <v>0</v>
      </c>
      <c r="AW975" s="149">
        <v>0</v>
      </c>
      <c r="AX975" s="149">
        <v>0</v>
      </c>
      <c r="AY975" s="149">
        <v>0</v>
      </c>
      <c r="AZ975" s="149">
        <v>0</v>
      </c>
      <c r="BA975" s="149">
        <v>7</v>
      </c>
      <c r="BB975" s="149">
        <v>0</v>
      </c>
      <c r="BC975" s="149">
        <v>0</v>
      </c>
      <c r="BD975" s="149">
        <v>0</v>
      </c>
      <c r="BE975" s="149">
        <v>0</v>
      </c>
      <c r="BF975" s="149">
        <v>0</v>
      </c>
      <c r="BG975" s="149">
        <v>0</v>
      </c>
      <c r="BH975" s="149">
        <v>0</v>
      </c>
      <c r="BI975" s="149">
        <v>0</v>
      </c>
      <c r="BJ975" s="149">
        <v>0</v>
      </c>
      <c r="BK975" s="149">
        <v>0</v>
      </c>
      <c r="BL975" s="149">
        <v>0</v>
      </c>
      <c r="BM975" s="149">
        <v>0</v>
      </c>
      <c r="BN975" s="149">
        <v>0</v>
      </c>
      <c r="BO975" s="149">
        <v>0</v>
      </c>
      <c r="BP975" s="136"/>
      <c r="BQ975" s="136"/>
      <c r="BR975" s="154" t="s">
        <v>463</v>
      </c>
      <c r="BS975" s="136">
        <v>19</v>
      </c>
      <c r="BT975" s="267"/>
      <c r="BU975" s="267"/>
      <c r="BV975" s="267"/>
      <c r="BW975" s="267"/>
      <c r="BX975" s="267"/>
      <c r="BY975" s="267"/>
      <c r="BZ975" s="267"/>
      <c r="CA975" s="267"/>
      <c r="CB975" s="267"/>
      <c r="CC975" s="267"/>
      <c r="CD975" s="267"/>
      <c r="CE975" s="267"/>
      <c r="CF975" s="267"/>
      <c r="CG975" s="267"/>
      <c r="CH975" s="267">
        <f t="shared" si="137"/>
        <v>1</v>
      </c>
      <c r="CI975" s="267">
        <f t="shared" si="138"/>
        <v>1</v>
      </c>
      <c r="CJ975" s="267">
        <f t="shared" si="139"/>
        <v>1</v>
      </c>
      <c r="CK975" s="267">
        <f t="shared" si="140"/>
        <v>1</v>
      </c>
      <c r="CL975" s="267">
        <f t="shared" si="141"/>
        <v>1</v>
      </c>
      <c r="CM975" s="267">
        <f t="shared" si="142"/>
        <v>1</v>
      </c>
      <c r="CN975" s="101">
        <f t="shared" si="135"/>
        <v>0</v>
      </c>
      <c r="CO975" s="101">
        <f t="shared" si="136"/>
        <v>0</v>
      </c>
    </row>
    <row r="976" spans="1:93" ht="13.9" customHeight="1" x14ac:dyDescent="0.2">
      <c r="A976" s="149">
        <v>6896</v>
      </c>
      <c r="B976" s="150" t="s">
        <v>2522</v>
      </c>
      <c r="C976" s="150"/>
      <c r="D976" s="150" t="s">
        <v>2591</v>
      </c>
      <c r="E976" s="150"/>
      <c r="F976" s="149">
        <v>525597</v>
      </c>
      <c r="G976" s="149">
        <v>175113</v>
      </c>
      <c r="H976" s="150" t="s">
        <v>170</v>
      </c>
      <c r="I976" s="151"/>
      <c r="J976" s="151"/>
      <c r="K976" s="149">
        <v>0</v>
      </c>
      <c r="L976" s="149">
        <v>6</v>
      </c>
      <c r="M976" s="149">
        <v>6</v>
      </c>
      <c r="N976" s="149">
        <v>36</v>
      </c>
      <c r="O976" s="149">
        <v>36</v>
      </c>
      <c r="P976" s="152" t="s">
        <v>327</v>
      </c>
      <c r="Q976" s="150" t="s">
        <v>2524</v>
      </c>
      <c r="R976" s="150" t="s">
        <v>2525</v>
      </c>
      <c r="S976" s="151"/>
      <c r="T976" s="151"/>
      <c r="U976" s="152"/>
      <c r="V976" s="150" t="s">
        <v>330</v>
      </c>
      <c r="W976" s="151"/>
      <c r="X976" s="150" t="s">
        <v>331</v>
      </c>
      <c r="Y976" s="150" t="s">
        <v>343</v>
      </c>
      <c r="Z976" s="150" t="s">
        <v>343</v>
      </c>
      <c r="AA976" s="150" t="s">
        <v>334</v>
      </c>
      <c r="AB976" s="153">
        <v>0</v>
      </c>
      <c r="AC976" s="151"/>
      <c r="AD976" s="150"/>
      <c r="AE976" s="151"/>
      <c r="AF976" s="150" t="s">
        <v>48</v>
      </c>
      <c r="AG976" s="152" t="s">
        <v>992</v>
      </c>
      <c r="AH976" s="150" t="s">
        <v>2592</v>
      </c>
      <c r="AI976" s="99"/>
      <c r="AJ976" s="149">
        <v>0</v>
      </c>
      <c r="AK976" s="99">
        <v>0</v>
      </c>
      <c r="AL976" s="149">
        <v>0</v>
      </c>
      <c r="AM976" s="99">
        <v>0</v>
      </c>
      <c r="AN976" s="149">
        <v>0</v>
      </c>
      <c r="AO976" s="149">
        <v>0</v>
      </c>
      <c r="AP976" s="149">
        <v>0</v>
      </c>
      <c r="AQ976" s="149">
        <v>0</v>
      </c>
      <c r="AR976" s="149">
        <v>0</v>
      </c>
      <c r="AS976" s="149">
        <v>0</v>
      </c>
      <c r="AT976" s="149">
        <v>6</v>
      </c>
      <c r="AU976" s="149">
        <v>0</v>
      </c>
      <c r="AV976" s="149">
        <v>0</v>
      </c>
      <c r="AW976" s="149">
        <v>0</v>
      </c>
      <c r="AX976" s="149">
        <v>0</v>
      </c>
      <c r="AY976" s="149">
        <v>0</v>
      </c>
      <c r="AZ976" s="149">
        <v>0</v>
      </c>
      <c r="BA976" s="149">
        <v>6</v>
      </c>
      <c r="BB976" s="149">
        <v>0</v>
      </c>
      <c r="BC976" s="149">
        <v>0</v>
      </c>
      <c r="BD976" s="149">
        <v>0</v>
      </c>
      <c r="BE976" s="149">
        <v>0</v>
      </c>
      <c r="BF976" s="149">
        <v>0</v>
      </c>
      <c r="BG976" s="149">
        <v>0</v>
      </c>
      <c r="BH976" s="149">
        <v>0</v>
      </c>
      <c r="BI976" s="149">
        <v>0</v>
      </c>
      <c r="BJ976" s="149">
        <v>0</v>
      </c>
      <c r="BK976" s="149">
        <v>0</v>
      </c>
      <c r="BL976" s="149">
        <v>0</v>
      </c>
      <c r="BM976" s="149">
        <v>0</v>
      </c>
      <c r="BN976" s="149">
        <v>0</v>
      </c>
      <c r="BO976" s="149">
        <v>0</v>
      </c>
      <c r="BP976" s="136"/>
      <c r="BQ976" s="136"/>
      <c r="BR976" s="154" t="s">
        <v>463</v>
      </c>
      <c r="BS976" s="136">
        <v>19</v>
      </c>
      <c r="BT976" s="267"/>
      <c r="BU976" s="267"/>
      <c r="BV976" s="267"/>
      <c r="BW976" s="267"/>
      <c r="BX976" s="267"/>
      <c r="BY976" s="267"/>
      <c r="BZ976" s="267"/>
      <c r="CA976" s="267"/>
      <c r="CB976" s="267"/>
      <c r="CC976" s="267"/>
      <c r="CD976" s="267"/>
      <c r="CE976" s="267"/>
      <c r="CF976" s="267"/>
      <c r="CG976" s="267"/>
      <c r="CH976" s="267">
        <f t="shared" si="137"/>
        <v>0.8571428571428571</v>
      </c>
      <c r="CI976" s="267">
        <f t="shared" si="138"/>
        <v>0.8571428571428571</v>
      </c>
      <c r="CJ976" s="267">
        <f t="shared" si="139"/>
        <v>0.8571428571428571</v>
      </c>
      <c r="CK976" s="267">
        <f t="shared" si="140"/>
        <v>0.8571428571428571</v>
      </c>
      <c r="CL976" s="267">
        <f t="shared" si="141"/>
        <v>0.8571428571428571</v>
      </c>
      <c r="CM976" s="267">
        <f t="shared" si="142"/>
        <v>0.8571428571428571</v>
      </c>
      <c r="CN976" s="101">
        <f t="shared" si="135"/>
        <v>0</v>
      </c>
      <c r="CO976" s="101">
        <f t="shared" si="136"/>
        <v>0</v>
      </c>
    </row>
    <row r="977" spans="1:93" ht="13.9" customHeight="1" x14ac:dyDescent="0.2">
      <c r="A977" s="149">
        <v>7540</v>
      </c>
      <c r="B977" s="150" t="s">
        <v>2522</v>
      </c>
      <c r="C977" s="150"/>
      <c r="D977" s="150" t="s">
        <v>2593</v>
      </c>
      <c r="E977" s="150"/>
      <c r="F977" s="149">
        <v>524772</v>
      </c>
      <c r="G977" s="149">
        <v>175005</v>
      </c>
      <c r="H977" s="150" t="s">
        <v>171</v>
      </c>
      <c r="I977" s="151"/>
      <c r="J977" s="151"/>
      <c r="K977" s="149">
        <v>0</v>
      </c>
      <c r="L977" s="149">
        <v>9</v>
      </c>
      <c r="M977" s="149">
        <v>9</v>
      </c>
      <c r="N977" s="149">
        <v>9</v>
      </c>
      <c r="O977" s="149">
        <v>9</v>
      </c>
      <c r="P977" s="152"/>
      <c r="Q977" s="150" t="s">
        <v>2524</v>
      </c>
      <c r="R977" s="150" t="s">
        <v>2525</v>
      </c>
      <c r="S977" s="151"/>
      <c r="T977" s="151"/>
      <c r="U977" s="152"/>
      <c r="V977" s="150" t="s">
        <v>330</v>
      </c>
      <c r="W977" s="151"/>
      <c r="X977" s="150" t="s">
        <v>331</v>
      </c>
      <c r="Y977" s="150" t="s">
        <v>343</v>
      </c>
      <c r="Z977" s="150" t="s">
        <v>334</v>
      </c>
      <c r="AA977" s="150" t="s">
        <v>363</v>
      </c>
      <c r="AB977" s="153">
        <v>0</v>
      </c>
      <c r="AC977" s="151"/>
      <c r="AD977" s="150"/>
      <c r="AE977" s="151"/>
      <c r="AF977" s="150" t="s">
        <v>70</v>
      </c>
      <c r="AG977" s="152" t="s">
        <v>352</v>
      </c>
      <c r="AH977" s="150"/>
      <c r="AI977" s="99"/>
      <c r="AJ977" s="149">
        <v>0</v>
      </c>
      <c r="AK977" s="99">
        <v>0</v>
      </c>
      <c r="AL977" s="149">
        <v>0</v>
      </c>
      <c r="AM977" s="99">
        <v>0</v>
      </c>
      <c r="AN977" s="149">
        <v>0</v>
      </c>
      <c r="AO977" s="149">
        <v>0</v>
      </c>
      <c r="AP977" s="149">
        <v>0</v>
      </c>
      <c r="AQ977" s="149">
        <v>0</v>
      </c>
      <c r="AR977" s="149">
        <v>0</v>
      </c>
      <c r="AS977" s="149">
        <v>0</v>
      </c>
      <c r="AT977" s="149">
        <v>9</v>
      </c>
      <c r="AU977" s="149">
        <v>0</v>
      </c>
      <c r="AV977" s="149">
        <v>0</v>
      </c>
      <c r="AW977" s="149">
        <v>0</v>
      </c>
      <c r="AX977" s="149">
        <v>0</v>
      </c>
      <c r="AY977" s="149">
        <v>0</v>
      </c>
      <c r="AZ977" s="149">
        <v>0</v>
      </c>
      <c r="BA977" s="149">
        <v>9</v>
      </c>
      <c r="BB977" s="149">
        <v>0</v>
      </c>
      <c r="BC977" s="149">
        <v>0</v>
      </c>
      <c r="BD977" s="149">
        <v>0</v>
      </c>
      <c r="BE977" s="149">
        <v>0</v>
      </c>
      <c r="BF977" s="149">
        <v>0</v>
      </c>
      <c r="BG977" s="149">
        <v>0</v>
      </c>
      <c r="BH977" s="149">
        <v>0</v>
      </c>
      <c r="BI977" s="149">
        <v>0</v>
      </c>
      <c r="BJ977" s="149">
        <v>0</v>
      </c>
      <c r="BK977" s="149">
        <v>0</v>
      </c>
      <c r="BL977" s="149">
        <v>0</v>
      </c>
      <c r="BM977" s="149">
        <v>0</v>
      </c>
      <c r="BN977" s="149">
        <v>0</v>
      </c>
      <c r="BO977" s="149">
        <v>0</v>
      </c>
      <c r="BP977" s="136"/>
      <c r="BQ977" s="136"/>
      <c r="BR977" s="154" t="s">
        <v>359</v>
      </c>
      <c r="BS977" s="136">
        <v>19</v>
      </c>
      <c r="BT977" s="267"/>
      <c r="BU977" s="267"/>
      <c r="BV977" s="267"/>
      <c r="BW977" s="267"/>
      <c r="BX977" s="267"/>
      <c r="BY977" s="267">
        <f>M977</f>
        <v>9</v>
      </c>
      <c r="BZ977" s="267"/>
      <c r="CA977" s="267"/>
      <c r="CB977" s="267"/>
      <c r="CC977" s="267"/>
      <c r="CD977" s="267"/>
      <c r="CE977" s="267"/>
      <c r="CF977" s="267"/>
      <c r="CG977" s="267"/>
      <c r="CH977" s="267"/>
      <c r="CI977" s="267"/>
      <c r="CJ977" s="267"/>
      <c r="CK977" s="267"/>
      <c r="CL977" s="267"/>
      <c r="CM977" s="267"/>
      <c r="CN977" s="101">
        <f t="shared" si="135"/>
        <v>9</v>
      </c>
      <c r="CO977" s="101">
        <f t="shared" si="136"/>
        <v>9</v>
      </c>
    </row>
    <row r="978" spans="1:93" ht="13.9" customHeight="1" x14ac:dyDescent="0.2">
      <c r="A978" s="149">
        <v>6864</v>
      </c>
      <c r="B978" s="150" t="s">
        <v>2522</v>
      </c>
      <c r="C978" s="150"/>
      <c r="D978" s="150" t="s">
        <v>2594</v>
      </c>
      <c r="E978" s="150"/>
      <c r="F978" s="149">
        <v>527562</v>
      </c>
      <c r="G978" s="149">
        <v>171554</v>
      </c>
      <c r="H978" s="150" t="s">
        <v>173</v>
      </c>
      <c r="I978" s="151"/>
      <c r="J978" s="151"/>
      <c r="K978" s="149">
        <v>0</v>
      </c>
      <c r="L978" s="149">
        <v>35</v>
      </c>
      <c r="M978" s="149">
        <v>35</v>
      </c>
      <c r="N978" s="149">
        <v>54</v>
      </c>
      <c r="O978" s="149">
        <v>54</v>
      </c>
      <c r="P978" s="152" t="s">
        <v>327</v>
      </c>
      <c r="Q978" s="150" t="s">
        <v>2524</v>
      </c>
      <c r="R978" s="150" t="s">
        <v>2525</v>
      </c>
      <c r="S978" s="151"/>
      <c r="T978" s="151"/>
      <c r="U978" s="152"/>
      <c r="V978" s="150" t="s">
        <v>330</v>
      </c>
      <c r="W978" s="151"/>
      <c r="X978" s="150" t="s">
        <v>331</v>
      </c>
      <c r="Y978" s="150" t="s">
        <v>343</v>
      </c>
      <c r="Z978" s="150" t="s">
        <v>343</v>
      </c>
      <c r="AA978" s="150" t="s">
        <v>334</v>
      </c>
      <c r="AB978" s="153">
        <v>0</v>
      </c>
      <c r="AC978" s="151"/>
      <c r="AD978" s="150"/>
      <c r="AE978" s="151"/>
      <c r="AF978" s="150" t="s">
        <v>70</v>
      </c>
      <c r="AG978" s="152" t="s">
        <v>352</v>
      </c>
      <c r="AH978" s="150" t="s">
        <v>2595</v>
      </c>
      <c r="AI978" s="99"/>
      <c r="AJ978" s="149">
        <v>0</v>
      </c>
      <c r="AK978" s="99">
        <v>0</v>
      </c>
      <c r="AL978" s="149">
        <v>0</v>
      </c>
      <c r="AM978" s="99">
        <v>0</v>
      </c>
      <c r="AN978" s="149">
        <v>0</v>
      </c>
      <c r="AO978" s="149">
        <v>0</v>
      </c>
      <c r="AP978" s="149">
        <v>0</v>
      </c>
      <c r="AQ978" s="149">
        <v>0</v>
      </c>
      <c r="AR978" s="149">
        <v>0</v>
      </c>
      <c r="AS978" s="149">
        <v>0</v>
      </c>
      <c r="AT978" s="149">
        <v>35</v>
      </c>
      <c r="AU978" s="149">
        <v>0</v>
      </c>
      <c r="AV978" s="149">
        <v>0</v>
      </c>
      <c r="AW978" s="149">
        <v>0</v>
      </c>
      <c r="AX978" s="149">
        <v>0</v>
      </c>
      <c r="AY978" s="149">
        <v>0</v>
      </c>
      <c r="AZ978" s="149">
        <v>0</v>
      </c>
      <c r="BA978" s="149">
        <v>35</v>
      </c>
      <c r="BB978" s="149">
        <v>0</v>
      </c>
      <c r="BC978" s="149">
        <v>0</v>
      </c>
      <c r="BD978" s="149">
        <v>0</v>
      </c>
      <c r="BE978" s="149">
        <v>0</v>
      </c>
      <c r="BF978" s="149">
        <v>0</v>
      </c>
      <c r="BG978" s="149">
        <v>0</v>
      </c>
      <c r="BH978" s="149">
        <v>0</v>
      </c>
      <c r="BI978" s="149">
        <v>0</v>
      </c>
      <c r="BJ978" s="149">
        <v>0</v>
      </c>
      <c r="BK978" s="149">
        <v>0</v>
      </c>
      <c r="BL978" s="149">
        <v>0</v>
      </c>
      <c r="BM978" s="149">
        <v>0</v>
      </c>
      <c r="BN978" s="149">
        <v>0</v>
      </c>
      <c r="BO978" s="149">
        <v>0</v>
      </c>
      <c r="BP978" s="136" t="s">
        <v>142</v>
      </c>
      <c r="BQ978" s="136"/>
      <c r="BR978" s="154" t="s">
        <v>142</v>
      </c>
      <c r="BS978" s="136">
        <v>19</v>
      </c>
      <c r="BT978" s="267"/>
      <c r="BU978" s="267"/>
      <c r="BV978" s="267"/>
      <c r="BW978" s="267"/>
      <c r="BX978" s="267"/>
      <c r="BY978" s="267"/>
      <c r="BZ978" s="267"/>
      <c r="CA978" s="267"/>
      <c r="CB978" s="267"/>
      <c r="CC978" s="267">
        <f t="shared" ref="CC978:CC983" si="143">M978/12</f>
        <v>2.9166666666666665</v>
      </c>
      <c r="CD978" s="267">
        <f t="shared" ref="CD978:CD983" si="144">M978/12</f>
        <v>2.9166666666666665</v>
      </c>
      <c r="CE978" s="267">
        <f t="shared" ref="CE978:CE983" si="145">M978/12</f>
        <v>2.9166666666666665</v>
      </c>
      <c r="CF978" s="267">
        <f t="shared" ref="CF978:CF983" si="146">M978/12</f>
        <v>2.9166666666666665</v>
      </c>
      <c r="CG978" s="267">
        <f t="shared" ref="CG978:CG983" si="147">M978/12</f>
        <v>2.9166666666666665</v>
      </c>
      <c r="CH978" s="267">
        <f t="shared" ref="CH978:CH983" si="148">M978/12</f>
        <v>2.9166666666666665</v>
      </c>
      <c r="CI978" s="267">
        <f t="shared" ref="CI978:CI983" si="149">M978/12</f>
        <v>2.9166666666666665</v>
      </c>
      <c r="CJ978" s="267">
        <f t="shared" ref="CJ978:CJ983" si="150">M978/12</f>
        <v>2.9166666666666665</v>
      </c>
      <c r="CK978" s="267">
        <f t="shared" ref="CK978:CK983" si="151">M978/12</f>
        <v>2.9166666666666665</v>
      </c>
      <c r="CL978" s="267">
        <f t="shared" ref="CL978:CL983" si="152">M978/12</f>
        <v>2.9166666666666665</v>
      </c>
      <c r="CM978" s="267">
        <f t="shared" ref="CM978:CM983" si="153">M978/12</f>
        <v>2.9166666666666665</v>
      </c>
      <c r="CN978" s="101">
        <f t="shared" si="135"/>
        <v>0</v>
      </c>
      <c r="CO978" s="101">
        <f t="shared" si="136"/>
        <v>5.833333333333333</v>
      </c>
    </row>
    <row r="979" spans="1:93" ht="13.9" customHeight="1" x14ac:dyDescent="0.2">
      <c r="A979" s="149">
        <v>6864</v>
      </c>
      <c r="B979" s="150" t="s">
        <v>2522</v>
      </c>
      <c r="C979" s="150"/>
      <c r="D979" s="150" t="s">
        <v>2594</v>
      </c>
      <c r="E979" s="150"/>
      <c r="F979" s="149">
        <v>527562</v>
      </c>
      <c r="G979" s="149">
        <v>171554</v>
      </c>
      <c r="H979" s="150" t="s">
        <v>173</v>
      </c>
      <c r="I979" s="151"/>
      <c r="J979" s="151"/>
      <c r="K979" s="149">
        <v>0</v>
      </c>
      <c r="L979" s="149">
        <v>10</v>
      </c>
      <c r="M979" s="149">
        <v>10</v>
      </c>
      <c r="N979" s="149">
        <v>54</v>
      </c>
      <c r="O979" s="149">
        <v>54</v>
      </c>
      <c r="P979" s="152" t="s">
        <v>327</v>
      </c>
      <c r="Q979" s="150" t="s">
        <v>2524</v>
      </c>
      <c r="R979" s="150" t="s">
        <v>2525</v>
      </c>
      <c r="S979" s="151"/>
      <c r="T979" s="151"/>
      <c r="U979" s="152"/>
      <c r="V979" s="150" t="s">
        <v>330</v>
      </c>
      <c r="W979" s="151"/>
      <c r="X979" s="150" t="s">
        <v>331</v>
      </c>
      <c r="Y979" s="150" t="s">
        <v>343</v>
      </c>
      <c r="Z979" s="150" t="s">
        <v>343</v>
      </c>
      <c r="AA979" s="150" t="s">
        <v>334</v>
      </c>
      <c r="AB979" s="153">
        <v>0</v>
      </c>
      <c r="AC979" s="151"/>
      <c r="AD979" s="150"/>
      <c r="AE979" s="151"/>
      <c r="AF979" s="150" t="s">
        <v>49</v>
      </c>
      <c r="AG979" s="152" t="s">
        <v>470</v>
      </c>
      <c r="AH979" s="150" t="s">
        <v>2595</v>
      </c>
      <c r="AI979" s="99"/>
      <c r="AJ979" s="149">
        <v>0</v>
      </c>
      <c r="AK979" s="99">
        <v>0</v>
      </c>
      <c r="AL979" s="149">
        <v>0</v>
      </c>
      <c r="AM979" s="99">
        <v>0</v>
      </c>
      <c r="AN979" s="149">
        <v>0</v>
      </c>
      <c r="AO979" s="149">
        <v>0</v>
      </c>
      <c r="AP979" s="149">
        <v>0</v>
      </c>
      <c r="AQ979" s="149">
        <v>0</v>
      </c>
      <c r="AR979" s="149">
        <v>0</v>
      </c>
      <c r="AS979" s="149">
        <v>0</v>
      </c>
      <c r="AT979" s="149">
        <v>10</v>
      </c>
      <c r="AU979" s="149">
        <v>0</v>
      </c>
      <c r="AV979" s="149">
        <v>0</v>
      </c>
      <c r="AW979" s="149">
        <v>0</v>
      </c>
      <c r="AX979" s="149">
        <v>0</v>
      </c>
      <c r="AY979" s="149">
        <v>0</v>
      </c>
      <c r="AZ979" s="149">
        <v>0</v>
      </c>
      <c r="BA979" s="149">
        <v>10</v>
      </c>
      <c r="BB979" s="149">
        <v>0</v>
      </c>
      <c r="BC979" s="149">
        <v>0</v>
      </c>
      <c r="BD979" s="149">
        <v>0</v>
      </c>
      <c r="BE979" s="149">
        <v>0</v>
      </c>
      <c r="BF979" s="149">
        <v>0</v>
      </c>
      <c r="BG979" s="149">
        <v>0</v>
      </c>
      <c r="BH979" s="149">
        <v>0</v>
      </c>
      <c r="BI979" s="149">
        <v>0</v>
      </c>
      <c r="BJ979" s="149">
        <v>0</v>
      </c>
      <c r="BK979" s="149">
        <v>0</v>
      </c>
      <c r="BL979" s="149">
        <v>0</v>
      </c>
      <c r="BM979" s="149">
        <v>0</v>
      </c>
      <c r="BN979" s="149">
        <v>0</v>
      </c>
      <c r="BO979" s="149">
        <v>0</v>
      </c>
      <c r="BP979" s="136" t="s">
        <v>142</v>
      </c>
      <c r="BQ979" s="136"/>
      <c r="BR979" s="154" t="s">
        <v>142</v>
      </c>
      <c r="BS979" s="136">
        <v>19</v>
      </c>
      <c r="BT979" s="267"/>
      <c r="BU979" s="267"/>
      <c r="BV979" s="267"/>
      <c r="BW979" s="267"/>
      <c r="BX979" s="267"/>
      <c r="BY979" s="267"/>
      <c r="BZ979" s="267"/>
      <c r="CA979" s="267"/>
      <c r="CB979" s="267"/>
      <c r="CC979" s="267">
        <f t="shared" si="143"/>
        <v>0.83333333333333337</v>
      </c>
      <c r="CD979" s="267">
        <f t="shared" si="144"/>
        <v>0.83333333333333337</v>
      </c>
      <c r="CE979" s="267">
        <f t="shared" si="145"/>
        <v>0.83333333333333337</v>
      </c>
      <c r="CF979" s="267">
        <f t="shared" si="146"/>
        <v>0.83333333333333337</v>
      </c>
      <c r="CG979" s="267">
        <f t="shared" si="147"/>
        <v>0.83333333333333337</v>
      </c>
      <c r="CH979" s="267">
        <f t="shared" si="148"/>
        <v>0.83333333333333337</v>
      </c>
      <c r="CI979" s="267">
        <f t="shared" si="149"/>
        <v>0.83333333333333337</v>
      </c>
      <c r="CJ979" s="267">
        <f t="shared" si="150"/>
        <v>0.83333333333333337</v>
      </c>
      <c r="CK979" s="267">
        <f t="shared" si="151"/>
        <v>0.83333333333333337</v>
      </c>
      <c r="CL979" s="267">
        <f t="shared" si="152"/>
        <v>0.83333333333333337</v>
      </c>
      <c r="CM979" s="267">
        <f t="shared" si="153"/>
        <v>0.83333333333333337</v>
      </c>
      <c r="CN979" s="101">
        <f t="shared" si="135"/>
        <v>0</v>
      </c>
      <c r="CO979" s="101">
        <f t="shared" si="136"/>
        <v>1.6666666666666667</v>
      </c>
    </row>
    <row r="980" spans="1:93" ht="13.9" customHeight="1" x14ac:dyDescent="0.2">
      <c r="A980" s="149">
        <v>6864</v>
      </c>
      <c r="B980" s="150" t="s">
        <v>2522</v>
      </c>
      <c r="C980" s="150"/>
      <c r="D980" s="150" t="s">
        <v>2594</v>
      </c>
      <c r="E980" s="150"/>
      <c r="F980" s="149">
        <v>527562</v>
      </c>
      <c r="G980" s="149">
        <v>171554</v>
      </c>
      <c r="H980" s="150" t="s">
        <v>173</v>
      </c>
      <c r="I980" s="151"/>
      <c r="J980" s="151"/>
      <c r="K980" s="149">
        <v>0</v>
      </c>
      <c r="L980" s="149">
        <v>9</v>
      </c>
      <c r="M980" s="149">
        <v>9</v>
      </c>
      <c r="N980" s="149">
        <v>54</v>
      </c>
      <c r="O980" s="149">
        <v>54</v>
      </c>
      <c r="P980" s="152" t="s">
        <v>327</v>
      </c>
      <c r="Q980" s="150" t="s">
        <v>2524</v>
      </c>
      <c r="R980" s="150" t="s">
        <v>2525</v>
      </c>
      <c r="S980" s="151"/>
      <c r="T980" s="151"/>
      <c r="U980" s="152"/>
      <c r="V980" s="150" t="s">
        <v>330</v>
      </c>
      <c r="W980" s="151"/>
      <c r="X980" s="150" t="s">
        <v>331</v>
      </c>
      <c r="Y980" s="150" t="s">
        <v>343</v>
      </c>
      <c r="Z980" s="150" t="s">
        <v>343</v>
      </c>
      <c r="AA980" s="150" t="s">
        <v>334</v>
      </c>
      <c r="AB980" s="153">
        <v>0</v>
      </c>
      <c r="AC980" s="151"/>
      <c r="AD980" s="150"/>
      <c r="AE980" s="151"/>
      <c r="AF980" s="150" t="s">
        <v>48</v>
      </c>
      <c r="AG980" s="152" t="s">
        <v>992</v>
      </c>
      <c r="AH980" s="150" t="s">
        <v>2595</v>
      </c>
      <c r="AI980" s="99"/>
      <c r="AJ980" s="149">
        <v>0</v>
      </c>
      <c r="AK980" s="99">
        <v>0</v>
      </c>
      <c r="AL980" s="149">
        <v>0</v>
      </c>
      <c r="AM980" s="99">
        <v>0</v>
      </c>
      <c r="AN980" s="149">
        <v>0</v>
      </c>
      <c r="AO980" s="149">
        <v>0</v>
      </c>
      <c r="AP980" s="149">
        <v>0</v>
      </c>
      <c r="AQ980" s="149">
        <v>0</v>
      </c>
      <c r="AR980" s="149">
        <v>0</v>
      </c>
      <c r="AS980" s="149">
        <v>0</v>
      </c>
      <c r="AT980" s="149">
        <v>9</v>
      </c>
      <c r="AU980" s="149">
        <v>0</v>
      </c>
      <c r="AV980" s="149">
        <v>0</v>
      </c>
      <c r="AW980" s="149">
        <v>0</v>
      </c>
      <c r="AX980" s="149">
        <v>0</v>
      </c>
      <c r="AY980" s="149">
        <v>0</v>
      </c>
      <c r="AZ980" s="149">
        <v>0</v>
      </c>
      <c r="BA980" s="149">
        <v>9</v>
      </c>
      <c r="BB980" s="149">
        <v>0</v>
      </c>
      <c r="BC980" s="149">
        <v>0</v>
      </c>
      <c r="BD980" s="149">
        <v>0</v>
      </c>
      <c r="BE980" s="149">
        <v>0</v>
      </c>
      <c r="BF980" s="149">
        <v>0</v>
      </c>
      <c r="BG980" s="149">
        <v>0</v>
      </c>
      <c r="BH980" s="149">
        <v>0</v>
      </c>
      <c r="BI980" s="149">
        <v>0</v>
      </c>
      <c r="BJ980" s="149">
        <v>0</v>
      </c>
      <c r="BK980" s="149">
        <v>0</v>
      </c>
      <c r="BL980" s="149">
        <v>0</v>
      </c>
      <c r="BM980" s="149">
        <v>0</v>
      </c>
      <c r="BN980" s="149">
        <v>0</v>
      </c>
      <c r="BO980" s="149">
        <v>0</v>
      </c>
      <c r="BP980" s="136" t="s">
        <v>142</v>
      </c>
      <c r="BQ980" s="136"/>
      <c r="BR980" s="154" t="s">
        <v>142</v>
      </c>
      <c r="BS980" s="136">
        <v>19</v>
      </c>
      <c r="BT980" s="267"/>
      <c r="BU980" s="267"/>
      <c r="BV980" s="267"/>
      <c r="BW980" s="267"/>
      <c r="BX980" s="267"/>
      <c r="BY980" s="267"/>
      <c r="BZ980" s="267"/>
      <c r="CA980" s="267"/>
      <c r="CB980" s="267"/>
      <c r="CC980" s="267">
        <f t="shared" si="143"/>
        <v>0.75</v>
      </c>
      <c r="CD980" s="267">
        <f t="shared" si="144"/>
        <v>0.75</v>
      </c>
      <c r="CE980" s="267">
        <f t="shared" si="145"/>
        <v>0.75</v>
      </c>
      <c r="CF980" s="267">
        <f t="shared" si="146"/>
        <v>0.75</v>
      </c>
      <c r="CG980" s="267">
        <f t="shared" si="147"/>
        <v>0.75</v>
      </c>
      <c r="CH980" s="267">
        <f t="shared" si="148"/>
        <v>0.75</v>
      </c>
      <c r="CI980" s="267">
        <f t="shared" si="149"/>
        <v>0.75</v>
      </c>
      <c r="CJ980" s="267">
        <f t="shared" si="150"/>
        <v>0.75</v>
      </c>
      <c r="CK980" s="267">
        <f t="shared" si="151"/>
        <v>0.75</v>
      </c>
      <c r="CL980" s="267">
        <f t="shared" si="152"/>
        <v>0.75</v>
      </c>
      <c r="CM980" s="267">
        <f t="shared" si="153"/>
        <v>0.75</v>
      </c>
      <c r="CN980" s="101">
        <f t="shared" si="135"/>
        <v>0</v>
      </c>
      <c r="CO980" s="101">
        <f t="shared" si="136"/>
        <v>1.5</v>
      </c>
    </row>
    <row r="981" spans="1:93" ht="13.9" customHeight="1" x14ac:dyDescent="0.2">
      <c r="A981" s="149">
        <v>3523</v>
      </c>
      <c r="B981" s="150" t="s">
        <v>2522</v>
      </c>
      <c r="C981" s="150"/>
      <c r="D981" s="150" t="s">
        <v>2596</v>
      </c>
      <c r="E981" s="150"/>
      <c r="F981" s="149">
        <v>526043</v>
      </c>
      <c r="G981" s="149">
        <v>175254</v>
      </c>
      <c r="H981" s="150" t="s">
        <v>170</v>
      </c>
      <c r="I981" s="151"/>
      <c r="J981" s="151"/>
      <c r="K981" s="149">
        <v>0</v>
      </c>
      <c r="L981" s="149">
        <v>7</v>
      </c>
      <c r="M981" s="149">
        <v>7</v>
      </c>
      <c r="N981" s="149">
        <v>10</v>
      </c>
      <c r="O981" s="149">
        <v>10</v>
      </c>
      <c r="P981" s="152" t="s">
        <v>327</v>
      </c>
      <c r="Q981" s="150" t="s">
        <v>2524</v>
      </c>
      <c r="R981" s="150" t="s">
        <v>2525</v>
      </c>
      <c r="S981" s="151"/>
      <c r="T981" s="151"/>
      <c r="U981" s="152"/>
      <c r="V981" s="150" t="s">
        <v>330</v>
      </c>
      <c r="W981" s="151"/>
      <c r="X981" s="150" t="s">
        <v>331</v>
      </c>
      <c r="Y981" s="150" t="s">
        <v>343</v>
      </c>
      <c r="Z981" s="150" t="s">
        <v>343</v>
      </c>
      <c r="AA981" s="150" t="s">
        <v>334</v>
      </c>
      <c r="AB981" s="153">
        <v>0</v>
      </c>
      <c r="AC981" s="151"/>
      <c r="AD981" s="150"/>
      <c r="AE981" s="151"/>
      <c r="AF981" s="150" t="s">
        <v>70</v>
      </c>
      <c r="AG981" s="152" t="s">
        <v>352</v>
      </c>
      <c r="AH981" s="150" t="s">
        <v>2597</v>
      </c>
      <c r="AI981" s="99"/>
      <c r="AJ981" s="149">
        <v>0</v>
      </c>
      <c r="AK981" s="99">
        <v>0</v>
      </c>
      <c r="AL981" s="149">
        <v>0</v>
      </c>
      <c r="AM981" s="99">
        <v>0</v>
      </c>
      <c r="AN981" s="149">
        <v>0</v>
      </c>
      <c r="AO981" s="149">
        <v>0</v>
      </c>
      <c r="AP981" s="149">
        <v>0</v>
      </c>
      <c r="AQ981" s="149">
        <v>0</v>
      </c>
      <c r="AR981" s="149">
        <v>0</v>
      </c>
      <c r="AS981" s="149">
        <v>0</v>
      </c>
      <c r="AT981" s="149">
        <v>7</v>
      </c>
      <c r="AU981" s="149">
        <v>0</v>
      </c>
      <c r="AV981" s="149">
        <v>0</v>
      </c>
      <c r="AW981" s="149">
        <v>0</v>
      </c>
      <c r="AX981" s="149">
        <v>0</v>
      </c>
      <c r="AY981" s="149">
        <v>0</v>
      </c>
      <c r="AZ981" s="149">
        <v>0</v>
      </c>
      <c r="BA981" s="149">
        <v>7</v>
      </c>
      <c r="BB981" s="149">
        <v>0</v>
      </c>
      <c r="BC981" s="149">
        <v>0</v>
      </c>
      <c r="BD981" s="149">
        <v>0</v>
      </c>
      <c r="BE981" s="149">
        <v>0</v>
      </c>
      <c r="BF981" s="149">
        <v>0</v>
      </c>
      <c r="BG981" s="149">
        <v>0</v>
      </c>
      <c r="BH981" s="149">
        <v>0</v>
      </c>
      <c r="BI981" s="149">
        <v>0</v>
      </c>
      <c r="BJ981" s="149">
        <v>0</v>
      </c>
      <c r="BK981" s="149">
        <v>0</v>
      </c>
      <c r="BL981" s="149">
        <v>0</v>
      </c>
      <c r="BM981" s="149">
        <v>0</v>
      </c>
      <c r="BN981" s="149">
        <v>0</v>
      </c>
      <c r="BO981" s="149">
        <v>0</v>
      </c>
      <c r="BP981" s="136"/>
      <c r="BQ981" s="136"/>
      <c r="BR981" s="154" t="s">
        <v>463</v>
      </c>
      <c r="BS981" s="136">
        <v>19</v>
      </c>
      <c r="BT981" s="267"/>
      <c r="BU981" s="267"/>
      <c r="BV981" s="267"/>
      <c r="BW981" s="267"/>
      <c r="BX981" s="267"/>
      <c r="BY981" s="267"/>
      <c r="BZ981" s="267"/>
      <c r="CA981" s="267"/>
      <c r="CB981" s="267"/>
      <c r="CC981" s="267">
        <f t="shared" si="143"/>
        <v>0.58333333333333337</v>
      </c>
      <c r="CD981" s="267">
        <f t="shared" si="144"/>
        <v>0.58333333333333337</v>
      </c>
      <c r="CE981" s="267">
        <f t="shared" si="145"/>
        <v>0.58333333333333337</v>
      </c>
      <c r="CF981" s="267">
        <f t="shared" si="146"/>
        <v>0.58333333333333337</v>
      </c>
      <c r="CG981" s="267">
        <f t="shared" si="147"/>
        <v>0.58333333333333337</v>
      </c>
      <c r="CH981" s="267">
        <f t="shared" si="148"/>
        <v>0.58333333333333337</v>
      </c>
      <c r="CI981" s="267">
        <f t="shared" si="149"/>
        <v>0.58333333333333337</v>
      </c>
      <c r="CJ981" s="267">
        <f t="shared" si="150"/>
        <v>0.58333333333333337</v>
      </c>
      <c r="CK981" s="267">
        <f t="shared" si="151"/>
        <v>0.58333333333333337</v>
      </c>
      <c r="CL981" s="267">
        <f t="shared" si="152"/>
        <v>0.58333333333333337</v>
      </c>
      <c r="CM981" s="267">
        <f t="shared" si="153"/>
        <v>0.58333333333333337</v>
      </c>
      <c r="CN981" s="101">
        <f t="shared" si="135"/>
        <v>0</v>
      </c>
      <c r="CO981" s="101">
        <f t="shared" si="136"/>
        <v>1.1666666666666667</v>
      </c>
    </row>
    <row r="982" spans="1:93" ht="13.9" customHeight="1" x14ac:dyDescent="0.2">
      <c r="A982" s="149">
        <v>3523</v>
      </c>
      <c r="B982" s="150" t="s">
        <v>2522</v>
      </c>
      <c r="C982" s="150"/>
      <c r="D982" s="150" t="s">
        <v>2596</v>
      </c>
      <c r="E982" s="150"/>
      <c r="F982" s="149">
        <v>526043</v>
      </c>
      <c r="G982" s="149">
        <v>175254</v>
      </c>
      <c r="H982" s="150" t="s">
        <v>170</v>
      </c>
      <c r="I982" s="151"/>
      <c r="J982" s="151"/>
      <c r="K982" s="149">
        <v>0</v>
      </c>
      <c r="L982" s="149">
        <v>2</v>
      </c>
      <c r="M982" s="149">
        <v>2</v>
      </c>
      <c r="N982" s="149">
        <v>10</v>
      </c>
      <c r="O982" s="149">
        <v>10</v>
      </c>
      <c r="P982" s="152" t="s">
        <v>327</v>
      </c>
      <c r="Q982" s="150" t="s">
        <v>2524</v>
      </c>
      <c r="R982" s="150" t="s">
        <v>2525</v>
      </c>
      <c r="S982" s="151"/>
      <c r="T982" s="151"/>
      <c r="U982" s="152"/>
      <c r="V982" s="150" t="s">
        <v>330</v>
      </c>
      <c r="W982" s="151"/>
      <c r="X982" s="150" t="s">
        <v>331</v>
      </c>
      <c r="Y982" s="150" t="s">
        <v>343</v>
      </c>
      <c r="Z982" s="150" t="s">
        <v>343</v>
      </c>
      <c r="AA982" s="150" t="s">
        <v>334</v>
      </c>
      <c r="AB982" s="153">
        <v>0</v>
      </c>
      <c r="AC982" s="151"/>
      <c r="AD982" s="150"/>
      <c r="AE982" s="151"/>
      <c r="AF982" s="150" t="s">
        <v>49</v>
      </c>
      <c r="AG982" s="152" t="s">
        <v>470</v>
      </c>
      <c r="AH982" s="150" t="s">
        <v>2597</v>
      </c>
      <c r="AI982" s="99"/>
      <c r="AJ982" s="149">
        <v>0</v>
      </c>
      <c r="AK982" s="99">
        <v>0</v>
      </c>
      <c r="AL982" s="149">
        <v>0</v>
      </c>
      <c r="AM982" s="99">
        <v>0</v>
      </c>
      <c r="AN982" s="149">
        <v>0</v>
      </c>
      <c r="AO982" s="149">
        <v>0</v>
      </c>
      <c r="AP982" s="149">
        <v>0</v>
      </c>
      <c r="AQ982" s="149">
        <v>0</v>
      </c>
      <c r="AR982" s="149">
        <v>0</v>
      </c>
      <c r="AS982" s="149">
        <v>0</v>
      </c>
      <c r="AT982" s="149">
        <v>2</v>
      </c>
      <c r="AU982" s="149">
        <v>0</v>
      </c>
      <c r="AV982" s="149">
        <v>0</v>
      </c>
      <c r="AW982" s="149">
        <v>0</v>
      </c>
      <c r="AX982" s="149">
        <v>0</v>
      </c>
      <c r="AY982" s="149">
        <v>0</v>
      </c>
      <c r="AZ982" s="149">
        <v>0</v>
      </c>
      <c r="BA982" s="149">
        <v>2</v>
      </c>
      <c r="BB982" s="149">
        <v>0</v>
      </c>
      <c r="BC982" s="149">
        <v>0</v>
      </c>
      <c r="BD982" s="149">
        <v>0</v>
      </c>
      <c r="BE982" s="149">
        <v>0</v>
      </c>
      <c r="BF982" s="149">
        <v>0</v>
      </c>
      <c r="BG982" s="149">
        <v>0</v>
      </c>
      <c r="BH982" s="149">
        <v>0</v>
      </c>
      <c r="BI982" s="149">
        <v>0</v>
      </c>
      <c r="BJ982" s="149">
        <v>0</v>
      </c>
      <c r="BK982" s="149">
        <v>0</v>
      </c>
      <c r="BL982" s="149">
        <v>0</v>
      </c>
      <c r="BM982" s="149">
        <v>0</v>
      </c>
      <c r="BN982" s="149">
        <v>0</v>
      </c>
      <c r="BO982" s="149">
        <v>0</v>
      </c>
      <c r="BP982" s="136"/>
      <c r="BQ982" s="136"/>
      <c r="BR982" s="154" t="s">
        <v>463</v>
      </c>
      <c r="BS982" s="136">
        <v>19</v>
      </c>
      <c r="BT982" s="267"/>
      <c r="BU982" s="267"/>
      <c r="BV982" s="267"/>
      <c r="BW982" s="267"/>
      <c r="BX982" s="267"/>
      <c r="BY982" s="267"/>
      <c r="BZ982" s="267"/>
      <c r="CA982" s="267"/>
      <c r="CB982" s="267"/>
      <c r="CC982" s="267">
        <f t="shared" si="143"/>
        <v>0.16666666666666666</v>
      </c>
      <c r="CD982" s="267">
        <f t="shared" si="144"/>
        <v>0.16666666666666666</v>
      </c>
      <c r="CE982" s="267">
        <f t="shared" si="145"/>
        <v>0.16666666666666666</v>
      </c>
      <c r="CF982" s="267">
        <f t="shared" si="146"/>
        <v>0.16666666666666666</v>
      </c>
      <c r="CG982" s="267">
        <f t="shared" si="147"/>
        <v>0.16666666666666666</v>
      </c>
      <c r="CH982" s="267">
        <f t="shared" si="148"/>
        <v>0.16666666666666666</v>
      </c>
      <c r="CI982" s="267">
        <f t="shared" si="149"/>
        <v>0.16666666666666666</v>
      </c>
      <c r="CJ982" s="267">
        <f t="shared" si="150"/>
        <v>0.16666666666666666</v>
      </c>
      <c r="CK982" s="267">
        <f t="shared" si="151"/>
        <v>0.16666666666666666</v>
      </c>
      <c r="CL982" s="267">
        <f t="shared" si="152"/>
        <v>0.16666666666666666</v>
      </c>
      <c r="CM982" s="267">
        <f t="shared" si="153"/>
        <v>0.16666666666666666</v>
      </c>
      <c r="CN982" s="101">
        <f t="shared" si="135"/>
        <v>0</v>
      </c>
      <c r="CO982" s="101">
        <f t="shared" si="136"/>
        <v>0.33333333333333331</v>
      </c>
    </row>
    <row r="983" spans="1:93" ht="13.9" customHeight="1" x14ac:dyDescent="0.2">
      <c r="A983" s="149">
        <v>3523</v>
      </c>
      <c r="B983" s="150" t="s">
        <v>2522</v>
      </c>
      <c r="C983" s="150"/>
      <c r="D983" s="150" t="s">
        <v>2596</v>
      </c>
      <c r="E983" s="150"/>
      <c r="F983" s="149">
        <v>526043</v>
      </c>
      <c r="G983" s="149">
        <v>175254</v>
      </c>
      <c r="H983" s="150" t="s">
        <v>170</v>
      </c>
      <c r="I983" s="151"/>
      <c r="J983" s="151"/>
      <c r="K983" s="149">
        <v>0</v>
      </c>
      <c r="L983" s="149">
        <v>1</v>
      </c>
      <c r="M983" s="149">
        <v>1</v>
      </c>
      <c r="N983" s="149">
        <v>10</v>
      </c>
      <c r="O983" s="149">
        <v>10</v>
      </c>
      <c r="P983" s="152" t="s">
        <v>327</v>
      </c>
      <c r="Q983" s="150" t="s">
        <v>2524</v>
      </c>
      <c r="R983" s="150" t="s">
        <v>2525</v>
      </c>
      <c r="S983" s="151"/>
      <c r="T983" s="151"/>
      <c r="U983" s="152"/>
      <c r="V983" s="150" t="s">
        <v>330</v>
      </c>
      <c r="W983" s="151"/>
      <c r="X983" s="150" t="s">
        <v>331</v>
      </c>
      <c r="Y983" s="150" t="s">
        <v>343</v>
      </c>
      <c r="Z983" s="150" t="s">
        <v>343</v>
      </c>
      <c r="AA983" s="150" t="s">
        <v>334</v>
      </c>
      <c r="AB983" s="153">
        <v>0</v>
      </c>
      <c r="AC983" s="151"/>
      <c r="AD983" s="150"/>
      <c r="AE983" s="151"/>
      <c r="AF983" s="150" t="s">
        <v>48</v>
      </c>
      <c r="AG983" s="152" t="s">
        <v>992</v>
      </c>
      <c r="AH983" s="150" t="s">
        <v>2597</v>
      </c>
      <c r="AI983" s="99"/>
      <c r="AJ983" s="149">
        <v>0</v>
      </c>
      <c r="AK983" s="99">
        <v>0</v>
      </c>
      <c r="AL983" s="149">
        <v>0</v>
      </c>
      <c r="AM983" s="99">
        <v>0</v>
      </c>
      <c r="AN983" s="149">
        <v>0</v>
      </c>
      <c r="AO983" s="149">
        <v>0</v>
      </c>
      <c r="AP983" s="149">
        <v>0</v>
      </c>
      <c r="AQ983" s="149">
        <v>0</v>
      </c>
      <c r="AR983" s="149">
        <v>0</v>
      </c>
      <c r="AS983" s="149">
        <v>0</v>
      </c>
      <c r="AT983" s="149">
        <v>1</v>
      </c>
      <c r="AU983" s="149">
        <v>0</v>
      </c>
      <c r="AV983" s="149">
        <v>0</v>
      </c>
      <c r="AW983" s="149">
        <v>0</v>
      </c>
      <c r="AX983" s="149">
        <v>0</v>
      </c>
      <c r="AY983" s="149">
        <v>0</v>
      </c>
      <c r="AZ983" s="149">
        <v>0</v>
      </c>
      <c r="BA983" s="149">
        <v>1</v>
      </c>
      <c r="BB983" s="149">
        <v>0</v>
      </c>
      <c r="BC983" s="149">
        <v>0</v>
      </c>
      <c r="BD983" s="149">
        <v>0</v>
      </c>
      <c r="BE983" s="149">
        <v>0</v>
      </c>
      <c r="BF983" s="149">
        <v>0</v>
      </c>
      <c r="BG983" s="149">
        <v>0</v>
      </c>
      <c r="BH983" s="149">
        <v>0</v>
      </c>
      <c r="BI983" s="149">
        <v>0</v>
      </c>
      <c r="BJ983" s="149">
        <v>0</v>
      </c>
      <c r="BK983" s="149">
        <v>0</v>
      </c>
      <c r="BL983" s="149">
        <v>0</v>
      </c>
      <c r="BM983" s="149">
        <v>0</v>
      </c>
      <c r="BN983" s="149">
        <v>0</v>
      </c>
      <c r="BO983" s="149">
        <v>0</v>
      </c>
      <c r="BP983" s="136"/>
      <c r="BQ983" s="136"/>
      <c r="BR983" s="154" t="s">
        <v>463</v>
      </c>
      <c r="BS983" s="136">
        <v>19</v>
      </c>
      <c r="BT983" s="267"/>
      <c r="BU983" s="267"/>
      <c r="BV983" s="267"/>
      <c r="BW983" s="267"/>
      <c r="BX983" s="267"/>
      <c r="BY983" s="267"/>
      <c r="BZ983" s="267"/>
      <c r="CA983" s="267"/>
      <c r="CB983" s="267"/>
      <c r="CC983" s="267">
        <f t="shared" si="143"/>
        <v>8.3333333333333329E-2</v>
      </c>
      <c r="CD983" s="267">
        <f t="shared" si="144"/>
        <v>8.3333333333333329E-2</v>
      </c>
      <c r="CE983" s="267">
        <f t="shared" si="145"/>
        <v>8.3333333333333329E-2</v>
      </c>
      <c r="CF983" s="267">
        <f t="shared" si="146"/>
        <v>8.3333333333333329E-2</v>
      </c>
      <c r="CG983" s="267">
        <f t="shared" si="147"/>
        <v>8.3333333333333329E-2</v>
      </c>
      <c r="CH983" s="267">
        <f t="shared" si="148"/>
        <v>8.3333333333333329E-2</v>
      </c>
      <c r="CI983" s="267">
        <f t="shared" si="149"/>
        <v>8.3333333333333329E-2</v>
      </c>
      <c r="CJ983" s="267">
        <f t="shared" si="150"/>
        <v>8.3333333333333329E-2</v>
      </c>
      <c r="CK983" s="267">
        <f t="shared" si="151"/>
        <v>8.3333333333333329E-2</v>
      </c>
      <c r="CL983" s="267">
        <f t="shared" si="152"/>
        <v>8.3333333333333329E-2</v>
      </c>
      <c r="CM983" s="267">
        <f t="shared" si="153"/>
        <v>8.3333333333333329E-2</v>
      </c>
      <c r="CN983" s="101">
        <f t="shared" si="135"/>
        <v>0</v>
      </c>
      <c r="CO983" s="101">
        <f t="shared" si="136"/>
        <v>0.16666666666666666</v>
      </c>
    </row>
    <row r="984" spans="1:93" ht="13.9" customHeight="1" x14ac:dyDescent="0.2">
      <c r="A984" s="149">
        <v>3955</v>
      </c>
      <c r="B984" s="150" t="s">
        <v>2522</v>
      </c>
      <c r="C984" s="150"/>
      <c r="D984" s="150" t="s">
        <v>2598</v>
      </c>
      <c r="E984" s="150"/>
      <c r="F984" s="149">
        <v>526045</v>
      </c>
      <c r="G984" s="149">
        <v>175348</v>
      </c>
      <c r="H984" s="150" t="s">
        <v>170</v>
      </c>
      <c r="I984" s="151"/>
      <c r="J984" s="151"/>
      <c r="K984" s="149">
        <v>0</v>
      </c>
      <c r="L984" s="149">
        <v>124</v>
      </c>
      <c r="M984" s="149">
        <v>124</v>
      </c>
      <c r="N984" s="149">
        <v>191</v>
      </c>
      <c r="O984" s="149">
        <v>191</v>
      </c>
      <c r="P984" s="152" t="s">
        <v>327</v>
      </c>
      <c r="Q984" s="150" t="s">
        <v>2524</v>
      </c>
      <c r="R984" s="150" t="s">
        <v>2525</v>
      </c>
      <c r="S984" s="151"/>
      <c r="T984" s="151"/>
      <c r="U984" s="152"/>
      <c r="V984" s="150" t="s">
        <v>330</v>
      </c>
      <c r="W984" s="151"/>
      <c r="X984" s="150" t="s">
        <v>331</v>
      </c>
      <c r="Y984" s="150" t="s">
        <v>343</v>
      </c>
      <c r="Z984" s="150" t="s">
        <v>343</v>
      </c>
      <c r="AA984" s="150" t="s">
        <v>334</v>
      </c>
      <c r="AB984" s="153">
        <v>0</v>
      </c>
      <c r="AC984" s="151"/>
      <c r="AD984" s="150"/>
      <c r="AE984" s="151"/>
      <c r="AF984" s="150" t="s">
        <v>70</v>
      </c>
      <c r="AG984" s="152" t="s">
        <v>352</v>
      </c>
      <c r="AH984" s="150" t="s">
        <v>2599</v>
      </c>
      <c r="AI984" s="99"/>
      <c r="AJ984" s="149">
        <v>0</v>
      </c>
      <c r="AK984" s="99">
        <v>0</v>
      </c>
      <c r="AL984" s="149">
        <v>0</v>
      </c>
      <c r="AM984" s="99">
        <v>0</v>
      </c>
      <c r="AN984" s="149">
        <v>0</v>
      </c>
      <c r="AO984" s="149">
        <v>0</v>
      </c>
      <c r="AP984" s="149">
        <v>0</v>
      </c>
      <c r="AQ984" s="149">
        <v>0</v>
      </c>
      <c r="AR984" s="149">
        <v>0</v>
      </c>
      <c r="AS984" s="149">
        <v>0</v>
      </c>
      <c r="AT984" s="149">
        <v>124</v>
      </c>
      <c r="AU984" s="149">
        <v>0</v>
      </c>
      <c r="AV984" s="149">
        <v>0</v>
      </c>
      <c r="AW984" s="149">
        <v>0</v>
      </c>
      <c r="AX984" s="149">
        <v>0</v>
      </c>
      <c r="AY984" s="149">
        <v>0</v>
      </c>
      <c r="AZ984" s="149">
        <v>0</v>
      </c>
      <c r="BA984" s="149">
        <v>124</v>
      </c>
      <c r="BB984" s="149">
        <v>0</v>
      </c>
      <c r="BC984" s="149">
        <v>0</v>
      </c>
      <c r="BD984" s="149">
        <v>0</v>
      </c>
      <c r="BE984" s="149">
        <v>0</v>
      </c>
      <c r="BF984" s="149">
        <v>0</v>
      </c>
      <c r="BG984" s="149">
        <v>0</v>
      </c>
      <c r="BH984" s="149">
        <v>0</v>
      </c>
      <c r="BI984" s="149">
        <v>0</v>
      </c>
      <c r="BJ984" s="149">
        <v>0</v>
      </c>
      <c r="BK984" s="149">
        <v>0</v>
      </c>
      <c r="BL984" s="149">
        <v>0</v>
      </c>
      <c r="BM984" s="149">
        <v>0</v>
      </c>
      <c r="BN984" s="149">
        <v>0</v>
      </c>
      <c r="BO984" s="149">
        <v>0</v>
      </c>
      <c r="BP984" s="136"/>
      <c r="BQ984" s="136"/>
      <c r="BR984" s="154" t="s">
        <v>463</v>
      </c>
      <c r="BS984" s="136">
        <v>19</v>
      </c>
      <c r="BT984" s="267"/>
      <c r="BU984" s="267"/>
      <c r="BV984" s="267"/>
      <c r="BW984" s="267"/>
      <c r="BX984" s="267"/>
      <c r="BY984" s="267">
        <f>M984/16</f>
        <v>7.75</v>
      </c>
      <c r="BZ984" s="267">
        <f>M984/16</f>
        <v>7.75</v>
      </c>
      <c r="CA984" s="267">
        <f>M984/16</f>
        <v>7.75</v>
      </c>
      <c r="CB984" s="267">
        <f>M984/16</f>
        <v>7.75</v>
      </c>
      <c r="CC984" s="267">
        <f>M984/16</f>
        <v>7.75</v>
      </c>
      <c r="CD984" s="267">
        <f>M984/16</f>
        <v>7.75</v>
      </c>
      <c r="CE984" s="267">
        <f>M984/16</f>
        <v>7.75</v>
      </c>
      <c r="CF984" s="267">
        <f>M984/16</f>
        <v>7.75</v>
      </c>
      <c r="CG984" s="267">
        <f>M984/16</f>
        <v>7.75</v>
      </c>
      <c r="CH984" s="267">
        <f>M984/16</f>
        <v>7.75</v>
      </c>
      <c r="CI984" s="267">
        <f>M984/16</f>
        <v>7.75</v>
      </c>
      <c r="CJ984" s="267">
        <f>M984/16</f>
        <v>7.75</v>
      </c>
      <c r="CK984" s="267">
        <f>M984/16</f>
        <v>7.75</v>
      </c>
      <c r="CL984" s="267">
        <f>M984/16</f>
        <v>7.75</v>
      </c>
      <c r="CM984" s="267">
        <f>M984/16</f>
        <v>7.75</v>
      </c>
      <c r="CN984" s="101">
        <f t="shared" si="135"/>
        <v>7.75</v>
      </c>
      <c r="CO984" s="101">
        <f t="shared" si="136"/>
        <v>46.5</v>
      </c>
    </row>
    <row r="985" spans="1:93" ht="13.9" customHeight="1" x14ac:dyDescent="0.2">
      <c r="A985" s="149">
        <v>3955</v>
      </c>
      <c r="B985" s="150" t="s">
        <v>2522</v>
      </c>
      <c r="C985" s="150"/>
      <c r="D985" s="150" t="s">
        <v>2598</v>
      </c>
      <c r="E985" s="150"/>
      <c r="F985" s="149">
        <v>526045</v>
      </c>
      <c r="G985" s="149">
        <v>175348</v>
      </c>
      <c r="H985" s="150" t="s">
        <v>170</v>
      </c>
      <c r="I985" s="151"/>
      <c r="J985" s="151"/>
      <c r="K985" s="149">
        <v>0</v>
      </c>
      <c r="L985" s="149">
        <v>34</v>
      </c>
      <c r="M985" s="149">
        <v>34</v>
      </c>
      <c r="N985" s="149">
        <v>191</v>
      </c>
      <c r="O985" s="149">
        <v>191</v>
      </c>
      <c r="P985" s="152" t="s">
        <v>327</v>
      </c>
      <c r="Q985" s="150" t="s">
        <v>2524</v>
      </c>
      <c r="R985" s="150" t="s">
        <v>2525</v>
      </c>
      <c r="S985" s="151"/>
      <c r="T985" s="151"/>
      <c r="U985" s="152"/>
      <c r="V985" s="150" t="s">
        <v>330</v>
      </c>
      <c r="W985" s="151"/>
      <c r="X985" s="150" t="s">
        <v>331</v>
      </c>
      <c r="Y985" s="150" t="s">
        <v>343</v>
      </c>
      <c r="Z985" s="150" t="s">
        <v>343</v>
      </c>
      <c r="AA985" s="150" t="s">
        <v>334</v>
      </c>
      <c r="AB985" s="153">
        <v>0</v>
      </c>
      <c r="AC985" s="151"/>
      <c r="AD985" s="150"/>
      <c r="AE985" s="151"/>
      <c r="AF985" s="150" t="s">
        <v>49</v>
      </c>
      <c r="AG985" s="152" t="s">
        <v>470</v>
      </c>
      <c r="AH985" s="150" t="s">
        <v>2599</v>
      </c>
      <c r="AI985" s="99"/>
      <c r="AJ985" s="149">
        <v>0</v>
      </c>
      <c r="AK985" s="99">
        <v>0</v>
      </c>
      <c r="AL985" s="149">
        <v>0</v>
      </c>
      <c r="AM985" s="99">
        <v>0</v>
      </c>
      <c r="AN985" s="149">
        <v>0</v>
      </c>
      <c r="AO985" s="149">
        <v>0</v>
      </c>
      <c r="AP985" s="149">
        <v>0</v>
      </c>
      <c r="AQ985" s="149">
        <v>0</v>
      </c>
      <c r="AR985" s="149">
        <v>0</v>
      </c>
      <c r="AS985" s="149">
        <v>0</v>
      </c>
      <c r="AT985" s="149">
        <v>34</v>
      </c>
      <c r="AU985" s="149">
        <v>0</v>
      </c>
      <c r="AV985" s="149">
        <v>0</v>
      </c>
      <c r="AW985" s="149">
        <v>0</v>
      </c>
      <c r="AX985" s="149">
        <v>0</v>
      </c>
      <c r="AY985" s="149">
        <v>0</v>
      </c>
      <c r="AZ985" s="149">
        <v>0</v>
      </c>
      <c r="BA985" s="149">
        <v>34</v>
      </c>
      <c r="BB985" s="149">
        <v>0</v>
      </c>
      <c r="BC985" s="149">
        <v>0</v>
      </c>
      <c r="BD985" s="149">
        <v>0</v>
      </c>
      <c r="BE985" s="149">
        <v>0</v>
      </c>
      <c r="BF985" s="149">
        <v>0</v>
      </c>
      <c r="BG985" s="149">
        <v>0</v>
      </c>
      <c r="BH985" s="149">
        <v>0</v>
      </c>
      <c r="BI985" s="149">
        <v>0</v>
      </c>
      <c r="BJ985" s="149">
        <v>0</v>
      </c>
      <c r="BK985" s="149">
        <v>0</v>
      </c>
      <c r="BL985" s="149">
        <v>0</v>
      </c>
      <c r="BM985" s="149">
        <v>0</v>
      </c>
      <c r="BN985" s="149">
        <v>0</v>
      </c>
      <c r="BO985" s="149">
        <v>0</v>
      </c>
      <c r="BP985" s="136"/>
      <c r="BQ985" s="136"/>
      <c r="BR985" s="154" t="s">
        <v>463</v>
      </c>
      <c r="BS985" s="136">
        <v>19</v>
      </c>
      <c r="BT985" s="267"/>
      <c r="BU985" s="267"/>
      <c r="BV985" s="267"/>
      <c r="BW985" s="267"/>
      <c r="BX985" s="267"/>
      <c r="BY985" s="267">
        <f>M985/16</f>
        <v>2.125</v>
      </c>
      <c r="BZ985" s="267">
        <f>M985/16</f>
        <v>2.125</v>
      </c>
      <c r="CA985" s="267">
        <f>M985/16</f>
        <v>2.125</v>
      </c>
      <c r="CB985" s="267">
        <f>M985/16</f>
        <v>2.125</v>
      </c>
      <c r="CC985" s="267">
        <f>M985/16</f>
        <v>2.125</v>
      </c>
      <c r="CD985" s="267">
        <f>M985/16</f>
        <v>2.125</v>
      </c>
      <c r="CE985" s="267">
        <f>M985/16</f>
        <v>2.125</v>
      </c>
      <c r="CF985" s="267">
        <f>M985/16</f>
        <v>2.125</v>
      </c>
      <c r="CG985" s="267">
        <f>M985/16</f>
        <v>2.125</v>
      </c>
      <c r="CH985" s="267">
        <f>M985/16</f>
        <v>2.125</v>
      </c>
      <c r="CI985" s="267">
        <f>M985/16</f>
        <v>2.125</v>
      </c>
      <c r="CJ985" s="267">
        <f>M985/16</f>
        <v>2.125</v>
      </c>
      <c r="CK985" s="267">
        <f>M985/16</f>
        <v>2.125</v>
      </c>
      <c r="CL985" s="267">
        <f>M985/16</f>
        <v>2.125</v>
      </c>
      <c r="CM985" s="267">
        <f>M985/16</f>
        <v>2.125</v>
      </c>
      <c r="CN985" s="101">
        <f t="shared" si="135"/>
        <v>2.125</v>
      </c>
      <c r="CO985" s="101">
        <f t="shared" si="136"/>
        <v>12.75</v>
      </c>
    </row>
    <row r="986" spans="1:93" ht="13.9" customHeight="1" x14ac:dyDescent="0.2">
      <c r="A986" s="149">
        <v>3955</v>
      </c>
      <c r="B986" s="150" t="s">
        <v>2522</v>
      </c>
      <c r="C986" s="150"/>
      <c r="D986" s="150" t="s">
        <v>2598</v>
      </c>
      <c r="E986" s="150"/>
      <c r="F986" s="149">
        <v>526045</v>
      </c>
      <c r="G986" s="149">
        <v>175348</v>
      </c>
      <c r="H986" s="150" t="s">
        <v>170</v>
      </c>
      <c r="I986" s="151"/>
      <c r="J986" s="151"/>
      <c r="K986" s="149">
        <v>0</v>
      </c>
      <c r="L986" s="149">
        <v>33</v>
      </c>
      <c r="M986" s="149">
        <v>33</v>
      </c>
      <c r="N986" s="149">
        <v>191</v>
      </c>
      <c r="O986" s="149">
        <v>191</v>
      </c>
      <c r="P986" s="152" t="s">
        <v>327</v>
      </c>
      <c r="Q986" s="150" t="s">
        <v>2524</v>
      </c>
      <c r="R986" s="150" t="s">
        <v>2525</v>
      </c>
      <c r="S986" s="151"/>
      <c r="T986" s="151"/>
      <c r="U986" s="152"/>
      <c r="V986" s="150" t="s">
        <v>330</v>
      </c>
      <c r="W986" s="151"/>
      <c r="X986" s="150" t="s">
        <v>331</v>
      </c>
      <c r="Y986" s="150" t="s">
        <v>343</v>
      </c>
      <c r="Z986" s="150" t="s">
        <v>343</v>
      </c>
      <c r="AA986" s="150" t="s">
        <v>334</v>
      </c>
      <c r="AB986" s="153">
        <v>0</v>
      </c>
      <c r="AC986" s="151"/>
      <c r="AD986" s="150"/>
      <c r="AE986" s="151"/>
      <c r="AF986" s="150" t="s">
        <v>48</v>
      </c>
      <c r="AG986" s="152" t="s">
        <v>992</v>
      </c>
      <c r="AH986" s="150" t="s">
        <v>2599</v>
      </c>
      <c r="AI986" s="99"/>
      <c r="AJ986" s="149">
        <v>0</v>
      </c>
      <c r="AK986" s="99">
        <v>0</v>
      </c>
      <c r="AL986" s="149">
        <v>0</v>
      </c>
      <c r="AM986" s="99">
        <v>0</v>
      </c>
      <c r="AN986" s="149">
        <v>0</v>
      </c>
      <c r="AO986" s="149">
        <v>0</v>
      </c>
      <c r="AP986" s="149">
        <v>0</v>
      </c>
      <c r="AQ986" s="149">
        <v>0</v>
      </c>
      <c r="AR986" s="149">
        <v>0</v>
      </c>
      <c r="AS986" s="149">
        <v>0</v>
      </c>
      <c r="AT986" s="149">
        <v>33</v>
      </c>
      <c r="AU986" s="149">
        <v>0</v>
      </c>
      <c r="AV986" s="149">
        <v>0</v>
      </c>
      <c r="AW986" s="149">
        <v>0</v>
      </c>
      <c r="AX986" s="149">
        <v>0</v>
      </c>
      <c r="AY986" s="149">
        <v>0</v>
      </c>
      <c r="AZ986" s="149">
        <v>0</v>
      </c>
      <c r="BA986" s="149">
        <v>33</v>
      </c>
      <c r="BB986" s="149">
        <v>0</v>
      </c>
      <c r="BC986" s="149">
        <v>0</v>
      </c>
      <c r="BD986" s="149">
        <v>0</v>
      </c>
      <c r="BE986" s="149">
        <v>0</v>
      </c>
      <c r="BF986" s="149">
        <v>0</v>
      </c>
      <c r="BG986" s="149">
        <v>0</v>
      </c>
      <c r="BH986" s="149">
        <v>0</v>
      </c>
      <c r="BI986" s="149">
        <v>0</v>
      </c>
      <c r="BJ986" s="149">
        <v>0</v>
      </c>
      <c r="BK986" s="149">
        <v>0</v>
      </c>
      <c r="BL986" s="149">
        <v>0</v>
      </c>
      <c r="BM986" s="149">
        <v>0</v>
      </c>
      <c r="BN986" s="149">
        <v>0</v>
      </c>
      <c r="BO986" s="149">
        <v>0</v>
      </c>
      <c r="BP986" s="136"/>
      <c r="BQ986" s="136"/>
      <c r="BR986" s="154" t="s">
        <v>463</v>
      </c>
      <c r="BS986" s="136">
        <v>19</v>
      </c>
      <c r="BT986" s="267"/>
      <c r="BU986" s="267"/>
      <c r="BV986" s="267"/>
      <c r="BW986" s="267"/>
      <c r="BX986" s="267"/>
      <c r="BY986" s="267">
        <f>M986/16</f>
        <v>2.0625</v>
      </c>
      <c r="BZ986" s="267">
        <f>M986/16</f>
        <v>2.0625</v>
      </c>
      <c r="CA986" s="267">
        <f>M986/16</f>
        <v>2.0625</v>
      </c>
      <c r="CB986" s="267">
        <f>M986/16</f>
        <v>2.0625</v>
      </c>
      <c r="CC986" s="267">
        <f>M986/16</f>
        <v>2.0625</v>
      </c>
      <c r="CD986" s="267">
        <f>M986/16</f>
        <v>2.0625</v>
      </c>
      <c r="CE986" s="267">
        <f>M986/16</f>
        <v>2.0625</v>
      </c>
      <c r="CF986" s="267">
        <f>M986/16</f>
        <v>2.0625</v>
      </c>
      <c r="CG986" s="267">
        <f>M986/16</f>
        <v>2.0625</v>
      </c>
      <c r="CH986" s="267">
        <f>M986/16</f>
        <v>2.0625</v>
      </c>
      <c r="CI986" s="267">
        <f>M986/16</f>
        <v>2.0625</v>
      </c>
      <c r="CJ986" s="267">
        <f>M986/16</f>
        <v>2.0625</v>
      </c>
      <c r="CK986" s="267">
        <f>M986/16</f>
        <v>2.0625</v>
      </c>
      <c r="CL986" s="267">
        <f>M986/16</f>
        <v>2.0625</v>
      </c>
      <c r="CM986" s="267">
        <f>M986/16</f>
        <v>2.0625</v>
      </c>
      <c r="CN986" s="101">
        <f t="shared" si="135"/>
        <v>2.0625</v>
      </c>
      <c r="CO986" s="101">
        <f t="shared" si="136"/>
        <v>12.375</v>
      </c>
    </row>
    <row r="987" spans="1:93" ht="13.9" customHeight="1" x14ac:dyDescent="0.2">
      <c r="A987" s="149">
        <v>6890</v>
      </c>
      <c r="B987" s="150" t="s">
        <v>2522</v>
      </c>
      <c r="C987" s="150"/>
      <c r="D987" s="150" t="s">
        <v>2600</v>
      </c>
      <c r="E987" s="150"/>
      <c r="F987" s="149">
        <v>529517</v>
      </c>
      <c r="G987" s="149">
        <v>177263</v>
      </c>
      <c r="H987" s="150" t="s">
        <v>149</v>
      </c>
      <c r="I987" s="151"/>
      <c r="J987" s="151"/>
      <c r="K987" s="149">
        <v>0</v>
      </c>
      <c r="L987" s="149">
        <v>120</v>
      </c>
      <c r="M987" s="149">
        <v>120</v>
      </c>
      <c r="N987" s="149">
        <v>184</v>
      </c>
      <c r="O987" s="149">
        <v>184</v>
      </c>
      <c r="P987" s="152" t="s">
        <v>327</v>
      </c>
      <c r="Q987" s="150" t="s">
        <v>2524</v>
      </c>
      <c r="R987" s="150" t="s">
        <v>2525</v>
      </c>
      <c r="S987" s="151"/>
      <c r="T987" s="151"/>
      <c r="U987" s="152"/>
      <c r="V987" s="150" t="s">
        <v>330</v>
      </c>
      <c r="W987" s="151"/>
      <c r="X987" s="150" t="s">
        <v>331</v>
      </c>
      <c r="Y987" s="150" t="s">
        <v>343</v>
      </c>
      <c r="Z987" s="150" t="s">
        <v>343</v>
      </c>
      <c r="AA987" s="150" t="s">
        <v>334</v>
      </c>
      <c r="AB987" s="153">
        <v>0</v>
      </c>
      <c r="AC987" s="151"/>
      <c r="AD987" s="150"/>
      <c r="AE987" s="151"/>
      <c r="AF987" s="150" t="s">
        <v>70</v>
      </c>
      <c r="AG987" s="152" t="s">
        <v>352</v>
      </c>
      <c r="AH987" s="150" t="s">
        <v>2601</v>
      </c>
      <c r="AI987" s="99"/>
      <c r="AJ987" s="149">
        <v>0</v>
      </c>
      <c r="AK987" s="99">
        <v>0</v>
      </c>
      <c r="AL987" s="149">
        <v>0</v>
      </c>
      <c r="AM987" s="99">
        <v>0</v>
      </c>
      <c r="AN987" s="149">
        <v>0</v>
      </c>
      <c r="AO987" s="149">
        <v>0</v>
      </c>
      <c r="AP987" s="149">
        <v>0</v>
      </c>
      <c r="AQ987" s="149">
        <v>0</v>
      </c>
      <c r="AR987" s="149">
        <v>0</v>
      </c>
      <c r="AS987" s="149">
        <v>0</v>
      </c>
      <c r="AT987" s="149">
        <v>120</v>
      </c>
      <c r="AU987" s="149">
        <v>0</v>
      </c>
      <c r="AV987" s="149">
        <v>0</v>
      </c>
      <c r="AW987" s="149">
        <v>0</v>
      </c>
      <c r="AX987" s="149">
        <v>0</v>
      </c>
      <c r="AY987" s="149">
        <v>0</v>
      </c>
      <c r="AZ987" s="149">
        <v>0</v>
      </c>
      <c r="BA987" s="149">
        <v>120</v>
      </c>
      <c r="BB987" s="149">
        <v>0</v>
      </c>
      <c r="BC987" s="149">
        <v>0</v>
      </c>
      <c r="BD987" s="149">
        <v>0</v>
      </c>
      <c r="BE987" s="149">
        <v>0</v>
      </c>
      <c r="BF987" s="149">
        <v>0</v>
      </c>
      <c r="BG987" s="149">
        <v>0</v>
      </c>
      <c r="BH987" s="149">
        <v>0</v>
      </c>
      <c r="BI987" s="149">
        <v>0</v>
      </c>
      <c r="BJ987" s="149">
        <v>0</v>
      </c>
      <c r="BK987" s="149">
        <v>0</v>
      </c>
      <c r="BL987" s="149">
        <v>0</v>
      </c>
      <c r="BM987" s="149">
        <v>0</v>
      </c>
      <c r="BN987" s="149">
        <v>0</v>
      </c>
      <c r="BO987" s="149">
        <v>0</v>
      </c>
      <c r="BP987" s="136"/>
      <c r="BQ987" s="136" t="s">
        <v>327</v>
      </c>
      <c r="BR987" s="154" t="s">
        <v>149</v>
      </c>
      <c r="BS987" s="136">
        <v>20</v>
      </c>
      <c r="BT987" s="267"/>
      <c r="BU987" s="267"/>
      <c r="BV987" s="267"/>
      <c r="BW987" s="267"/>
      <c r="BX987" s="267">
        <f>M987</f>
        <v>120</v>
      </c>
      <c r="BY987" s="267"/>
      <c r="BZ987" s="267"/>
      <c r="CA987" s="267"/>
      <c r="CB987" s="267"/>
      <c r="CC987" s="267"/>
      <c r="CD987" s="267"/>
      <c r="CE987" s="267"/>
      <c r="CF987" s="267"/>
      <c r="CG987" s="267"/>
      <c r="CH987" s="267"/>
      <c r="CI987" s="267"/>
      <c r="CJ987" s="267"/>
      <c r="CK987" s="267"/>
      <c r="CL987" s="267"/>
      <c r="CM987" s="267"/>
      <c r="CN987" s="101">
        <f t="shared" si="135"/>
        <v>120</v>
      </c>
      <c r="CO987" s="101">
        <f t="shared" si="136"/>
        <v>120</v>
      </c>
    </row>
    <row r="988" spans="1:93" ht="13.9" customHeight="1" x14ac:dyDescent="0.2">
      <c r="A988" s="149">
        <v>6890</v>
      </c>
      <c r="B988" s="150" t="s">
        <v>2522</v>
      </c>
      <c r="C988" s="150"/>
      <c r="D988" s="150" t="s">
        <v>2600</v>
      </c>
      <c r="E988" s="150"/>
      <c r="F988" s="149">
        <v>529517</v>
      </c>
      <c r="G988" s="149">
        <v>177263</v>
      </c>
      <c r="H988" s="150" t="s">
        <v>149</v>
      </c>
      <c r="I988" s="151"/>
      <c r="J988" s="151"/>
      <c r="K988" s="149">
        <v>0</v>
      </c>
      <c r="L988" s="149">
        <v>32</v>
      </c>
      <c r="M988" s="149">
        <v>32</v>
      </c>
      <c r="N988" s="149">
        <v>184</v>
      </c>
      <c r="O988" s="149">
        <v>184</v>
      </c>
      <c r="P988" s="152" t="s">
        <v>327</v>
      </c>
      <c r="Q988" s="150" t="s">
        <v>2524</v>
      </c>
      <c r="R988" s="150" t="s">
        <v>2525</v>
      </c>
      <c r="S988" s="151"/>
      <c r="T988" s="151"/>
      <c r="U988" s="152"/>
      <c r="V988" s="150" t="s">
        <v>330</v>
      </c>
      <c r="W988" s="151"/>
      <c r="X988" s="150" t="s">
        <v>331</v>
      </c>
      <c r="Y988" s="150" t="s">
        <v>343</v>
      </c>
      <c r="Z988" s="150" t="s">
        <v>343</v>
      </c>
      <c r="AA988" s="150" t="s">
        <v>334</v>
      </c>
      <c r="AB988" s="153">
        <v>0</v>
      </c>
      <c r="AC988" s="151"/>
      <c r="AD988" s="150"/>
      <c r="AE988" s="151"/>
      <c r="AF988" s="150" t="s">
        <v>49</v>
      </c>
      <c r="AG988" s="152" t="s">
        <v>470</v>
      </c>
      <c r="AH988" s="150" t="s">
        <v>2601</v>
      </c>
      <c r="AI988" s="99"/>
      <c r="AJ988" s="149">
        <v>0</v>
      </c>
      <c r="AK988" s="99">
        <v>0</v>
      </c>
      <c r="AL988" s="149">
        <v>0</v>
      </c>
      <c r="AM988" s="99">
        <v>0</v>
      </c>
      <c r="AN988" s="149">
        <v>0</v>
      </c>
      <c r="AO988" s="149">
        <v>0</v>
      </c>
      <c r="AP988" s="149">
        <v>0</v>
      </c>
      <c r="AQ988" s="149">
        <v>0</v>
      </c>
      <c r="AR988" s="149">
        <v>0</v>
      </c>
      <c r="AS988" s="149">
        <v>0</v>
      </c>
      <c r="AT988" s="149">
        <v>32</v>
      </c>
      <c r="AU988" s="149">
        <v>0</v>
      </c>
      <c r="AV988" s="149">
        <v>0</v>
      </c>
      <c r="AW988" s="149">
        <v>0</v>
      </c>
      <c r="AX988" s="149">
        <v>0</v>
      </c>
      <c r="AY988" s="149">
        <v>0</v>
      </c>
      <c r="AZ988" s="149">
        <v>0</v>
      </c>
      <c r="BA988" s="149">
        <v>32</v>
      </c>
      <c r="BB988" s="149">
        <v>0</v>
      </c>
      <c r="BC988" s="149">
        <v>0</v>
      </c>
      <c r="BD988" s="149">
        <v>0</v>
      </c>
      <c r="BE988" s="149">
        <v>0</v>
      </c>
      <c r="BF988" s="149">
        <v>0</v>
      </c>
      <c r="BG988" s="149">
        <v>0</v>
      </c>
      <c r="BH988" s="149">
        <v>0</v>
      </c>
      <c r="BI988" s="149">
        <v>0</v>
      </c>
      <c r="BJ988" s="149">
        <v>0</v>
      </c>
      <c r="BK988" s="149">
        <v>0</v>
      </c>
      <c r="BL988" s="149">
        <v>0</v>
      </c>
      <c r="BM988" s="149">
        <v>0</v>
      </c>
      <c r="BN988" s="149">
        <v>0</v>
      </c>
      <c r="BO988" s="149">
        <v>0</v>
      </c>
      <c r="BP988" s="136"/>
      <c r="BQ988" s="136" t="s">
        <v>327</v>
      </c>
      <c r="BR988" s="154" t="s">
        <v>149</v>
      </c>
      <c r="BS988" s="136">
        <v>20</v>
      </c>
      <c r="BT988" s="267"/>
      <c r="BU988" s="267"/>
      <c r="BV988" s="267"/>
      <c r="BW988" s="267"/>
      <c r="BX988" s="267">
        <f>M988</f>
        <v>32</v>
      </c>
      <c r="BY988" s="267"/>
      <c r="BZ988" s="267"/>
      <c r="CA988" s="267"/>
      <c r="CB988" s="267"/>
      <c r="CC988" s="267"/>
      <c r="CD988" s="267"/>
      <c r="CE988" s="267"/>
      <c r="CF988" s="267"/>
      <c r="CG988" s="267"/>
      <c r="CH988" s="267"/>
      <c r="CI988" s="267"/>
      <c r="CJ988" s="267"/>
      <c r="CK988" s="267"/>
      <c r="CL988" s="267"/>
      <c r="CM988" s="267"/>
      <c r="CN988" s="101">
        <f t="shared" si="135"/>
        <v>32</v>
      </c>
      <c r="CO988" s="101">
        <f t="shared" si="136"/>
        <v>32</v>
      </c>
    </row>
    <row r="989" spans="1:93" ht="13.9" customHeight="1" x14ac:dyDescent="0.2">
      <c r="A989" s="149">
        <v>6890</v>
      </c>
      <c r="B989" s="150" t="s">
        <v>2522</v>
      </c>
      <c r="C989" s="150"/>
      <c r="D989" s="150" t="s">
        <v>2600</v>
      </c>
      <c r="E989" s="150"/>
      <c r="F989" s="149">
        <v>529517</v>
      </c>
      <c r="G989" s="149">
        <v>177263</v>
      </c>
      <c r="H989" s="150" t="s">
        <v>149</v>
      </c>
      <c r="I989" s="151"/>
      <c r="J989" s="151"/>
      <c r="K989" s="149">
        <v>0</v>
      </c>
      <c r="L989" s="149">
        <v>32</v>
      </c>
      <c r="M989" s="149">
        <v>32</v>
      </c>
      <c r="N989" s="149">
        <v>184</v>
      </c>
      <c r="O989" s="149">
        <v>184</v>
      </c>
      <c r="P989" s="152" t="s">
        <v>327</v>
      </c>
      <c r="Q989" s="150" t="s">
        <v>2524</v>
      </c>
      <c r="R989" s="150" t="s">
        <v>2525</v>
      </c>
      <c r="S989" s="151"/>
      <c r="T989" s="151"/>
      <c r="U989" s="152"/>
      <c r="V989" s="150" t="s">
        <v>330</v>
      </c>
      <c r="W989" s="151"/>
      <c r="X989" s="150" t="s">
        <v>331</v>
      </c>
      <c r="Y989" s="150" t="s">
        <v>343</v>
      </c>
      <c r="Z989" s="150" t="s">
        <v>343</v>
      </c>
      <c r="AA989" s="150" t="s">
        <v>334</v>
      </c>
      <c r="AB989" s="153">
        <v>0</v>
      </c>
      <c r="AC989" s="151"/>
      <c r="AD989" s="150"/>
      <c r="AE989" s="151"/>
      <c r="AF989" s="150" t="s">
        <v>48</v>
      </c>
      <c r="AG989" s="152" t="s">
        <v>992</v>
      </c>
      <c r="AH989" s="150" t="s">
        <v>2601</v>
      </c>
      <c r="AI989" s="99"/>
      <c r="AJ989" s="149">
        <v>0</v>
      </c>
      <c r="AK989" s="99">
        <v>0</v>
      </c>
      <c r="AL989" s="149">
        <v>0</v>
      </c>
      <c r="AM989" s="99">
        <v>0</v>
      </c>
      <c r="AN989" s="149">
        <v>0</v>
      </c>
      <c r="AO989" s="149">
        <v>0</v>
      </c>
      <c r="AP989" s="149">
        <v>0</v>
      </c>
      <c r="AQ989" s="149">
        <v>0</v>
      </c>
      <c r="AR989" s="149">
        <v>0</v>
      </c>
      <c r="AS989" s="149">
        <v>0</v>
      </c>
      <c r="AT989" s="149">
        <v>32</v>
      </c>
      <c r="AU989" s="149">
        <v>0</v>
      </c>
      <c r="AV989" s="149">
        <v>0</v>
      </c>
      <c r="AW989" s="149">
        <v>0</v>
      </c>
      <c r="AX989" s="149">
        <v>0</v>
      </c>
      <c r="AY989" s="149">
        <v>0</v>
      </c>
      <c r="AZ989" s="149">
        <v>0</v>
      </c>
      <c r="BA989" s="149">
        <v>32</v>
      </c>
      <c r="BB989" s="149">
        <v>0</v>
      </c>
      <c r="BC989" s="149">
        <v>0</v>
      </c>
      <c r="BD989" s="149">
        <v>0</v>
      </c>
      <c r="BE989" s="149">
        <v>0</v>
      </c>
      <c r="BF989" s="149">
        <v>0</v>
      </c>
      <c r="BG989" s="149">
        <v>0</v>
      </c>
      <c r="BH989" s="149">
        <v>0</v>
      </c>
      <c r="BI989" s="149">
        <v>0</v>
      </c>
      <c r="BJ989" s="149">
        <v>0</v>
      </c>
      <c r="BK989" s="149">
        <v>0</v>
      </c>
      <c r="BL989" s="149">
        <v>0</v>
      </c>
      <c r="BM989" s="149">
        <v>0</v>
      </c>
      <c r="BN989" s="149">
        <v>0</v>
      </c>
      <c r="BO989" s="149">
        <v>0</v>
      </c>
      <c r="BP989" s="136"/>
      <c r="BQ989" s="136" t="s">
        <v>327</v>
      </c>
      <c r="BR989" s="154" t="s">
        <v>149</v>
      </c>
      <c r="BS989" s="136">
        <v>20</v>
      </c>
      <c r="BT989" s="267"/>
      <c r="BU989" s="267"/>
      <c r="BV989" s="267"/>
      <c r="BW989" s="267"/>
      <c r="BX989" s="267">
        <f>M989</f>
        <v>32</v>
      </c>
      <c r="BY989" s="267"/>
      <c r="BZ989" s="267"/>
      <c r="CA989" s="267"/>
      <c r="CB989" s="267"/>
      <c r="CC989" s="267"/>
      <c r="CD989" s="267"/>
      <c r="CE989" s="267"/>
      <c r="CF989" s="267"/>
      <c r="CG989" s="267"/>
      <c r="CH989" s="267"/>
      <c r="CI989" s="267"/>
      <c r="CJ989" s="267"/>
      <c r="CK989" s="267"/>
      <c r="CL989" s="267"/>
      <c r="CM989" s="267"/>
      <c r="CN989" s="101">
        <f t="shared" si="135"/>
        <v>32</v>
      </c>
      <c r="CO989" s="101">
        <f t="shared" si="136"/>
        <v>32</v>
      </c>
    </row>
    <row r="990" spans="1:93" ht="13.9" customHeight="1" x14ac:dyDescent="0.2">
      <c r="A990" s="149">
        <v>7574</v>
      </c>
      <c r="B990" s="150" t="s">
        <v>2522</v>
      </c>
      <c r="C990" s="150"/>
      <c r="D990" s="150" t="s">
        <v>2602</v>
      </c>
      <c r="E990" s="150"/>
      <c r="F990" s="149">
        <v>529574.49120000005</v>
      </c>
      <c r="G990" s="149">
        <v>177639.5822</v>
      </c>
      <c r="H990" s="150" t="s">
        <v>149</v>
      </c>
      <c r="I990" s="151"/>
      <c r="J990" s="151"/>
      <c r="K990" s="149">
        <v>0</v>
      </c>
      <c r="L990" s="149">
        <v>1</v>
      </c>
      <c r="M990" s="149">
        <v>1</v>
      </c>
      <c r="N990" s="149">
        <v>1</v>
      </c>
      <c r="O990" s="149">
        <v>1</v>
      </c>
      <c r="P990" s="152"/>
      <c r="Q990" s="150" t="s">
        <v>2524</v>
      </c>
      <c r="R990" s="150" t="s">
        <v>2525</v>
      </c>
      <c r="S990" s="151"/>
      <c r="T990" s="151"/>
      <c r="U990" s="152"/>
      <c r="V990" s="150" t="s">
        <v>330</v>
      </c>
      <c r="W990" s="151"/>
      <c r="X990" s="150" t="s">
        <v>331</v>
      </c>
      <c r="Y990" s="150" t="s">
        <v>343</v>
      </c>
      <c r="Z990" s="150" t="s">
        <v>334</v>
      </c>
      <c r="AA990" s="150" t="s">
        <v>363</v>
      </c>
      <c r="AB990" s="153">
        <v>0</v>
      </c>
      <c r="AC990" s="151"/>
      <c r="AD990" s="150"/>
      <c r="AE990" s="151"/>
      <c r="AF990" s="150" t="s">
        <v>70</v>
      </c>
      <c r="AG990" s="152" t="s">
        <v>352</v>
      </c>
      <c r="AH990" s="150" t="s">
        <v>2603</v>
      </c>
      <c r="AI990" s="99"/>
      <c r="AJ990" s="149">
        <v>0</v>
      </c>
      <c r="AK990" s="99">
        <v>0</v>
      </c>
      <c r="AL990" s="149">
        <v>0</v>
      </c>
      <c r="AM990" s="99">
        <v>0</v>
      </c>
      <c r="AN990" s="149">
        <v>0</v>
      </c>
      <c r="AO990" s="149">
        <v>0</v>
      </c>
      <c r="AP990" s="149">
        <v>0</v>
      </c>
      <c r="AQ990" s="149">
        <v>0</v>
      </c>
      <c r="AR990" s="149">
        <v>0</v>
      </c>
      <c r="AS990" s="149">
        <v>0</v>
      </c>
      <c r="AT990" s="149">
        <v>1</v>
      </c>
      <c r="AU990" s="149">
        <v>0</v>
      </c>
      <c r="AV990" s="149">
        <v>0</v>
      </c>
      <c r="AW990" s="149">
        <v>0</v>
      </c>
      <c r="AX990" s="149">
        <v>0</v>
      </c>
      <c r="AY990" s="149">
        <v>0</v>
      </c>
      <c r="AZ990" s="149">
        <v>0</v>
      </c>
      <c r="BA990" s="149">
        <v>1</v>
      </c>
      <c r="BB990" s="149">
        <v>0</v>
      </c>
      <c r="BC990" s="149">
        <v>0</v>
      </c>
      <c r="BD990" s="149">
        <v>0</v>
      </c>
      <c r="BE990" s="149">
        <v>0</v>
      </c>
      <c r="BF990" s="149">
        <v>0</v>
      </c>
      <c r="BG990" s="149">
        <v>0</v>
      </c>
      <c r="BH990" s="149">
        <v>0</v>
      </c>
      <c r="BI990" s="149">
        <v>0</v>
      </c>
      <c r="BJ990" s="149">
        <v>0</v>
      </c>
      <c r="BK990" s="149">
        <v>0</v>
      </c>
      <c r="BL990" s="149">
        <v>0</v>
      </c>
      <c r="BM990" s="149">
        <v>0</v>
      </c>
      <c r="BN990" s="149">
        <v>0</v>
      </c>
      <c r="BO990" s="149">
        <v>0</v>
      </c>
      <c r="BP990" s="136"/>
      <c r="BQ990" s="136" t="s">
        <v>327</v>
      </c>
      <c r="BR990" s="154" t="s">
        <v>149</v>
      </c>
      <c r="BS990" s="136">
        <v>20</v>
      </c>
      <c r="BT990" s="267"/>
      <c r="BU990" s="267"/>
      <c r="BV990" s="267"/>
      <c r="BW990" s="267"/>
      <c r="BX990" s="267"/>
      <c r="BY990" s="267"/>
      <c r="BZ990" s="267"/>
      <c r="CA990" s="267"/>
      <c r="CB990" s="267"/>
      <c r="CC990" s="267"/>
      <c r="CD990" s="267"/>
      <c r="CE990" s="267"/>
      <c r="CF990" s="267"/>
      <c r="CG990" s="267"/>
      <c r="CH990" s="267">
        <f>M990/7</f>
        <v>0.14285714285714285</v>
      </c>
      <c r="CI990" s="267">
        <f>M990/7</f>
        <v>0.14285714285714285</v>
      </c>
      <c r="CJ990" s="267">
        <f>M990/7</f>
        <v>0.14285714285714285</v>
      </c>
      <c r="CK990" s="267">
        <f>M990/7</f>
        <v>0.14285714285714285</v>
      </c>
      <c r="CL990" s="267">
        <f>M990/7</f>
        <v>0.14285714285714285</v>
      </c>
      <c r="CM990" s="267">
        <f>M990/7</f>
        <v>0.14285714285714285</v>
      </c>
      <c r="CN990" s="101">
        <f t="shared" si="135"/>
        <v>0</v>
      </c>
      <c r="CO990" s="101">
        <f t="shared" si="136"/>
        <v>0</v>
      </c>
    </row>
    <row r="991" spans="1:93" ht="13.9" customHeight="1" x14ac:dyDescent="0.2">
      <c r="A991" s="149">
        <v>7581</v>
      </c>
      <c r="B991" s="150" t="s">
        <v>2522</v>
      </c>
      <c r="C991" s="150"/>
      <c r="D991" s="150" t="s">
        <v>2604</v>
      </c>
      <c r="E991" s="150"/>
      <c r="F991" s="149">
        <v>521612.7733</v>
      </c>
      <c r="G991" s="149">
        <v>173961.022399999</v>
      </c>
      <c r="H991" s="150" t="s">
        <v>166</v>
      </c>
      <c r="I991" s="151"/>
      <c r="J991" s="151"/>
      <c r="K991" s="149">
        <v>0</v>
      </c>
      <c r="L991" s="149">
        <v>85</v>
      </c>
      <c r="M991" s="149">
        <v>85</v>
      </c>
      <c r="N991" s="149">
        <v>130</v>
      </c>
      <c r="O991" s="149">
        <v>130</v>
      </c>
      <c r="P991" s="152" t="s">
        <v>327</v>
      </c>
      <c r="Q991" s="150" t="s">
        <v>2524</v>
      </c>
      <c r="R991" s="150" t="s">
        <v>2525</v>
      </c>
      <c r="S991" s="151"/>
      <c r="T991" s="151"/>
      <c r="U991" s="152"/>
      <c r="V991" s="150" t="s">
        <v>330</v>
      </c>
      <c r="W991" s="151"/>
      <c r="X991" s="150" t="s">
        <v>331</v>
      </c>
      <c r="Y991" s="150" t="s">
        <v>343</v>
      </c>
      <c r="Z991" s="150" t="s">
        <v>343</v>
      </c>
      <c r="AA991" s="150" t="s">
        <v>334</v>
      </c>
      <c r="AB991" s="153">
        <v>0</v>
      </c>
      <c r="AC991" s="151"/>
      <c r="AD991" s="150"/>
      <c r="AE991" s="151"/>
      <c r="AF991" s="150" t="s">
        <v>70</v>
      </c>
      <c r="AG991" s="152" t="s">
        <v>352</v>
      </c>
      <c r="AH991" s="150" t="s">
        <v>2605</v>
      </c>
      <c r="AI991" s="99"/>
      <c r="AJ991" s="149">
        <v>0</v>
      </c>
      <c r="AK991" s="99">
        <v>0</v>
      </c>
      <c r="AL991" s="149">
        <v>0</v>
      </c>
      <c r="AM991" s="99">
        <v>0</v>
      </c>
      <c r="AN991" s="149">
        <v>0</v>
      </c>
      <c r="AO991" s="149">
        <v>0</v>
      </c>
      <c r="AP991" s="149">
        <v>0</v>
      </c>
      <c r="AQ991" s="149">
        <v>0</v>
      </c>
      <c r="AR991" s="149">
        <v>0</v>
      </c>
      <c r="AS991" s="149">
        <v>0</v>
      </c>
      <c r="AT991" s="149">
        <v>85</v>
      </c>
      <c r="AU991" s="149">
        <v>0</v>
      </c>
      <c r="AV991" s="149">
        <v>0</v>
      </c>
      <c r="AW991" s="149">
        <v>0</v>
      </c>
      <c r="AX991" s="149">
        <v>0</v>
      </c>
      <c r="AY991" s="149">
        <v>0</v>
      </c>
      <c r="AZ991" s="149">
        <v>0</v>
      </c>
      <c r="BA991" s="149">
        <v>85</v>
      </c>
      <c r="BB991" s="149">
        <v>0</v>
      </c>
      <c r="BC991" s="149">
        <v>0</v>
      </c>
      <c r="BD991" s="149">
        <v>0</v>
      </c>
      <c r="BE991" s="149">
        <v>0</v>
      </c>
      <c r="BF991" s="149">
        <v>0</v>
      </c>
      <c r="BG991" s="149">
        <v>0</v>
      </c>
      <c r="BH991" s="149">
        <v>0</v>
      </c>
      <c r="BI991" s="149">
        <v>0</v>
      </c>
      <c r="BJ991" s="149">
        <v>0</v>
      </c>
      <c r="BK991" s="149">
        <v>0</v>
      </c>
      <c r="BL991" s="149">
        <v>0</v>
      </c>
      <c r="BM991" s="149">
        <v>0</v>
      </c>
      <c r="BN991" s="149">
        <v>0</v>
      </c>
      <c r="BO991" s="149">
        <v>0</v>
      </c>
      <c r="BP991" s="136"/>
      <c r="BQ991" s="136"/>
      <c r="BR991" s="154" t="s">
        <v>150</v>
      </c>
      <c r="BS991" s="136">
        <v>19</v>
      </c>
      <c r="BT991" s="267"/>
      <c r="BU991" s="267"/>
      <c r="BV991" s="267"/>
      <c r="BW991" s="267"/>
      <c r="BX991" s="267">
        <f>M991/17</f>
        <v>5</v>
      </c>
      <c r="BY991" s="267">
        <f>M991/17</f>
        <v>5</v>
      </c>
      <c r="BZ991" s="267">
        <f>M991/17</f>
        <v>5</v>
      </c>
      <c r="CA991" s="267">
        <f>M991/17</f>
        <v>5</v>
      </c>
      <c r="CB991" s="267">
        <f>M991/17</f>
        <v>5</v>
      </c>
      <c r="CC991" s="267">
        <f>M991/17</f>
        <v>5</v>
      </c>
      <c r="CD991" s="267">
        <f>M991/17</f>
        <v>5</v>
      </c>
      <c r="CE991" s="267">
        <f>M991/17</f>
        <v>5</v>
      </c>
      <c r="CF991" s="267">
        <f>M991/17</f>
        <v>5</v>
      </c>
      <c r="CG991" s="267">
        <f>M991/17</f>
        <v>5</v>
      </c>
      <c r="CH991" s="267">
        <f>M991/17</f>
        <v>5</v>
      </c>
      <c r="CI991" s="267">
        <f>M991/17</f>
        <v>5</v>
      </c>
      <c r="CJ991" s="267">
        <f>M991/17</f>
        <v>5</v>
      </c>
      <c r="CK991" s="267">
        <f>M991/17</f>
        <v>5</v>
      </c>
      <c r="CL991" s="267">
        <f>M991/17</f>
        <v>5</v>
      </c>
      <c r="CM991" s="267">
        <f>M991/17</f>
        <v>5</v>
      </c>
      <c r="CN991" s="101">
        <f t="shared" si="135"/>
        <v>10</v>
      </c>
      <c r="CO991" s="101">
        <f t="shared" si="136"/>
        <v>35</v>
      </c>
    </row>
    <row r="992" spans="1:93" ht="13.9" customHeight="1" x14ac:dyDescent="0.2">
      <c r="A992" s="149">
        <v>7581</v>
      </c>
      <c r="B992" s="150" t="s">
        <v>2522</v>
      </c>
      <c r="C992" s="150"/>
      <c r="D992" s="150" t="s">
        <v>2604</v>
      </c>
      <c r="E992" s="150"/>
      <c r="F992" s="149">
        <v>521612.7733</v>
      </c>
      <c r="G992" s="149">
        <v>173961.022399999</v>
      </c>
      <c r="H992" s="150" t="s">
        <v>166</v>
      </c>
      <c r="I992" s="151"/>
      <c r="J992" s="151"/>
      <c r="K992" s="149">
        <v>0</v>
      </c>
      <c r="L992" s="149">
        <v>23</v>
      </c>
      <c r="M992" s="149">
        <v>23</v>
      </c>
      <c r="N992" s="149">
        <v>130</v>
      </c>
      <c r="O992" s="149">
        <v>130</v>
      </c>
      <c r="P992" s="152" t="s">
        <v>327</v>
      </c>
      <c r="Q992" s="150" t="s">
        <v>2524</v>
      </c>
      <c r="R992" s="150" t="s">
        <v>2525</v>
      </c>
      <c r="S992" s="151"/>
      <c r="T992" s="151"/>
      <c r="U992" s="152"/>
      <c r="V992" s="150" t="s">
        <v>330</v>
      </c>
      <c r="W992" s="151"/>
      <c r="X992" s="150" t="s">
        <v>331</v>
      </c>
      <c r="Y992" s="150" t="s">
        <v>343</v>
      </c>
      <c r="Z992" s="150" t="s">
        <v>343</v>
      </c>
      <c r="AA992" s="150" t="s">
        <v>334</v>
      </c>
      <c r="AB992" s="153">
        <v>0</v>
      </c>
      <c r="AC992" s="151"/>
      <c r="AD992" s="150"/>
      <c r="AE992" s="151"/>
      <c r="AF992" s="150" t="s">
        <v>49</v>
      </c>
      <c r="AG992" s="152" t="s">
        <v>470</v>
      </c>
      <c r="AH992" s="150" t="s">
        <v>2605</v>
      </c>
      <c r="AI992" s="99"/>
      <c r="AJ992" s="149">
        <v>0</v>
      </c>
      <c r="AK992" s="99">
        <v>0</v>
      </c>
      <c r="AL992" s="149">
        <v>0</v>
      </c>
      <c r="AM992" s="99">
        <v>0</v>
      </c>
      <c r="AN992" s="149">
        <v>0</v>
      </c>
      <c r="AO992" s="149">
        <v>0</v>
      </c>
      <c r="AP992" s="149">
        <v>0</v>
      </c>
      <c r="AQ992" s="149">
        <v>0</v>
      </c>
      <c r="AR992" s="149">
        <v>0</v>
      </c>
      <c r="AS992" s="149">
        <v>0</v>
      </c>
      <c r="AT992" s="149">
        <v>23</v>
      </c>
      <c r="AU992" s="149">
        <v>0</v>
      </c>
      <c r="AV992" s="149">
        <v>0</v>
      </c>
      <c r="AW992" s="149">
        <v>0</v>
      </c>
      <c r="AX992" s="149">
        <v>0</v>
      </c>
      <c r="AY992" s="149">
        <v>0</v>
      </c>
      <c r="AZ992" s="149">
        <v>0</v>
      </c>
      <c r="BA992" s="149">
        <v>23</v>
      </c>
      <c r="BB992" s="149">
        <v>0</v>
      </c>
      <c r="BC992" s="149">
        <v>0</v>
      </c>
      <c r="BD992" s="149">
        <v>0</v>
      </c>
      <c r="BE992" s="149">
        <v>0</v>
      </c>
      <c r="BF992" s="149">
        <v>0</v>
      </c>
      <c r="BG992" s="149">
        <v>0</v>
      </c>
      <c r="BH992" s="149">
        <v>0</v>
      </c>
      <c r="BI992" s="149">
        <v>0</v>
      </c>
      <c r="BJ992" s="149">
        <v>0</v>
      </c>
      <c r="BK992" s="149">
        <v>0</v>
      </c>
      <c r="BL992" s="149">
        <v>0</v>
      </c>
      <c r="BM992" s="149">
        <v>0</v>
      </c>
      <c r="BN992" s="149">
        <v>0</v>
      </c>
      <c r="BO992" s="149">
        <v>0</v>
      </c>
      <c r="BP992" s="136"/>
      <c r="BQ992" s="136"/>
      <c r="BR992" s="154" t="s">
        <v>150</v>
      </c>
      <c r="BS992" s="136">
        <v>19</v>
      </c>
      <c r="BT992" s="267"/>
      <c r="BU992" s="267"/>
      <c r="BV992" s="267"/>
      <c r="BW992" s="267"/>
      <c r="BX992" s="267">
        <f>M992/17</f>
        <v>1.3529411764705883</v>
      </c>
      <c r="BY992" s="267">
        <f>M992/17</f>
        <v>1.3529411764705883</v>
      </c>
      <c r="BZ992" s="267">
        <f>M992/17</f>
        <v>1.3529411764705883</v>
      </c>
      <c r="CA992" s="267">
        <f>M992/17</f>
        <v>1.3529411764705883</v>
      </c>
      <c r="CB992" s="267">
        <f>M992/17</f>
        <v>1.3529411764705883</v>
      </c>
      <c r="CC992" s="267">
        <f>M992/17</f>
        <v>1.3529411764705883</v>
      </c>
      <c r="CD992" s="267">
        <f>M992/17</f>
        <v>1.3529411764705883</v>
      </c>
      <c r="CE992" s="267">
        <f>M992/17</f>
        <v>1.3529411764705883</v>
      </c>
      <c r="CF992" s="267">
        <f>M992/17</f>
        <v>1.3529411764705883</v>
      </c>
      <c r="CG992" s="267">
        <f>M992/17</f>
        <v>1.3529411764705883</v>
      </c>
      <c r="CH992" s="267">
        <f>M992/17</f>
        <v>1.3529411764705883</v>
      </c>
      <c r="CI992" s="267">
        <f>M992/17</f>
        <v>1.3529411764705883</v>
      </c>
      <c r="CJ992" s="267">
        <f>M992/17</f>
        <v>1.3529411764705883</v>
      </c>
      <c r="CK992" s="267">
        <f>M992/17</f>
        <v>1.3529411764705883</v>
      </c>
      <c r="CL992" s="267">
        <f>M992/17</f>
        <v>1.3529411764705883</v>
      </c>
      <c r="CM992" s="267">
        <f>M992/17</f>
        <v>1.3529411764705883</v>
      </c>
      <c r="CN992" s="101">
        <f t="shared" si="135"/>
        <v>2.7058823529411766</v>
      </c>
      <c r="CO992" s="101">
        <f t="shared" si="136"/>
        <v>9.4705882352941195</v>
      </c>
    </row>
    <row r="993" spans="1:93" ht="13.9" customHeight="1" x14ac:dyDescent="0.2">
      <c r="A993" s="149">
        <v>7581</v>
      </c>
      <c r="B993" s="150" t="s">
        <v>2522</v>
      </c>
      <c r="C993" s="150"/>
      <c r="D993" s="150" t="s">
        <v>2604</v>
      </c>
      <c r="E993" s="150"/>
      <c r="F993" s="149">
        <v>521612.7733</v>
      </c>
      <c r="G993" s="149">
        <v>173961.022399999</v>
      </c>
      <c r="H993" s="150" t="s">
        <v>166</v>
      </c>
      <c r="I993" s="151"/>
      <c r="J993" s="151"/>
      <c r="K993" s="149">
        <v>0</v>
      </c>
      <c r="L993" s="149">
        <v>22</v>
      </c>
      <c r="M993" s="149">
        <v>22</v>
      </c>
      <c r="N993" s="149">
        <v>130</v>
      </c>
      <c r="O993" s="149">
        <v>130</v>
      </c>
      <c r="P993" s="152" t="s">
        <v>327</v>
      </c>
      <c r="Q993" s="150" t="s">
        <v>2524</v>
      </c>
      <c r="R993" s="150" t="s">
        <v>2525</v>
      </c>
      <c r="S993" s="151"/>
      <c r="T993" s="151"/>
      <c r="U993" s="152"/>
      <c r="V993" s="150" t="s">
        <v>330</v>
      </c>
      <c r="W993" s="151"/>
      <c r="X993" s="150" t="s">
        <v>331</v>
      </c>
      <c r="Y993" s="150" t="s">
        <v>343</v>
      </c>
      <c r="Z993" s="150" t="s">
        <v>343</v>
      </c>
      <c r="AA993" s="150" t="s">
        <v>334</v>
      </c>
      <c r="AB993" s="153">
        <v>0</v>
      </c>
      <c r="AC993" s="151"/>
      <c r="AD993" s="150"/>
      <c r="AE993" s="151"/>
      <c r="AF993" s="150" t="s">
        <v>48</v>
      </c>
      <c r="AG993" s="152" t="s">
        <v>992</v>
      </c>
      <c r="AH993" s="150" t="s">
        <v>2605</v>
      </c>
      <c r="AI993" s="99"/>
      <c r="AJ993" s="149">
        <v>0</v>
      </c>
      <c r="AK993" s="99">
        <v>0</v>
      </c>
      <c r="AL993" s="149">
        <v>0</v>
      </c>
      <c r="AM993" s="99">
        <v>0</v>
      </c>
      <c r="AN993" s="149">
        <v>0</v>
      </c>
      <c r="AO993" s="149">
        <v>0</v>
      </c>
      <c r="AP993" s="149">
        <v>0</v>
      </c>
      <c r="AQ993" s="149">
        <v>0</v>
      </c>
      <c r="AR993" s="149">
        <v>0</v>
      </c>
      <c r="AS993" s="149">
        <v>0</v>
      </c>
      <c r="AT993" s="149">
        <v>22</v>
      </c>
      <c r="AU993" s="149">
        <v>0</v>
      </c>
      <c r="AV993" s="149">
        <v>0</v>
      </c>
      <c r="AW993" s="149">
        <v>0</v>
      </c>
      <c r="AX993" s="149">
        <v>0</v>
      </c>
      <c r="AY993" s="149">
        <v>0</v>
      </c>
      <c r="AZ993" s="149">
        <v>0</v>
      </c>
      <c r="BA993" s="149">
        <v>22</v>
      </c>
      <c r="BB993" s="149">
        <v>0</v>
      </c>
      <c r="BC993" s="149">
        <v>0</v>
      </c>
      <c r="BD993" s="149">
        <v>0</v>
      </c>
      <c r="BE993" s="149">
        <v>0</v>
      </c>
      <c r="BF993" s="149">
        <v>0</v>
      </c>
      <c r="BG993" s="149">
        <v>0</v>
      </c>
      <c r="BH993" s="149">
        <v>0</v>
      </c>
      <c r="BI993" s="149">
        <v>0</v>
      </c>
      <c r="BJ993" s="149">
        <v>0</v>
      </c>
      <c r="BK993" s="149">
        <v>0</v>
      </c>
      <c r="BL993" s="149">
        <v>0</v>
      </c>
      <c r="BM993" s="149">
        <v>0</v>
      </c>
      <c r="BN993" s="149">
        <v>0</v>
      </c>
      <c r="BO993" s="149">
        <v>0</v>
      </c>
      <c r="BP993" s="136"/>
      <c r="BQ993" s="136"/>
      <c r="BR993" s="154" t="s">
        <v>150</v>
      </c>
      <c r="BS993" s="136">
        <v>19</v>
      </c>
      <c r="BT993" s="267"/>
      <c r="BU993" s="267"/>
      <c r="BV993" s="267"/>
      <c r="BW993" s="267"/>
      <c r="BX993" s="267">
        <f>M993/17</f>
        <v>1.2941176470588236</v>
      </c>
      <c r="BY993" s="267">
        <f>M993/17</f>
        <v>1.2941176470588236</v>
      </c>
      <c r="BZ993" s="267">
        <f>M993/17</f>
        <v>1.2941176470588236</v>
      </c>
      <c r="CA993" s="267">
        <f>M993/17</f>
        <v>1.2941176470588236</v>
      </c>
      <c r="CB993" s="267">
        <f>M993/17</f>
        <v>1.2941176470588236</v>
      </c>
      <c r="CC993" s="267">
        <f>M993/17</f>
        <v>1.2941176470588236</v>
      </c>
      <c r="CD993" s="267">
        <f>M993/17</f>
        <v>1.2941176470588236</v>
      </c>
      <c r="CE993" s="267">
        <f>M993/17</f>
        <v>1.2941176470588236</v>
      </c>
      <c r="CF993" s="267">
        <f>M993/17</f>
        <v>1.2941176470588236</v>
      </c>
      <c r="CG993" s="267">
        <f>M993/17</f>
        <v>1.2941176470588236</v>
      </c>
      <c r="CH993" s="267">
        <f>M993/17</f>
        <v>1.2941176470588236</v>
      </c>
      <c r="CI993" s="267">
        <f>M993/17</f>
        <v>1.2941176470588236</v>
      </c>
      <c r="CJ993" s="267">
        <f>M993/17</f>
        <v>1.2941176470588236</v>
      </c>
      <c r="CK993" s="267">
        <f>M993/17</f>
        <v>1.2941176470588236</v>
      </c>
      <c r="CL993" s="267">
        <f>M993/17</f>
        <v>1.2941176470588236</v>
      </c>
      <c r="CM993" s="267">
        <f>M993/17</f>
        <v>1.2941176470588236</v>
      </c>
      <c r="CN993" s="101">
        <f t="shared" si="135"/>
        <v>2.5882352941176472</v>
      </c>
      <c r="CO993" s="101">
        <f t="shared" si="136"/>
        <v>9.0588235294117645</v>
      </c>
    </row>
    <row r="994" spans="1:93" ht="13.9" customHeight="1" x14ac:dyDescent="0.2">
      <c r="A994" s="149">
        <v>6906</v>
      </c>
      <c r="B994" s="150" t="s">
        <v>2522</v>
      </c>
      <c r="C994" s="150"/>
      <c r="D994" s="150" t="s">
        <v>2606</v>
      </c>
      <c r="E994" s="150"/>
      <c r="F994" s="149">
        <v>525504</v>
      </c>
      <c r="G994" s="149">
        <v>174901</v>
      </c>
      <c r="H994" s="150" t="s">
        <v>177</v>
      </c>
      <c r="I994" s="151"/>
      <c r="J994" s="151"/>
      <c r="K994" s="149">
        <v>0</v>
      </c>
      <c r="L994" s="149">
        <v>7</v>
      </c>
      <c r="M994" s="149">
        <v>7</v>
      </c>
      <c r="N994" s="149">
        <v>7</v>
      </c>
      <c r="O994" s="149">
        <v>7</v>
      </c>
      <c r="P994" s="152"/>
      <c r="Q994" s="150" t="s">
        <v>2524</v>
      </c>
      <c r="R994" s="150" t="s">
        <v>2525</v>
      </c>
      <c r="S994" s="151"/>
      <c r="T994" s="151"/>
      <c r="U994" s="152"/>
      <c r="V994" s="150" t="s">
        <v>330</v>
      </c>
      <c r="W994" s="151"/>
      <c r="X994" s="150" t="s">
        <v>331</v>
      </c>
      <c r="Y994" s="150" t="s">
        <v>343</v>
      </c>
      <c r="Z994" s="150" t="s">
        <v>334</v>
      </c>
      <c r="AA994" s="150" t="s">
        <v>363</v>
      </c>
      <c r="AB994" s="153">
        <v>0</v>
      </c>
      <c r="AC994" s="151"/>
      <c r="AD994" s="150"/>
      <c r="AE994" s="151"/>
      <c r="AF994" s="150" t="s">
        <v>70</v>
      </c>
      <c r="AG994" s="152" t="s">
        <v>352</v>
      </c>
      <c r="AH994" s="150" t="s">
        <v>2607</v>
      </c>
      <c r="AI994" s="99"/>
      <c r="AJ994" s="149">
        <v>0</v>
      </c>
      <c r="AK994" s="99">
        <v>0</v>
      </c>
      <c r="AL994" s="149">
        <v>0</v>
      </c>
      <c r="AM994" s="99">
        <v>0</v>
      </c>
      <c r="AN994" s="149">
        <v>0</v>
      </c>
      <c r="AO994" s="149">
        <v>0</v>
      </c>
      <c r="AP994" s="149">
        <v>0</v>
      </c>
      <c r="AQ994" s="149">
        <v>0</v>
      </c>
      <c r="AR994" s="149">
        <v>0</v>
      </c>
      <c r="AS994" s="149">
        <v>0</v>
      </c>
      <c r="AT994" s="149">
        <v>7</v>
      </c>
      <c r="AU994" s="149">
        <v>0</v>
      </c>
      <c r="AV994" s="149">
        <v>0</v>
      </c>
      <c r="AW994" s="149">
        <v>0</v>
      </c>
      <c r="AX994" s="149">
        <v>0</v>
      </c>
      <c r="AY994" s="149">
        <v>0</v>
      </c>
      <c r="AZ994" s="149">
        <v>0</v>
      </c>
      <c r="BA994" s="149">
        <v>7</v>
      </c>
      <c r="BB994" s="149">
        <v>0</v>
      </c>
      <c r="BC994" s="149">
        <v>0</v>
      </c>
      <c r="BD994" s="149">
        <v>0</v>
      </c>
      <c r="BE994" s="149">
        <v>0</v>
      </c>
      <c r="BF994" s="149">
        <v>0</v>
      </c>
      <c r="BG994" s="149">
        <v>0</v>
      </c>
      <c r="BH994" s="149">
        <v>0</v>
      </c>
      <c r="BI994" s="149">
        <v>0</v>
      </c>
      <c r="BJ994" s="149">
        <v>0</v>
      </c>
      <c r="BK994" s="149">
        <v>0</v>
      </c>
      <c r="BL994" s="149">
        <v>0</v>
      </c>
      <c r="BM994" s="149">
        <v>0</v>
      </c>
      <c r="BN994" s="149">
        <v>0</v>
      </c>
      <c r="BO994" s="149">
        <v>0</v>
      </c>
      <c r="BP994" s="136"/>
      <c r="BQ994" s="136"/>
      <c r="BR994" s="154" t="s">
        <v>463</v>
      </c>
      <c r="BS994" s="136">
        <v>19</v>
      </c>
      <c r="BT994" s="267"/>
      <c r="BU994" s="267"/>
      <c r="BV994" s="267"/>
      <c r="BW994" s="267"/>
      <c r="BX994" s="267"/>
      <c r="BY994" s="267">
        <f>M994/10</f>
        <v>0.7</v>
      </c>
      <c r="BZ994" s="267">
        <f>M994/10</f>
        <v>0.7</v>
      </c>
      <c r="CA994" s="267">
        <f>M994/10</f>
        <v>0.7</v>
      </c>
      <c r="CB994" s="267">
        <f>M994/10</f>
        <v>0.7</v>
      </c>
      <c r="CC994" s="267">
        <f>M994/10</f>
        <v>0.7</v>
      </c>
      <c r="CD994" s="267">
        <f>M994/10</f>
        <v>0.7</v>
      </c>
      <c r="CE994" s="267">
        <f>M994/10</f>
        <v>0.7</v>
      </c>
      <c r="CF994" s="267">
        <f>M994/10</f>
        <v>0.7</v>
      </c>
      <c r="CG994" s="267">
        <f>M994/10</f>
        <v>0.7</v>
      </c>
      <c r="CH994" s="267">
        <f>M994/10</f>
        <v>0.7</v>
      </c>
      <c r="CI994" s="267"/>
      <c r="CJ994" s="267"/>
      <c r="CK994" s="267"/>
      <c r="CL994" s="267"/>
      <c r="CM994" s="267"/>
      <c r="CN994" s="101">
        <f t="shared" si="135"/>
        <v>0.7</v>
      </c>
      <c r="CO994" s="101">
        <f t="shared" si="136"/>
        <v>4.2</v>
      </c>
    </row>
    <row r="995" spans="1:93" ht="13.9" customHeight="1" x14ac:dyDescent="0.2">
      <c r="A995" s="149">
        <v>7535</v>
      </c>
      <c r="B995" s="150" t="s">
        <v>2522</v>
      </c>
      <c r="C995" s="150"/>
      <c r="D995" s="150" t="s">
        <v>2608</v>
      </c>
      <c r="E995" s="150"/>
      <c r="F995" s="149">
        <v>529321</v>
      </c>
      <c r="G995" s="149">
        <v>176863</v>
      </c>
      <c r="H995" s="150" t="s">
        <v>167</v>
      </c>
      <c r="I995" s="151"/>
      <c r="J995" s="151"/>
      <c r="K995" s="149">
        <v>0</v>
      </c>
      <c r="L995" s="149">
        <v>43</v>
      </c>
      <c r="M995" s="149">
        <v>43</v>
      </c>
      <c r="N995" s="149">
        <v>66</v>
      </c>
      <c r="O995" s="149">
        <v>66</v>
      </c>
      <c r="P995" s="152" t="s">
        <v>327</v>
      </c>
      <c r="Q995" s="150" t="s">
        <v>2524</v>
      </c>
      <c r="R995" s="150" t="s">
        <v>2525</v>
      </c>
      <c r="S995" s="151"/>
      <c r="T995" s="151"/>
      <c r="U995" s="152"/>
      <c r="V995" s="150" t="s">
        <v>330</v>
      </c>
      <c r="W995" s="151"/>
      <c r="X995" s="150" t="s">
        <v>331</v>
      </c>
      <c r="Y995" s="150" t="s">
        <v>343</v>
      </c>
      <c r="Z995" s="150" t="s">
        <v>343</v>
      </c>
      <c r="AA995" s="150" t="s">
        <v>334</v>
      </c>
      <c r="AB995" s="153">
        <v>0</v>
      </c>
      <c r="AC995" s="151"/>
      <c r="AD995" s="150"/>
      <c r="AE995" s="151"/>
      <c r="AF995" s="150" t="s">
        <v>70</v>
      </c>
      <c r="AG995" s="152" t="s">
        <v>352</v>
      </c>
      <c r="AH995" s="150"/>
      <c r="AI995" s="99"/>
      <c r="AJ995" s="149">
        <v>0</v>
      </c>
      <c r="AK995" s="99">
        <v>0</v>
      </c>
      <c r="AL995" s="149">
        <v>0</v>
      </c>
      <c r="AM995" s="99">
        <v>0</v>
      </c>
      <c r="AN995" s="149">
        <v>0</v>
      </c>
      <c r="AO995" s="149">
        <v>0</v>
      </c>
      <c r="AP995" s="149">
        <v>0</v>
      </c>
      <c r="AQ995" s="149">
        <v>0</v>
      </c>
      <c r="AR995" s="149">
        <v>0</v>
      </c>
      <c r="AS995" s="149">
        <v>0</v>
      </c>
      <c r="AT995" s="149">
        <v>43</v>
      </c>
      <c r="AU995" s="149">
        <v>0</v>
      </c>
      <c r="AV995" s="149">
        <v>0</v>
      </c>
      <c r="AW995" s="149">
        <v>0</v>
      </c>
      <c r="AX995" s="149">
        <v>0</v>
      </c>
      <c r="AY995" s="149">
        <v>0</v>
      </c>
      <c r="AZ995" s="149">
        <v>0</v>
      </c>
      <c r="BA995" s="149">
        <v>43</v>
      </c>
      <c r="BB995" s="149">
        <v>0</v>
      </c>
      <c r="BC995" s="149">
        <v>0</v>
      </c>
      <c r="BD995" s="149">
        <v>0</v>
      </c>
      <c r="BE995" s="149">
        <v>0</v>
      </c>
      <c r="BF995" s="149">
        <v>0</v>
      </c>
      <c r="BG995" s="149">
        <v>0</v>
      </c>
      <c r="BH995" s="149">
        <v>0</v>
      </c>
      <c r="BI995" s="149">
        <v>0</v>
      </c>
      <c r="BJ995" s="149">
        <v>0</v>
      </c>
      <c r="BK995" s="149">
        <v>0</v>
      </c>
      <c r="BL995" s="149">
        <v>0</v>
      </c>
      <c r="BM995" s="149">
        <v>0</v>
      </c>
      <c r="BN995" s="149">
        <v>0</v>
      </c>
      <c r="BO995" s="149">
        <v>0</v>
      </c>
      <c r="BP995" s="136"/>
      <c r="BQ995" s="136" t="s">
        <v>327</v>
      </c>
      <c r="BR995" s="154" t="s">
        <v>149</v>
      </c>
      <c r="BS995" s="136">
        <v>20</v>
      </c>
      <c r="BT995" s="267"/>
      <c r="BU995" s="267"/>
      <c r="BV995" s="267"/>
      <c r="BW995" s="267"/>
      <c r="BX995" s="267"/>
      <c r="BY995" s="267"/>
      <c r="BZ995" s="267">
        <f>M995</f>
        <v>43</v>
      </c>
      <c r="CA995" s="267"/>
      <c r="CB995" s="267"/>
      <c r="CC995" s="267"/>
      <c r="CD995" s="267"/>
      <c r="CE995" s="267"/>
      <c r="CF995" s="267"/>
      <c r="CG995" s="267"/>
      <c r="CH995" s="267"/>
      <c r="CI995" s="267"/>
      <c r="CJ995" s="267"/>
      <c r="CK995" s="267"/>
      <c r="CL995" s="267"/>
      <c r="CM995" s="267"/>
      <c r="CN995" s="101">
        <f t="shared" si="135"/>
        <v>0</v>
      </c>
      <c r="CO995" s="101">
        <f t="shared" si="136"/>
        <v>43</v>
      </c>
    </row>
    <row r="996" spans="1:93" ht="13.9" customHeight="1" x14ac:dyDescent="0.2">
      <c r="A996" s="149">
        <v>7535</v>
      </c>
      <c r="B996" s="150" t="s">
        <v>2522</v>
      </c>
      <c r="C996" s="150"/>
      <c r="D996" s="150" t="s">
        <v>2608</v>
      </c>
      <c r="E996" s="150"/>
      <c r="F996" s="149">
        <v>529321</v>
      </c>
      <c r="G996" s="149">
        <v>176863</v>
      </c>
      <c r="H996" s="150" t="s">
        <v>167</v>
      </c>
      <c r="I996" s="151"/>
      <c r="J996" s="151"/>
      <c r="K996" s="149">
        <v>0</v>
      </c>
      <c r="L996" s="149">
        <v>12</v>
      </c>
      <c r="M996" s="149">
        <v>12</v>
      </c>
      <c r="N996" s="149">
        <v>66</v>
      </c>
      <c r="O996" s="149">
        <v>66</v>
      </c>
      <c r="P996" s="152" t="s">
        <v>327</v>
      </c>
      <c r="Q996" s="150" t="s">
        <v>2524</v>
      </c>
      <c r="R996" s="150" t="s">
        <v>2525</v>
      </c>
      <c r="S996" s="151"/>
      <c r="T996" s="151"/>
      <c r="U996" s="152"/>
      <c r="V996" s="150" t="s">
        <v>330</v>
      </c>
      <c r="W996" s="151"/>
      <c r="X996" s="150" t="s">
        <v>331</v>
      </c>
      <c r="Y996" s="150" t="s">
        <v>343</v>
      </c>
      <c r="Z996" s="150" t="s">
        <v>343</v>
      </c>
      <c r="AA996" s="150" t="s">
        <v>334</v>
      </c>
      <c r="AB996" s="153">
        <v>0</v>
      </c>
      <c r="AC996" s="151"/>
      <c r="AD996" s="150"/>
      <c r="AE996" s="151"/>
      <c r="AF996" s="150" t="s">
        <v>49</v>
      </c>
      <c r="AG996" s="152" t="s">
        <v>470</v>
      </c>
      <c r="AH996" s="150"/>
      <c r="AI996" s="99"/>
      <c r="AJ996" s="149">
        <v>0</v>
      </c>
      <c r="AK996" s="99">
        <v>0</v>
      </c>
      <c r="AL996" s="149">
        <v>0</v>
      </c>
      <c r="AM996" s="99">
        <v>0</v>
      </c>
      <c r="AN996" s="149">
        <v>0</v>
      </c>
      <c r="AO996" s="149">
        <v>0</v>
      </c>
      <c r="AP996" s="149">
        <v>0</v>
      </c>
      <c r="AQ996" s="149">
        <v>0</v>
      </c>
      <c r="AR996" s="149">
        <v>0</v>
      </c>
      <c r="AS996" s="149">
        <v>0</v>
      </c>
      <c r="AT996" s="149">
        <v>12</v>
      </c>
      <c r="AU996" s="149">
        <v>0</v>
      </c>
      <c r="AV996" s="149">
        <v>0</v>
      </c>
      <c r="AW996" s="149">
        <v>0</v>
      </c>
      <c r="AX996" s="149">
        <v>0</v>
      </c>
      <c r="AY996" s="149">
        <v>0</v>
      </c>
      <c r="AZ996" s="149">
        <v>0</v>
      </c>
      <c r="BA996" s="149">
        <v>12</v>
      </c>
      <c r="BB996" s="149">
        <v>0</v>
      </c>
      <c r="BC996" s="149">
        <v>0</v>
      </c>
      <c r="BD996" s="149">
        <v>0</v>
      </c>
      <c r="BE996" s="149">
        <v>0</v>
      </c>
      <c r="BF996" s="149">
        <v>0</v>
      </c>
      <c r="BG996" s="149">
        <v>0</v>
      </c>
      <c r="BH996" s="149">
        <v>0</v>
      </c>
      <c r="BI996" s="149">
        <v>0</v>
      </c>
      <c r="BJ996" s="149">
        <v>0</v>
      </c>
      <c r="BK996" s="149">
        <v>0</v>
      </c>
      <c r="BL996" s="149">
        <v>0</v>
      </c>
      <c r="BM996" s="149">
        <v>0</v>
      </c>
      <c r="BN996" s="149">
        <v>0</v>
      </c>
      <c r="BO996" s="149">
        <v>0</v>
      </c>
      <c r="BP996" s="136"/>
      <c r="BQ996" s="136" t="s">
        <v>327</v>
      </c>
      <c r="BR996" s="154" t="s">
        <v>149</v>
      </c>
      <c r="BS996" s="136">
        <v>20</v>
      </c>
      <c r="BT996" s="267"/>
      <c r="BU996" s="267"/>
      <c r="BV996" s="267"/>
      <c r="BW996" s="267"/>
      <c r="BX996" s="267"/>
      <c r="BY996" s="267"/>
      <c r="BZ996" s="267">
        <f>M996</f>
        <v>12</v>
      </c>
      <c r="CA996" s="267"/>
      <c r="CB996" s="267"/>
      <c r="CC996" s="267"/>
      <c r="CD996" s="267"/>
      <c r="CE996" s="267"/>
      <c r="CF996" s="267"/>
      <c r="CG996" s="267"/>
      <c r="CH996" s="267"/>
      <c r="CI996" s="267"/>
      <c r="CJ996" s="267"/>
      <c r="CK996" s="267"/>
      <c r="CL996" s="267"/>
      <c r="CM996" s="267"/>
      <c r="CN996" s="101">
        <f t="shared" si="135"/>
        <v>0</v>
      </c>
      <c r="CO996" s="101">
        <f t="shared" si="136"/>
        <v>12</v>
      </c>
    </row>
    <row r="997" spans="1:93" ht="13.9" customHeight="1" x14ac:dyDescent="0.2">
      <c r="A997" s="149">
        <v>7535</v>
      </c>
      <c r="B997" s="150" t="s">
        <v>2522</v>
      </c>
      <c r="C997" s="150"/>
      <c r="D997" s="150" t="s">
        <v>2608</v>
      </c>
      <c r="E997" s="150"/>
      <c r="F997" s="149">
        <v>529321</v>
      </c>
      <c r="G997" s="149">
        <v>176863</v>
      </c>
      <c r="H997" s="150" t="s">
        <v>167</v>
      </c>
      <c r="I997" s="151"/>
      <c r="J997" s="151"/>
      <c r="K997" s="149">
        <v>0</v>
      </c>
      <c r="L997" s="149">
        <v>11</v>
      </c>
      <c r="M997" s="149">
        <v>11</v>
      </c>
      <c r="N997" s="149">
        <v>66</v>
      </c>
      <c r="O997" s="149">
        <v>66</v>
      </c>
      <c r="P997" s="152" t="s">
        <v>327</v>
      </c>
      <c r="Q997" s="150" t="s">
        <v>2524</v>
      </c>
      <c r="R997" s="150" t="s">
        <v>2525</v>
      </c>
      <c r="S997" s="151"/>
      <c r="T997" s="151"/>
      <c r="U997" s="152"/>
      <c r="V997" s="150" t="s">
        <v>330</v>
      </c>
      <c r="W997" s="151"/>
      <c r="X997" s="150" t="s">
        <v>331</v>
      </c>
      <c r="Y997" s="150" t="s">
        <v>343</v>
      </c>
      <c r="Z997" s="150" t="s">
        <v>343</v>
      </c>
      <c r="AA997" s="150" t="s">
        <v>334</v>
      </c>
      <c r="AB997" s="153">
        <v>0</v>
      </c>
      <c r="AC997" s="151"/>
      <c r="AD997" s="150"/>
      <c r="AE997" s="151"/>
      <c r="AF997" s="150" t="s">
        <v>48</v>
      </c>
      <c r="AG997" s="152" t="s">
        <v>992</v>
      </c>
      <c r="AH997" s="150"/>
      <c r="AI997" s="99"/>
      <c r="AJ997" s="149">
        <v>0</v>
      </c>
      <c r="AK997" s="99">
        <v>0</v>
      </c>
      <c r="AL997" s="149">
        <v>0</v>
      </c>
      <c r="AM997" s="99">
        <v>0</v>
      </c>
      <c r="AN997" s="149">
        <v>0</v>
      </c>
      <c r="AO997" s="149">
        <v>0</v>
      </c>
      <c r="AP997" s="149">
        <v>0</v>
      </c>
      <c r="AQ997" s="149">
        <v>0</v>
      </c>
      <c r="AR997" s="149">
        <v>0</v>
      </c>
      <c r="AS997" s="149">
        <v>0</v>
      </c>
      <c r="AT997" s="149">
        <v>11</v>
      </c>
      <c r="AU997" s="149">
        <v>0</v>
      </c>
      <c r="AV997" s="149">
        <v>0</v>
      </c>
      <c r="AW997" s="149">
        <v>0</v>
      </c>
      <c r="AX997" s="149">
        <v>0</v>
      </c>
      <c r="AY997" s="149">
        <v>0</v>
      </c>
      <c r="AZ997" s="149">
        <v>0</v>
      </c>
      <c r="BA997" s="149">
        <v>11</v>
      </c>
      <c r="BB997" s="149">
        <v>0</v>
      </c>
      <c r="BC997" s="149">
        <v>0</v>
      </c>
      <c r="BD997" s="149">
        <v>0</v>
      </c>
      <c r="BE997" s="149">
        <v>0</v>
      </c>
      <c r="BF997" s="149">
        <v>0</v>
      </c>
      <c r="BG997" s="149">
        <v>0</v>
      </c>
      <c r="BH997" s="149">
        <v>0</v>
      </c>
      <c r="BI997" s="149">
        <v>0</v>
      </c>
      <c r="BJ997" s="149">
        <v>0</v>
      </c>
      <c r="BK997" s="149">
        <v>0</v>
      </c>
      <c r="BL997" s="149">
        <v>0</v>
      </c>
      <c r="BM997" s="149">
        <v>0</v>
      </c>
      <c r="BN997" s="149">
        <v>0</v>
      </c>
      <c r="BO997" s="149">
        <v>0</v>
      </c>
      <c r="BP997" s="136"/>
      <c r="BQ997" s="136" t="s">
        <v>327</v>
      </c>
      <c r="BR997" s="154" t="s">
        <v>149</v>
      </c>
      <c r="BS997" s="136">
        <v>20</v>
      </c>
      <c r="BT997" s="267"/>
      <c r="BU997" s="267"/>
      <c r="BV997" s="267"/>
      <c r="BW997" s="267"/>
      <c r="BX997" s="267"/>
      <c r="BY997" s="267"/>
      <c r="BZ997" s="267">
        <f>M997</f>
        <v>11</v>
      </c>
      <c r="CA997" s="267"/>
      <c r="CB997" s="267"/>
      <c r="CC997" s="267"/>
      <c r="CD997" s="267"/>
      <c r="CE997" s="267"/>
      <c r="CF997" s="267"/>
      <c r="CG997" s="267"/>
      <c r="CH997" s="267"/>
      <c r="CI997" s="267"/>
      <c r="CJ997" s="267"/>
      <c r="CK997" s="267"/>
      <c r="CL997" s="267"/>
      <c r="CM997" s="267"/>
      <c r="CN997" s="101">
        <f t="shared" si="135"/>
        <v>0</v>
      </c>
      <c r="CO997" s="101">
        <f t="shared" si="136"/>
        <v>11</v>
      </c>
    </row>
    <row r="998" spans="1:93" ht="13.9" customHeight="1" x14ac:dyDescent="0.2">
      <c r="A998" s="149">
        <v>4508</v>
      </c>
      <c r="B998" s="150" t="s">
        <v>2522</v>
      </c>
      <c r="C998" s="150"/>
      <c r="D998" s="150" t="s">
        <v>2609</v>
      </c>
      <c r="E998" s="150"/>
      <c r="F998" s="149">
        <v>526001.90130000003</v>
      </c>
      <c r="G998" s="149">
        <v>175434.07680000001</v>
      </c>
      <c r="H998" s="150" t="s">
        <v>170</v>
      </c>
      <c r="I998" s="151"/>
      <c r="J998" s="151"/>
      <c r="K998" s="149">
        <v>0</v>
      </c>
      <c r="L998" s="149">
        <v>2</v>
      </c>
      <c r="M998" s="149">
        <v>2</v>
      </c>
      <c r="N998" s="149">
        <v>2</v>
      </c>
      <c r="O998" s="149">
        <v>2</v>
      </c>
      <c r="P998" s="152"/>
      <c r="Q998" s="150" t="s">
        <v>2524</v>
      </c>
      <c r="R998" s="150" t="s">
        <v>2525</v>
      </c>
      <c r="S998" s="151"/>
      <c r="T998" s="151"/>
      <c r="U998" s="152"/>
      <c r="V998" s="150" t="s">
        <v>330</v>
      </c>
      <c r="W998" s="151"/>
      <c r="X998" s="150" t="s">
        <v>331</v>
      </c>
      <c r="Y998" s="150" t="s">
        <v>343</v>
      </c>
      <c r="Z998" s="150" t="s">
        <v>334</v>
      </c>
      <c r="AA998" s="150" t="s">
        <v>363</v>
      </c>
      <c r="AB998" s="153">
        <v>0</v>
      </c>
      <c r="AC998" s="151"/>
      <c r="AD998" s="150"/>
      <c r="AE998" s="151"/>
      <c r="AF998" s="150" t="s">
        <v>70</v>
      </c>
      <c r="AG998" s="152" t="s">
        <v>352</v>
      </c>
      <c r="AH998" s="150" t="s">
        <v>2610</v>
      </c>
      <c r="AI998" s="99"/>
      <c r="AJ998" s="149">
        <v>0</v>
      </c>
      <c r="AK998" s="99">
        <v>0</v>
      </c>
      <c r="AL998" s="149">
        <v>0</v>
      </c>
      <c r="AM998" s="99">
        <v>0</v>
      </c>
      <c r="AN998" s="149">
        <v>0</v>
      </c>
      <c r="AO998" s="149">
        <v>0</v>
      </c>
      <c r="AP998" s="149">
        <v>0</v>
      </c>
      <c r="AQ998" s="149">
        <v>0</v>
      </c>
      <c r="AR998" s="149">
        <v>0</v>
      </c>
      <c r="AS998" s="149">
        <v>0</v>
      </c>
      <c r="AT998" s="149">
        <v>2</v>
      </c>
      <c r="AU998" s="149">
        <v>0</v>
      </c>
      <c r="AV998" s="149">
        <v>0</v>
      </c>
      <c r="AW998" s="149">
        <v>0</v>
      </c>
      <c r="AX998" s="149">
        <v>0</v>
      </c>
      <c r="AY998" s="149">
        <v>0</v>
      </c>
      <c r="AZ998" s="149">
        <v>0</v>
      </c>
      <c r="BA998" s="149">
        <v>2</v>
      </c>
      <c r="BB998" s="149">
        <v>0</v>
      </c>
      <c r="BC998" s="149">
        <v>0</v>
      </c>
      <c r="BD998" s="149">
        <v>0</v>
      </c>
      <c r="BE998" s="149">
        <v>0</v>
      </c>
      <c r="BF998" s="149">
        <v>0</v>
      </c>
      <c r="BG998" s="149">
        <v>0</v>
      </c>
      <c r="BH998" s="149">
        <v>0</v>
      </c>
      <c r="BI998" s="149">
        <v>0</v>
      </c>
      <c r="BJ998" s="149">
        <v>0</v>
      </c>
      <c r="BK998" s="149">
        <v>0</v>
      </c>
      <c r="BL998" s="149">
        <v>0</v>
      </c>
      <c r="BM998" s="149">
        <v>0</v>
      </c>
      <c r="BN998" s="149">
        <v>0</v>
      </c>
      <c r="BO998" s="149">
        <v>0</v>
      </c>
      <c r="BP998" s="136"/>
      <c r="BQ998" s="136"/>
      <c r="BR998" s="154" t="s">
        <v>463</v>
      </c>
      <c r="BS998" s="136">
        <v>19</v>
      </c>
      <c r="BT998" s="267"/>
      <c r="BU998" s="267"/>
      <c r="BV998" s="267"/>
      <c r="BW998" s="267"/>
      <c r="BX998" s="267"/>
      <c r="BY998" s="267"/>
      <c r="BZ998" s="267"/>
      <c r="CA998" s="267"/>
      <c r="CB998" s="267"/>
      <c r="CC998" s="267"/>
      <c r="CD998" s="267"/>
      <c r="CE998" s="267"/>
      <c r="CF998" s="267"/>
      <c r="CG998" s="267"/>
      <c r="CH998" s="267"/>
      <c r="CI998" s="267"/>
      <c r="CJ998" s="267"/>
      <c r="CK998" s="267"/>
      <c r="CL998" s="267"/>
      <c r="CM998" s="267">
        <f>M998</f>
        <v>2</v>
      </c>
      <c r="CN998" s="101">
        <f t="shared" si="135"/>
        <v>0</v>
      </c>
      <c r="CO998" s="101">
        <f t="shared" si="136"/>
        <v>0</v>
      </c>
    </row>
    <row r="999" spans="1:93" ht="13.9" customHeight="1" x14ac:dyDescent="0.2">
      <c r="A999" s="149">
        <v>6902</v>
      </c>
      <c r="B999" s="150" t="s">
        <v>2522</v>
      </c>
      <c r="C999" s="150"/>
      <c r="D999" s="150" t="s">
        <v>2611</v>
      </c>
      <c r="E999" s="150"/>
      <c r="F999" s="149">
        <v>524118</v>
      </c>
      <c r="G999" s="149">
        <v>175366</v>
      </c>
      <c r="H999" s="150" t="s">
        <v>171</v>
      </c>
      <c r="I999" s="151"/>
      <c r="J999" s="151"/>
      <c r="K999" s="149">
        <v>0</v>
      </c>
      <c r="L999" s="149">
        <v>1</v>
      </c>
      <c r="M999" s="149">
        <v>1</v>
      </c>
      <c r="N999" s="149">
        <v>1</v>
      </c>
      <c r="O999" s="149">
        <v>1</v>
      </c>
      <c r="P999" s="152"/>
      <c r="Q999" s="150" t="s">
        <v>2524</v>
      </c>
      <c r="R999" s="150" t="s">
        <v>2525</v>
      </c>
      <c r="S999" s="151"/>
      <c r="T999" s="151"/>
      <c r="U999" s="152"/>
      <c r="V999" s="150" t="s">
        <v>330</v>
      </c>
      <c r="W999" s="151"/>
      <c r="X999" s="150" t="s">
        <v>331</v>
      </c>
      <c r="Y999" s="150" t="s">
        <v>343</v>
      </c>
      <c r="Z999" s="150" t="s">
        <v>334</v>
      </c>
      <c r="AA999" s="150" t="s">
        <v>363</v>
      </c>
      <c r="AB999" s="153">
        <v>0</v>
      </c>
      <c r="AC999" s="151"/>
      <c r="AD999" s="150"/>
      <c r="AE999" s="151"/>
      <c r="AF999" s="150" t="s">
        <v>70</v>
      </c>
      <c r="AG999" s="152" t="s">
        <v>352</v>
      </c>
      <c r="AH999" s="150" t="s">
        <v>2612</v>
      </c>
      <c r="AI999" s="99"/>
      <c r="AJ999" s="149">
        <v>0</v>
      </c>
      <c r="AK999" s="99">
        <v>0</v>
      </c>
      <c r="AL999" s="149">
        <v>0</v>
      </c>
      <c r="AM999" s="99">
        <v>0</v>
      </c>
      <c r="AN999" s="149">
        <v>0</v>
      </c>
      <c r="AO999" s="149">
        <v>0</v>
      </c>
      <c r="AP999" s="149">
        <v>0</v>
      </c>
      <c r="AQ999" s="149">
        <v>0</v>
      </c>
      <c r="AR999" s="149">
        <v>0</v>
      </c>
      <c r="AS999" s="149">
        <v>0</v>
      </c>
      <c r="AT999" s="149">
        <v>1</v>
      </c>
      <c r="AU999" s="149">
        <v>0</v>
      </c>
      <c r="AV999" s="149">
        <v>0</v>
      </c>
      <c r="AW999" s="149">
        <v>0</v>
      </c>
      <c r="AX999" s="149">
        <v>0</v>
      </c>
      <c r="AY999" s="149">
        <v>0</v>
      </c>
      <c r="AZ999" s="149">
        <v>0</v>
      </c>
      <c r="BA999" s="149">
        <v>1</v>
      </c>
      <c r="BB999" s="149">
        <v>0</v>
      </c>
      <c r="BC999" s="149">
        <v>0</v>
      </c>
      <c r="BD999" s="149">
        <v>0</v>
      </c>
      <c r="BE999" s="149">
        <v>0</v>
      </c>
      <c r="BF999" s="149">
        <v>0</v>
      </c>
      <c r="BG999" s="149">
        <v>0</v>
      </c>
      <c r="BH999" s="149">
        <v>0</v>
      </c>
      <c r="BI999" s="149">
        <v>0</v>
      </c>
      <c r="BJ999" s="149">
        <v>0</v>
      </c>
      <c r="BK999" s="149">
        <v>0</v>
      </c>
      <c r="BL999" s="149">
        <v>0</v>
      </c>
      <c r="BM999" s="149">
        <v>0</v>
      </c>
      <c r="BN999" s="149">
        <v>0</v>
      </c>
      <c r="BO999" s="149">
        <v>0</v>
      </c>
      <c r="BP999" s="136" t="s">
        <v>141</v>
      </c>
      <c r="BQ999" s="136"/>
      <c r="BR999" s="154" t="s">
        <v>141</v>
      </c>
      <c r="BS999" s="136">
        <v>19</v>
      </c>
      <c r="BT999" s="267"/>
      <c r="BU999" s="267"/>
      <c r="BV999" s="267"/>
      <c r="BW999" s="267"/>
      <c r="BX999" s="267"/>
      <c r="BY999" s="267">
        <f>M999/16</f>
        <v>6.25E-2</v>
      </c>
      <c r="BZ999" s="267">
        <f>M999/16</f>
        <v>6.25E-2</v>
      </c>
      <c r="CA999" s="267">
        <f>M999/16</f>
        <v>6.25E-2</v>
      </c>
      <c r="CB999" s="267">
        <f>M999/16</f>
        <v>6.25E-2</v>
      </c>
      <c r="CC999" s="267">
        <f>M999/16</f>
        <v>6.25E-2</v>
      </c>
      <c r="CD999" s="267">
        <f>M999/16</f>
        <v>6.25E-2</v>
      </c>
      <c r="CE999" s="267">
        <f>M999/16</f>
        <v>6.25E-2</v>
      </c>
      <c r="CF999" s="267">
        <f>M999/16</f>
        <v>6.25E-2</v>
      </c>
      <c r="CG999" s="267">
        <f>M999/16</f>
        <v>6.25E-2</v>
      </c>
      <c r="CH999" s="267">
        <f>M999/16</f>
        <v>6.25E-2</v>
      </c>
      <c r="CI999" s="267">
        <f>M999/16</f>
        <v>6.25E-2</v>
      </c>
      <c r="CJ999" s="267">
        <f>M999/16</f>
        <v>6.25E-2</v>
      </c>
      <c r="CK999" s="267">
        <f>M999/16</f>
        <v>6.25E-2</v>
      </c>
      <c r="CL999" s="267">
        <f>M999/16</f>
        <v>6.25E-2</v>
      </c>
      <c r="CM999" s="267">
        <f>M999/16</f>
        <v>6.25E-2</v>
      </c>
      <c r="CN999" s="101">
        <f t="shared" si="135"/>
        <v>6.25E-2</v>
      </c>
      <c r="CO999" s="101">
        <f t="shared" si="136"/>
        <v>0.375</v>
      </c>
    </row>
    <row r="1000" spans="1:93" ht="13.9" customHeight="1" x14ac:dyDescent="0.2">
      <c r="A1000" s="149">
        <v>7582</v>
      </c>
      <c r="B1000" s="150" t="s">
        <v>2522</v>
      </c>
      <c r="C1000" s="150"/>
      <c r="D1000" s="150" t="s">
        <v>2613</v>
      </c>
      <c r="E1000" s="150"/>
      <c r="F1000" s="149">
        <v>522287.01610000001</v>
      </c>
      <c r="G1000" s="149">
        <v>174318.467299999</v>
      </c>
      <c r="H1000" s="150" t="s">
        <v>166</v>
      </c>
      <c r="I1000" s="151"/>
      <c r="J1000" s="151"/>
      <c r="K1000" s="149">
        <v>0</v>
      </c>
      <c r="L1000" s="149">
        <v>197</v>
      </c>
      <c r="M1000" s="149">
        <v>197</v>
      </c>
      <c r="N1000" s="149">
        <v>303</v>
      </c>
      <c r="O1000" s="149">
        <v>303</v>
      </c>
      <c r="P1000" s="152" t="s">
        <v>327</v>
      </c>
      <c r="Q1000" s="150" t="s">
        <v>2524</v>
      </c>
      <c r="R1000" s="150" t="s">
        <v>2525</v>
      </c>
      <c r="S1000" s="151"/>
      <c r="T1000" s="151"/>
      <c r="U1000" s="152"/>
      <c r="V1000" s="150" t="s">
        <v>330</v>
      </c>
      <c r="W1000" s="151"/>
      <c r="X1000" s="150" t="s">
        <v>331</v>
      </c>
      <c r="Y1000" s="150" t="s">
        <v>343</v>
      </c>
      <c r="Z1000" s="150" t="s">
        <v>343</v>
      </c>
      <c r="AA1000" s="150" t="s">
        <v>334</v>
      </c>
      <c r="AB1000" s="153">
        <v>0</v>
      </c>
      <c r="AC1000" s="151"/>
      <c r="AD1000" s="150"/>
      <c r="AE1000" s="151"/>
      <c r="AF1000" s="150" t="s">
        <v>70</v>
      </c>
      <c r="AG1000" s="152" t="s">
        <v>352</v>
      </c>
      <c r="AH1000" s="150" t="s">
        <v>2614</v>
      </c>
      <c r="AI1000" s="99"/>
      <c r="AJ1000" s="149">
        <v>0</v>
      </c>
      <c r="AK1000" s="99">
        <v>0</v>
      </c>
      <c r="AL1000" s="149">
        <v>0</v>
      </c>
      <c r="AM1000" s="99">
        <v>0</v>
      </c>
      <c r="AN1000" s="149">
        <v>0</v>
      </c>
      <c r="AO1000" s="149">
        <v>0</v>
      </c>
      <c r="AP1000" s="149">
        <v>0</v>
      </c>
      <c r="AQ1000" s="149">
        <v>0</v>
      </c>
      <c r="AR1000" s="149">
        <v>0</v>
      </c>
      <c r="AS1000" s="149">
        <v>0</v>
      </c>
      <c r="AT1000" s="149">
        <v>197</v>
      </c>
      <c r="AU1000" s="149">
        <v>0</v>
      </c>
      <c r="AV1000" s="149">
        <v>0</v>
      </c>
      <c r="AW1000" s="149">
        <v>0</v>
      </c>
      <c r="AX1000" s="149">
        <v>0</v>
      </c>
      <c r="AY1000" s="149">
        <v>0</v>
      </c>
      <c r="AZ1000" s="149">
        <v>0</v>
      </c>
      <c r="BA1000" s="149">
        <v>197</v>
      </c>
      <c r="BB1000" s="149">
        <v>0</v>
      </c>
      <c r="BC1000" s="149">
        <v>0</v>
      </c>
      <c r="BD1000" s="149">
        <v>0</v>
      </c>
      <c r="BE1000" s="149">
        <v>0</v>
      </c>
      <c r="BF1000" s="149">
        <v>0</v>
      </c>
      <c r="BG1000" s="149">
        <v>0</v>
      </c>
      <c r="BH1000" s="149">
        <v>0</v>
      </c>
      <c r="BI1000" s="149">
        <v>0</v>
      </c>
      <c r="BJ1000" s="149">
        <v>0</v>
      </c>
      <c r="BK1000" s="149">
        <v>0</v>
      </c>
      <c r="BL1000" s="149">
        <v>0</v>
      </c>
      <c r="BM1000" s="149">
        <v>0</v>
      </c>
      <c r="BN1000" s="149">
        <v>0</v>
      </c>
      <c r="BO1000" s="149">
        <v>0</v>
      </c>
      <c r="BP1000" s="136"/>
      <c r="BQ1000" s="136"/>
      <c r="BR1000" s="154" t="s">
        <v>150</v>
      </c>
      <c r="BS1000" s="136">
        <v>19</v>
      </c>
      <c r="BT1000" s="267"/>
      <c r="BU1000" s="267"/>
      <c r="BV1000" s="267"/>
      <c r="BW1000" s="267"/>
      <c r="BX1000" s="267"/>
      <c r="BY1000" s="267"/>
      <c r="BZ1000" s="267"/>
      <c r="CA1000" s="267"/>
      <c r="CB1000" s="267">
        <f>M1000/12</f>
        <v>16.416666666666668</v>
      </c>
      <c r="CC1000" s="267">
        <f>M1000/12</f>
        <v>16.416666666666668</v>
      </c>
      <c r="CD1000" s="267">
        <f>M1000/12</f>
        <v>16.416666666666668</v>
      </c>
      <c r="CE1000" s="267">
        <f>M1000/12</f>
        <v>16.416666666666668</v>
      </c>
      <c r="CF1000" s="267">
        <f>M1000/12</f>
        <v>16.416666666666668</v>
      </c>
      <c r="CG1000" s="267">
        <f>M1000/12</f>
        <v>16.416666666666668</v>
      </c>
      <c r="CH1000" s="267">
        <f>M1000/12</f>
        <v>16.416666666666668</v>
      </c>
      <c r="CI1000" s="267">
        <f>M1000/12</f>
        <v>16.416666666666668</v>
      </c>
      <c r="CJ1000" s="267">
        <f>M1000/12</f>
        <v>16.416666666666668</v>
      </c>
      <c r="CK1000" s="267">
        <f>M1000/12</f>
        <v>16.416666666666668</v>
      </c>
      <c r="CL1000" s="267">
        <f>M1000/12</f>
        <v>16.416666666666668</v>
      </c>
      <c r="CM1000" s="267">
        <f>M1000/12</f>
        <v>16.416666666666668</v>
      </c>
      <c r="CN1000" s="101">
        <f t="shared" si="135"/>
        <v>0</v>
      </c>
      <c r="CO1000" s="101">
        <f t="shared" si="136"/>
        <v>49.25</v>
      </c>
    </row>
    <row r="1001" spans="1:93" ht="13.9" customHeight="1" x14ac:dyDescent="0.2">
      <c r="A1001" s="149">
        <v>7582</v>
      </c>
      <c r="B1001" s="150" t="s">
        <v>2522</v>
      </c>
      <c r="C1001" s="150"/>
      <c r="D1001" s="150" t="s">
        <v>2613</v>
      </c>
      <c r="E1001" s="150"/>
      <c r="F1001" s="149">
        <v>522287.01610000001</v>
      </c>
      <c r="G1001" s="149">
        <v>174318.467299999</v>
      </c>
      <c r="H1001" s="150" t="s">
        <v>166</v>
      </c>
      <c r="I1001" s="151"/>
      <c r="J1001" s="151"/>
      <c r="K1001" s="149">
        <v>0</v>
      </c>
      <c r="L1001" s="149">
        <v>53</v>
      </c>
      <c r="M1001" s="149">
        <v>53</v>
      </c>
      <c r="N1001" s="149">
        <v>303</v>
      </c>
      <c r="O1001" s="149">
        <v>303</v>
      </c>
      <c r="P1001" s="152" t="s">
        <v>327</v>
      </c>
      <c r="Q1001" s="150" t="s">
        <v>2524</v>
      </c>
      <c r="R1001" s="150" t="s">
        <v>2525</v>
      </c>
      <c r="S1001" s="151"/>
      <c r="T1001" s="151"/>
      <c r="U1001" s="152"/>
      <c r="V1001" s="150" t="s">
        <v>330</v>
      </c>
      <c r="W1001" s="151"/>
      <c r="X1001" s="150" t="s">
        <v>331</v>
      </c>
      <c r="Y1001" s="150" t="s">
        <v>343</v>
      </c>
      <c r="Z1001" s="150" t="s">
        <v>343</v>
      </c>
      <c r="AA1001" s="150" t="s">
        <v>334</v>
      </c>
      <c r="AB1001" s="153">
        <v>0</v>
      </c>
      <c r="AC1001" s="151"/>
      <c r="AD1001" s="150"/>
      <c r="AE1001" s="151"/>
      <c r="AF1001" s="150" t="s">
        <v>49</v>
      </c>
      <c r="AG1001" s="152" t="s">
        <v>470</v>
      </c>
      <c r="AH1001" s="150" t="s">
        <v>2614</v>
      </c>
      <c r="AI1001" s="99"/>
      <c r="AJ1001" s="149">
        <v>0</v>
      </c>
      <c r="AK1001" s="99">
        <v>0</v>
      </c>
      <c r="AL1001" s="149">
        <v>0</v>
      </c>
      <c r="AM1001" s="99">
        <v>0</v>
      </c>
      <c r="AN1001" s="149">
        <v>0</v>
      </c>
      <c r="AO1001" s="149">
        <v>0</v>
      </c>
      <c r="AP1001" s="149">
        <v>0</v>
      </c>
      <c r="AQ1001" s="149">
        <v>0</v>
      </c>
      <c r="AR1001" s="149">
        <v>0</v>
      </c>
      <c r="AS1001" s="149">
        <v>0</v>
      </c>
      <c r="AT1001" s="149">
        <v>53</v>
      </c>
      <c r="AU1001" s="149">
        <v>0</v>
      </c>
      <c r="AV1001" s="149">
        <v>0</v>
      </c>
      <c r="AW1001" s="149">
        <v>0</v>
      </c>
      <c r="AX1001" s="149">
        <v>0</v>
      </c>
      <c r="AY1001" s="149">
        <v>0</v>
      </c>
      <c r="AZ1001" s="149">
        <v>0</v>
      </c>
      <c r="BA1001" s="149">
        <v>53</v>
      </c>
      <c r="BB1001" s="149">
        <v>0</v>
      </c>
      <c r="BC1001" s="149">
        <v>0</v>
      </c>
      <c r="BD1001" s="149">
        <v>0</v>
      </c>
      <c r="BE1001" s="149">
        <v>0</v>
      </c>
      <c r="BF1001" s="149">
        <v>0</v>
      </c>
      <c r="BG1001" s="149">
        <v>0</v>
      </c>
      <c r="BH1001" s="149">
        <v>0</v>
      </c>
      <c r="BI1001" s="149">
        <v>0</v>
      </c>
      <c r="BJ1001" s="149">
        <v>0</v>
      </c>
      <c r="BK1001" s="149">
        <v>0</v>
      </c>
      <c r="BL1001" s="149">
        <v>0</v>
      </c>
      <c r="BM1001" s="149">
        <v>0</v>
      </c>
      <c r="BN1001" s="149">
        <v>0</v>
      </c>
      <c r="BO1001" s="149">
        <v>0</v>
      </c>
      <c r="BP1001" s="136"/>
      <c r="BQ1001" s="136"/>
      <c r="BR1001" s="154" t="s">
        <v>150</v>
      </c>
      <c r="BS1001" s="136">
        <v>19</v>
      </c>
      <c r="BT1001" s="267"/>
      <c r="BU1001" s="267"/>
      <c r="BV1001" s="267"/>
      <c r="BW1001" s="267"/>
      <c r="BX1001" s="267"/>
      <c r="BY1001" s="267"/>
      <c r="BZ1001" s="267"/>
      <c r="CA1001" s="267"/>
      <c r="CB1001" s="267">
        <f>M1001/12</f>
        <v>4.416666666666667</v>
      </c>
      <c r="CC1001" s="267">
        <f>M1001/12</f>
        <v>4.416666666666667</v>
      </c>
      <c r="CD1001" s="267">
        <f>M1001/12</f>
        <v>4.416666666666667</v>
      </c>
      <c r="CE1001" s="267">
        <f>M1001/12</f>
        <v>4.416666666666667</v>
      </c>
      <c r="CF1001" s="267">
        <f>M1001/12</f>
        <v>4.416666666666667</v>
      </c>
      <c r="CG1001" s="267">
        <f>M1001/12</f>
        <v>4.416666666666667</v>
      </c>
      <c r="CH1001" s="267">
        <f>M1001/12</f>
        <v>4.416666666666667</v>
      </c>
      <c r="CI1001" s="267">
        <f>M1001/12</f>
        <v>4.416666666666667</v>
      </c>
      <c r="CJ1001" s="267">
        <f>M1001/12</f>
        <v>4.416666666666667</v>
      </c>
      <c r="CK1001" s="267">
        <f>M1001/12</f>
        <v>4.416666666666667</v>
      </c>
      <c r="CL1001" s="267">
        <f>M1001/12</f>
        <v>4.416666666666667</v>
      </c>
      <c r="CM1001" s="267">
        <f>M1001/12</f>
        <v>4.416666666666667</v>
      </c>
      <c r="CN1001" s="101">
        <f t="shared" si="135"/>
        <v>0</v>
      </c>
      <c r="CO1001" s="101">
        <f t="shared" si="136"/>
        <v>13.25</v>
      </c>
    </row>
    <row r="1002" spans="1:93" ht="13.9" customHeight="1" x14ac:dyDescent="0.2">
      <c r="A1002" s="149">
        <v>7582</v>
      </c>
      <c r="B1002" s="150" t="s">
        <v>2522</v>
      </c>
      <c r="C1002" s="150"/>
      <c r="D1002" s="150" t="s">
        <v>2613</v>
      </c>
      <c r="E1002" s="150"/>
      <c r="F1002" s="149">
        <v>522287.01610000001</v>
      </c>
      <c r="G1002" s="149">
        <v>174318.467299999</v>
      </c>
      <c r="H1002" s="150" t="s">
        <v>166</v>
      </c>
      <c r="I1002" s="151"/>
      <c r="J1002" s="151"/>
      <c r="K1002" s="149">
        <v>0</v>
      </c>
      <c r="L1002" s="149">
        <v>53</v>
      </c>
      <c r="M1002" s="149">
        <v>53</v>
      </c>
      <c r="N1002" s="149">
        <v>303</v>
      </c>
      <c r="O1002" s="149">
        <v>303</v>
      </c>
      <c r="P1002" s="152" t="s">
        <v>327</v>
      </c>
      <c r="Q1002" s="150" t="s">
        <v>2524</v>
      </c>
      <c r="R1002" s="150" t="s">
        <v>2525</v>
      </c>
      <c r="S1002" s="151"/>
      <c r="T1002" s="151"/>
      <c r="U1002" s="152"/>
      <c r="V1002" s="150" t="s">
        <v>330</v>
      </c>
      <c r="W1002" s="151"/>
      <c r="X1002" s="150" t="s">
        <v>331</v>
      </c>
      <c r="Y1002" s="150" t="s">
        <v>343</v>
      </c>
      <c r="Z1002" s="150" t="s">
        <v>343</v>
      </c>
      <c r="AA1002" s="150" t="s">
        <v>334</v>
      </c>
      <c r="AB1002" s="153">
        <v>0</v>
      </c>
      <c r="AC1002" s="151"/>
      <c r="AD1002" s="150"/>
      <c r="AE1002" s="151"/>
      <c r="AF1002" s="150" t="s">
        <v>48</v>
      </c>
      <c r="AG1002" s="152" t="s">
        <v>992</v>
      </c>
      <c r="AH1002" s="150" t="s">
        <v>2614</v>
      </c>
      <c r="AI1002" s="99"/>
      <c r="AJ1002" s="149">
        <v>0</v>
      </c>
      <c r="AK1002" s="99">
        <v>0</v>
      </c>
      <c r="AL1002" s="149">
        <v>0</v>
      </c>
      <c r="AM1002" s="99">
        <v>0</v>
      </c>
      <c r="AN1002" s="149">
        <v>0</v>
      </c>
      <c r="AO1002" s="149">
        <v>0</v>
      </c>
      <c r="AP1002" s="149">
        <v>0</v>
      </c>
      <c r="AQ1002" s="149">
        <v>0</v>
      </c>
      <c r="AR1002" s="149">
        <v>0</v>
      </c>
      <c r="AS1002" s="149">
        <v>0</v>
      </c>
      <c r="AT1002" s="149">
        <v>53</v>
      </c>
      <c r="AU1002" s="149">
        <v>0</v>
      </c>
      <c r="AV1002" s="149">
        <v>0</v>
      </c>
      <c r="AW1002" s="149">
        <v>0</v>
      </c>
      <c r="AX1002" s="149">
        <v>0</v>
      </c>
      <c r="AY1002" s="149">
        <v>0</v>
      </c>
      <c r="AZ1002" s="149">
        <v>0</v>
      </c>
      <c r="BA1002" s="149">
        <v>53</v>
      </c>
      <c r="BB1002" s="149">
        <v>0</v>
      </c>
      <c r="BC1002" s="149">
        <v>0</v>
      </c>
      <c r="BD1002" s="149">
        <v>0</v>
      </c>
      <c r="BE1002" s="149">
        <v>0</v>
      </c>
      <c r="BF1002" s="149">
        <v>0</v>
      </c>
      <c r="BG1002" s="149">
        <v>0</v>
      </c>
      <c r="BH1002" s="149">
        <v>0</v>
      </c>
      <c r="BI1002" s="149">
        <v>0</v>
      </c>
      <c r="BJ1002" s="149">
        <v>0</v>
      </c>
      <c r="BK1002" s="149">
        <v>0</v>
      </c>
      <c r="BL1002" s="149">
        <v>0</v>
      </c>
      <c r="BM1002" s="149">
        <v>0</v>
      </c>
      <c r="BN1002" s="149">
        <v>0</v>
      </c>
      <c r="BO1002" s="149">
        <v>0</v>
      </c>
      <c r="BP1002" s="136"/>
      <c r="BQ1002" s="136"/>
      <c r="BR1002" s="154" t="s">
        <v>150</v>
      </c>
      <c r="BS1002" s="136">
        <v>19</v>
      </c>
      <c r="BT1002" s="267"/>
      <c r="BU1002" s="267"/>
      <c r="BV1002" s="267"/>
      <c r="BW1002" s="267"/>
      <c r="BX1002" s="267"/>
      <c r="BY1002" s="267"/>
      <c r="BZ1002" s="267"/>
      <c r="CA1002" s="267"/>
      <c r="CB1002" s="267">
        <f>M1002/12</f>
        <v>4.416666666666667</v>
      </c>
      <c r="CC1002" s="267">
        <f>M1002/12</f>
        <v>4.416666666666667</v>
      </c>
      <c r="CD1002" s="267">
        <f>M1002/12</f>
        <v>4.416666666666667</v>
      </c>
      <c r="CE1002" s="267">
        <f>M1002/12</f>
        <v>4.416666666666667</v>
      </c>
      <c r="CF1002" s="267">
        <f>M1002/12</f>
        <v>4.416666666666667</v>
      </c>
      <c r="CG1002" s="267">
        <f>M1002/12</f>
        <v>4.416666666666667</v>
      </c>
      <c r="CH1002" s="267">
        <f>M1002/12</f>
        <v>4.416666666666667</v>
      </c>
      <c r="CI1002" s="267">
        <f>M1002/12</f>
        <v>4.416666666666667</v>
      </c>
      <c r="CJ1002" s="267">
        <f>M1002/12</f>
        <v>4.416666666666667</v>
      </c>
      <c r="CK1002" s="267">
        <f>M1002/12</f>
        <v>4.416666666666667</v>
      </c>
      <c r="CL1002" s="267">
        <f>M1002/12</f>
        <v>4.416666666666667</v>
      </c>
      <c r="CM1002" s="267">
        <f>M1002/12</f>
        <v>4.416666666666667</v>
      </c>
      <c r="CN1002" s="101">
        <f t="shared" si="135"/>
        <v>0</v>
      </c>
      <c r="CO1002" s="101">
        <f t="shared" si="136"/>
        <v>13.25</v>
      </c>
    </row>
    <row r="1003" spans="1:93" ht="13.9" customHeight="1" x14ac:dyDescent="0.2">
      <c r="A1003" s="149">
        <v>7547</v>
      </c>
      <c r="B1003" s="150" t="s">
        <v>2522</v>
      </c>
      <c r="C1003" s="150"/>
      <c r="D1003" s="150" t="s">
        <v>2615</v>
      </c>
      <c r="E1003" s="150"/>
      <c r="F1003" s="149">
        <v>527126</v>
      </c>
      <c r="G1003" s="149">
        <v>175600</v>
      </c>
      <c r="H1003" s="150" t="s">
        <v>162</v>
      </c>
      <c r="I1003" s="151"/>
      <c r="J1003" s="151"/>
      <c r="K1003" s="149">
        <v>0</v>
      </c>
      <c r="L1003" s="149">
        <v>9</v>
      </c>
      <c r="M1003" s="149">
        <v>9</v>
      </c>
      <c r="N1003" s="149">
        <v>14</v>
      </c>
      <c r="O1003" s="149">
        <v>14</v>
      </c>
      <c r="P1003" s="152" t="s">
        <v>327</v>
      </c>
      <c r="Q1003" s="150" t="s">
        <v>2524</v>
      </c>
      <c r="R1003" s="150" t="s">
        <v>2525</v>
      </c>
      <c r="S1003" s="151"/>
      <c r="T1003" s="151"/>
      <c r="U1003" s="152"/>
      <c r="V1003" s="150" t="s">
        <v>330</v>
      </c>
      <c r="W1003" s="151"/>
      <c r="X1003" s="150" t="s">
        <v>331</v>
      </c>
      <c r="Y1003" s="150" t="s">
        <v>343</v>
      </c>
      <c r="Z1003" s="150" t="s">
        <v>343</v>
      </c>
      <c r="AA1003" s="150" t="s">
        <v>334</v>
      </c>
      <c r="AB1003" s="153">
        <v>0</v>
      </c>
      <c r="AC1003" s="151"/>
      <c r="AD1003" s="150"/>
      <c r="AE1003" s="151"/>
      <c r="AF1003" s="150" t="s">
        <v>70</v>
      </c>
      <c r="AG1003" s="152" t="s">
        <v>352</v>
      </c>
      <c r="AH1003" s="150"/>
      <c r="AI1003" s="99"/>
      <c r="AJ1003" s="149">
        <v>0</v>
      </c>
      <c r="AK1003" s="99">
        <v>0</v>
      </c>
      <c r="AL1003" s="149">
        <v>0</v>
      </c>
      <c r="AM1003" s="99">
        <v>0</v>
      </c>
      <c r="AN1003" s="149">
        <v>0</v>
      </c>
      <c r="AO1003" s="149">
        <v>0</v>
      </c>
      <c r="AP1003" s="149">
        <v>0</v>
      </c>
      <c r="AQ1003" s="149">
        <v>0</v>
      </c>
      <c r="AR1003" s="149">
        <v>0</v>
      </c>
      <c r="AS1003" s="149">
        <v>0</v>
      </c>
      <c r="AT1003" s="149">
        <v>9</v>
      </c>
      <c r="AU1003" s="149">
        <v>0</v>
      </c>
      <c r="AV1003" s="149">
        <v>0</v>
      </c>
      <c r="AW1003" s="149">
        <v>0</v>
      </c>
      <c r="AX1003" s="149">
        <v>0</v>
      </c>
      <c r="AY1003" s="149">
        <v>0</v>
      </c>
      <c r="AZ1003" s="149">
        <v>0</v>
      </c>
      <c r="BA1003" s="149">
        <v>9</v>
      </c>
      <c r="BB1003" s="149">
        <v>0</v>
      </c>
      <c r="BC1003" s="149">
        <v>0</v>
      </c>
      <c r="BD1003" s="149">
        <v>0</v>
      </c>
      <c r="BE1003" s="149">
        <v>0</v>
      </c>
      <c r="BF1003" s="149">
        <v>0</v>
      </c>
      <c r="BG1003" s="149">
        <v>0</v>
      </c>
      <c r="BH1003" s="149">
        <v>0</v>
      </c>
      <c r="BI1003" s="149">
        <v>0</v>
      </c>
      <c r="BJ1003" s="149">
        <v>0</v>
      </c>
      <c r="BK1003" s="149">
        <v>0</v>
      </c>
      <c r="BL1003" s="149">
        <v>0</v>
      </c>
      <c r="BM1003" s="149">
        <v>0</v>
      </c>
      <c r="BN1003" s="149">
        <v>0</v>
      </c>
      <c r="BO1003" s="149">
        <v>0</v>
      </c>
      <c r="BP1003" s="136" t="s">
        <v>140</v>
      </c>
      <c r="BQ1003" s="136"/>
      <c r="BR1003" s="154" t="s">
        <v>148</v>
      </c>
      <c r="BS1003" s="136">
        <v>19</v>
      </c>
      <c r="BT1003" s="267"/>
      <c r="BU1003" s="267"/>
      <c r="BV1003" s="267"/>
      <c r="BW1003" s="267"/>
      <c r="BX1003" s="267"/>
      <c r="BY1003" s="267">
        <f>M1003</f>
        <v>9</v>
      </c>
      <c r="BZ1003" s="267"/>
      <c r="CA1003" s="267"/>
      <c r="CB1003" s="267"/>
      <c r="CC1003" s="267"/>
      <c r="CD1003" s="267"/>
      <c r="CE1003" s="267"/>
      <c r="CF1003" s="267"/>
      <c r="CG1003" s="267"/>
      <c r="CH1003" s="267"/>
      <c r="CI1003" s="267"/>
      <c r="CJ1003" s="267"/>
      <c r="CK1003" s="267"/>
      <c r="CL1003" s="267"/>
      <c r="CM1003" s="267"/>
      <c r="CN1003" s="101">
        <f t="shared" si="135"/>
        <v>9</v>
      </c>
      <c r="CO1003" s="101">
        <f t="shared" si="136"/>
        <v>9</v>
      </c>
    </row>
    <row r="1004" spans="1:93" ht="13.9" customHeight="1" x14ac:dyDescent="0.2">
      <c r="A1004" s="149">
        <v>7547</v>
      </c>
      <c r="B1004" s="150" t="s">
        <v>2522</v>
      </c>
      <c r="C1004" s="150"/>
      <c r="D1004" s="150" t="s">
        <v>2615</v>
      </c>
      <c r="E1004" s="150"/>
      <c r="F1004" s="149">
        <v>527126</v>
      </c>
      <c r="G1004" s="149">
        <v>175600</v>
      </c>
      <c r="H1004" s="150" t="s">
        <v>162</v>
      </c>
      <c r="I1004" s="151"/>
      <c r="J1004" s="151"/>
      <c r="K1004" s="149">
        <v>0</v>
      </c>
      <c r="L1004" s="149">
        <v>3</v>
      </c>
      <c r="M1004" s="149">
        <v>3</v>
      </c>
      <c r="N1004" s="149">
        <v>14</v>
      </c>
      <c r="O1004" s="149">
        <v>14</v>
      </c>
      <c r="P1004" s="152" t="s">
        <v>327</v>
      </c>
      <c r="Q1004" s="150" t="s">
        <v>2524</v>
      </c>
      <c r="R1004" s="150" t="s">
        <v>2525</v>
      </c>
      <c r="S1004" s="151"/>
      <c r="T1004" s="151"/>
      <c r="U1004" s="152"/>
      <c r="V1004" s="150" t="s">
        <v>330</v>
      </c>
      <c r="W1004" s="151"/>
      <c r="X1004" s="150" t="s">
        <v>331</v>
      </c>
      <c r="Y1004" s="150" t="s">
        <v>343</v>
      </c>
      <c r="Z1004" s="150" t="s">
        <v>343</v>
      </c>
      <c r="AA1004" s="150" t="s">
        <v>334</v>
      </c>
      <c r="AB1004" s="153">
        <v>0</v>
      </c>
      <c r="AC1004" s="151"/>
      <c r="AD1004" s="150"/>
      <c r="AE1004" s="151"/>
      <c r="AF1004" s="150" t="s">
        <v>49</v>
      </c>
      <c r="AG1004" s="152" t="s">
        <v>470</v>
      </c>
      <c r="AH1004" s="150"/>
      <c r="AI1004" s="99"/>
      <c r="AJ1004" s="149">
        <v>0</v>
      </c>
      <c r="AK1004" s="99">
        <v>0</v>
      </c>
      <c r="AL1004" s="149">
        <v>0</v>
      </c>
      <c r="AM1004" s="99">
        <v>0</v>
      </c>
      <c r="AN1004" s="149">
        <v>0</v>
      </c>
      <c r="AO1004" s="149">
        <v>0</v>
      </c>
      <c r="AP1004" s="149">
        <v>0</v>
      </c>
      <c r="AQ1004" s="149">
        <v>0</v>
      </c>
      <c r="AR1004" s="149">
        <v>0</v>
      </c>
      <c r="AS1004" s="149">
        <v>0</v>
      </c>
      <c r="AT1004" s="149">
        <v>3</v>
      </c>
      <c r="AU1004" s="149">
        <v>0</v>
      </c>
      <c r="AV1004" s="149">
        <v>0</v>
      </c>
      <c r="AW1004" s="149">
        <v>0</v>
      </c>
      <c r="AX1004" s="149">
        <v>0</v>
      </c>
      <c r="AY1004" s="149">
        <v>0</v>
      </c>
      <c r="AZ1004" s="149">
        <v>0</v>
      </c>
      <c r="BA1004" s="149">
        <v>3</v>
      </c>
      <c r="BB1004" s="149">
        <v>0</v>
      </c>
      <c r="BC1004" s="149">
        <v>0</v>
      </c>
      <c r="BD1004" s="149">
        <v>0</v>
      </c>
      <c r="BE1004" s="149">
        <v>0</v>
      </c>
      <c r="BF1004" s="149">
        <v>0</v>
      </c>
      <c r="BG1004" s="149">
        <v>0</v>
      </c>
      <c r="BH1004" s="149">
        <v>0</v>
      </c>
      <c r="BI1004" s="149">
        <v>0</v>
      </c>
      <c r="BJ1004" s="149">
        <v>0</v>
      </c>
      <c r="BK1004" s="149">
        <v>0</v>
      </c>
      <c r="BL1004" s="149">
        <v>0</v>
      </c>
      <c r="BM1004" s="149">
        <v>0</v>
      </c>
      <c r="BN1004" s="149">
        <v>0</v>
      </c>
      <c r="BO1004" s="149">
        <v>0</v>
      </c>
      <c r="BP1004" s="136" t="s">
        <v>140</v>
      </c>
      <c r="BQ1004" s="136"/>
      <c r="BR1004" s="154" t="s">
        <v>148</v>
      </c>
      <c r="BS1004" s="136">
        <v>19</v>
      </c>
      <c r="BT1004" s="267"/>
      <c r="BU1004" s="267"/>
      <c r="BV1004" s="267"/>
      <c r="BW1004" s="267"/>
      <c r="BX1004" s="267"/>
      <c r="BY1004" s="267">
        <f>M1004</f>
        <v>3</v>
      </c>
      <c r="BZ1004" s="267"/>
      <c r="CA1004" s="267"/>
      <c r="CB1004" s="267"/>
      <c r="CC1004" s="267"/>
      <c r="CD1004" s="267"/>
      <c r="CE1004" s="267"/>
      <c r="CF1004" s="267"/>
      <c r="CG1004" s="267"/>
      <c r="CH1004" s="267"/>
      <c r="CI1004" s="267"/>
      <c r="CJ1004" s="267"/>
      <c r="CK1004" s="267"/>
      <c r="CL1004" s="267"/>
      <c r="CM1004" s="267"/>
      <c r="CN1004" s="101">
        <f t="shared" si="135"/>
        <v>3</v>
      </c>
      <c r="CO1004" s="101">
        <f t="shared" si="136"/>
        <v>3</v>
      </c>
    </row>
    <row r="1005" spans="1:93" ht="13.9" customHeight="1" x14ac:dyDescent="0.2">
      <c r="A1005" s="149">
        <v>7547</v>
      </c>
      <c r="B1005" s="150" t="s">
        <v>2522</v>
      </c>
      <c r="C1005" s="150"/>
      <c r="D1005" s="150" t="s">
        <v>2615</v>
      </c>
      <c r="E1005" s="150"/>
      <c r="F1005" s="149">
        <v>527126</v>
      </c>
      <c r="G1005" s="149">
        <v>175600</v>
      </c>
      <c r="H1005" s="150" t="s">
        <v>162</v>
      </c>
      <c r="I1005" s="151"/>
      <c r="J1005" s="151"/>
      <c r="K1005" s="149">
        <v>0</v>
      </c>
      <c r="L1005" s="149">
        <v>2</v>
      </c>
      <c r="M1005" s="149">
        <v>2</v>
      </c>
      <c r="N1005" s="149">
        <v>14</v>
      </c>
      <c r="O1005" s="149">
        <v>14</v>
      </c>
      <c r="P1005" s="152" t="s">
        <v>327</v>
      </c>
      <c r="Q1005" s="150" t="s">
        <v>2524</v>
      </c>
      <c r="R1005" s="150" t="s">
        <v>2525</v>
      </c>
      <c r="S1005" s="151"/>
      <c r="T1005" s="151"/>
      <c r="U1005" s="152"/>
      <c r="V1005" s="150" t="s">
        <v>330</v>
      </c>
      <c r="W1005" s="151"/>
      <c r="X1005" s="150" t="s">
        <v>331</v>
      </c>
      <c r="Y1005" s="150" t="s">
        <v>343</v>
      </c>
      <c r="Z1005" s="150" t="s">
        <v>343</v>
      </c>
      <c r="AA1005" s="150" t="s">
        <v>334</v>
      </c>
      <c r="AB1005" s="153">
        <v>0</v>
      </c>
      <c r="AC1005" s="151"/>
      <c r="AD1005" s="150"/>
      <c r="AE1005" s="151"/>
      <c r="AF1005" s="150" t="s">
        <v>48</v>
      </c>
      <c r="AG1005" s="152" t="s">
        <v>992</v>
      </c>
      <c r="AH1005" s="150"/>
      <c r="AI1005" s="99"/>
      <c r="AJ1005" s="149">
        <v>0</v>
      </c>
      <c r="AK1005" s="99">
        <v>0</v>
      </c>
      <c r="AL1005" s="149">
        <v>0</v>
      </c>
      <c r="AM1005" s="99">
        <v>0</v>
      </c>
      <c r="AN1005" s="149">
        <v>0</v>
      </c>
      <c r="AO1005" s="149">
        <v>0</v>
      </c>
      <c r="AP1005" s="149">
        <v>0</v>
      </c>
      <c r="AQ1005" s="149">
        <v>0</v>
      </c>
      <c r="AR1005" s="149">
        <v>0</v>
      </c>
      <c r="AS1005" s="149">
        <v>0</v>
      </c>
      <c r="AT1005" s="149">
        <v>2</v>
      </c>
      <c r="AU1005" s="149">
        <v>0</v>
      </c>
      <c r="AV1005" s="149">
        <v>0</v>
      </c>
      <c r="AW1005" s="149">
        <v>0</v>
      </c>
      <c r="AX1005" s="149">
        <v>0</v>
      </c>
      <c r="AY1005" s="149">
        <v>0</v>
      </c>
      <c r="AZ1005" s="149">
        <v>0</v>
      </c>
      <c r="BA1005" s="149">
        <v>2</v>
      </c>
      <c r="BB1005" s="149">
        <v>0</v>
      </c>
      <c r="BC1005" s="149">
        <v>0</v>
      </c>
      <c r="BD1005" s="149">
        <v>0</v>
      </c>
      <c r="BE1005" s="149">
        <v>0</v>
      </c>
      <c r="BF1005" s="149">
        <v>0</v>
      </c>
      <c r="BG1005" s="149">
        <v>0</v>
      </c>
      <c r="BH1005" s="149">
        <v>0</v>
      </c>
      <c r="BI1005" s="149">
        <v>0</v>
      </c>
      <c r="BJ1005" s="149">
        <v>0</v>
      </c>
      <c r="BK1005" s="149">
        <v>0</v>
      </c>
      <c r="BL1005" s="149">
        <v>0</v>
      </c>
      <c r="BM1005" s="149">
        <v>0</v>
      </c>
      <c r="BN1005" s="149">
        <v>0</v>
      </c>
      <c r="BO1005" s="149">
        <v>0</v>
      </c>
      <c r="BP1005" s="136" t="s">
        <v>140</v>
      </c>
      <c r="BQ1005" s="136"/>
      <c r="BR1005" s="154" t="s">
        <v>148</v>
      </c>
      <c r="BS1005" s="136">
        <v>19</v>
      </c>
      <c r="BT1005" s="267"/>
      <c r="BU1005" s="267"/>
      <c r="BV1005" s="267"/>
      <c r="BW1005" s="267"/>
      <c r="BX1005" s="267"/>
      <c r="BY1005" s="267">
        <f>M1005</f>
        <v>2</v>
      </c>
      <c r="BZ1005" s="267"/>
      <c r="CA1005" s="267"/>
      <c r="CB1005" s="267"/>
      <c r="CC1005" s="267"/>
      <c r="CD1005" s="267"/>
      <c r="CE1005" s="267"/>
      <c r="CF1005" s="267"/>
      <c r="CG1005" s="267"/>
      <c r="CH1005" s="267"/>
      <c r="CI1005" s="267"/>
      <c r="CJ1005" s="267"/>
      <c r="CK1005" s="267"/>
      <c r="CL1005" s="267"/>
      <c r="CM1005" s="267"/>
      <c r="CN1005" s="101">
        <f t="shared" si="135"/>
        <v>2</v>
      </c>
      <c r="CO1005" s="101">
        <f t="shared" si="136"/>
        <v>2</v>
      </c>
    </row>
    <row r="1006" spans="1:93" ht="13.9" customHeight="1" x14ac:dyDescent="0.2">
      <c r="A1006" s="149">
        <v>7545</v>
      </c>
      <c r="B1006" s="150" t="s">
        <v>2522</v>
      </c>
      <c r="C1006" s="150"/>
      <c r="D1006" s="150" t="s">
        <v>2616</v>
      </c>
      <c r="E1006" s="150"/>
      <c r="F1006" s="149">
        <v>528896</v>
      </c>
      <c r="G1006" s="149">
        <v>177124</v>
      </c>
      <c r="H1006" s="150" t="s">
        <v>149</v>
      </c>
      <c r="I1006" s="151"/>
      <c r="J1006" s="151"/>
      <c r="K1006" s="149">
        <v>0</v>
      </c>
      <c r="L1006" s="149">
        <v>9</v>
      </c>
      <c r="M1006" s="149">
        <v>9</v>
      </c>
      <c r="N1006" s="149">
        <v>9</v>
      </c>
      <c r="O1006" s="149">
        <v>9</v>
      </c>
      <c r="P1006" s="152"/>
      <c r="Q1006" s="150" t="s">
        <v>2524</v>
      </c>
      <c r="R1006" s="150" t="s">
        <v>2525</v>
      </c>
      <c r="S1006" s="151"/>
      <c r="T1006" s="151"/>
      <c r="U1006" s="152"/>
      <c r="V1006" s="150" t="s">
        <v>330</v>
      </c>
      <c r="W1006" s="151"/>
      <c r="X1006" s="150" t="s">
        <v>331</v>
      </c>
      <c r="Y1006" s="150" t="s">
        <v>343</v>
      </c>
      <c r="Z1006" s="150" t="s">
        <v>334</v>
      </c>
      <c r="AA1006" s="150" t="s">
        <v>363</v>
      </c>
      <c r="AB1006" s="153">
        <v>0</v>
      </c>
      <c r="AC1006" s="151"/>
      <c r="AD1006" s="150"/>
      <c r="AE1006" s="151"/>
      <c r="AF1006" s="150" t="s">
        <v>70</v>
      </c>
      <c r="AG1006" s="152" t="s">
        <v>352</v>
      </c>
      <c r="AH1006" s="150"/>
      <c r="AI1006" s="99"/>
      <c r="AJ1006" s="149">
        <v>0</v>
      </c>
      <c r="AK1006" s="99">
        <v>0</v>
      </c>
      <c r="AL1006" s="149">
        <v>0</v>
      </c>
      <c r="AM1006" s="99">
        <v>0</v>
      </c>
      <c r="AN1006" s="149">
        <v>0</v>
      </c>
      <c r="AO1006" s="149">
        <v>0</v>
      </c>
      <c r="AP1006" s="149">
        <v>0</v>
      </c>
      <c r="AQ1006" s="149">
        <v>0</v>
      </c>
      <c r="AR1006" s="149">
        <v>0</v>
      </c>
      <c r="AS1006" s="149">
        <v>0</v>
      </c>
      <c r="AT1006" s="149">
        <v>9</v>
      </c>
      <c r="AU1006" s="149">
        <v>0</v>
      </c>
      <c r="AV1006" s="149">
        <v>0</v>
      </c>
      <c r="AW1006" s="149">
        <v>0</v>
      </c>
      <c r="AX1006" s="149">
        <v>0</v>
      </c>
      <c r="AY1006" s="149">
        <v>0</v>
      </c>
      <c r="AZ1006" s="149">
        <v>0</v>
      </c>
      <c r="BA1006" s="149">
        <v>9</v>
      </c>
      <c r="BB1006" s="149">
        <v>0</v>
      </c>
      <c r="BC1006" s="149">
        <v>0</v>
      </c>
      <c r="BD1006" s="149">
        <v>0</v>
      </c>
      <c r="BE1006" s="149">
        <v>0</v>
      </c>
      <c r="BF1006" s="149">
        <v>0</v>
      </c>
      <c r="BG1006" s="149">
        <v>0</v>
      </c>
      <c r="BH1006" s="149">
        <v>0</v>
      </c>
      <c r="BI1006" s="149">
        <v>0</v>
      </c>
      <c r="BJ1006" s="149">
        <v>0</v>
      </c>
      <c r="BK1006" s="149">
        <v>0</v>
      </c>
      <c r="BL1006" s="149">
        <v>0</v>
      </c>
      <c r="BM1006" s="149">
        <v>0</v>
      </c>
      <c r="BN1006" s="149">
        <v>0</v>
      </c>
      <c r="BO1006" s="149">
        <v>0</v>
      </c>
      <c r="BP1006" s="136"/>
      <c r="BQ1006" s="136" t="s">
        <v>327</v>
      </c>
      <c r="BR1006" s="154" t="s">
        <v>149</v>
      </c>
      <c r="BS1006" s="136">
        <v>20</v>
      </c>
      <c r="BT1006" s="267"/>
      <c r="BU1006" s="267"/>
      <c r="BV1006" s="267"/>
      <c r="BW1006" s="267"/>
      <c r="BX1006" s="267"/>
      <c r="BY1006" s="267"/>
      <c r="BZ1006" s="267">
        <f>M1006</f>
        <v>9</v>
      </c>
      <c r="CA1006" s="267"/>
      <c r="CB1006" s="267"/>
      <c r="CC1006" s="267"/>
      <c r="CD1006" s="267"/>
      <c r="CE1006" s="267"/>
      <c r="CF1006" s="267"/>
      <c r="CG1006" s="267"/>
      <c r="CH1006" s="267"/>
      <c r="CI1006" s="267"/>
      <c r="CJ1006" s="267"/>
      <c r="CK1006" s="267"/>
      <c r="CL1006" s="267"/>
      <c r="CM1006" s="267"/>
      <c r="CN1006" s="101">
        <f t="shared" si="135"/>
        <v>0</v>
      </c>
      <c r="CO1006" s="101">
        <f t="shared" si="136"/>
        <v>9</v>
      </c>
    </row>
    <row r="1007" spans="1:93" ht="13.9" customHeight="1" x14ac:dyDescent="0.2">
      <c r="A1007" s="149">
        <v>7544</v>
      </c>
      <c r="B1007" s="150" t="s">
        <v>2522</v>
      </c>
      <c r="C1007" s="150"/>
      <c r="D1007" s="150" t="s">
        <v>2617</v>
      </c>
      <c r="E1007" s="150"/>
      <c r="F1007" s="149">
        <v>524433</v>
      </c>
      <c r="G1007" s="149">
        <v>175204</v>
      </c>
      <c r="H1007" s="150" t="s">
        <v>171</v>
      </c>
      <c r="I1007" s="151"/>
      <c r="J1007" s="151"/>
      <c r="K1007" s="149">
        <v>0</v>
      </c>
      <c r="L1007" s="149">
        <v>5</v>
      </c>
      <c r="M1007" s="149">
        <v>5</v>
      </c>
      <c r="N1007" s="149">
        <v>5</v>
      </c>
      <c r="O1007" s="149">
        <v>5</v>
      </c>
      <c r="P1007" s="152"/>
      <c r="Q1007" s="150" t="s">
        <v>2524</v>
      </c>
      <c r="R1007" s="150" t="s">
        <v>2525</v>
      </c>
      <c r="S1007" s="151"/>
      <c r="T1007" s="151"/>
      <c r="U1007" s="152"/>
      <c r="V1007" s="150" t="s">
        <v>330</v>
      </c>
      <c r="W1007" s="151"/>
      <c r="X1007" s="150" t="s">
        <v>331</v>
      </c>
      <c r="Y1007" s="150" t="s">
        <v>343</v>
      </c>
      <c r="Z1007" s="150" t="s">
        <v>334</v>
      </c>
      <c r="AA1007" s="150" t="s">
        <v>363</v>
      </c>
      <c r="AB1007" s="153">
        <v>0</v>
      </c>
      <c r="AC1007" s="151"/>
      <c r="AD1007" s="150"/>
      <c r="AE1007" s="151"/>
      <c r="AF1007" s="150" t="s">
        <v>70</v>
      </c>
      <c r="AG1007" s="152" t="s">
        <v>352</v>
      </c>
      <c r="AH1007" s="150"/>
      <c r="AI1007" s="99"/>
      <c r="AJ1007" s="149">
        <v>0</v>
      </c>
      <c r="AK1007" s="99">
        <v>0</v>
      </c>
      <c r="AL1007" s="149">
        <v>0</v>
      </c>
      <c r="AM1007" s="99">
        <v>0</v>
      </c>
      <c r="AN1007" s="149">
        <v>0</v>
      </c>
      <c r="AO1007" s="149">
        <v>0</v>
      </c>
      <c r="AP1007" s="149">
        <v>0</v>
      </c>
      <c r="AQ1007" s="149">
        <v>0</v>
      </c>
      <c r="AR1007" s="149">
        <v>0</v>
      </c>
      <c r="AS1007" s="149">
        <v>0</v>
      </c>
      <c r="AT1007" s="149">
        <v>5</v>
      </c>
      <c r="AU1007" s="149">
        <v>0</v>
      </c>
      <c r="AV1007" s="149">
        <v>0</v>
      </c>
      <c r="AW1007" s="149">
        <v>0</v>
      </c>
      <c r="AX1007" s="149">
        <v>0</v>
      </c>
      <c r="AY1007" s="149">
        <v>0</v>
      </c>
      <c r="AZ1007" s="149">
        <v>0</v>
      </c>
      <c r="BA1007" s="149">
        <v>5</v>
      </c>
      <c r="BB1007" s="149">
        <v>0</v>
      </c>
      <c r="BC1007" s="149">
        <v>0</v>
      </c>
      <c r="BD1007" s="149">
        <v>0</v>
      </c>
      <c r="BE1007" s="149">
        <v>0</v>
      </c>
      <c r="BF1007" s="149">
        <v>0</v>
      </c>
      <c r="BG1007" s="149">
        <v>0</v>
      </c>
      <c r="BH1007" s="149">
        <v>0</v>
      </c>
      <c r="BI1007" s="149">
        <v>0</v>
      </c>
      <c r="BJ1007" s="149">
        <v>0</v>
      </c>
      <c r="BK1007" s="149">
        <v>0</v>
      </c>
      <c r="BL1007" s="149">
        <v>0</v>
      </c>
      <c r="BM1007" s="149">
        <v>0</v>
      </c>
      <c r="BN1007" s="149">
        <v>0</v>
      </c>
      <c r="BO1007" s="149">
        <v>0</v>
      </c>
      <c r="BP1007" s="136"/>
      <c r="BQ1007" s="136"/>
      <c r="BR1007" s="154" t="s">
        <v>359</v>
      </c>
      <c r="BS1007" s="136">
        <v>19</v>
      </c>
      <c r="BT1007" s="267"/>
      <c r="BU1007" s="267"/>
      <c r="BV1007" s="267"/>
      <c r="BW1007" s="267"/>
      <c r="BX1007" s="267"/>
      <c r="BY1007" s="267">
        <f>M1007</f>
        <v>5</v>
      </c>
      <c r="BZ1007" s="267"/>
      <c r="CA1007" s="267"/>
      <c r="CB1007" s="267"/>
      <c r="CC1007" s="267"/>
      <c r="CD1007" s="267"/>
      <c r="CE1007" s="267"/>
      <c r="CF1007" s="267"/>
      <c r="CG1007" s="267"/>
      <c r="CH1007" s="267"/>
      <c r="CI1007" s="267"/>
      <c r="CJ1007" s="267"/>
      <c r="CK1007" s="267"/>
      <c r="CL1007" s="267"/>
      <c r="CM1007" s="267"/>
      <c r="CN1007" s="101">
        <f t="shared" si="135"/>
        <v>5</v>
      </c>
      <c r="CO1007" s="101">
        <f t="shared" si="136"/>
        <v>5</v>
      </c>
    </row>
    <row r="1008" spans="1:93" ht="13.9" customHeight="1" x14ac:dyDescent="0.2">
      <c r="A1008" s="149">
        <v>7538</v>
      </c>
      <c r="B1008" s="150" t="s">
        <v>2522</v>
      </c>
      <c r="C1008" s="150"/>
      <c r="D1008" s="150" t="s">
        <v>2618</v>
      </c>
      <c r="E1008" s="150"/>
      <c r="F1008" s="149">
        <v>527505</v>
      </c>
      <c r="G1008" s="149">
        <v>175729</v>
      </c>
      <c r="H1008" s="150" t="s">
        <v>162</v>
      </c>
      <c r="I1008" s="151"/>
      <c r="J1008" s="151"/>
      <c r="K1008" s="149">
        <v>0</v>
      </c>
      <c r="L1008" s="149">
        <v>8</v>
      </c>
      <c r="M1008" s="149">
        <v>8</v>
      </c>
      <c r="N1008" s="149">
        <v>8</v>
      </c>
      <c r="O1008" s="149">
        <v>8</v>
      </c>
      <c r="P1008" s="152"/>
      <c r="Q1008" s="150" t="s">
        <v>2524</v>
      </c>
      <c r="R1008" s="150" t="s">
        <v>2525</v>
      </c>
      <c r="S1008" s="151"/>
      <c r="T1008" s="151"/>
      <c r="U1008" s="152"/>
      <c r="V1008" s="150" t="s">
        <v>330</v>
      </c>
      <c r="W1008" s="151"/>
      <c r="X1008" s="150" t="s">
        <v>331</v>
      </c>
      <c r="Y1008" s="150" t="s">
        <v>343</v>
      </c>
      <c r="Z1008" s="150" t="s">
        <v>334</v>
      </c>
      <c r="AA1008" s="150" t="s">
        <v>363</v>
      </c>
      <c r="AB1008" s="153">
        <v>0</v>
      </c>
      <c r="AC1008" s="151"/>
      <c r="AD1008" s="150"/>
      <c r="AE1008" s="151"/>
      <c r="AF1008" s="150" t="s">
        <v>70</v>
      </c>
      <c r="AG1008" s="152" t="s">
        <v>352</v>
      </c>
      <c r="AH1008" s="150"/>
      <c r="AI1008" s="99"/>
      <c r="AJ1008" s="149">
        <v>0</v>
      </c>
      <c r="AK1008" s="99">
        <v>0</v>
      </c>
      <c r="AL1008" s="149">
        <v>0</v>
      </c>
      <c r="AM1008" s="99">
        <v>0</v>
      </c>
      <c r="AN1008" s="149">
        <v>0</v>
      </c>
      <c r="AO1008" s="149">
        <v>0</v>
      </c>
      <c r="AP1008" s="149">
        <v>0</v>
      </c>
      <c r="AQ1008" s="149">
        <v>0</v>
      </c>
      <c r="AR1008" s="149">
        <v>0</v>
      </c>
      <c r="AS1008" s="149">
        <v>0</v>
      </c>
      <c r="AT1008" s="149">
        <v>8</v>
      </c>
      <c r="AU1008" s="149">
        <v>0</v>
      </c>
      <c r="AV1008" s="149">
        <v>0</v>
      </c>
      <c r="AW1008" s="149">
        <v>0</v>
      </c>
      <c r="AX1008" s="149">
        <v>0</v>
      </c>
      <c r="AY1008" s="149">
        <v>0</v>
      </c>
      <c r="AZ1008" s="149">
        <v>0</v>
      </c>
      <c r="BA1008" s="149">
        <v>8</v>
      </c>
      <c r="BB1008" s="149">
        <v>0</v>
      </c>
      <c r="BC1008" s="149">
        <v>0</v>
      </c>
      <c r="BD1008" s="149">
        <v>0</v>
      </c>
      <c r="BE1008" s="149">
        <v>0</v>
      </c>
      <c r="BF1008" s="149">
        <v>0</v>
      </c>
      <c r="BG1008" s="149">
        <v>0</v>
      </c>
      <c r="BH1008" s="149">
        <v>0</v>
      </c>
      <c r="BI1008" s="149">
        <v>0</v>
      </c>
      <c r="BJ1008" s="149">
        <v>0</v>
      </c>
      <c r="BK1008" s="149">
        <v>0</v>
      </c>
      <c r="BL1008" s="149">
        <v>0</v>
      </c>
      <c r="BM1008" s="149">
        <v>0</v>
      </c>
      <c r="BN1008" s="149">
        <v>0</v>
      </c>
      <c r="BO1008" s="149">
        <v>0</v>
      </c>
      <c r="BP1008" s="136"/>
      <c r="BQ1008" s="136"/>
      <c r="BR1008" s="154" t="s">
        <v>148</v>
      </c>
      <c r="BS1008" s="136">
        <v>19</v>
      </c>
      <c r="BT1008" s="267"/>
      <c r="BU1008" s="267"/>
      <c r="BV1008" s="267"/>
      <c r="BW1008" s="267"/>
      <c r="BX1008" s="267"/>
      <c r="BY1008" s="267">
        <f>M1008</f>
        <v>8</v>
      </c>
      <c r="BZ1008" s="267"/>
      <c r="CA1008" s="267"/>
      <c r="CB1008" s="267"/>
      <c r="CC1008" s="267"/>
      <c r="CD1008" s="267"/>
      <c r="CE1008" s="267"/>
      <c r="CF1008" s="267"/>
      <c r="CG1008" s="267"/>
      <c r="CH1008" s="267"/>
      <c r="CI1008" s="267"/>
      <c r="CJ1008" s="267"/>
      <c r="CK1008" s="267"/>
      <c r="CL1008" s="267"/>
      <c r="CM1008" s="267"/>
      <c r="CN1008" s="101">
        <f t="shared" si="135"/>
        <v>8</v>
      </c>
      <c r="CO1008" s="101">
        <f t="shared" si="136"/>
        <v>8</v>
      </c>
    </row>
    <row r="1009" spans="1:93" ht="13.9" customHeight="1" x14ac:dyDescent="0.2">
      <c r="A1009" s="149">
        <v>6866</v>
      </c>
      <c r="B1009" s="150" t="s">
        <v>2522</v>
      </c>
      <c r="C1009" s="150"/>
      <c r="D1009" s="150" t="s">
        <v>2619</v>
      </c>
      <c r="E1009" s="150"/>
      <c r="F1009" s="149">
        <v>528627</v>
      </c>
      <c r="G1009" s="149">
        <v>173224</v>
      </c>
      <c r="H1009" s="150" t="s">
        <v>139</v>
      </c>
      <c r="I1009" s="151"/>
      <c r="J1009" s="151"/>
      <c r="K1009" s="149">
        <v>0</v>
      </c>
      <c r="L1009" s="149">
        <v>38</v>
      </c>
      <c r="M1009" s="149">
        <v>38</v>
      </c>
      <c r="N1009" s="149">
        <v>59</v>
      </c>
      <c r="O1009" s="149">
        <v>59</v>
      </c>
      <c r="P1009" s="152" t="s">
        <v>327</v>
      </c>
      <c r="Q1009" s="150" t="s">
        <v>2524</v>
      </c>
      <c r="R1009" s="150" t="s">
        <v>2525</v>
      </c>
      <c r="S1009" s="151"/>
      <c r="T1009" s="151"/>
      <c r="U1009" s="152"/>
      <c r="V1009" s="150" t="s">
        <v>330</v>
      </c>
      <c r="W1009" s="151"/>
      <c r="X1009" s="150" t="s">
        <v>331</v>
      </c>
      <c r="Y1009" s="150" t="s">
        <v>343</v>
      </c>
      <c r="Z1009" s="150" t="s">
        <v>343</v>
      </c>
      <c r="AA1009" s="150" t="s">
        <v>334</v>
      </c>
      <c r="AB1009" s="153">
        <v>0</v>
      </c>
      <c r="AC1009" s="151"/>
      <c r="AD1009" s="150"/>
      <c r="AE1009" s="151"/>
      <c r="AF1009" s="150" t="s">
        <v>70</v>
      </c>
      <c r="AG1009" s="152" t="s">
        <v>352</v>
      </c>
      <c r="AH1009" s="150" t="s">
        <v>2620</v>
      </c>
      <c r="AI1009" s="99"/>
      <c r="AJ1009" s="149">
        <v>0</v>
      </c>
      <c r="AK1009" s="99">
        <v>0</v>
      </c>
      <c r="AL1009" s="149">
        <v>0</v>
      </c>
      <c r="AM1009" s="99">
        <v>0</v>
      </c>
      <c r="AN1009" s="149">
        <v>0</v>
      </c>
      <c r="AO1009" s="149">
        <v>0</v>
      </c>
      <c r="AP1009" s="149">
        <v>0</v>
      </c>
      <c r="AQ1009" s="149">
        <v>0</v>
      </c>
      <c r="AR1009" s="149">
        <v>0</v>
      </c>
      <c r="AS1009" s="149">
        <v>0</v>
      </c>
      <c r="AT1009" s="149">
        <v>38</v>
      </c>
      <c r="AU1009" s="149">
        <v>0</v>
      </c>
      <c r="AV1009" s="149">
        <v>0</v>
      </c>
      <c r="AW1009" s="149">
        <v>0</v>
      </c>
      <c r="AX1009" s="149">
        <v>0</v>
      </c>
      <c r="AY1009" s="149">
        <v>0</v>
      </c>
      <c r="AZ1009" s="149">
        <v>0</v>
      </c>
      <c r="BA1009" s="149">
        <v>38</v>
      </c>
      <c r="BB1009" s="149">
        <v>0</v>
      </c>
      <c r="BC1009" s="149">
        <v>0</v>
      </c>
      <c r="BD1009" s="149">
        <v>0</v>
      </c>
      <c r="BE1009" s="149">
        <v>0</v>
      </c>
      <c r="BF1009" s="149">
        <v>0</v>
      </c>
      <c r="BG1009" s="149">
        <v>0</v>
      </c>
      <c r="BH1009" s="149">
        <v>0</v>
      </c>
      <c r="BI1009" s="149">
        <v>0</v>
      </c>
      <c r="BJ1009" s="149">
        <v>0</v>
      </c>
      <c r="BK1009" s="149">
        <v>0</v>
      </c>
      <c r="BL1009" s="149">
        <v>0</v>
      </c>
      <c r="BM1009" s="149">
        <v>0</v>
      </c>
      <c r="BN1009" s="149">
        <v>0</v>
      </c>
      <c r="BO1009" s="149">
        <v>0</v>
      </c>
      <c r="BP1009" s="136" t="s">
        <v>139</v>
      </c>
      <c r="BQ1009" s="136"/>
      <c r="BR1009" s="154" t="s">
        <v>139</v>
      </c>
      <c r="BS1009" s="136">
        <v>19</v>
      </c>
      <c r="BT1009" s="267"/>
      <c r="BU1009" s="267"/>
      <c r="BV1009" s="267"/>
      <c r="BW1009" s="267"/>
      <c r="BX1009" s="267"/>
      <c r="BY1009" s="267"/>
      <c r="BZ1009" s="267"/>
      <c r="CA1009" s="267"/>
      <c r="CB1009" s="267"/>
      <c r="CC1009" s="267">
        <f>M1009/12</f>
        <v>3.1666666666666665</v>
      </c>
      <c r="CD1009" s="267">
        <f>M1009/12</f>
        <v>3.1666666666666665</v>
      </c>
      <c r="CE1009" s="267">
        <f>M1009/12</f>
        <v>3.1666666666666665</v>
      </c>
      <c r="CF1009" s="267">
        <f>M1009/12</f>
        <v>3.1666666666666665</v>
      </c>
      <c r="CG1009" s="267">
        <f>M1009/12</f>
        <v>3.1666666666666665</v>
      </c>
      <c r="CH1009" s="267">
        <f>M1009/12</f>
        <v>3.1666666666666665</v>
      </c>
      <c r="CI1009" s="267">
        <f>M1009/12</f>
        <v>3.1666666666666665</v>
      </c>
      <c r="CJ1009" s="267">
        <f>M1009/12</f>
        <v>3.1666666666666665</v>
      </c>
      <c r="CK1009" s="267">
        <f>M1009/12</f>
        <v>3.1666666666666665</v>
      </c>
      <c r="CL1009" s="267">
        <f>M1009/12</f>
        <v>3.1666666666666665</v>
      </c>
      <c r="CM1009" s="267">
        <f>M1009/12</f>
        <v>3.1666666666666665</v>
      </c>
      <c r="CN1009" s="101">
        <f t="shared" si="135"/>
        <v>0</v>
      </c>
      <c r="CO1009" s="101">
        <f t="shared" si="136"/>
        <v>6.333333333333333</v>
      </c>
    </row>
    <row r="1010" spans="1:93" ht="13.9" customHeight="1" x14ac:dyDescent="0.2">
      <c r="A1010" s="149">
        <v>6866</v>
      </c>
      <c r="B1010" s="150" t="s">
        <v>2522</v>
      </c>
      <c r="C1010" s="150"/>
      <c r="D1010" s="150" t="s">
        <v>2619</v>
      </c>
      <c r="E1010" s="150"/>
      <c r="F1010" s="149">
        <v>528627</v>
      </c>
      <c r="G1010" s="149">
        <v>173224</v>
      </c>
      <c r="H1010" s="150" t="s">
        <v>139</v>
      </c>
      <c r="I1010" s="151"/>
      <c r="J1010" s="151"/>
      <c r="K1010" s="149">
        <v>0</v>
      </c>
      <c r="L1010" s="149">
        <v>11</v>
      </c>
      <c r="M1010" s="149">
        <v>11</v>
      </c>
      <c r="N1010" s="149">
        <v>59</v>
      </c>
      <c r="O1010" s="149">
        <v>59</v>
      </c>
      <c r="P1010" s="152" t="s">
        <v>327</v>
      </c>
      <c r="Q1010" s="150" t="s">
        <v>2524</v>
      </c>
      <c r="R1010" s="150" t="s">
        <v>2525</v>
      </c>
      <c r="S1010" s="151"/>
      <c r="T1010" s="151"/>
      <c r="U1010" s="152"/>
      <c r="V1010" s="150" t="s">
        <v>330</v>
      </c>
      <c r="W1010" s="151"/>
      <c r="X1010" s="150" t="s">
        <v>331</v>
      </c>
      <c r="Y1010" s="150" t="s">
        <v>343</v>
      </c>
      <c r="Z1010" s="150" t="s">
        <v>343</v>
      </c>
      <c r="AA1010" s="150" t="s">
        <v>334</v>
      </c>
      <c r="AB1010" s="153">
        <v>0</v>
      </c>
      <c r="AC1010" s="151"/>
      <c r="AD1010" s="150"/>
      <c r="AE1010" s="151"/>
      <c r="AF1010" s="150" t="s">
        <v>49</v>
      </c>
      <c r="AG1010" s="152" t="s">
        <v>470</v>
      </c>
      <c r="AH1010" s="150" t="s">
        <v>2620</v>
      </c>
      <c r="AI1010" s="99"/>
      <c r="AJ1010" s="149">
        <v>0</v>
      </c>
      <c r="AK1010" s="99">
        <v>0</v>
      </c>
      <c r="AL1010" s="149">
        <v>0</v>
      </c>
      <c r="AM1010" s="99">
        <v>0</v>
      </c>
      <c r="AN1010" s="149">
        <v>0</v>
      </c>
      <c r="AO1010" s="149">
        <v>0</v>
      </c>
      <c r="AP1010" s="149">
        <v>0</v>
      </c>
      <c r="AQ1010" s="149">
        <v>0</v>
      </c>
      <c r="AR1010" s="149">
        <v>0</v>
      </c>
      <c r="AS1010" s="149">
        <v>0</v>
      </c>
      <c r="AT1010" s="149">
        <v>11</v>
      </c>
      <c r="AU1010" s="149">
        <v>0</v>
      </c>
      <c r="AV1010" s="149">
        <v>0</v>
      </c>
      <c r="AW1010" s="149">
        <v>0</v>
      </c>
      <c r="AX1010" s="149">
        <v>0</v>
      </c>
      <c r="AY1010" s="149">
        <v>0</v>
      </c>
      <c r="AZ1010" s="149">
        <v>0</v>
      </c>
      <c r="BA1010" s="149">
        <v>11</v>
      </c>
      <c r="BB1010" s="149">
        <v>0</v>
      </c>
      <c r="BC1010" s="149">
        <v>0</v>
      </c>
      <c r="BD1010" s="149">
        <v>0</v>
      </c>
      <c r="BE1010" s="149">
        <v>0</v>
      </c>
      <c r="BF1010" s="149">
        <v>0</v>
      </c>
      <c r="BG1010" s="149">
        <v>0</v>
      </c>
      <c r="BH1010" s="149">
        <v>0</v>
      </c>
      <c r="BI1010" s="149">
        <v>0</v>
      </c>
      <c r="BJ1010" s="149">
        <v>0</v>
      </c>
      <c r="BK1010" s="149">
        <v>0</v>
      </c>
      <c r="BL1010" s="149">
        <v>0</v>
      </c>
      <c r="BM1010" s="149">
        <v>0</v>
      </c>
      <c r="BN1010" s="149">
        <v>0</v>
      </c>
      <c r="BO1010" s="149">
        <v>0</v>
      </c>
      <c r="BP1010" s="136" t="s">
        <v>139</v>
      </c>
      <c r="BQ1010" s="136"/>
      <c r="BR1010" s="154" t="s">
        <v>139</v>
      </c>
      <c r="BS1010" s="136">
        <v>19</v>
      </c>
      <c r="BT1010" s="267"/>
      <c r="BU1010" s="267"/>
      <c r="BV1010" s="267"/>
      <c r="BW1010" s="267"/>
      <c r="BX1010" s="267"/>
      <c r="BY1010" s="267"/>
      <c r="BZ1010" s="267"/>
      <c r="CA1010" s="267"/>
      <c r="CB1010" s="267"/>
      <c r="CC1010" s="267">
        <f>M1010/12</f>
        <v>0.91666666666666663</v>
      </c>
      <c r="CD1010" s="267">
        <f>M1010/12</f>
        <v>0.91666666666666663</v>
      </c>
      <c r="CE1010" s="267">
        <f>M1010/12</f>
        <v>0.91666666666666663</v>
      </c>
      <c r="CF1010" s="267">
        <f>M1010/12</f>
        <v>0.91666666666666663</v>
      </c>
      <c r="CG1010" s="267">
        <f>M1010/12</f>
        <v>0.91666666666666663</v>
      </c>
      <c r="CH1010" s="267">
        <f>M1010/12</f>
        <v>0.91666666666666663</v>
      </c>
      <c r="CI1010" s="267">
        <f>M1010/12</f>
        <v>0.91666666666666663</v>
      </c>
      <c r="CJ1010" s="267">
        <f>M1010/12</f>
        <v>0.91666666666666663</v>
      </c>
      <c r="CK1010" s="267">
        <f>M1010/12</f>
        <v>0.91666666666666663</v>
      </c>
      <c r="CL1010" s="267">
        <f>M1010/12</f>
        <v>0.91666666666666663</v>
      </c>
      <c r="CM1010" s="267">
        <f>M1010/12</f>
        <v>0.91666666666666663</v>
      </c>
      <c r="CN1010" s="101">
        <f t="shared" si="135"/>
        <v>0</v>
      </c>
      <c r="CO1010" s="101">
        <f t="shared" si="136"/>
        <v>1.8333333333333333</v>
      </c>
    </row>
    <row r="1011" spans="1:93" ht="13.9" customHeight="1" x14ac:dyDescent="0.2">
      <c r="A1011" s="149">
        <v>6866</v>
      </c>
      <c r="B1011" s="150" t="s">
        <v>2522</v>
      </c>
      <c r="C1011" s="150"/>
      <c r="D1011" s="150" t="s">
        <v>2619</v>
      </c>
      <c r="E1011" s="150"/>
      <c r="F1011" s="149">
        <v>528627</v>
      </c>
      <c r="G1011" s="149">
        <v>173224</v>
      </c>
      <c r="H1011" s="150" t="s">
        <v>139</v>
      </c>
      <c r="I1011" s="151"/>
      <c r="J1011" s="151"/>
      <c r="K1011" s="149">
        <v>0</v>
      </c>
      <c r="L1011" s="149">
        <v>10</v>
      </c>
      <c r="M1011" s="149">
        <v>10</v>
      </c>
      <c r="N1011" s="149">
        <v>59</v>
      </c>
      <c r="O1011" s="149">
        <v>59</v>
      </c>
      <c r="P1011" s="152" t="s">
        <v>327</v>
      </c>
      <c r="Q1011" s="150" t="s">
        <v>2524</v>
      </c>
      <c r="R1011" s="150" t="s">
        <v>2525</v>
      </c>
      <c r="S1011" s="151"/>
      <c r="T1011" s="151"/>
      <c r="U1011" s="152"/>
      <c r="V1011" s="150" t="s">
        <v>330</v>
      </c>
      <c r="W1011" s="151"/>
      <c r="X1011" s="150" t="s">
        <v>331</v>
      </c>
      <c r="Y1011" s="150" t="s">
        <v>343</v>
      </c>
      <c r="Z1011" s="150" t="s">
        <v>343</v>
      </c>
      <c r="AA1011" s="150" t="s">
        <v>334</v>
      </c>
      <c r="AB1011" s="153">
        <v>0</v>
      </c>
      <c r="AC1011" s="151"/>
      <c r="AD1011" s="150"/>
      <c r="AE1011" s="151"/>
      <c r="AF1011" s="150" t="s">
        <v>48</v>
      </c>
      <c r="AG1011" s="152" t="s">
        <v>992</v>
      </c>
      <c r="AH1011" s="150" t="s">
        <v>2620</v>
      </c>
      <c r="AI1011" s="99"/>
      <c r="AJ1011" s="149">
        <v>0</v>
      </c>
      <c r="AK1011" s="99">
        <v>0</v>
      </c>
      <c r="AL1011" s="149">
        <v>0</v>
      </c>
      <c r="AM1011" s="99">
        <v>0</v>
      </c>
      <c r="AN1011" s="149">
        <v>0</v>
      </c>
      <c r="AO1011" s="149">
        <v>0</v>
      </c>
      <c r="AP1011" s="149">
        <v>0</v>
      </c>
      <c r="AQ1011" s="149">
        <v>0</v>
      </c>
      <c r="AR1011" s="149">
        <v>0</v>
      </c>
      <c r="AS1011" s="149">
        <v>0</v>
      </c>
      <c r="AT1011" s="149">
        <v>10</v>
      </c>
      <c r="AU1011" s="149">
        <v>0</v>
      </c>
      <c r="AV1011" s="149">
        <v>0</v>
      </c>
      <c r="AW1011" s="149">
        <v>0</v>
      </c>
      <c r="AX1011" s="149">
        <v>0</v>
      </c>
      <c r="AY1011" s="149">
        <v>0</v>
      </c>
      <c r="AZ1011" s="149">
        <v>0</v>
      </c>
      <c r="BA1011" s="149">
        <v>10</v>
      </c>
      <c r="BB1011" s="149">
        <v>0</v>
      </c>
      <c r="BC1011" s="149">
        <v>0</v>
      </c>
      <c r="BD1011" s="149">
        <v>0</v>
      </c>
      <c r="BE1011" s="149">
        <v>0</v>
      </c>
      <c r="BF1011" s="149">
        <v>0</v>
      </c>
      <c r="BG1011" s="149">
        <v>0</v>
      </c>
      <c r="BH1011" s="149">
        <v>0</v>
      </c>
      <c r="BI1011" s="149">
        <v>0</v>
      </c>
      <c r="BJ1011" s="149">
        <v>0</v>
      </c>
      <c r="BK1011" s="149">
        <v>0</v>
      </c>
      <c r="BL1011" s="149">
        <v>0</v>
      </c>
      <c r="BM1011" s="149">
        <v>0</v>
      </c>
      <c r="BN1011" s="149">
        <v>0</v>
      </c>
      <c r="BO1011" s="149">
        <v>0</v>
      </c>
      <c r="BP1011" s="136" t="s">
        <v>139</v>
      </c>
      <c r="BQ1011" s="136"/>
      <c r="BR1011" s="154" t="s">
        <v>139</v>
      </c>
      <c r="BS1011" s="136">
        <v>19</v>
      </c>
      <c r="BT1011" s="267"/>
      <c r="BU1011" s="267"/>
      <c r="BV1011" s="267"/>
      <c r="BW1011" s="267"/>
      <c r="BX1011" s="267"/>
      <c r="BY1011" s="267"/>
      <c r="BZ1011" s="267"/>
      <c r="CA1011" s="267"/>
      <c r="CB1011" s="267"/>
      <c r="CC1011" s="267">
        <f>M1011/12</f>
        <v>0.83333333333333337</v>
      </c>
      <c r="CD1011" s="267">
        <f>M1011/12</f>
        <v>0.83333333333333337</v>
      </c>
      <c r="CE1011" s="267">
        <f>M1011/12</f>
        <v>0.83333333333333337</v>
      </c>
      <c r="CF1011" s="267">
        <f>M1011/12</f>
        <v>0.83333333333333337</v>
      </c>
      <c r="CG1011" s="267">
        <f>M1011/12</f>
        <v>0.83333333333333337</v>
      </c>
      <c r="CH1011" s="267">
        <f>M1011/12</f>
        <v>0.83333333333333337</v>
      </c>
      <c r="CI1011" s="267">
        <f>M1011/12</f>
        <v>0.83333333333333337</v>
      </c>
      <c r="CJ1011" s="267">
        <f>M1011/12</f>
        <v>0.83333333333333337</v>
      </c>
      <c r="CK1011" s="267">
        <f>M1011/12</f>
        <v>0.83333333333333337</v>
      </c>
      <c r="CL1011" s="267">
        <f>M1011/12</f>
        <v>0.83333333333333337</v>
      </c>
      <c r="CM1011" s="267">
        <f>M1011/12</f>
        <v>0.83333333333333337</v>
      </c>
      <c r="CN1011" s="101">
        <f t="shared" si="135"/>
        <v>0</v>
      </c>
      <c r="CO1011" s="101">
        <f t="shared" si="136"/>
        <v>1.6666666666666667</v>
      </c>
    </row>
    <row r="1012" spans="1:93" ht="13.9" customHeight="1" x14ac:dyDescent="0.2">
      <c r="A1012" s="149">
        <v>3970</v>
      </c>
      <c r="B1012" s="150" t="s">
        <v>2522</v>
      </c>
      <c r="C1012" s="150"/>
      <c r="D1012" s="150" t="s">
        <v>2621</v>
      </c>
      <c r="E1012" s="150"/>
      <c r="F1012" s="149">
        <v>524058</v>
      </c>
      <c r="G1012" s="149">
        <v>175199</v>
      </c>
      <c r="H1012" s="150" t="s">
        <v>171</v>
      </c>
      <c r="I1012" s="151"/>
      <c r="J1012" s="151"/>
      <c r="K1012" s="149">
        <v>0</v>
      </c>
      <c r="L1012" s="149">
        <v>3</v>
      </c>
      <c r="M1012" s="149">
        <v>3</v>
      </c>
      <c r="N1012" s="149">
        <v>3</v>
      </c>
      <c r="O1012" s="149">
        <v>3</v>
      </c>
      <c r="P1012" s="152"/>
      <c r="Q1012" s="150" t="s">
        <v>2524</v>
      </c>
      <c r="R1012" s="150" t="s">
        <v>2525</v>
      </c>
      <c r="S1012" s="151"/>
      <c r="T1012" s="151"/>
      <c r="U1012" s="152"/>
      <c r="V1012" s="150" t="s">
        <v>330</v>
      </c>
      <c r="W1012" s="151"/>
      <c r="X1012" s="150" t="s">
        <v>331</v>
      </c>
      <c r="Y1012" s="150" t="s">
        <v>343</v>
      </c>
      <c r="Z1012" s="150" t="s">
        <v>334</v>
      </c>
      <c r="AA1012" s="150" t="s">
        <v>363</v>
      </c>
      <c r="AB1012" s="153">
        <v>0</v>
      </c>
      <c r="AC1012" s="151"/>
      <c r="AD1012" s="150"/>
      <c r="AE1012" s="151"/>
      <c r="AF1012" s="150" t="s">
        <v>70</v>
      </c>
      <c r="AG1012" s="152" t="s">
        <v>352</v>
      </c>
      <c r="AH1012" s="150" t="s">
        <v>2622</v>
      </c>
      <c r="AI1012" s="99"/>
      <c r="AJ1012" s="149">
        <v>0</v>
      </c>
      <c r="AK1012" s="99">
        <v>0</v>
      </c>
      <c r="AL1012" s="149">
        <v>0</v>
      </c>
      <c r="AM1012" s="99">
        <v>0</v>
      </c>
      <c r="AN1012" s="149">
        <v>0</v>
      </c>
      <c r="AO1012" s="149">
        <v>0</v>
      </c>
      <c r="AP1012" s="149">
        <v>0</v>
      </c>
      <c r="AQ1012" s="149">
        <v>0</v>
      </c>
      <c r="AR1012" s="149">
        <v>0</v>
      </c>
      <c r="AS1012" s="149">
        <v>0</v>
      </c>
      <c r="AT1012" s="149">
        <v>3</v>
      </c>
      <c r="AU1012" s="149">
        <v>0</v>
      </c>
      <c r="AV1012" s="149">
        <v>0</v>
      </c>
      <c r="AW1012" s="149">
        <v>0</v>
      </c>
      <c r="AX1012" s="149">
        <v>0</v>
      </c>
      <c r="AY1012" s="149">
        <v>0</v>
      </c>
      <c r="AZ1012" s="149">
        <v>0</v>
      </c>
      <c r="BA1012" s="149">
        <v>3</v>
      </c>
      <c r="BB1012" s="149">
        <v>0</v>
      </c>
      <c r="BC1012" s="149">
        <v>0</v>
      </c>
      <c r="BD1012" s="149">
        <v>0</v>
      </c>
      <c r="BE1012" s="149">
        <v>0</v>
      </c>
      <c r="BF1012" s="149">
        <v>0</v>
      </c>
      <c r="BG1012" s="149">
        <v>0</v>
      </c>
      <c r="BH1012" s="149">
        <v>0</v>
      </c>
      <c r="BI1012" s="149">
        <v>0</v>
      </c>
      <c r="BJ1012" s="149">
        <v>0</v>
      </c>
      <c r="BK1012" s="149">
        <v>0</v>
      </c>
      <c r="BL1012" s="149">
        <v>0</v>
      </c>
      <c r="BM1012" s="149">
        <v>0</v>
      </c>
      <c r="BN1012" s="149">
        <v>0</v>
      </c>
      <c r="BO1012" s="149">
        <v>0</v>
      </c>
      <c r="BP1012" s="136" t="s">
        <v>141</v>
      </c>
      <c r="BQ1012" s="136"/>
      <c r="BR1012" s="154" t="s">
        <v>141</v>
      </c>
      <c r="BS1012" s="136">
        <v>19</v>
      </c>
      <c r="BT1012" s="267"/>
      <c r="BU1012" s="267"/>
      <c r="BV1012" s="267"/>
      <c r="BW1012" s="267"/>
      <c r="BX1012" s="267"/>
      <c r="BY1012" s="267"/>
      <c r="BZ1012" s="267"/>
      <c r="CA1012" s="267"/>
      <c r="CB1012" s="267"/>
      <c r="CC1012" s="267">
        <f>M1012/12</f>
        <v>0.25</v>
      </c>
      <c r="CD1012" s="267">
        <f>M1012/12</f>
        <v>0.25</v>
      </c>
      <c r="CE1012" s="267">
        <f>M1012/12</f>
        <v>0.25</v>
      </c>
      <c r="CF1012" s="267">
        <f>M1012/12</f>
        <v>0.25</v>
      </c>
      <c r="CG1012" s="267">
        <f>M1012/12</f>
        <v>0.25</v>
      </c>
      <c r="CH1012" s="267">
        <f>M1012/12</f>
        <v>0.25</v>
      </c>
      <c r="CI1012" s="267">
        <f>M1012/12</f>
        <v>0.25</v>
      </c>
      <c r="CJ1012" s="267">
        <f>M1012/12</f>
        <v>0.25</v>
      </c>
      <c r="CK1012" s="267">
        <f>M1012/12</f>
        <v>0.25</v>
      </c>
      <c r="CL1012" s="267">
        <f>M1012/12</f>
        <v>0.25</v>
      </c>
      <c r="CM1012" s="267">
        <f>M1012/12</f>
        <v>0.25</v>
      </c>
      <c r="CN1012" s="101">
        <f t="shared" si="135"/>
        <v>0</v>
      </c>
      <c r="CO1012" s="101">
        <f t="shared" si="136"/>
        <v>0.5</v>
      </c>
    </row>
    <row r="1013" spans="1:93" ht="13.9" customHeight="1" x14ac:dyDescent="0.2">
      <c r="A1013" s="149">
        <v>3942</v>
      </c>
      <c r="B1013" s="150" t="s">
        <v>2522</v>
      </c>
      <c r="C1013" s="150"/>
      <c r="D1013" s="150" t="s">
        <v>2623</v>
      </c>
      <c r="E1013" s="150"/>
      <c r="F1013" s="149">
        <v>529292</v>
      </c>
      <c r="G1013" s="149">
        <v>177503</v>
      </c>
      <c r="H1013" s="150" t="s">
        <v>149</v>
      </c>
      <c r="I1013" s="151"/>
      <c r="J1013" s="151"/>
      <c r="K1013" s="149">
        <v>0</v>
      </c>
      <c r="L1013" s="149">
        <v>135</v>
      </c>
      <c r="M1013" s="149">
        <v>135</v>
      </c>
      <c r="N1013" s="149">
        <v>208</v>
      </c>
      <c r="O1013" s="149">
        <v>208</v>
      </c>
      <c r="P1013" s="152" t="s">
        <v>327</v>
      </c>
      <c r="Q1013" s="150" t="s">
        <v>2524</v>
      </c>
      <c r="R1013" s="150" t="s">
        <v>2525</v>
      </c>
      <c r="S1013" s="151"/>
      <c r="T1013" s="151"/>
      <c r="U1013" s="152"/>
      <c r="V1013" s="150" t="s">
        <v>330</v>
      </c>
      <c r="W1013" s="151"/>
      <c r="X1013" s="150" t="s">
        <v>331</v>
      </c>
      <c r="Y1013" s="150" t="s">
        <v>343</v>
      </c>
      <c r="Z1013" s="150" t="s">
        <v>343</v>
      </c>
      <c r="AA1013" s="150" t="s">
        <v>334</v>
      </c>
      <c r="AB1013" s="153">
        <v>0</v>
      </c>
      <c r="AC1013" s="151"/>
      <c r="AD1013" s="150"/>
      <c r="AE1013" s="151"/>
      <c r="AF1013" s="150" t="s">
        <v>70</v>
      </c>
      <c r="AG1013" s="152" t="s">
        <v>352</v>
      </c>
      <c r="AH1013" s="150" t="s">
        <v>2624</v>
      </c>
      <c r="AI1013" s="99"/>
      <c r="AJ1013" s="149">
        <v>0</v>
      </c>
      <c r="AK1013" s="99">
        <v>0</v>
      </c>
      <c r="AL1013" s="149">
        <v>0</v>
      </c>
      <c r="AM1013" s="99">
        <v>0</v>
      </c>
      <c r="AN1013" s="149">
        <v>0</v>
      </c>
      <c r="AO1013" s="149">
        <v>0</v>
      </c>
      <c r="AP1013" s="149">
        <v>0</v>
      </c>
      <c r="AQ1013" s="149">
        <v>0</v>
      </c>
      <c r="AR1013" s="149">
        <v>0</v>
      </c>
      <c r="AS1013" s="149">
        <v>0</v>
      </c>
      <c r="AT1013" s="149">
        <v>135</v>
      </c>
      <c r="AU1013" s="149">
        <v>0</v>
      </c>
      <c r="AV1013" s="149">
        <v>0</v>
      </c>
      <c r="AW1013" s="149">
        <v>0</v>
      </c>
      <c r="AX1013" s="149">
        <v>0</v>
      </c>
      <c r="AY1013" s="149">
        <v>0</v>
      </c>
      <c r="AZ1013" s="149">
        <v>0</v>
      </c>
      <c r="BA1013" s="149">
        <v>135</v>
      </c>
      <c r="BB1013" s="149">
        <v>0</v>
      </c>
      <c r="BC1013" s="149">
        <v>0</v>
      </c>
      <c r="BD1013" s="149">
        <v>0</v>
      </c>
      <c r="BE1013" s="149">
        <v>0</v>
      </c>
      <c r="BF1013" s="149">
        <v>0</v>
      </c>
      <c r="BG1013" s="149">
        <v>0</v>
      </c>
      <c r="BH1013" s="149">
        <v>0</v>
      </c>
      <c r="BI1013" s="149">
        <v>0</v>
      </c>
      <c r="BJ1013" s="149">
        <v>0</v>
      </c>
      <c r="BK1013" s="149">
        <v>0</v>
      </c>
      <c r="BL1013" s="149">
        <v>0</v>
      </c>
      <c r="BM1013" s="149">
        <v>0</v>
      </c>
      <c r="BN1013" s="149">
        <v>0</v>
      </c>
      <c r="BO1013" s="149">
        <v>0</v>
      </c>
      <c r="BP1013" s="136"/>
      <c r="BQ1013" s="136" t="s">
        <v>327</v>
      </c>
      <c r="BR1013" s="154" t="s">
        <v>149</v>
      </c>
      <c r="BS1013" s="136">
        <v>20</v>
      </c>
      <c r="BT1013" s="267"/>
      <c r="BU1013" s="267"/>
      <c r="BV1013" s="267"/>
      <c r="BW1013" s="267"/>
      <c r="BX1013" s="267"/>
      <c r="BY1013" s="267">
        <f>M1013</f>
        <v>135</v>
      </c>
      <c r="BZ1013" s="267"/>
      <c r="CA1013" s="267"/>
      <c r="CB1013" s="267"/>
      <c r="CC1013" s="267"/>
      <c r="CD1013" s="267"/>
      <c r="CE1013" s="267"/>
      <c r="CF1013" s="267"/>
      <c r="CG1013" s="267"/>
      <c r="CH1013" s="267"/>
      <c r="CI1013" s="267"/>
      <c r="CJ1013" s="267"/>
      <c r="CK1013" s="267"/>
      <c r="CL1013" s="267"/>
      <c r="CM1013" s="267"/>
      <c r="CN1013" s="101">
        <f t="shared" si="135"/>
        <v>135</v>
      </c>
      <c r="CO1013" s="101">
        <f t="shared" si="136"/>
        <v>135</v>
      </c>
    </row>
    <row r="1014" spans="1:93" ht="13.9" customHeight="1" x14ac:dyDescent="0.2">
      <c r="A1014" s="149">
        <v>3942</v>
      </c>
      <c r="B1014" s="150" t="s">
        <v>2522</v>
      </c>
      <c r="C1014" s="150"/>
      <c r="D1014" s="150" t="s">
        <v>2623</v>
      </c>
      <c r="E1014" s="150"/>
      <c r="F1014" s="149">
        <v>529292</v>
      </c>
      <c r="G1014" s="149">
        <v>177503</v>
      </c>
      <c r="H1014" s="150" t="s">
        <v>149</v>
      </c>
      <c r="I1014" s="151"/>
      <c r="J1014" s="151"/>
      <c r="K1014" s="149">
        <v>0</v>
      </c>
      <c r="L1014" s="149">
        <v>37</v>
      </c>
      <c r="M1014" s="149">
        <v>37</v>
      </c>
      <c r="N1014" s="149">
        <v>208</v>
      </c>
      <c r="O1014" s="149">
        <v>208</v>
      </c>
      <c r="P1014" s="152" t="s">
        <v>327</v>
      </c>
      <c r="Q1014" s="150" t="s">
        <v>2524</v>
      </c>
      <c r="R1014" s="150" t="s">
        <v>2525</v>
      </c>
      <c r="S1014" s="151"/>
      <c r="T1014" s="151"/>
      <c r="U1014" s="152"/>
      <c r="V1014" s="150" t="s">
        <v>330</v>
      </c>
      <c r="W1014" s="151"/>
      <c r="X1014" s="150" t="s">
        <v>331</v>
      </c>
      <c r="Y1014" s="150" t="s">
        <v>343</v>
      </c>
      <c r="Z1014" s="150" t="s">
        <v>343</v>
      </c>
      <c r="AA1014" s="150" t="s">
        <v>334</v>
      </c>
      <c r="AB1014" s="153">
        <v>0</v>
      </c>
      <c r="AC1014" s="151"/>
      <c r="AD1014" s="150"/>
      <c r="AE1014" s="151"/>
      <c r="AF1014" s="150" t="s">
        <v>49</v>
      </c>
      <c r="AG1014" s="152" t="s">
        <v>470</v>
      </c>
      <c r="AH1014" s="150" t="s">
        <v>2624</v>
      </c>
      <c r="AI1014" s="99"/>
      <c r="AJ1014" s="149">
        <v>0</v>
      </c>
      <c r="AK1014" s="99">
        <v>0</v>
      </c>
      <c r="AL1014" s="149">
        <v>0</v>
      </c>
      <c r="AM1014" s="99">
        <v>0</v>
      </c>
      <c r="AN1014" s="149">
        <v>0</v>
      </c>
      <c r="AO1014" s="149">
        <v>0</v>
      </c>
      <c r="AP1014" s="149">
        <v>0</v>
      </c>
      <c r="AQ1014" s="149">
        <v>0</v>
      </c>
      <c r="AR1014" s="149">
        <v>0</v>
      </c>
      <c r="AS1014" s="149">
        <v>0</v>
      </c>
      <c r="AT1014" s="149">
        <v>37</v>
      </c>
      <c r="AU1014" s="149">
        <v>0</v>
      </c>
      <c r="AV1014" s="149">
        <v>0</v>
      </c>
      <c r="AW1014" s="149">
        <v>0</v>
      </c>
      <c r="AX1014" s="149">
        <v>0</v>
      </c>
      <c r="AY1014" s="149">
        <v>0</v>
      </c>
      <c r="AZ1014" s="149">
        <v>0</v>
      </c>
      <c r="BA1014" s="149">
        <v>37</v>
      </c>
      <c r="BB1014" s="149">
        <v>0</v>
      </c>
      <c r="BC1014" s="149">
        <v>0</v>
      </c>
      <c r="BD1014" s="149">
        <v>0</v>
      </c>
      <c r="BE1014" s="149">
        <v>0</v>
      </c>
      <c r="BF1014" s="149">
        <v>0</v>
      </c>
      <c r="BG1014" s="149">
        <v>0</v>
      </c>
      <c r="BH1014" s="149">
        <v>0</v>
      </c>
      <c r="BI1014" s="149">
        <v>0</v>
      </c>
      <c r="BJ1014" s="149">
        <v>0</v>
      </c>
      <c r="BK1014" s="149">
        <v>0</v>
      </c>
      <c r="BL1014" s="149">
        <v>0</v>
      </c>
      <c r="BM1014" s="149">
        <v>0</v>
      </c>
      <c r="BN1014" s="149">
        <v>0</v>
      </c>
      <c r="BO1014" s="149">
        <v>0</v>
      </c>
      <c r="BP1014" s="136"/>
      <c r="BQ1014" s="136" t="s">
        <v>327</v>
      </c>
      <c r="BR1014" s="154" t="s">
        <v>149</v>
      </c>
      <c r="BS1014" s="136">
        <v>20</v>
      </c>
      <c r="BT1014" s="267"/>
      <c r="BU1014" s="267"/>
      <c r="BV1014" s="267"/>
      <c r="BW1014" s="267"/>
      <c r="BX1014" s="267"/>
      <c r="BY1014" s="267">
        <f>M1014</f>
        <v>37</v>
      </c>
      <c r="BZ1014" s="267"/>
      <c r="CA1014" s="267"/>
      <c r="CB1014" s="267"/>
      <c r="CC1014" s="267"/>
      <c r="CD1014" s="267"/>
      <c r="CE1014" s="267"/>
      <c r="CF1014" s="267"/>
      <c r="CG1014" s="267"/>
      <c r="CH1014" s="267"/>
      <c r="CI1014" s="267"/>
      <c r="CJ1014" s="267"/>
      <c r="CK1014" s="267"/>
      <c r="CL1014" s="267"/>
      <c r="CM1014" s="267"/>
      <c r="CN1014" s="101">
        <f t="shared" si="135"/>
        <v>37</v>
      </c>
      <c r="CO1014" s="101">
        <f t="shared" si="136"/>
        <v>37</v>
      </c>
    </row>
    <row r="1015" spans="1:93" ht="13.9" customHeight="1" x14ac:dyDescent="0.2">
      <c r="A1015" s="149">
        <v>3942</v>
      </c>
      <c r="B1015" s="150" t="s">
        <v>2522</v>
      </c>
      <c r="C1015" s="150"/>
      <c r="D1015" s="150" t="s">
        <v>2623</v>
      </c>
      <c r="E1015" s="150"/>
      <c r="F1015" s="149">
        <v>529292</v>
      </c>
      <c r="G1015" s="149">
        <v>177503</v>
      </c>
      <c r="H1015" s="150" t="s">
        <v>149</v>
      </c>
      <c r="I1015" s="151"/>
      <c r="J1015" s="151"/>
      <c r="K1015" s="149">
        <v>0</v>
      </c>
      <c r="L1015" s="149">
        <v>36</v>
      </c>
      <c r="M1015" s="149">
        <v>36</v>
      </c>
      <c r="N1015" s="149">
        <v>208</v>
      </c>
      <c r="O1015" s="149">
        <v>208</v>
      </c>
      <c r="P1015" s="152" t="s">
        <v>327</v>
      </c>
      <c r="Q1015" s="150" t="s">
        <v>2524</v>
      </c>
      <c r="R1015" s="150" t="s">
        <v>2525</v>
      </c>
      <c r="S1015" s="151"/>
      <c r="T1015" s="151"/>
      <c r="U1015" s="152"/>
      <c r="V1015" s="150" t="s">
        <v>330</v>
      </c>
      <c r="W1015" s="151"/>
      <c r="X1015" s="150" t="s">
        <v>331</v>
      </c>
      <c r="Y1015" s="150" t="s">
        <v>343</v>
      </c>
      <c r="Z1015" s="150" t="s">
        <v>343</v>
      </c>
      <c r="AA1015" s="150" t="s">
        <v>334</v>
      </c>
      <c r="AB1015" s="153">
        <v>0</v>
      </c>
      <c r="AC1015" s="151"/>
      <c r="AD1015" s="150"/>
      <c r="AE1015" s="151"/>
      <c r="AF1015" s="150" t="s">
        <v>48</v>
      </c>
      <c r="AG1015" s="152" t="s">
        <v>992</v>
      </c>
      <c r="AH1015" s="150" t="s">
        <v>2624</v>
      </c>
      <c r="AI1015" s="99"/>
      <c r="AJ1015" s="149">
        <v>0</v>
      </c>
      <c r="AK1015" s="99">
        <v>0</v>
      </c>
      <c r="AL1015" s="149">
        <v>0</v>
      </c>
      <c r="AM1015" s="99">
        <v>0</v>
      </c>
      <c r="AN1015" s="149">
        <v>0</v>
      </c>
      <c r="AO1015" s="149">
        <v>0</v>
      </c>
      <c r="AP1015" s="149">
        <v>0</v>
      </c>
      <c r="AQ1015" s="149">
        <v>0</v>
      </c>
      <c r="AR1015" s="149">
        <v>0</v>
      </c>
      <c r="AS1015" s="149">
        <v>0</v>
      </c>
      <c r="AT1015" s="149">
        <v>36</v>
      </c>
      <c r="AU1015" s="149">
        <v>0</v>
      </c>
      <c r="AV1015" s="149">
        <v>0</v>
      </c>
      <c r="AW1015" s="149">
        <v>0</v>
      </c>
      <c r="AX1015" s="149">
        <v>0</v>
      </c>
      <c r="AY1015" s="149">
        <v>0</v>
      </c>
      <c r="AZ1015" s="149">
        <v>0</v>
      </c>
      <c r="BA1015" s="149">
        <v>36</v>
      </c>
      <c r="BB1015" s="149">
        <v>0</v>
      </c>
      <c r="BC1015" s="149">
        <v>0</v>
      </c>
      <c r="BD1015" s="149">
        <v>0</v>
      </c>
      <c r="BE1015" s="149">
        <v>0</v>
      </c>
      <c r="BF1015" s="149">
        <v>0</v>
      </c>
      <c r="BG1015" s="149">
        <v>0</v>
      </c>
      <c r="BH1015" s="149">
        <v>0</v>
      </c>
      <c r="BI1015" s="149">
        <v>0</v>
      </c>
      <c r="BJ1015" s="149">
        <v>0</v>
      </c>
      <c r="BK1015" s="149">
        <v>0</v>
      </c>
      <c r="BL1015" s="149">
        <v>0</v>
      </c>
      <c r="BM1015" s="149">
        <v>0</v>
      </c>
      <c r="BN1015" s="149">
        <v>0</v>
      </c>
      <c r="BO1015" s="149">
        <v>0</v>
      </c>
      <c r="BP1015" s="136"/>
      <c r="BQ1015" s="136" t="s">
        <v>327</v>
      </c>
      <c r="BR1015" s="154" t="s">
        <v>149</v>
      </c>
      <c r="BS1015" s="136">
        <v>20</v>
      </c>
      <c r="BT1015" s="267"/>
      <c r="BU1015" s="267"/>
      <c r="BV1015" s="267"/>
      <c r="BW1015" s="267"/>
      <c r="BX1015" s="267"/>
      <c r="BY1015" s="267">
        <f>M1015</f>
        <v>36</v>
      </c>
      <c r="BZ1015" s="267"/>
      <c r="CA1015" s="267"/>
      <c r="CB1015" s="267"/>
      <c r="CC1015" s="267"/>
      <c r="CD1015" s="267"/>
      <c r="CE1015" s="267"/>
      <c r="CF1015" s="267"/>
      <c r="CG1015" s="267"/>
      <c r="CH1015" s="267"/>
      <c r="CI1015" s="267"/>
      <c r="CJ1015" s="267"/>
      <c r="CK1015" s="267"/>
      <c r="CL1015" s="267"/>
      <c r="CM1015" s="267"/>
      <c r="CN1015" s="101">
        <f t="shared" si="135"/>
        <v>36</v>
      </c>
      <c r="CO1015" s="101">
        <f t="shared" si="136"/>
        <v>36</v>
      </c>
    </row>
    <row r="1016" spans="1:93" ht="13.9" customHeight="1" x14ac:dyDescent="0.2">
      <c r="A1016" s="149">
        <v>7543</v>
      </c>
      <c r="B1016" s="150" t="s">
        <v>2522</v>
      </c>
      <c r="C1016" s="150"/>
      <c r="D1016" s="150" t="s">
        <v>2625</v>
      </c>
      <c r="E1016" s="150"/>
      <c r="F1016" s="149">
        <v>524585</v>
      </c>
      <c r="G1016" s="149">
        <v>173139</v>
      </c>
      <c r="H1016" s="150" t="s">
        <v>178</v>
      </c>
      <c r="I1016" s="151"/>
      <c r="J1016" s="151"/>
      <c r="K1016" s="149">
        <v>0</v>
      </c>
      <c r="L1016" s="149">
        <v>6</v>
      </c>
      <c r="M1016" s="149">
        <v>6</v>
      </c>
      <c r="N1016" s="149">
        <v>6</v>
      </c>
      <c r="O1016" s="149">
        <v>6</v>
      </c>
      <c r="P1016" s="152"/>
      <c r="Q1016" s="150" t="s">
        <v>2524</v>
      </c>
      <c r="R1016" s="150" t="s">
        <v>2525</v>
      </c>
      <c r="S1016" s="151"/>
      <c r="T1016" s="151"/>
      <c r="U1016" s="152"/>
      <c r="V1016" s="150" t="s">
        <v>330</v>
      </c>
      <c r="W1016" s="151"/>
      <c r="X1016" s="150" t="s">
        <v>331</v>
      </c>
      <c r="Y1016" s="150" t="s">
        <v>343</v>
      </c>
      <c r="Z1016" s="150" t="s">
        <v>334</v>
      </c>
      <c r="AA1016" s="150" t="s">
        <v>363</v>
      </c>
      <c r="AB1016" s="153">
        <v>0</v>
      </c>
      <c r="AC1016" s="151"/>
      <c r="AD1016" s="150"/>
      <c r="AE1016" s="151"/>
      <c r="AF1016" s="150" t="s">
        <v>70</v>
      </c>
      <c r="AG1016" s="152" t="s">
        <v>352</v>
      </c>
      <c r="AH1016" s="150"/>
      <c r="AI1016" s="99"/>
      <c r="AJ1016" s="149">
        <v>0</v>
      </c>
      <c r="AK1016" s="99">
        <v>0</v>
      </c>
      <c r="AL1016" s="149">
        <v>0</v>
      </c>
      <c r="AM1016" s="99">
        <v>0</v>
      </c>
      <c r="AN1016" s="149">
        <v>0</v>
      </c>
      <c r="AO1016" s="149">
        <v>0</v>
      </c>
      <c r="AP1016" s="149">
        <v>0</v>
      </c>
      <c r="AQ1016" s="149">
        <v>0</v>
      </c>
      <c r="AR1016" s="149">
        <v>0</v>
      </c>
      <c r="AS1016" s="149">
        <v>0</v>
      </c>
      <c r="AT1016" s="149">
        <v>6</v>
      </c>
      <c r="AU1016" s="149">
        <v>0</v>
      </c>
      <c r="AV1016" s="149">
        <v>0</v>
      </c>
      <c r="AW1016" s="149">
        <v>0</v>
      </c>
      <c r="AX1016" s="149">
        <v>0</v>
      </c>
      <c r="AY1016" s="149">
        <v>0</v>
      </c>
      <c r="AZ1016" s="149">
        <v>0</v>
      </c>
      <c r="BA1016" s="149">
        <v>6</v>
      </c>
      <c r="BB1016" s="149">
        <v>0</v>
      </c>
      <c r="BC1016" s="149">
        <v>0</v>
      </c>
      <c r="BD1016" s="149">
        <v>0</v>
      </c>
      <c r="BE1016" s="149">
        <v>0</v>
      </c>
      <c r="BF1016" s="149">
        <v>0</v>
      </c>
      <c r="BG1016" s="149">
        <v>0</v>
      </c>
      <c r="BH1016" s="149">
        <v>0</v>
      </c>
      <c r="BI1016" s="149">
        <v>0</v>
      </c>
      <c r="BJ1016" s="149">
        <v>0</v>
      </c>
      <c r="BK1016" s="149">
        <v>0</v>
      </c>
      <c r="BL1016" s="149">
        <v>0</v>
      </c>
      <c r="BM1016" s="149">
        <v>0</v>
      </c>
      <c r="BN1016" s="149">
        <v>0</v>
      </c>
      <c r="BO1016" s="149">
        <v>0</v>
      </c>
      <c r="BP1016" s="136"/>
      <c r="BQ1016" s="136"/>
      <c r="BR1016" s="154" t="s">
        <v>359</v>
      </c>
      <c r="BS1016" s="136">
        <v>19</v>
      </c>
      <c r="BT1016" s="267"/>
      <c r="BU1016" s="267"/>
      <c r="BV1016" s="267"/>
      <c r="BW1016" s="267"/>
      <c r="BX1016" s="267"/>
      <c r="BY1016" s="267">
        <f>M1016</f>
        <v>6</v>
      </c>
      <c r="BZ1016" s="267"/>
      <c r="CA1016" s="267"/>
      <c r="CB1016" s="267"/>
      <c r="CC1016" s="267"/>
      <c r="CD1016" s="267"/>
      <c r="CE1016" s="267"/>
      <c r="CF1016" s="267"/>
      <c r="CG1016" s="267"/>
      <c r="CH1016" s="267"/>
      <c r="CI1016" s="267"/>
      <c r="CJ1016" s="267"/>
      <c r="CK1016" s="267"/>
      <c r="CL1016" s="267"/>
      <c r="CM1016" s="267"/>
      <c r="CN1016" s="101">
        <f t="shared" si="135"/>
        <v>6</v>
      </c>
      <c r="CO1016" s="101">
        <f t="shared" si="136"/>
        <v>6</v>
      </c>
    </row>
    <row r="1017" spans="1:93" ht="13.9" customHeight="1" x14ac:dyDescent="0.2">
      <c r="A1017" s="149">
        <v>7586</v>
      </c>
      <c r="B1017" s="150" t="s">
        <v>2522</v>
      </c>
      <c r="C1017" s="150"/>
      <c r="D1017" s="150" t="s">
        <v>2626</v>
      </c>
      <c r="E1017" s="150"/>
      <c r="F1017" s="149">
        <v>525580.16070000001</v>
      </c>
      <c r="G1017" s="149">
        <v>174464.45579999901</v>
      </c>
      <c r="H1017" s="150" t="s">
        <v>177</v>
      </c>
      <c r="I1017" s="151"/>
      <c r="J1017" s="151"/>
      <c r="K1017" s="149">
        <v>0</v>
      </c>
      <c r="L1017" s="149">
        <v>592</v>
      </c>
      <c r="M1017" s="149">
        <v>592</v>
      </c>
      <c r="N1017" s="149">
        <v>910</v>
      </c>
      <c r="O1017" s="149">
        <v>910</v>
      </c>
      <c r="P1017" s="152" t="s">
        <v>327</v>
      </c>
      <c r="Q1017" s="150" t="s">
        <v>2524</v>
      </c>
      <c r="R1017" s="150" t="s">
        <v>2525</v>
      </c>
      <c r="S1017" s="151"/>
      <c r="T1017" s="151"/>
      <c r="U1017" s="152"/>
      <c r="V1017" s="150" t="s">
        <v>330</v>
      </c>
      <c r="W1017" s="151"/>
      <c r="X1017" s="150" t="s">
        <v>331</v>
      </c>
      <c r="Y1017" s="150" t="s">
        <v>343</v>
      </c>
      <c r="Z1017" s="150" t="s">
        <v>343</v>
      </c>
      <c r="AA1017" s="150" t="s">
        <v>334</v>
      </c>
      <c r="AB1017" s="153">
        <v>0</v>
      </c>
      <c r="AC1017" s="151"/>
      <c r="AD1017" s="150"/>
      <c r="AE1017" s="151"/>
      <c r="AF1017" s="150" t="s">
        <v>70</v>
      </c>
      <c r="AG1017" s="152" t="s">
        <v>352</v>
      </c>
      <c r="AH1017" s="150" t="s">
        <v>2627</v>
      </c>
      <c r="AI1017" s="99"/>
      <c r="AJ1017" s="149">
        <v>0</v>
      </c>
      <c r="AK1017" s="99">
        <v>0</v>
      </c>
      <c r="AL1017" s="149">
        <v>0</v>
      </c>
      <c r="AM1017" s="99">
        <v>0</v>
      </c>
      <c r="AN1017" s="149">
        <v>0</v>
      </c>
      <c r="AO1017" s="149">
        <v>0</v>
      </c>
      <c r="AP1017" s="149">
        <v>0</v>
      </c>
      <c r="AQ1017" s="149">
        <v>0</v>
      </c>
      <c r="AR1017" s="149">
        <v>0</v>
      </c>
      <c r="AS1017" s="149">
        <v>0</v>
      </c>
      <c r="AT1017" s="149">
        <v>592</v>
      </c>
      <c r="AU1017" s="149">
        <v>0</v>
      </c>
      <c r="AV1017" s="149">
        <v>0</v>
      </c>
      <c r="AW1017" s="149">
        <v>0</v>
      </c>
      <c r="AX1017" s="149">
        <v>0</v>
      </c>
      <c r="AY1017" s="149">
        <v>0</v>
      </c>
      <c r="AZ1017" s="149">
        <v>0</v>
      </c>
      <c r="BA1017" s="149">
        <v>592</v>
      </c>
      <c r="BB1017" s="149">
        <v>0</v>
      </c>
      <c r="BC1017" s="149">
        <v>0</v>
      </c>
      <c r="BD1017" s="149">
        <v>0</v>
      </c>
      <c r="BE1017" s="149">
        <v>0</v>
      </c>
      <c r="BF1017" s="149">
        <v>0</v>
      </c>
      <c r="BG1017" s="149">
        <v>0</v>
      </c>
      <c r="BH1017" s="149">
        <v>0</v>
      </c>
      <c r="BI1017" s="149">
        <v>0</v>
      </c>
      <c r="BJ1017" s="149">
        <v>0</v>
      </c>
      <c r="BK1017" s="149">
        <v>0</v>
      </c>
      <c r="BL1017" s="149">
        <v>0</v>
      </c>
      <c r="BM1017" s="149">
        <v>0</v>
      </c>
      <c r="BN1017" s="149">
        <v>0</v>
      </c>
      <c r="BO1017" s="149">
        <v>0</v>
      </c>
      <c r="BP1017" s="136" t="s">
        <v>143</v>
      </c>
      <c r="BQ1017" s="136"/>
      <c r="BR1017" s="154" t="s">
        <v>463</v>
      </c>
      <c r="BS1017" s="136">
        <v>19</v>
      </c>
      <c r="BT1017" s="267"/>
      <c r="BU1017" s="267"/>
      <c r="BV1017" s="267"/>
      <c r="BW1017" s="267">
        <f>M1017/10</f>
        <v>59.2</v>
      </c>
      <c r="BX1017" s="267">
        <f>M1017/10</f>
        <v>59.2</v>
      </c>
      <c r="BY1017" s="267">
        <f>M1017/10</f>
        <v>59.2</v>
      </c>
      <c r="BZ1017" s="267">
        <f>M1017/10</f>
        <v>59.2</v>
      </c>
      <c r="CA1017" s="267">
        <f>M1017/10</f>
        <v>59.2</v>
      </c>
      <c r="CB1017" s="267">
        <f>M1017/10</f>
        <v>59.2</v>
      </c>
      <c r="CC1017" s="267">
        <f>M1017/10</f>
        <v>59.2</v>
      </c>
      <c r="CD1017" s="267">
        <f>M1017/10</f>
        <v>59.2</v>
      </c>
      <c r="CE1017" s="267">
        <f>M1017/10</f>
        <v>59.2</v>
      </c>
      <c r="CF1017" s="267">
        <f>M1017/10</f>
        <v>59.2</v>
      </c>
      <c r="CG1017" s="267"/>
      <c r="CH1017" s="267"/>
      <c r="CI1017" s="267"/>
      <c r="CJ1017" s="267"/>
      <c r="CK1017" s="267"/>
      <c r="CL1017" s="267"/>
      <c r="CM1017" s="267"/>
      <c r="CN1017" s="101">
        <f t="shared" si="135"/>
        <v>177.60000000000002</v>
      </c>
      <c r="CO1017" s="101">
        <f t="shared" si="136"/>
        <v>473.59999999999997</v>
      </c>
    </row>
    <row r="1018" spans="1:93" ht="13.9" customHeight="1" x14ac:dyDescent="0.2">
      <c r="A1018" s="149">
        <v>7586</v>
      </c>
      <c r="B1018" s="150" t="s">
        <v>2522</v>
      </c>
      <c r="C1018" s="150"/>
      <c r="D1018" s="150" t="s">
        <v>2626</v>
      </c>
      <c r="E1018" s="150"/>
      <c r="F1018" s="149">
        <v>525580.16070000001</v>
      </c>
      <c r="G1018" s="149">
        <v>174464.45579999901</v>
      </c>
      <c r="H1018" s="150" t="s">
        <v>177</v>
      </c>
      <c r="I1018" s="151"/>
      <c r="J1018" s="151"/>
      <c r="K1018" s="149">
        <v>0</v>
      </c>
      <c r="L1018" s="149">
        <v>159</v>
      </c>
      <c r="M1018" s="149">
        <v>159</v>
      </c>
      <c r="N1018" s="149">
        <v>910</v>
      </c>
      <c r="O1018" s="149">
        <v>910</v>
      </c>
      <c r="P1018" s="152" t="s">
        <v>327</v>
      </c>
      <c r="Q1018" s="150" t="s">
        <v>2524</v>
      </c>
      <c r="R1018" s="150" t="s">
        <v>2525</v>
      </c>
      <c r="S1018" s="151"/>
      <c r="T1018" s="151"/>
      <c r="U1018" s="152"/>
      <c r="V1018" s="150" t="s">
        <v>330</v>
      </c>
      <c r="W1018" s="151"/>
      <c r="X1018" s="150" t="s">
        <v>331</v>
      </c>
      <c r="Y1018" s="150" t="s">
        <v>343</v>
      </c>
      <c r="Z1018" s="150" t="s">
        <v>343</v>
      </c>
      <c r="AA1018" s="150" t="s">
        <v>334</v>
      </c>
      <c r="AB1018" s="153">
        <v>0</v>
      </c>
      <c r="AC1018" s="151"/>
      <c r="AD1018" s="150"/>
      <c r="AE1018" s="151"/>
      <c r="AF1018" s="150" t="s">
        <v>49</v>
      </c>
      <c r="AG1018" s="152" t="s">
        <v>470</v>
      </c>
      <c r="AH1018" s="150" t="s">
        <v>2627</v>
      </c>
      <c r="AI1018" s="99"/>
      <c r="AJ1018" s="149">
        <v>0</v>
      </c>
      <c r="AK1018" s="99">
        <v>0</v>
      </c>
      <c r="AL1018" s="149">
        <v>0</v>
      </c>
      <c r="AM1018" s="99">
        <v>0</v>
      </c>
      <c r="AN1018" s="149">
        <v>0</v>
      </c>
      <c r="AO1018" s="149">
        <v>0</v>
      </c>
      <c r="AP1018" s="149">
        <v>0</v>
      </c>
      <c r="AQ1018" s="149">
        <v>0</v>
      </c>
      <c r="AR1018" s="149">
        <v>0</v>
      </c>
      <c r="AS1018" s="149">
        <v>0</v>
      </c>
      <c r="AT1018" s="149">
        <v>159</v>
      </c>
      <c r="AU1018" s="149">
        <v>0</v>
      </c>
      <c r="AV1018" s="149">
        <v>0</v>
      </c>
      <c r="AW1018" s="149">
        <v>0</v>
      </c>
      <c r="AX1018" s="149">
        <v>0</v>
      </c>
      <c r="AY1018" s="149">
        <v>0</v>
      </c>
      <c r="AZ1018" s="149">
        <v>0</v>
      </c>
      <c r="BA1018" s="149">
        <v>159</v>
      </c>
      <c r="BB1018" s="149">
        <v>0</v>
      </c>
      <c r="BC1018" s="149">
        <v>0</v>
      </c>
      <c r="BD1018" s="149">
        <v>0</v>
      </c>
      <c r="BE1018" s="149">
        <v>0</v>
      </c>
      <c r="BF1018" s="149">
        <v>0</v>
      </c>
      <c r="BG1018" s="149">
        <v>0</v>
      </c>
      <c r="BH1018" s="149">
        <v>0</v>
      </c>
      <c r="BI1018" s="149">
        <v>0</v>
      </c>
      <c r="BJ1018" s="149">
        <v>0</v>
      </c>
      <c r="BK1018" s="149">
        <v>0</v>
      </c>
      <c r="BL1018" s="149">
        <v>0</v>
      </c>
      <c r="BM1018" s="149">
        <v>0</v>
      </c>
      <c r="BN1018" s="149">
        <v>0</v>
      </c>
      <c r="BO1018" s="149">
        <v>0</v>
      </c>
      <c r="BP1018" s="136" t="s">
        <v>143</v>
      </c>
      <c r="BQ1018" s="136"/>
      <c r="BR1018" s="154" t="s">
        <v>463</v>
      </c>
      <c r="BS1018" s="136">
        <v>19</v>
      </c>
      <c r="BT1018" s="267"/>
      <c r="BU1018" s="267"/>
      <c r="BV1018" s="267"/>
      <c r="BW1018" s="267">
        <f>M1018/10</f>
        <v>15.9</v>
      </c>
      <c r="BX1018" s="267">
        <f>M1018/10</f>
        <v>15.9</v>
      </c>
      <c r="BY1018" s="267">
        <f>M1018/10</f>
        <v>15.9</v>
      </c>
      <c r="BZ1018" s="267">
        <f>M1018/10</f>
        <v>15.9</v>
      </c>
      <c r="CA1018" s="267">
        <f>M1018/10</f>
        <v>15.9</v>
      </c>
      <c r="CB1018" s="267">
        <f>M1018/10</f>
        <v>15.9</v>
      </c>
      <c r="CC1018" s="267">
        <f>M1018/10</f>
        <v>15.9</v>
      </c>
      <c r="CD1018" s="267">
        <f>M1018/10</f>
        <v>15.9</v>
      </c>
      <c r="CE1018" s="267">
        <f>M1018/10</f>
        <v>15.9</v>
      </c>
      <c r="CF1018" s="267">
        <f>M1018/10</f>
        <v>15.9</v>
      </c>
      <c r="CG1018" s="267"/>
      <c r="CH1018" s="267"/>
      <c r="CI1018" s="267"/>
      <c r="CJ1018" s="267"/>
      <c r="CK1018" s="267"/>
      <c r="CL1018" s="267"/>
      <c r="CM1018" s="267"/>
      <c r="CN1018" s="101">
        <f t="shared" si="135"/>
        <v>47.7</v>
      </c>
      <c r="CO1018" s="101">
        <f t="shared" si="136"/>
        <v>127.20000000000002</v>
      </c>
    </row>
    <row r="1019" spans="1:93" ht="13.9" customHeight="1" x14ac:dyDescent="0.2">
      <c r="A1019" s="149">
        <v>7586</v>
      </c>
      <c r="B1019" s="150" t="s">
        <v>2522</v>
      </c>
      <c r="C1019" s="150"/>
      <c r="D1019" s="150" t="s">
        <v>2626</v>
      </c>
      <c r="E1019" s="150"/>
      <c r="F1019" s="149">
        <v>525580.16070000001</v>
      </c>
      <c r="G1019" s="149">
        <v>174464.45579999901</v>
      </c>
      <c r="H1019" s="150" t="s">
        <v>177</v>
      </c>
      <c r="I1019" s="151"/>
      <c r="J1019" s="151"/>
      <c r="K1019" s="149">
        <v>0</v>
      </c>
      <c r="L1019" s="149">
        <v>159</v>
      </c>
      <c r="M1019" s="149">
        <v>159</v>
      </c>
      <c r="N1019" s="149">
        <v>910</v>
      </c>
      <c r="O1019" s="149">
        <v>910</v>
      </c>
      <c r="P1019" s="152" t="s">
        <v>327</v>
      </c>
      <c r="Q1019" s="150" t="s">
        <v>2524</v>
      </c>
      <c r="R1019" s="150" t="s">
        <v>2525</v>
      </c>
      <c r="S1019" s="151"/>
      <c r="T1019" s="151"/>
      <c r="U1019" s="152"/>
      <c r="V1019" s="150" t="s">
        <v>330</v>
      </c>
      <c r="W1019" s="151"/>
      <c r="X1019" s="150" t="s">
        <v>331</v>
      </c>
      <c r="Y1019" s="150" t="s">
        <v>343</v>
      </c>
      <c r="Z1019" s="150" t="s">
        <v>343</v>
      </c>
      <c r="AA1019" s="150" t="s">
        <v>334</v>
      </c>
      <c r="AB1019" s="153">
        <v>0</v>
      </c>
      <c r="AC1019" s="151"/>
      <c r="AD1019" s="150"/>
      <c r="AE1019" s="151"/>
      <c r="AF1019" s="150" t="s">
        <v>48</v>
      </c>
      <c r="AG1019" s="152" t="s">
        <v>992</v>
      </c>
      <c r="AH1019" s="150" t="s">
        <v>2627</v>
      </c>
      <c r="AI1019" s="99"/>
      <c r="AJ1019" s="149">
        <v>0</v>
      </c>
      <c r="AK1019" s="99">
        <v>0</v>
      </c>
      <c r="AL1019" s="149">
        <v>0</v>
      </c>
      <c r="AM1019" s="99">
        <v>0</v>
      </c>
      <c r="AN1019" s="149">
        <v>0</v>
      </c>
      <c r="AO1019" s="149">
        <v>0</v>
      </c>
      <c r="AP1019" s="149">
        <v>0</v>
      </c>
      <c r="AQ1019" s="149">
        <v>0</v>
      </c>
      <c r="AR1019" s="149">
        <v>0</v>
      </c>
      <c r="AS1019" s="149">
        <v>0</v>
      </c>
      <c r="AT1019" s="149">
        <v>159</v>
      </c>
      <c r="AU1019" s="149">
        <v>0</v>
      </c>
      <c r="AV1019" s="149">
        <v>0</v>
      </c>
      <c r="AW1019" s="149">
        <v>0</v>
      </c>
      <c r="AX1019" s="149">
        <v>0</v>
      </c>
      <c r="AY1019" s="149">
        <v>0</v>
      </c>
      <c r="AZ1019" s="149">
        <v>0</v>
      </c>
      <c r="BA1019" s="149">
        <v>159</v>
      </c>
      <c r="BB1019" s="149">
        <v>0</v>
      </c>
      <c r="BC1019" s="149">
        <v>0</v>
      </c>
      <c r="BD1019" s="149">
        <v>0</v>
      </c>
      <c r="BE1019" s="149">
        <v>0</v>
      </c>
      <c r="BF1019" s="149">
        <v>0</v>
      </c>
      <c r="BG1019" s="149">
        <v>0</v>
      </c>
      <c r="BH1019" s="149">
        <v>0</v>
      </c>
      <c r="BI1019" s="149">
        <v>0</v>
      </c>
      <c r="BJ1019" s="149">
        <v>0</v>
      </c>
      <c r="BK1019" s="149">
        <v>0</v>
      </c>
      <c r="BL1019" s="149">
        <v>0</v>
      </c>
      <c r="BM1019" s="149">
        <v>0</v>
      </c>
      <c r="BN1019" s="149">
        <v>0</v>
      </c>
      <c r="BO1019" s="149">
        <v>0</v>
      </c>
      <c r="BP1019" s="136" t="s">
        <v>143</v>
      </c>
      <c r="BQ1019" s="136"/>
      <c r="BR1019" s="154" t="s">
        <v>463</v>
      </c>
      <c r="BS1019" s="136">
        <v>19</v>
      </c>
      <c r="BT1019" s="267"/>
      <c r="BU1019" s="267"/>
      <c r="BV1019" s="267"/>
      <c r="BW1019" s="267">
        <f>M1019/10</f>
        <v>15.9</v>
      </c>
      <c r="BX1019" s="267">
        <f>M1019/10</f>
        <v>15.9</v>
      </c>
      <c r="BY1019" s="267">
        <f>M1019/10</f>
        <v>15.9</v>
      </c>
      <c r="BZ1019" s="267">
        <f>M1019/10</f>
        <v>15.9</v>
      </c>
      <c r="CA1019" s="267">
        <f>M1019/10</f>
        <v>15.9</v>
      </c>
      <c r="CB1019" s="267">
        <f>M1019/10</f>
        <v>15.9</v>
      </c>
      <c r="CC1019" s="267">
        <f>M1019/10</f>
        <v>15.9</v>
      </c>
      <c r="CD1019" s="267">
        <f>M1019/10</f>
        <v>15.9</v>
      </c>
      <c r="CE1019" s="267">
        <f>M1019/10</f>
        <v>15.9</v>
      </c>
      <c r="CF1019" s="267">
        <f>M1019/10</f>
        <v>15.9</v>
      </c>
      <c r="CG1019" s="267"/>
      <c r="CH1019" s="267"/>
      <c r="CI1019" s="267"/>
      <c r="CJ1019" s="267"/>
      <c r="CK1019" s="267"/>
      <c r="CL1019" s="267"/>
      <c r="CM1019" s="267"/>
      <c r="CN1019" s="101">
        <f t="shared" si="135"/>
        <v>47.7</v>
      </c>
      <c r="CO1019" s="101">
        <f t="shared" si="136"/>
        <v>127.20000000000002</v>
      </c>
    </row>
    <row r="1020" spans="1:93" ht="13.9" customHeight="1" x14ac:dyDescent="0.2">
      <c r="A1020" s="149">
        <v>7579</v>
      </c>
      <c r="B1020" s="150" t="s">
        <v>2522</v>
      </c>
      <c r="C1020" s="150"/>
      <c r="D1020" s="150" t="s">
        <v>2628</v>
      </c>
      <c r="E1020" s="150"/>
      <c r="F1020" s="149">
        <v>526984</v>
      </c>
      <c r="G1020" s="149">
        <v>171324</v>
      </c>
      <c r="H1020" s="150" t="s">
        <v>173</v>
      </c>
      <c r="I1020" s="151"/>
      <c r="J1020" s="151"/>
      <c r="K1020" s="149">
        <v>0</v>
      </c>
      <c r="L1020" s="149">
        <v>61</v>
      </c>
      <c r="M1020" s="149">
        <v>61</v>
      </c>
      <c r="N1020" s="149">
        <v>94</v>
      </c>
      <c r="O1020" s="149">
        <v>94</v>
      </c>
      <c r="P1020" s="152" t="s">
        <v>327</v>
      </c>
      <c r="Q1020" s="150" t="s">
        <v>2524</v>
      </c>
      <c r="R1020" s="150" t="s">
        <v>2525</v>
      </c>
      <c r="S1020" s="151"/>
      <c r="T1020" s="151"/>
      <c r="U1020" s="152"/>
      <c r="V1020" s="150" t="s">
        <v>330</v>
      </c>
      <c r="W1020" s="151"/>
      <c r="X1020" s="150" t="s">
        <v>331</v>
      </c>
      <c r="Y1020" s="150" t="s">
        <v>343</v>
      </c>
      <c r="Z1020" s="150" t="s">
        <v>343</v>
      </c>
      <c r="AA1020" s="150" t="s">
        <v>334</v>
      </c>
      <c r="AB1020" s="153">
        <v>0</v>
      </c>
      <c r="AC1020" s="151"/>
      <c r="AD1020" s="150"/>
      <c r="AE1020" s="151"/>
      <c r="AF1020" s="150" t="s">
        <v>70</v>
      </c>
      <c r="AG1020" s="152" t="s">
        <v>352</v>
      </c>
      <c r="AH1020" s="150" t="s">
        <v>2629</v>
      </c>
      <c r="AI1020" s="99"/>
      <c r="AJ1020" s="149">
        <v>0</v>
      </c>
      <c r="AK1020" s="99">
        <v>0</v>
      </c>
      <c r="AL1020" s="149">
        <v>0</v>
      </c>
      <c r="AM1020" s="99">
        <v>0</v>
      </c>
      <c r="AN1020" s="149">
        <v>0</v>
      </c>
      <c r="AO1020" s="149">
        <v>0</v>
      </c>
      <c r="AP1020" s="149">
        <v>0</v>
      </c>
      <c r="AQ1020" s="149">
        <v>0</v>
      </c>
      <c r="AR1020" s="149">
        <v>0</v>
      </c>
      <c r="AS1020" s="149">
        <v>0</v>
      </c>
      <c r="AT1020" s="149">
        <v>61</v>
      </c>
      <c r="AU1020" s="149">
        <v>0</v>
      </c>
      <c r="AV1020" s="149">
        <v>0</v>
      </c>
      <c r="AW1020" s="149">
        <v>0</v>
      </c>
      <c r="AX1020" s="149">
        <v>0</v>
      </c>
      <c r="AY1020" s="149">
        <v>0</v>
      </c>
      <c r="AZ1020" s="149">
        <v>0</v>
      </c>
      <c r="BA1020" s="149">
        <v>61</v>
      </c>
      <c r="BB1020" s="149">
        <v>0</v>
      </c>
      <c r="BC1020" s="149">
        <v>0</v>
      </c>
      <c r="BD1020" s="149">
        <v>0</v>
      </c>
      <c r="BE1020" s="149">
        <v>0</v>
      </c>
      <c r="BF1020" s="149">
        <v>0</v>
      </c>
      <c r="BG1020" s="149">
        <v>0</v>
      </c>
      <c r="BH1020" s="149">
        <v>0</v>
      </c>
      <c r="BI1020" s="149">
        <v>0</v>
      </c>
      <c r="BJ1020" s="149">
        <v>0</v>
      </c>
      <c r="BK1020" s="149">
        <v>0</v>
      </c>
      <c r="BL1020" s="149">
        <v>0</v>
      </c>
      <c r="BM1020" s="149">
        <v>0</v>
      </c>
      <c r="BN1020" s="149">
        <v>0</v>
      </c>
      <c r="BO1020" s="149">
        <v>0</v>
      </c>
      <c r="BP1020" s="136"/>
      <c r="BQ1020" s="136"/>
      <c r="BR1020" s="154" t="s">
        <v>142</v>
      </c>
      <c r="BS1020" s="136">
        <v>19</v>
      </c>
      <c r="BT1020" s="267"/>
      <c r="BU1020" s="267"/>
      <c r="BV1020" s="267"/>
      <c r="BW1020" s="267"/>
      <c r="BX1020" s="267"/>
      <c r="BY1020" s="267">
        <f>M1020/16</f>
        <v>3.8125</v>
      </c>
      <c r="BZ1020" s="267">
        <f>M1020/16</f>
        <v>3.8125</v>
      </c>
      <c r="CA1020" s="267">
        <f>M1020/16</f>
        <v>3.8125</v>
      </c>
      <c r="CB1020" s="267">
        <f>M1020/16</f>
        <v>3.8125</v>
      </c>
      <c r="CC1020" s="267">
        <f>M1020/16</f>
        <v>3.8125</v>
      </c>
      <c r="CD1020" s="267">
        <f>M1020/16</f>
        <v>3.8125</v>
      </c>
      <c r="CE1020" s="267">
        <f>M1020/16</f>
        <v>3.8125</v>
      </c>
      <c r="CF1020" s="267">
        <f>M1020/16</f>
        <v>3.8125</v>
      </c>
      <c r="CG1020" s="267">
        <f>M1020/16</f>
        <v>3.8125</v>
      </c>
      <c r="CH1020" s="267">
        <f>M1020/16</f>
        <v>3.8125</v>
      </c>
      <c r="CI1020" s="267">
        <f>M1020/16</f>
        <v>3.8125</v>
      </c>
      <c r="CJ1020" s="267">
        <f>M1020/16</f>
        <v>3.8125</v>
      </c>
      <c r="CK1020" s="267">
        <f>M1020/16</f>
        <v>3.8125</v>
      </c>
      <c r="CL1020" s="267">
        <f>M1020/16</f>
        <v>3.8125</v>
      </c>
      <c r="CM1020" s="267">
        <f>M1020/16</f>
        <v>3.8125</v>
      </c>
      <c r="CN1020" s="101">
        <f t="shared" si="135"/>
        <v>3.8125</v>
      </c>
      <c r="CO1020" s="101">
        <f t="shared" si="136"/>
        <v>22.875</v>
      </c>
    </row>
    <row r="1021" spans="1:93" ht="13.9" customHeight="1" x14ac:dyDescent="0.2">
      <c r="A1021" s="149">
        <v>7579</v>
      </c>
      <c r="B1021" s="150" t="s">
        <v>2522</v>
      </c>
      <c r="C1021" s="150"/>
      <c r="D1021" s="150" t="s">
        <v>2628</v>
      </c>
      <c r="E1021" s="150"/>
      <c r="F1021" s="149">
        <v>526984</v>
      </c>
      <c r="G1021" s="149">
        <v>171324</v>
      </c>
      <c r="H1021" s="150" t="s">
        <v>173</v>
      </c>
      <c r="I1021" s="151"/>
      <c r="J1021" s="151"/>
      <c r="K1021" s="149">
        <v>0</v>
      </c>
      <c r="L1021" s="149">
        <v>17</v>
      </c>
      <c r="M1021" s="149">
        <v>17</v>
      </c>
      <c r="N1021" s="149">
        <v>94</v>
      </c>
      <c r="O1021" s="149">
        <v>94</v>
      </c>
      <c r="P1021" s="152" t="s">
        <v>327</v>
      </c>
      <c r="Q1021" s="150" t="s">
        <v>2524</v>
      </c>
      <c r="R1021" s="150" t="s">
        <v>2525</v>
      </c>
      <c r="S1021" s="151"/>
      <c r="T1021" s="151"/>
      <c r="U1021" s="152"/>
      <c r="V1021" s="150" t="s">
        <v>330</v>
      </c>
      <c r="W1021" s="151"/>
      <c r="X1021" s="150" t="s">
        <v>331</v>
      </c>
      <c r="Y1021" s="150" t="s">
        <v>343</v>
      </c>
      <c r="Z1021" s="150" t="s">
        <v>343</v>
      </c>
      <c r="AA1021" s="150" t="s">
        <v>334</v>
      </c>
      <c r="AB1021" s="153">
        <v>0</v>
      </c>
      <c r="AC1021" s="151"/>
      <c r="AD1021" s="150"/>
      <c r="AE1021" s="151"/>
      <c r="AF1021" s="150" t="s">
        <v>49</v>
      </c>
      <c r="AG1021" s="152" t="s">
        <v>470</v>
      </c>
      <c r="AH1021" s="150" t="s">
        <v>2629</v>
      </c>
      <c r="AI1021" s="99"/>
      <c r="AJ1021" s="149">
        <v>0</v>
      </c>
      <c r="AK1021" s="99">
        <v>0</v>
      </c>
      <c r="AL1021" s="149">
        <v>0</v>
      </c>
      <c r="AM1021" s="99">
        <v>0</v>
      </c>
      <c r="AN1021" s="149">
        <v>0</v>
      </c>
      <c r="AO1021" s="149">
        <v>0</v>
      </c>
      <c r="AP1021" s="149">
        <v>0</v>
      </c>
      <c r="AQ1021" s="149">
        <v>0</v>
      </c>
      <c r="AR1021" s="149">
        <v>0</v>
      </c>
      <c r="AS1021" s="149">
        <v>0</v>
      </c>
      <c r="AT1021" s="149">
        <v>17</v>
      </c>
      <c r="AU1021" s="149">
        <v>0</v>
      </c>
      <c r="AV1021" s="149">
        <v>0</v>
      </c>
      <c r="AW1021" s="149">
        <v>0</v>
      </c>
      <c r="AX1021" s="149">
        <v>0</v>
      </c>
      <c r="AY1021" s="149">
        <v>0</v>
      </c>
      <c r="AZ1021" s="149">
        <v>0</v>
      </c>
      <c r="BA1021" s="149">
        <v>17</v>
      </c>
      <c r="BB1021" s="149">
        <v>0</v>
      </c>
      <c r="BC1021" s="149">
        <v>0</v>
      </c>
      <c r="BD1021" s="149">
        <v>0</v>
      </c>
      <c r="BE1021" s="149">
        <v>0</v>
      </c>
      <c r="BF1021" s="149">
        <v>0</v>
      </c>
      <c r="BG1021" s="149">
        <v>0</v>
      </c>
      <c r="BH1021" s="149">
        <v>0</v>
      </c>
      <c r="BI1021" s="149">
        <v>0</v>
      </c>
      <c r="BJ1021" s="149">
        <v>0</v>
      </c>
      <c r="BK1021" s="149">
        <v>0</v>
      </c>
      <c r="BL1021" s="149">
        <v>0</v>
      </c>
      <c r="BM1021" s="149">
        <v>0</v>
      </c>
      <c r="BN1021" s="149">
        <v>0</v>
      </c>
      <c r="BO1021" s="149">
        <v>0</v>
      </c>
      <c r="BP1021" s="136"/>
      <c r="BQ1021" s="136"/>
      <c r="BR1021" s="154" t="s">
        <v>142</v>
      </c>
      <c r="BS1021" s="136">
        <v>19</v>
      </c>
      <c r="BT1021" s="267"/>
      <c r="BU1021" s="267"/>
      <c r="BV1021" s="267"/>
      <c r="BW1021" s="267"/>
      <c r="BX1021" s="267"/>
      <c r="BY1021" s="267">
        <f>M1021/16</f>
        <v>1.0625</v>
      </c>
      <c r="BZ1021" s="267">
        <f>M1021/16</f>
        <v>1.0625</v>
      </c>
      <c r="CA1021" s="267">
        <f>M1021/16</f>
        <v>1.0625</v>
      </c>
      <c r="CB1021" s="267">
        <f>M1021/16</f>
        <v>1.0625</v>
      </c>
      <c r="CC1021" s="267">
        <f>M1021/16</f>
        <v>1.0625</v>
      </c>
      <c r="CD1021" s="267">
        <f>M1021/16</f>
        <v>1.0625</v>
      </c>
      <c r="CE1021" s="267">
        <f>M1021/16</f>
        <v>1.0625</v>
      </c>
      <c r="CF1021" s="267">
        <f>M1021/16</f>
        <v>1.0625</v>
      </c>
      <c r="CG1021" s="267">
        <f>M1021/16</f>
        <v>1.0625</v>
      </c>
      <c r="CH1021" s="267">
        <f>M1021/16</f>
        <v>1.0625</v>
      </c>
      <c r="CI1021" s="267">
        <f>M1021/16</f>
        <v>1.0625</v>
      </c>
      <c r="CJ1021" s="267">
        <f>M1021/16</f>
        <v>1.0625</v>
      </c>
      <c r="CK1021" s="267">
        <f>M1021/16</f>
        <v>1.0625</v>
      </c>
      <c r="CL1021" s="267">
        <f>M1021/16</f>
        <v>1.0625</v>
      </c>
      <c r="CM1021" s="267">
        <f>M1021/16</f>
        <v>1.0625</v>
      </c>
      <c r="CN1021" s="101">
        <f t="shared" si="135"/>
        <v>1.0625</v>
      </c>
      <c r="CO1021" s="101">
        <f t="shared" si="136"/>
        <v>6.375</v>
      </c>
    </row>
    <row r="1022" spans="1:93" ht="13.9" customHeight="1" x14ac:dyDescent="0.2">
      <c r="A1022" s="149">
        <v>7579</v>
      </c>
      <c r="B1022" s="150" t="s">
        <v>2522</v>
      </c>
      <c r="C1022" s="150"/>
      <c r="D1022" s="150" t="s">
        <v>2628</v>
      </c>
      <c r="E1022" s="150"/>
      <c r="F1022" s="149">
        <v>526984</v>
      </c>
      <c r="G1022" s="149">
        <v>171324</v>
      </c>
      <c r="H1022" s="150" t="s">
        <v>173</v>
      </c>
      <c r="I1022" s="151"/>
      <c r="J1022" s="151"/>
      <c r="K1022" s="149">
        <v>0</v>
      </c>
      <c r="L1022" s="149">
        <v>16</v>
      </c>
      <c r="M1022" s="149">
        <v>16</v>
      </c>
      <c r="N1022" s="149">
        <v>94</v>
      </c>
      <c r="O1022" s="149">
        <v>94</v>
      </c>
      <c r="P1022" s="152" t="s">
        <v>327</v>
      </c>
      <c r="Q1022" s="150" t="s">
        <v>2524</v>
      </c>
      <c r="R1022" s="150" t="s">
        <v>2525</v>
      </c>
      <c r="S1022" s="151"/>
      <c r="T1022" s="151"/>
      <c r="U1022" s="152"/>
      <c r="V1022" s="150" t="s">
        <v>330</v>
      </c>
      <c r="W1022" s="151"/>
      <c r="X1022" s="150" t="s">
        <v>331</v>
      </c>
      <c r="Y1022" s="150" t="s">
        <v>343</v>
      </c>
      <c r="Z1022" s="150" t="s">
        <v>343</v>
      </c>
      <c r="AA1022" s="150" t="s">
        <v>334</v>
      </c>
      <c r="AB1022" s="153">
        <v>0</v>
      </c>
      <c r="AC1022" s="151"/>
      <c r="AD1022" s="150"/>
      <c r="AE1022" s="151"/>
      <c r="AF1022" s="150" t="s">
        <v>48</v>
      </c>
      <c r="AG1022" s="152" t="s">
        <v>992</v>
      </c>
      <c r="AH1022" s="150" t="s">
        <v>2629</v>
      </c>
      <c r="AI1022" s="99"/>
      <c r="AJ1022" s="149">
        <v>0</v>
      </c>
      <c r="AK1022" s="99">
        <v>0</v>
      </c>
      <c r="AL1022" s="149">
        <v>0</v>
      </c>
      <c r="AM1022" s="99">
        <v>0</v>
      </c>
      <c r="AN1022" s="149">
        <v>0</v>
      </c>
      <c r="AO1022" s="149">
        <v>0</v>
      </c>
      <c r="AP1022" s="149">
        <v>0</v>
      </c>
      <c r="AQ1022" s="149">
        <v>0</v>
      </c>
      <c r="AR1022" s="149">
        <v>0</v>
      </c>
      <c r="AS1022" s="149">
        <v>0</v>
      </c>
      <c r="AT1022" s="149">
        <v>16</v>
      </c>
      <c r="AU1022" s="149">
        <v>0</v>
      </c>
      <c r="AV1022" s="149">
        <v>0</v>
      </c>
      <c r="AW1022" s="149">
        <v>0</v>
      </c>
      <c r="AX1022" s="149">
        <v>0</v>
      </c>
      <c r="AY1022" s="149">
        <v>0</v>
      </c>
      <c r="AZ1022" s="149">
        <v>0</v>
      </c>
      <c r="BA1022" s="149">
        <v>16</v>
      </c>
      <c r="BB1022" s="149">
        <v>0</v>
      </c>
      <c r="BC1022" s="149">
        <v>0</v>
      </c>
      <c r="BD1022" s="149">
        <v>0</v>
      </c>
      <c r="BE1022" s="149">
        <v>0</v>
      </c>
      <c r="BF1022" s="149">
        <v>0</v>
      </c>
      <c r="BG1022" s="149">
        <v>0</v>
      </c>
      <c r="BH1022" s="149">
        <v>0</v>
      </c>
      <c r="BI1022" s="149">
        <v>0</v>
      </c>
      <c r="BJ1022" s="149">
        <v>0</v>
      </c>
      <c r="BK1022" s="149">
        <v>0</v>
      </c>
      <c r="BL1022" s="149">
        <v>0</v>
      </c>
      <c r="BM1022" s="149">
        <v>0</v>
      </c>
      <c r="BN1022" s="149">
        <v>0</v>
      </c>
      <c r="BO1022" s="149">
        <v>0</v>
      </c>
      <c r="BP1022" s="136"/>
      <c r="BQ1022" s="136"/>
      <c r="BR1022" s="154" t="s">
        <v>142</v>
      </c>
      <c r="BS1022" s="136">
        <v>19</v>
      </c>
      <c r="BT1022" s="267"/>
      <c r="BU1022" s="267"/>
      <c r="BV1022" s="267"/>
      <c r="BW1022" s="267"/>
      <c r="BX1022" s="267"/>
      <c r="BY1022" s="267">
        <f>M1022/16</f>
        <v>1</v>
      </c>
      <c r="BZ1022" s="267">
        <f>M1022/16</f>
        <v>1</v>
      </c>
      <c r="CA1022" s="267">
        <f>M1022/16</f>
        <v>1</v>
      </c>
      <c r="CB1022" s="267">
        <f>M1022/16</f>
        <v>1</v>
      </c>
      <c r="CC1022" s="267">
        <f>M1022/16</f>
        <v>1</v>
      </c>
      <c r="CD1022" s="267">
        <f>M1022/16</f>
        <v>1</v>
      </c>
      <c r="CE1022" s="267">
        <f>M1022/16</f>
        <v>1</v>
      </c>
      <c r="CF1022" s="267">
        <f>M1022/16</f>
        <v>1</v>
      </c>
      <c r="CG1022" s="267">
        <f>M1022/16</f>
        <v>1</v>
      </c>
      <c r="CH1022" s="267">
        <f>M1022/16</f>
        <v>1</v>
      </c>
      <c r="CI1022" s="267">
        <f>M1022/16</f>
        <v>1</v>
      </c>
      <c r="CJ1022" s="267">
        <f>M1022/16</f>
        <v>1</v>
      </c>
      <c r="CK1022" s="267">
        <f>M1022/16</f>
        <v>1</v>
      </c>
      <c r="CL1022" s="267">
        <f>M1022/16</f>
        <v>1</v>
      </c>
      <c r="CM1022" s="267">
        <f>M1022/16</f>
        <v>1</v>
      </c>
      <c r="CN1022" s="101">
        <f t="shared" si="135"/>
        <v>1</v>
      </c>
      <c r="CO1022" s="101">
        <f t="shared" si="136"/>
        <v>6</v>
      </c>
    </row>
    <row r="1023" spans="1:93" ht="13.9" customHeight="1" x14ac:dyDescent="0.2">
      <c r="A1023" s="149">
        <v>6872</v>
      </c>
      <c r="B1023" s="150" t="s">
        <v>2522</v>
      </c>
      <c r="C1023" s="150"/>
      <c r="D1023" s="150" t="s">
        <v>2630</v>
      </c>
      <c r="E1023" s="150"/>
      <c r="F1023" s="149">
        <v>526497</v>
      </c>
      <c r="G1023" s="149">
        <v>175661</v>
      </c>
      <c r="H1023" s="150" t="s">
        <v>170</v>
      </c>
      <c r="I1023" s="151"/>
      <c r="J1023" s="151"/>
      <c r="K1023" s="149">
        <v>0</v>
      </c>
      <c r="L1023" s="149">
        <v>9</v>
      </c>
      <c r="M1023" s="149">
        <v>9</v>
      </c>
      <c r="N1023" s="149">
        <v>9</v>
      </c>
      <c r="O1023" s="149">
        <v>9</v>
      </c>
      <c r="P1023" s="152"/>
      <c r="Q1023" s="150" t="s">
        <v>2524</v>
      </c>
      <c r="R1023" s="150" t="s">
        <v>2525</v>
      </c>
      <c r="S1023" s="151"/>
      <c r="T1023" s="151"/>
      <c r="U1023" s="152"/>
      <c r="V1023" s="150" t="s">
        <v>330</v>
      </c>
      <c r="W1023" s="151"/>
      <c r="X1023" s="150" t="s">
        <v>331</v>
      </c>
      <c r="Y1023" s="150" t="s">
        <v>343</v>
      </c>
      <c r="Z1023" s="150" t="s">
        <v>334</v>
      </c>
      <c r="AA1023" s="150" t="s">
        <v>363</v>
      </c>
      <c r="AB1023" s="153">
        <v>0</v>
      </c>
      <c r="AC1023" s="151"/>
      <c r="AD1023" s="150"/>
      <c r="AE1023" s="151"/>
      <c r="AF1023" s="150" t="s">
        <v>70</v>
      </c>
      <c r="AG1023" s="152" t="s">
        <v>352</v>
      </c>
      <c r="AH1023" s="150" t="s">
        <v>2631</v>
      </c>
      <c r="AI1023" s="99"/>
      <c r="AJ1023" s="149">
        <v>0</v>
      </c>
      <c r="AK1023" s="99">
        <v>0</v>
      </c>
      <c r="AL1023" s="149">
        <v>0</v>
      </c>
      <c r="AM1023" s="99">
        <v>0</v>
      </c>
      <c r="AN1023" s="149">
        <v>0</v>
      </c>
      <c r="AO1023" s="149">
        <v>0</v>
      </c>
      <c r="AP1023" s="149">
        <v>0</v>
      </c>
      <c r="AQ1023" s="149">
        <v>0</v>
      </c>
      <c r="AR1023" s="149">
        <v>0</v>
      </c>
      <c r="AS1023" s="149">
        <v>0</v>
      </c>
      <c r="AT1023" s="149">
        <v>9</v>
      </c>
      <c r="AU1023" s="149">
        <v>0</v>
      </c>
      <c r="AV1023" s="149">
        <v>0</v>
      </c>
      <c r="AW1023" s="149">
        <v>0</v>
      </c>
      <c r="AX1023" s="149">
        <v>0</v>
      </c>
      <c r="AY1023" s="149">
        <v>0</v>
      </c>
      <c r="AZ1023" s="149">
        <v>0</v>
      </c>
      <c r="BA1023" s="149">
        <v>9</v>
      </c>
      <c r="BB1023" s="149">
        <v>0</v>
      </c>
      <c r="BC1023" s="149">
        <v>0</v>
      </c>
      <c r="BD1023" s="149">
        <v>0</v>
      </c>
      <c r="BE1023" s="149">
        <v>0</v>
      </c>
      <c r="BF1023" s="149">
        <v>0</v>
      </c>
      <c r="BG1023" s="149">
        <v>0</v>
      </c>
      <c r="BH1023" s="149">
        <v>0</v>
      </c>
      <c r="BI1023" s="149">
        <v>0</v>
      </c>
      <c r="BJ1023" s="149">
        <v>0</v>
      </c>
      <c r="BK1023" s="149">
        <v>0</v>
      </c>
      <c r="BL1023" s="149">
        <v>0</v>
      </c>
      <c r="BM1023" s="149">
        <v>0</v>
      </c>
      <c r="BN1023" s="149">
        <v>0</v>
      </c>
      <c r="BO1023" s="149">
        <v>0</v>
      </c>
      <c r="BP1023" s="136"/>
      <c r="BQ1023" s="136"/>
      <c r="BR1023" s="154" t="s">
        <v>408</v>
      </c>
      <c r="BS1023" s="136">
        <v>19</v>
      </c>
      <c r="BT1023" s="267"/>
      <c r="BU1023" s="267"/>
      <c r="BV1023" s="267"/>
      <c r="BW1023" s="267"/>
      <c r="BX1023" s="267"/>
      <c r="BY1023" s="267"/>
      <c r="BZ1023" s="267"/>
      <c r="CA1023" s="267"/>
      <c r="CB1023" s="267"/>
      <c r="CC1023" s="267">
        <f>M1023/12</f>
        <v>0.75</v>
      </c>
      <c r="CD1023" s="267">
        <f>M1023/12</f>
        <v>0.75</v>
      </c>
      <c r="CE1023" s="267">
        <f>M1023/12</f>
        <v>0.75</v>
      </c>
      <c r="CF1023" s="267">
        <f>M1023/12</f>
        <v>0.75</v>
      </c>
      <c r="CG1023" s="267">
        <f>M1023/12</f>
        <v>0.75</v>
      </c>
      <c r="CH1023" s="267">
        <f>M1023/12</f>
        <v>0.75</v>
      </c>
      <c r="CI1023" s="267">
        <f>M1023/12</f>
        <v>0.75</v>
      </c>
      <c r="CJ1023" s="267">
        <f>M1023/12</f>
        <v>0.75</v>
      </c>
      <c r="CK1023" s="267">
        <f>M1023/12</f>
        <v>0.75</v>
      </c>
      <c r="CL1023" s="267">
        <f>M1023/12</f>
        <v>0.75</v>
      </c>
      <c r="CM1023" s="267">
        <f>M1023/12</f>
        <v>0.75</v>
      </c>
      <c r="CN1023" s="101">
        <f t="shared" si="135"/>
        <v>0</v>
      </c>
      <c r="CO1023" s="101">
        <f t="shared" si="136"/>
        <v>1.5</v>
      </c>
    </row>
    <row r="1024" spans="1:93" ht="13.9" customHeight="1" x14ac:dyDescent="0.2">
      <c r="A1024" s="149">
        <v>6870</v>
      </c>
      <c r="B1024" s="150" t="s">
        <v>2522</v>
      </c>
      <c r="C1024" s="150"/>
      <c r="D1024" s="150" t="s">
        <v>2632</v>
      </c>
      <c r="E1024" s="150"/>
      <c r="F1024" s="149">
        <v>526722</v>
      </c>
      <c r="G1024" s="149">
        <v>176263</v>
      </c>
      <c r="H1024" s="150" t="s">
        <v>170</v>
      </c>
      <c r="I1024" s="151"/>
      <c r="J1024" s="151"/>
      <c r="K1024" s="149">
        <v>0</v>
      </c>
      <c r="L1024" s="149">
        <v>135</v>
      </c>
      <c r="M1024" s="149">
        <v>135</v>
      </c>
      <c r="N1024" s="149">
        <v>207</v>
      </c>
      <c r="O1024" s="149">
        <v>207</v>
      </c>
      <c r="P1024" s="152" t="s">
        <v>327</v>
      </c>
      <c r="Q1024" s="150" t="s">
        <v>2524</v>
      </c>
      <c r="R1024" s="150" t="s">
        <v>2525</v>
      </c>
      <c r="S1024" s="151"/>
      <c r="T1024" s="151"/>
      <c r="U1024" s="152"/>
      <c r="V1024" s="150" t="s">
        <v>330</v>
      </c>
      <c r="W1024" s="151"/>
      <c r="X1024" s="150" t="s">
        <v>331</v>
      </c>
      <c r="Y1024" s="150" t="s">
        <v>343</v>
      </c>
      <c r="Z1024" s="150" t="s">
        <v>343</v>
      </c>
      <c r="AA1024" s="150" t="s">
        <v>334</v>
      </c>
      <c r="AB1024" s="153">
        <v>0</v>
      </c>
      <c r="AC1024" s="151"/>
      <c r="AD1024" s="150"/>
      <c r="AE1024" s="151"/>
      <c r="AF1024" s="150" t="s">
        <v>70</v>
      </c>
      <c r="AG1024" s="152" t="s">
        <v>352</v>
      </c>
      <c r="AH1024" s="150" t="s">
        <v>2633</v>
      </c>
      <c r="AI1024" s="99"/>
      <c r="AJ1024" s="149">
        <v>0</v>
      </c>
      <c r="AK1024" s="99">
        <v>0</v>
      </c>
      <c r="AL1024" s="149">
        <v>0</v>
      </c>
      <c r="AM1024" s="99">
        <v>0</v>
      </c>
      <c r="AN1024" s="149">
        <v>0</v>
      </c>
      <c r="AO1024" s="149">
        <v>0</v>
      </c>
      <c r="AP1024" s="149">
        <v>0</v>
      </c>
      <c r="AQ1024" s="149">
        <v>0</v>
      </c>
      <c r="AR1024" s="149">
        <v>0</v>
      </c>
      <c r="AS1024" s="149">
        <v>0</v>
      </c>
      <c r="AT1024" s="149">
        <v>135</v>
      </c>
      <c r="AU1024" s="149">
        <v>0</v>
      </c>
      <c r="AV1024" s="149">
        <v>0</v>
      </c>
      <c r="AW1024" s="149">
        <v>0</v>
      </c>
      <c r="AX1024" s="149">
        <v>0</v>
      </c>
      <c r="AY1024" s="149">
        <v>0</v>
      </c>
      <c r="AZ1024" s="149">
        <v>0</v>
      </c>
      <c r="BA1024" s="149">
        <v>135</v>
      </c>
      <c r="BB1024" s="149">
        <v>0</v>
      </c>
      <c r="BC1024" s="149">
        <v>0</v>
      </c>
      <c r="BD1024" s="149">
        <v>0</v>
      </c>
      <c r="BE1024" s="149">
        <v>0</v>
      </c>
      <c r="BF1024" s="149">
        <v>0</v>
      </c>
      <c r="BG1024" s="149">
        <v>0</v>
      </c>
      <c r="BH1024" s="149">
        <v>0</v>
      </c>
      <c r="BI1024" s="149">
        <v>0</v>
      </c>
      <c r="BJ1024" s="149">
        <v>0</v>
      </c>
      <c r="BK1024" s="149">
        <v>0</v>
      </c>
      <c r="BL1024" s="149">
        <v>0</v>
      </c>
      <c r="BM1024" s="149">
        <v>0</v>
      </c>
      <c r="BN1024" s="149">
        <v>0</v>
      </c>
      <c r="BO1024" s="149">
        <v>0</v>
      </c>
      <c r="BP1024" s="136"/>
      <c r="BQ1024" s="136"/>
      <c r="BR1024" s="154" t="s">
        <v>408</v>
      </c>
      <c r="BS1024" s="136">
        <v>19</v>
      </c>
      <c r="BT1024" s="267"/>
      <c r="BU1024" s="267"/>
      <c r="BV1024" s="267"/>
      <c r="BW1024" s="267"/>
      <c r="BX1024" s="267"/>
      <c r="BY1024" s="267">
        <f>M1024/16</f>
        <v>8.4375</v>
      </c>
      <c r="BZ1024" s="267">
        <f>M1024/16</f>
        <v>8.4375</v>
      </c>
      <c r="CA1024" s="267">
        <f>M1024/16</f>
        <v>8.4375</v>
      </c>
      <c r="CB1024" s="267">
        <f>M1024/16</f>
        <v>8.4375</v>
      </c>
      <c r="CC1024" s="267">
        <f>M1024/16</f>
        <v>8.4375</v>
      </c>
      <c r="CD1024" s="267">
        <f>M1024/16</f>
        <v>8.4375</v>
      </c>
      <c r="CE1024" s="267">
        <f>M1024/16</f>
        <v>8.4375</v>
      </c>
      <c r="CF1024" s="267">
        <f>M1024/16</f>
        <v>8.4375</v>
      </c>
      <c r="CG1024" s="267">
        <f>M1024/16</f>
        <v>8.4375</v>
      </c>
      <c r="CH1024" s="267">
        <f>M1024/16</f>
        <v>8.4375</v>
      </c>
      <c r="CI1024" s="267">
        <f>M1024/16</f>
        <v>8.4375</v>
      </c>
      <c r="CJ1024" s="267">
        <f>M1024/16</f>
        <v>8.4375</v>
      </c>
      <c r="CK1024" s="267">
        <f>M1024/16</f>
        <v>8.4375</v>
      </c>
      <c r="CL1024" s="267">
        <f>M1024/16</f>
        <v>8.4375</v>
      </c>
      <c r="CM1024" s="267">
        <f>M1024/16</f>
        <v>8.4375</v>
      </c>
      <c r="CN1024" s="101">
        <f t="shared" si="135"/>
        <v>8.4375</v>
      </c>
      <c r="CO1024" s="101">
        <f t="shared" si="136"/>
        <v>50.625</v>
      </c>
    </row>
    <row r="1025" spans="1:93" ht="13.9" customHeight="1" x14ac:dyDescent="0.2">
      <c r="A1025" s="149">
        <v>6870</v>
      </c>
      <c r="B1025" s="150" t="s">
        <v>2522</v>
      </c>
      <c r="C1025" s="150"/>
      <c r="D1025" s="150" t="s">
        <v>2632</v>
      </c>
      <c r="E1025" s="150"/>
      <c r="F1025" s="149">
        <v>526722</v>
      </c>
      <c r="G1025" s="149">
        <v>176263</v>
      </c>
      <c r="H1025" s="150" t="s">
        <v>170</v>
      </c>
      <c r="I1025" s="151"/>
      <c r="J1025" s="151"/>
      <c r="K1025" s="149">
        <v>0</v>
      </c>
      <c r="L1025" s="149">
        <v>36</v>
      </c>
      <c r="M1025" s="149">
        <v>36</v>
      </c>
      <c r="N1025" s="149">
        <v>207</v>
      </c>
      <c r="O1025" s="149">
        <v>207</v>
      </c>
      <c r="P1025" s="152" t="s">
        <v>327</v>
      </c>
      <c r="Q1025" s="150" t="s">
        <v>2524</v>
      </c>
      <c r="R1025" s="150" t="s">
        <v>2525</v>
      </c>
      <c r="S1025" s="151"/>
      <c r="T1025" s="151"/>
      <c r="U1025" s="152"/>
      <c r="V1025" s="150" t="s">
        <v>330</v>
      </c>
      <c r="W1025" s="151"/>
      <c r="X1025" s="150" t="s">
        <v>331</v>
      </c>
      <c r="Y1025" s="150" t="s">
        <v>343</v>
      </c>
      <c r="Z1025" s="150" t="s">
        <v>343</v>
      </c>
      <c r="AA1025" s="150" t="s">
        <v>334</v>
      </c>
      <c r="AB1025" s="153">
        <v>0</v>
      </c>
      <c r="AC1025" s="151"/>
      <c r="AD1025" s="150"/>
      <c r="AE1025" s="151"/>
      <c r="AF1025" s="150" t="s">
        <v>49</v>
      </c>
      <c r="AG1025" s="152" t="s">
        <v>470</v>
      </c>
      <c r="AH1025" s="150" t="s">
        <v>2633</v>
      </c>
      <c r="AI1025" s="99"/>
      <c r="AJ1025" s="149">
        <v>0</v>
      </c>
      <c r="AK1025" s="99">
        <v>0</v>
      </c>
      <c r="AL1025" s="149">
        <v>0</v>
      </c>
      <c r="AM1025" s="99">
        <v>0</v>
      </c>
      <c r="AN1025" s="149">
        <v>0</v>
      </c>
      <c r="AO1025" s="149">
        <v>0</v>
      </c>
      <c r="AP1025" s="149">
        <v>0</v>
      </c>
      <c r="AQ1025" s="149">
        <v>0</v>
      </c>
      <c r="AR1025" s="149">
        <v>0</v>
      </c>
      <c r="AS1025" s="149">
        <v>0</v>
      </c>
      <c r="AT1025" s="149">
        <v>36</v>
      </c>
      <c r="AU1025" s="149">
        <v>0</v>
      </c>
      <c r="AV1025" s="149">
        <v>0</v>
      </c>
      <c r="AW1025" s="149">
        <v>0</v>
      </c>
      <c r="AX1025" s="149">
        <v>0</v>
      </c>
      <c r="AY1025" s="149">
        <v>0</v>
      </c>
      <c r="AZ1025" s="149">
        <v>0</v>
      </c>
      <c r="BA1025" s="149">
        <v>36</v>
      </c>
      <c r="BB1025" s="149">
        <v>0</v>
      </c>
      <c r="BC1025" s="149">
        <v>0</v>
      </c>
      <c r="BD1025" s="149">
        <v>0</v>
      </c>
      <c r="BE1025" s="149">
        <v>0</v>
      </c>
      <c r="BF1025" s="149">
        <v>0</v>
      </c>
      <c r="BG1025" s="149">
        <v>0</v>
      </c>
      <c r="BH1025" s="149">
        <v>0</v>
      </c>
      <c r="BI1025" s="149">
        <v>0</v>
      </c>
      <c r="BJ1025" s="149">
        <v>0</v>
      </c>
      <c r="BK1025" s="149">
        <v>0</v>
      </c>
      <c r="BL1025" s="149">
        <v>0</v>
      </c>
      <c r="BM1025" s="149">
        <v>0</v>
      </c>
      <c r="BN1025" s="149">
        <v>0</v>
      </c>
      <c r="BO1025" s="149">
        <v>0</v>
      </c>
      <c r="BP1025" s="136"/>
      <c r="BQ1025" s="136"/>
      <c r="BR1025" s="154" t="s">
        <v>408</v>
      </c>
      <c r="BS1025" s="136">
        <v>19</v>
      </c>
      <c r="BT1025" s="267"/>
      <c r="BU1025" s="267"/>
      <c r="BV1025" s="267"/>
      <c r="BW1025" s="267"/>
      <c r="BX1025" s="267"/>
      <c r="BY1025" s="267">
        <f>M1025/16</f>
        <v>2.25</v>
      </c>
      <c r="BZ1025" s="267">
        <f>M1025/16</f>
        <v>2.25</v>
      </c>
      <c r="CA1025" s="267">
        <f>M1025/16</f>
        <v>2.25</v>
      </c>
      <c r="CB1025" s="267">
        <f>M1025/16</f>
        <v>2.25</v>
      </c>
      <c r="CC1025" s="267">
        <f>M1025/16</f>
        <v>2.25</v>
      </c>
      <c r="CD1025" s="267">
        <f>M1025/16</f>
        <v>2.25</v>
      </c>
      <c r="CE1025" s="267">
        <f>M1025/16</f>
        <v>2.25</v>
      </c>
      <c r="CF1025" s="267">
        <f>M1025/16</f>
        <v>2.25</v>
      </c>
      <c r="CG1025" s="267">
        <f>M1025/16</f>
        <v>2.25</v>
      </c>
      <c r="CH1025" s="267">
        <f>M1025/16</f>
        <v>2.25</v>
      </c>
      <c r="CI1025" s="267">
        <f>M1025/16</f>
        <v>2.25</v>
      </c>
      <c r="CJ1025" s="267">
        <f>M1025/16</f>
        <v>2.25</v>
      </c>
      <c r="CK1025" s="267">
        <f>M1025/16</f>
        <v>2.25</v>
      </c>
      <c r="CL1025" s="267">
        <f>M1025/16</f>
        <v>2.25</v>
      </c>
      <c r="CM1025" s="267">
        <f>M1025/16</f>
        <v>2.25</v>
      </c>
      <c r="CN1025" s="101">
        <f t="shared" si="135"/>
        <v>2.25</v>
      </c>
      <c r="CO1025" s="101">
        <f t="shared" si="136"/>
        <v>13.5</v>
      </c>
    </row>
    <row r="1026" spans="1:93" ht="13.9" customHeight="1" x14ac:dyDescent="0.2">
      <c r="A1026" s="149">
        <v>6870</v>
      </c>
      <c r="B1026" s="150" t="s">
        <v>2522</v>
      </c>
      <c r="C1026" s="150"/>
      <c r="D1026" s="150" t="s">
        <v>2632</v>
      </c>
      <c r="E1026" s="150"/>
      <c r="F1026" s="149">
        <v>526722</v>
      </c>
      <c r="G1026" s="149">
        <v>176263</v>
      </c>
      <c r="H1026" s="150" t="s">
        <v>170</v>
      </c>
      <c r="I1026" s="151"/>
      <c r="J1026" s="151"/>
      <c r="K1026" s="149">
        <v>0</v>
      </c>
      <c r="L1026" s="149">
        <v>36</v>
      </c>
      <c r="M1026" s="149">
        <v>36</v>
      </c>
      <c r="N1026" s="149">
        <v>207</v>
      </c>
      <c r="O1026" s="149">
        <v>207</v>
      </c>
      <c r="P1026" s="152" t="s">
        <v>327</v>
      </c>
      <c r="Q1026" s="150" t="s">
        <v>2524</v>
      </c>
      <c r="R1026" s="150" t="s">
        <v>2525</v>
      </c>
      <c r="S1026" s="151"/>
      <c r="T1026" s="151"/>
      <c r="U1026" s="152"/>
      <c r="V1026" s="150" t="s">
        <v>330</v>
      </c>
      <c r="W1026" s="151"/>
      <c r="X1026" s="150" t="s">
        <v>331</v>
      </c>
      <c r="Y1026" s="150" t="s">
        <v>343</v>
      </c>
      <c r="Z1026" s="150" t="s">
        <v>343</v>
      </c>
      <c r="AA1026" s="150" t="s">
        <v>334</v>
      </c>
      <c r="AB1026" s="153">
        <v>0</v>
      </c>
      <c r="AC1026" s="151"/>
      <c r="AD1026" s="150"/>
      <c r="AE1026" s="151"/>
      <c r="AF1026" s="150" t="s">
        <v>48</v>
      </c>
      <c r="AG1026" s="152" t="s">
        <v>992</v>
      </c>
      <c r="AH1026" s="150" t="s">
        <v>2633</v>
      </c>
      <c r="AI1026" s="99"/>
      <c r="AJ1026" s="149">
        <v>0</v>
      </c>
      <c r="AK1026" s="99">
        <v>0</v>
      </c>
      <c r="AL1026" s="149">
        <v>0</v>
      </c>
      <c r="AM1026" s="99">
        <v>0</v>
      </c>
      <c r="AN1026" s="149">
        <v>0</v>
      </c>
      <c r="AO1026" s="149">
        <v>0</v>
      </c>
      <c r="AP1026" s="149">
        <v>0</v>
      </c>
      <c r="AQ1026" s="149">
        <v>0</v>
      </c>
      <c r="AR1026" s="149">
        <v>0</v>
      </c>
      <c r="AS1026" s="149">
        <v>0</v>
      </c>
      <c r="AT1026" s="149">
        <v>36</v>
      </c>
      <c r="AU1026" s="149">
        <v>0</v>
      </c>
      <c r="AV1026" s="149">
        <v>0</v>
      </c>
      <c r="AW1026" s="149">
        <v>0</v>
      </c>
      <c r="AX1026" s="149">
        <v>0</v>
      </c>
      <c r="AY1026" s="149">
        <v>0</v>
      </c>
      <c r="AZ1026" s="149">
        <v>0</v>
      </c>
      <c r="BA1026" s="149">
        <v>36</v>
      </c>
      <c r="BB1026" s="149">
        <v>0</v>
      </c>
      <c r="BC1026" s="149">
        <v>0</v>
      </c>
      <c r="BD1026" s="149">
        <v>0</v>
      </c>
      <c r="BE1026" s="149">
        <v>0</v>
      </c>
      <c r="BF1026" s="149">
        <v>0</v>
      </c>
      <c r="BG1026" s="149">
        <v>0</v>
      </c>
      <c r="BH1026" s="149">
        <v>0</v>
      </c>
      <c r="BI1026" s="149">
        <v>0</v>
      </c>
      <c r="BJ1026" s="149">
        <v>0</v>
      </c>
      <c r="BK1026" s="149">
        <v>0</v>
      </c>
      <c r="BL1026" s="149">
        <v>0</v>
      </c>
      <c r="BM1026" s="149">
        <v>0</v>
      </c>
      <c r="BN1026" s="149">
        <v>0</v>
      </c>
      <c r="BO1026" s="149">
        <v>0</v>
      </c>
      <c r="BP1026" s="136"/>
      <c r="BQ1026" s="136"/>
      <c r="BR1026" s="154" t="s">
        <v>408</v>
      </c>
      <c r="BS1026" s="136">
        <v>19</v>
      </c>
      <c r="BT1026" s="267"/>
      <c r="BU1026" s="267"/>
      <c r="BV1026" s="267"/>
      <c r="BW1026" s="267"/>
      <c r="BX1026" s="267"/>
      <c r="BY1026" s="267">
        <f>M1026/16</f>
        <v>2.25</v>
      </c>
      <c r="BZ1026" s="267">
        <f>M1026/16</f>
        <v>2.25</v>
      </c>
      <c r="CA1026" s="267">
        <f>M1026/16</f>
        <v>2.25</v>
      </c>
      <c r="CB1026" s="267">
        <f>M1026/16</f>
        <v>2.25</v>
      </c>
      <c r="CC1026" s="267">
        <f>M1026/16</f>
        <v>2.25</v>
      </c>
      <c r="CD1026" s="267">
        <f>M1026/16</f>
        <v>2.25</v>
      </c>
      <c r="CE1026" s="267">
        <f>M1026/16</f>
        <v>2.25</v>
      </c>
      <c r="CF1026" s="267">
        <f>M1026/16</f>
        <v>2.25</v>
      </c>
      <c r="CG1026" s="267">
        <f>M1026/16</f>
        <v>2.25</v>
      </c>
      <c r="CH1026" s="267">
        <f>M1026/16</f>
        <v>2.25</v>
      </c>
      <c r="CI1026" s="267">
        <f>M1026/16</f>
        <v>2.25</v>
      </c>
      <c r="CJ1026" s="267">
        <f>M1026/16</f>
        <v>2.25</v>
      </c>
      <c r="CK1026" s="267">
        <f>M1026/16</f>
        <v>2.25</v>
      </c>
      <c r="CL1026" s="267">
        <f>M1026/16</f>
        <v>2.25</v>
      </c>
      <c r="CM1026" s="267">
        <f>M1026/16</f>
        <v>2.25</v>
      </c>
      <c r="CN1026" s="101">
        <f t="shared" ref="CN1026:CN1040" si="154">SUM(BU1026:BY1026)</f>
        <v>2.25</v>
      </c>
      <c r="CO1026" s="101">
        <f t="shared" ref="CO1026:CO1040" si="155">SUM(BU1026:CD1026)</f>
        <v>13.5</v>
      </c>
    </row>
    <row r="1027" spans="1:93" ht="13.9" customHeight="1" x14ac:dyDescent="0.2">
      <c r="A1027" s="149">
        <v>3956</v>
      </c>
      <c r="B1027" s="150" t="s">
        <v>2522</v>
      </c>
      <c r="C1027" s="150"/>
      <c r="D1027" s="150" t="s">
        <v>2634</v>
      </c>
      <c r="E1027" s="150"/>
      <c r="F1027" s="149">
        <v>526150</v>
      </c>
      <c r="G1027" s="149">
        <v>175269</v>
      </c>
      <c r="H1027" s="150" t="s">
        <v>170</v>
      </c>
      <c r="I1027" s="151"/>
      <c r="J1027" s="151"/>
      <c r="K1027" s="149">
        <v>0</v>
      </c>
      <c r="L1027" s="149">
        <v>14</v>
      </c>
      <c r="M1027" s="149">
        <v>14</v>
      </c>
      <c r="N1027" s="149">
        <v>21</v>
      </c>
      <c r="O1027" s="149">
        <v>21</v>
      </c>
      <c r="P1027" s="152" t="s">
        <v>327</v>
      </c>
      <c r="Q1027" s="150" t="s">
        <v>2524</v>
      </c>
      <c r="R1027" s="150" t="s">
        <v>2525</v>
      </c>
      <c r="S1027" s="151"/>
      <c r="T1027" s="151"/>
      <c r="U1027" s="152"/>
      <c r="V1027" s="150" t="s">
        <v>330</v>
      </c>
      <c r="W1027" s="151"/>
      <c r="X1027" s="150" t="s">
        <v>331</v>
      </c>
      <c r="Y1027" s="150" t="s">
        <v>343</v>
      </c>
      <c r="Z1027" s="150" t="s">
        <v>343</v>
      </c>
      <c r="AA1027" s="150" t="s">
        <v>334</v>
      </c>
      <c r="AB1027" s="153">
        <v>0</v>
      </c>
      <c r="AC1027" s="151"/>
      <c r="AD1027" s="150"/>
      <c r="AE1027" s="151"/>
      <c r="AF1027" s="150" t="s">
        <v>70</v>
      </c>
      <c r="AG1027" s="152" t="s">
        <v>352</v>
      </c>
      <c r="AH1027" s="150" t="s">
        <v>2635</v>
      </c>
      <c r="AI1027" s="99"/>
      <c r="AJ1027" s="149">
        <v>0</v>
      </c>
      <c r="AK1027" s="99">
        <v>0</v>
      </c>
      <c r="AL1027" s="149">
        <v>0</v>
      </c>
      <c r="AM1027" s="99">
        <v>0</v>
      </c>
      <c r="AN1027" s="149">
        <v>0</v>
      </c>
      <c r="AO1027" s="149">
        <v>0</v>
      </c>
      <c r="AP1027" s="149">
        <v>0</v>
      </c>
      <c r="AQ1027" s="149">
        <v>0</v>
      </c>
      <c r="AR1027" s="149">
        <v>0</v>
      </c>
      <c r="AS1027" s="149">
        <v>0</v>
      </c>
      <c r="AT1027" s="149">
        <v>14</v>
      </c>
      <c r="AU1027" s="149">
        <v>0</v>
      </c>
      <c r="AV1027" s="149">
        <v>0</v>
      </c>
      <c r="AW1027" s="149">
        <v>0</v>
      </c>
      <c r="AX1027" s="149">
        <v>0</v>
      </c>
      <c r="AY1027" s="149">
        <v>0</v>
      </c>
      <c r="AZ1027" s="149">
        <v>0</v>
      </c>
      <c r="BA1027" s="149">
        <v>14</v>
      </c>
      <c r="BB1027" s="149">
        <v>0</v>
      </c>
      <c r="BC1027" s="149">
        <v>0</v>
      </c>
      <c r="BD1027" s="149">
        <v>0</v>
      </c>
      <c r="BE1027" s="149">
        <v>0</v>
      </c>
      <c r="BF1027" s="149">
        <v>0</v>
      </c>
      <c r="BG1027" s="149">
        <v>0</v>
      </c>
      <c r="BH1027" s="149">
        <v>0</v>
      </c>
      <c r="BI1027" s="149">
        <v>0</v>
      </c>
      <c r="BJ1027" s="149">
        <v>0</v>
      </c>
      <c r="BK1027" s="149">
        <v>0</v>
      </c>
      <c r="BL1027" s="149">
        <v>0</v>
      </c>
      <c r="BM1027" s="149">
        <v>0</v>
      </c>
      <c r="BN1027" s="149">
        <v>0</v>
      </c>
      <c r="BO1027" s="149">
        <v>0</v>
      </c>
      <c r="BP1027" s="136"/>
      <c r="BQ1027" s="136"/>
      <c r="BR1027" s="154" t="s">
        <v>463</v>
      </c>
      <c r="BS1027" s="136">
        <v>19</v>
      </c>
      <c r="BT1027" s="267"/>
      <c r="BU1027" s="267"/>
      <c r="BV1027" s="267"/>
      <c r="BW1027" s="267"/>
      <c r="BX1027" s="267"/>
      <c r="BY1027" s="267"/>
      <c r="BZ1027" s="267"/>
      <c r="CA1027" s="267"/>
      <c r="CB1027" s="267"/>
      <c r="CC1027" s="267">
        <f>M1027/12</f>
        <v>1.1666666666666667</v>
      </c>
      <c r="CD1027" s="267">
        <f>M1027/12</f>
        <v>1.1666666666666667</v>
      </c>
      <c r="CE1027" s="267">
        <f>M1027/12</f>
        <v>1.1666666666666667</v>
      </c>
      <c r="CF1027" s="267">
        <f>M1027/12</f>
        <v>1.1666666666666667</v>
      </c>
      <c r="CG1027" s="267">
        <f>M1027/12</f>
        <v>1.1666666666666667</v>
      </c>
      <c r="CH1027" s="267">
        <f>M1027/12</f>
        <v>1.1666666666666667</v>
      </c>
      <c r="CI1027" s="267">
        <f>M1027/12</f>
        <v>1.1666666666666667</v>
      </c>
      <c r="CJ1027" s="267">
        <f>M1027/12</f>
        <v>1.1666666666666667</v>
      </c>
      <c r="CK1027" s="267">
        <f>M1027/12</f>
        <v>1.1666666666666667</v>
      </c>
      <c r="CL1027" s="267">
        <f>M1027/12</f>
        <v>1.1666666666666667</v>
      </c>
      <c r="CM1027" s="267">
        <f>M1027/12</f>
        <v>1.1666666666666667</v>
      </c>
      <c r="CN1027" s="101">
        <f t="shared" si="154"/>
        <v>0</v>
      </c>
      <c r="CO1027" s="101">
        <f t="shared" si="155"/>
        <v>2.3333333333333335</v>
      </c>
    </row>
    <row r="1028" spans="1:93" ht="13.9" customHeight="1" x14ac:dyDescent="0.2">
      <c r="A1028" s="149">
        <v>3956</v>
      </c>
      <c r="B1028" s="150" t="s">
        <v>2522</v>
      </c>
      <c r="C1028" s="150"/>
      <c r="D1028" s="150" t="s">
        <v>2634</v>
      </c>
      <c r="E1028" s="150"/>
      <c r="F1028" s="149">
        <v>526150</v>
      </c>
      <c r="G1028" s="149">
        <v>175269</v>
      </c>
      <c r="H1028" s="150" t="s">
        <v>170</v>
      </c>
      <c r="I1028" s="151"/>
      <c r="J1028" s="151"/>
      <c r="K1028" s="149">
        <v>0</v>
      </c>
      <c r="L1028" s="149">
        <v>4</v>
      </c>
      <c r="M1028" s="149">
        <v>4</v>
      </c>
      <c r="N1028" s="149">
        <v>21</v>
      </c>
      <c r="O1028" s="149">
        <v>21</v>
      </c>
      <c r="P1028" s="152" t="s">
        <v>327</v>
      </c>
      <c r="Q1028" s="150" t="s">
        <v>2524</v>
      </c>
      <c r="R1028" s="150" t="s">
        <v>2525</v>
      </c>
      <c r="S1028" s="151"/>
      <c r="T1028" s="151"/>
      <c r="U1028" s="152"/>
      <c r="V1028" s="150" t="s">
        <v>330</v>
      </c>
      <c r="W1028" s="151"/>
      <c r="X1028" s="150" t="s">
        <v>331</v>
      </c>
      <c r="Y1028" s="150" t="s">
        <v>343</v>
      </c>
      <c r="Z1028" s="150" t="s">
        <v>343</v>
      </c>
      <c r="AA1028" s="150" t="s">
        <v>334</v>
      </c>
      <c r="AB1028" s="153">
        <v>0</v>
      </c>
      <c r="AC1028" s="151"/>
      <c r="AD1028" s="150"/>
      <c r="AE1028" s="151"/>
      <c r="AF1028" s="150" t="s">
        <v>49</v>
      </c>
      <c r="AG1028" s="152" t="s">
        <v>470</v>
      </c>
      <c r="AH1028" s="150" t="s">
        <v>2635</v>
      </c>
      <c r="AI1028" s="99"/>
      <c r="AJ1028" s="149">
        <v>0</v>
      </c>
      <c r="AK1028" s="99">
        <v>0</v>
      </c>
      <c r="AL1028" s="149">
        <v>0</v>
      </c>
      <c r="AM1028" s="99">
        <v>0</v>
      </c>
      <c r="AN1028" s="149">
        <v>0</v>
      </c>
      <c r="AO1028" s="149">
        <v>0</v>
      </c>
      <c r="AP1028" s="149">
        <v>0</v>
      </c>
      <c r="AQ1028" s="149">
        <v>0</v>
      </c>
      <c r="AR1028" s="149">
        <v>0</v>
      </c>
      <c r="AS1028" s="149">
        <v>0</v>
      </c>
      <c r="AT1028" s="149">
        <v>4</v>
      </c>
      <c r="AU1028" s="149">
        <v>0</v>
      </c>
      <c r="AV1028" s="149">
        <v>0</v>
      </c>
      <c r="AW1028" s="149">
        <v>0</v>
      </c>
      <c r="AX1028" s="149">
        <v>0</v>
      </c>
      <c r="AY1028" s="149">
        <v>0</v>
      </c>
      <c r="AZ1028" s="149">
        <v>0</v>
      </c>
      <c r="BA1028" s="149">
        <v>4</v>
      </c>
      <c r="BB1028" s="149">
        <v>0</v>
      </c>
      <c r="BC1028" s="149">
        <v>0</v>
      </c>
      <c r="BD1028" s="149">
        <v>0</v>
      </c>
      <c r="BE1028" s="149">
        <v>0</v>
      </c>
      <c r="BF1028" s="149">
        <v>0</v>
      </c>
      <c r="BG1028" s="149">
        <v>0</v>
      </c>
      <c r="BH1028" s="149">
        <v>0</v>
      </c>
      <c r="BI1028" s="149">
        <v>0</v>
      </c>
      <c r="BJ1028" s="149">
        <v>0</v>
      </c>
      <c r="BK1028" s="149">
        <v>0</v>
      </c>
      <c r="BL1028" s="149">
        <v>0</v>
      </c>
      <c r="BM1028" s="149">
        <v>0</v>
      </c>
      <c r="BN1028" s="149">
        <v>0</v>
      </c>
      <c r="BO1028" s="149">
        <v>0</v>
      </c>
      <c r="BP1028" s="136"/>
      <c r="BQ1028" s="136"/>
      <c r="BR1028" s="154" t="s">
        <v>463</v>
      </c>
      <c r="BS1028" s="136">
        <v>19</v>
      </c>
      <c r="BT1028" s="267"/>
      <c r="BU1028" s="267"/>
      <c r="BV1028" s="267"/>
      <c r="BW1028" s="267"/>
      <c r="BX1028" s="267"/>
      <c r="BY1028" s="267"/>
      <c r="BZ1028" s="267"/>
      <c r="CA1028" s="267"/>
      <c r="CB1028" s="267"/>
      <c r="CC1028" s="267">
        <f>M1028/12</f>
        <v>0.33333333333333331</v>
      </c>
      <c r="CD1028" s="267">
        <f>M1028/12</f>
        <v>0.33333333333333331</v>
      </c>
      <c r="CE1028" s="267">
        <f>M1028/12</f>
        <v>0.33333333333333331</v>
      </c>
      <c r="CF1028" s="267">
        <f>M1028/12</f>
        <v>0.33333333333333331</v>
      </c>
      <c r="CG1028" s="267">
        <f>M1028/12</f>
        <v>0.33333333333333331</v>
      </c>
      <c r="CH1028" s="267">
        <f>M1028/12</f>
        <v>0.33333333333333331</v>
      </c>
      <c r="CI1028" s="267">
        <f>M1028/12</f>
        <v>0.33333333333333331</v>
      </c>
      <c r="CJ1028" s="267">
        <f>M1028/12</f>
        <v>0.33333333333333331</v>
      </c>
      <c r="CK1028" s="267">
        <f>M1028/12</f>
        <v>0.33333333333333331</v>
      </c>
      <c r="CL1028" s="267">
        <f>M1028/12</f>
        <v>0.33333333333333331</v>
      </c>
      <c r="CM1028" s="267">
        <f>M1028/12</f>
        <v>0.33333333333333331</v>
      </c>
      <c r="CN1028" s="101">
        <f t="shared" si="154"/>
        <v>0</v>
      </c>
      <c r="CO1028" s="101">
        <f t="shared" si="155"/>
        <v>0.66666666666666663</v>
      </c>
    </row>
    <row r="1029" spans="1:93" ht="13.9" customHeight="1" x14ac:dyDescent="0.2">
      <c r="A1029" s="149">
        <v>3956</v>
      </c>
      <c r="B1029" s="150" t="s">
        <v>2522</v>
      </c>
      <c r="C1029" s="150"/>
      <c r="D1029" s="150" t="s">
        <v>2634</v>
      </c>
      <c r="E1029" s="150"/>
      <c r="F1029" s="149">
        <v>526150</v>
      </c>
      <c r="G1029" s="149">
        <v>175269</v>
      </c>
      <c r="H1029" s="150" t="s">
        <v>170</v>
      </c>
      <c r="I1029" s="151"/>
      <c r="J1029" s="151"/>
      <c r="K1029" s="149">
        <v>0</v>
      </c>
      <c r="L1029" s="149">
        <v>3</v>
      </c>
      <c r="M1029" s="149">
        <v>3</v>
      </c>
      <c r="N1029" s="149">
        <v>21</v>
      </c>
      <c r="O1029" s="149">
        <v>21</v>
      </c>
      <c r="P1029" s="152" t="s">
        <v>327</v>
      </c>
      <c r="Q1029" s="150" t="s">
        <v>2524</v>
      </c>
      <c r="R1029" s="150" t="s">
        <v>2525</v>
      </c>
      <c r="S1029" s="151"/>
      <c r="T1029" s="151"/>
      <c r="U1029" s="152"/>
      <c r="V1029" s="150" t="s">
        <v>330</v>
      </c>
      <c r="W1029" s="151"/>
      <c r="X1029" s="150" t="s">
        <v>331</v>
      </c>
      <c r="Y1029" s="150" t="s">
        <v>343</v>
      </c>
      <c r="Z1029" s="150" t="s">
        <v>343</v>
      </c>
      <c r="AA1029" s="150" t="s">
        <v>334</v>
      </c>
      <c r="AB1029" s="153">
        <v>0</v>
      </c>
      <c r="AC1029" s="151"/>
      <c r="AD1029" s="150"/>
      <c r="AE1029" s="151"/>
      <c r="AF1029" s="150" t="s">
        <v>48</v>
      </c>
      <c r="AG1029" s="152" t="s">
        <v>992</v>
      </c>
      <c r="AH1029" s="150" t="s">
        <v>2635</v>
      </c>
      <c r="AI1029" s="99"/>
      <c r="AJ1029" s="149">
        <v>0</v>
      </c>
      <c r="AK1029" s="99">
        <v>0</v>
      </c>
      <c r="AL1029" s="149">
        <v>0</v>
      </c>
      <c r="AM1029" s="99">
        <v>0</v>
      </c>
      <c r="AN1029" s="149">
        <v>0</v>
      </c>
      <c r="AO1029" s="149">
        <v>0</v>
      </c>
      <c r="AP1029" s="149">
        <v>0</v>
      </c>
      <c r="AQ1029" s="149">
        <v>0</v>
      </c>
      <c r="AR1029" s="149">
        <v>0</v>
      </c>
      <c r="AS1029" s="149">
        <v>0</v>
      </c>
      <c r="AT1029" s="149">
        <v>3</v>
      </c>
      <c r="AU1029" s="149">
        <v>0</v>
      </c>
      <c r="AV1029" s="149">
        <v>0</v>
      </c>
      <c r="AW1029" s="149">
        <v>0</v>
      </c>
      <c r="AX1029" s="149">
        <v>0</v>
      </c>
      <c r="AY1029" s="149">
        <v>0</v>
      </c>
      <c r="AZ1029" s="149">
        <v>0</v>
      </c>
      <c r="BA1029" s="149">
        <v>3</v>
      </c>
      <c r="BB1029" s="149">
        <v>0</v>
      </c>
      <c r="BC1029" s="149">
        <v>0</v>
      </c>
      <c r="BD1029" s="149">
        <v>0</v>
      </c>
      <c r="BE1029" s="149">
        <v>0</v>
      </c>
      <c r="BF1029" s="149">
        <v>0</v>
      </c>
      <c r="BG1029" s="149">
        <v>0</v>
      </c>
      <c r="BH1029" s="149">
        <v>0</v>
      </c>
      <c r="BI1029" s="149">
        <v>0</v>
      </c>
      <c r="BJ1029" s="149">
        <v>0</v>
      </c>
      <c r="BK1029" s="149">
        <v>0</v>
      </c>
      <c r="BL1029" s="149">
        <v>0</v>
      </c>
      <c r="BM1029" s="149">
        <v>0</v>
      </c>
      <c r="BN1029" s="149">
        <v>0</v>
      </c>
      <c r="BO1029" s="149">
        <v>0</v>
      </c>
      <c r="BP1029" s="136"/>
      <c r="BQ1029" s="136"/>
      <c r="BR1029" s="154" t="s">
        <v>463</v>
      </c>
      <c r="BS1029" s="136">
        <v>19</v>
      </c>
      <c r="BT1029" s="267"/>
      <c r="BU1029" s="267"/>
      <c r="BV1029" s="267"/>
      <c r="BW1029" s="267"/>
      <c r="BX1029" s="267"/>
      <c r="BY1029" s="267"/>
      <c r="BZ1029" s="267"/>
      <c r="CA1029" s="267"/>
      <c r="CB1029" s="267"/>
      <c r="CC1029" s="267">
        <f>M1029/12</f>
        <v>0.25</v>
      </c>
      <c r="CD1029" s="267">
        <f>M1029/12</f>
        <v>0.25</v>
      </c>
      <c r="CE1029" s="267">
        <f>M1029/12</f>
        <v>0.25</v>
      </c>
      <c r="CF1029" s="267">
        <f>M1029/12</f>
        <v>0.25</v>
      </c>
      <c r="CG1029" s="267">
        <f>M1029/12</f>
        <v>0.25</v>
      </c>
      <c r="CH1029" s="267">
        <f>M1029/12</f>
        <v>0.25</v>
      </c>
      <c r="CI1029" s="267">
        <f>M1029/12</f>
        <v>0.25</v>
      </c>
      <c r="CJ1029" s="267">
        <f>M1029/12</f>
        <v>0.25</v>
      </c>
      <c r="CK1029" s="267">
        <f>M1029/12</f>
        <v>0.25</v>
      </c>
      <c r="CL1029" s="267">
        <f>M1029/12</f>
        <v>0.25</v>
      </c>
      <c r="CM1029" s="267">
        <f>M1029/12</f>
        <v>0.25</v>
      </c>
      <c r="CN1029" s="101">
        <f t="shared" si="154"/>
        <v>0</v>
      </c>
      <c r="CO1029" s="101">
        <f t="shared" si="155"/>
        <v>0.5</v>
      </c>
    </row>
    <row r="1030" spans="1:93" ht="13.9" customHeight="1" x14ac:dyDescent="0.2">
      <c r="A1030" s="149">
        <v>4283</v>
      </c>
      <c r="B1030" s="150" t="s">
        <v>2522</v>
      </c>
      <c r="C1030" s="150"/>
      <c r="D1030" s="150" t="s">
        <v>2636</v>
      </c>
      <c r="E1030" s="150"/>
      <c r="F1030" s="149">
        <v>525979</v>
      </c>
      <c r="G1030" s="149">
        <v>175334</v>
      </c>
      <c r="H1030" s="150" t="s">
        <v>170</v>
      </c>
      <c r="I1030" s="151"/>
      <c r="J1030" s="151"/>
      <c r="K1030" s="149">
        <v>0</v>
      </c>
      <c r="L1030" s="149">
        <v>3</v>
      </c>
      <c r="M1030" s="149">
        <v>3</v>
      </c>
      <c r="N1030" s="149">
        <v>3</v>
      </c>
      <c r="O1030" s="149">
        <v>3</v>
      </c>
      <c r="P1030" s="152"/>
      <c r="Q1030" s="150" t="s">
        <v>2524</v>
      </c>
      <c r="R1030" s="150" t="s">
        <v>2525</v>
      </c>
      <c r="S1030" s="151"/>
      <c r="T1030" s="151"/>
      <c r="U1030" s="152"/>
      <c r="V1030" s="150" t="s">
        <v>330</v>
      </c>
      <c r="W1030" s="151"/>
      <c r="X1030" s="150" t="s">
        <v>331</v>
      </c>
      <c r="Y1030" s="150" t="s">
        <v>398</v>
      </c>
      <c r="Z1030" s="150" t="s">
        <v>334</v>
      </c>
      <c r="AA1030" s="150" t="s">
        <v>363</v>
      </c>
      <c r="AB1030" s="153">
        <v>0</v>
      </c>
      <c r="AC1030" s="151"/>
      <c r="AD1030" s="150"/>
      <c r="AE1030" s="151"/>
      <c r="AF1030" s="150" t="s">
        <v>70</v>
      </c>
      <c r="AG1030" s="152" t="s">
        <v>352</v>
      </c>
      <c r="AH1030" s="150" t="s">
        <v>2637</v>
      </c>
      <c r="AI1030" s="99"/>
      <c r="AJ1030" s="149">
        <v>0</v>
      </c>
      <c r="AK1030" s="99">
        <v>0</v>
      </c>
      <c r="AL1030" s="149">
        <v>0</v>
      </c>
      <c r="AM1030" s="99">
        <v>0</v>
      </c>
      <c r="AN1030" s="149">
        <v>0</v>
      </c>
      <c r="AO1030" s="149">
        <v>0</v>
      </c>
      <c r="AP1030" s="149">
        <v>0</v>
      </c>
      <c r="AQ1030" s="149">
        <v>0</v>
      </c>
      <c r="AR1030" s="149">
        <v>0</v>
      </c>
      <c r="AS1030" s="149">
        <v>0</v>
      </c>
      <c r="AT1030" s="149">
        <v>3</v>
      </c>
      <c r="AU1030" s="149">
        <v>0</v>
      </c>
      <c r="AV1030" s="149">
        <v>0</v>
      </c>
      <c r="AW1030" s="149">
        <v>0</v>
      </c>
      <c r="AX1030" s="149">
        <v>0</v>
      </c>
      <c r="AY1030" s="149">
        <v>0</v>
      </c>
      <c r="AZ1030" s="149">
        <v>0</v>
      </c>
      <c r="BA1030" s="149">
        <v>3</v>
      </c>
      <c r="BB1030" s="149">
        <v>0</v>
      </c>
      <c r="BC1030" s="149">
        <v>0</v>
      </c>
      <c r="BD1030" s="149">
        <v>0</v>
      </c>
      <c r="BE1030" s="149">
        <v>0</v>
      </c>
      <c r="BF1030" s="149">
        <v>0</v>
      </c>
      <c r="BG1030" s="149">
        <v>0</v>
      </c>
      <c r="BH1030" s="149">
        <v>0</v>
      </c>
      <c r="BI1030" s="149">
        <v>0</v>
      </c>
      <c r="BJ1030" s="149">
        <v>0</v>
      </c>
      <c r="BK1030" s="149">
        <v>0</v>
      </c>
      <c r="BL1030" s="149">
        <v>0</v>
      </c>
      <c r="BM1030" s="149">
        <v>0</v>
      </c>
      <c r="BN1030" s="149">
        <v>0</v>
      </c>
      <c r="BO1030" s="149">
        <v>0</v>
      </c>
      <c r="BP1030" s="136"/>
      <c r="BQ1030" s="136"/>
      <c r="BR1030" s="154" t="s">
        <v>463</v>
      </c>
      <c r="BS1030" s="136">
        <v>19</v>
      </c>
      <c r="BT1030" s="267"/>
      <c r="BU1030" s="267"/>
      <c r="BV1030" s="267"/>
      <c r="BW1030" s="267"/>
      <c r="BX1030" s="267"/>
      <c r="BY1030" s="267"/>
      <c r="BZ1030" s="267"/>
      <c r="CA1030" s="267"/>
      <c r="CB1030" s="267"/>
      <c r="CC1030" s="267">
        <f>M1030/12</f>
        <v>0.25</v>
      </c>
      <c r="CD1030" s="267">
        <f>M1030/12</f>
        <v>0.25</v>
      </c>
      <c r="CE1030" s="267">
        <f>M1030/12</f>
        <v>0.25</v>
      </c>
      <c r="CF1030" s="267">
        <f>M1030/12</f>
        <v>0.25</v>
      </c>
      <c r="CG1030" s="267">
        <f>M1030/12</f>
        <v>0.25</v>
      </c>
      <c r="CH1030" s="267">
        <f>M1030/12</f>
        <v>0.25</v>
      </c>
      <c r="CI1030" s="267">
        <f>M1030/12</f>
        <v>0.25</v>
      </c>
      <c r="CJ1030" s="267">
        <f>M1030/12</f>
        <v>0.25</v>
      </c>
      <c r="CK1030" s="267">
        <f>M1030/12</f>
        <v>0.25</v>
      </c>
      <c r="CL1030" s="267">
        <f>M1030/12</f>
        <v>0.25</v>
      </c>
      <c r="CM1030" s="267">
        <f>M1030/12</f>
        <v>0.25</v>
      </c>
      <c r="CN1030" s="101">
        <f t="shared" si="154"/>
        <v>0</v>
      </c>
      <c r="CO1030" s="101">
        <f t="shared" si="155"/>
        <v>0.5</v>
      </c>
    </row>
    <row r="1031" spans="1:93" ht="13.9" customHeight="1" x14ac:dyDescent="0.2">
      <c r="A1031" s="149">
        <v>7584</v>
      </c>
      <c r="B1031" s="150" t="s">
        <v>2522</v>
      </c>
      <c r="C1031" s="150"/>
      <c r="D1031" s="150" t="s">
        <v>2638</v>
      </c>
      <c r="E1031" s="150"/>
      <c r="F1031" s="149">
        <v>525773.66240000003</v>
      </c>
      <c r="G1031" s="149">
        <v>174729.85870000001</v>
      </c>
      <c r="H1031" s="150" t="s">
        <v>177</v>
      </c>
      <c r="I1031" s="151"/>
      <c r="J1031" s="151"/>
      <c r="K1031" s="149">
        <v>0</v>
      </c>
      <c r="L1031" s="149">
        <v>16</v>
      </c>
      <c r="M1031" s="149">
        <v>16</v>
      </c>
      <c r="N1031" s="149">
        <v>24</v>
      </c>
      <c r="O1031" s="149">
        <v>24</v>
      </c>
      <c r="P1031" s="152" t="s">
        <v>327</v>
      </c>
      <c r="Q1031" s="150" t="s">
        <v>2524</v>
      </c>
      <c r="R1031" s="150" t="s">
        <v>2525</v>
      </c>
      <c r="S1031" s="151"/>
      <c r="T1031" s="151"/>
      <c r="U1031" s="152"/>
      <c r="V1031" s="150" t="s">
        <v>330</v>
      </c>
      <c r="W1031" s="151"/>
      <c r="X1031" s="150" t="s">
        <v>331</v>
      </c>
      <c r="Y1031" s="150" t="s">
        <v>343</v>
      </c>
      <c r="Z1031" s="150" t="s">
        <v>343</v>
      </c>
      <c r="AA1031" s="150" t="s">
        <v>334</v>
      </c>
      <c r="AB1031" s="153">
        <v>0</v>
      </c>
      <c r="AC1031" s="151"/>
      <c r="AD1031" s="150"/>
      <c r="AE1031" s="151"/>
      <c r="AF1031" s="150" t="s">
        <v>70</v>
      </c>
      <c r="AG1031" s="152" t="s">
        <v>352</v>
      </c>
      <c r="AH1031" s="150" t="s">
        <v>2639</v>
      </c>
      <c r="AI1031" s="99"/>
      <c r="AJ1031" s="149">
        <v>0</v>
      </c>
      <c r="AK1031" s="99">
        <v>0</v>
      </c>
      <c r="AL1031" s="149">
        <v>0</v>
      </c>
      <c r="AM1031" s="99">
        <v>0</v>
      </c>
      <c r="AN1031" s="149">
        <v>0</v>
      </c>
      <c r="AO1031" s="149">
        <v>0</v>
      </c>
      <c r="AP1031" s="149">
        <v>0</v>
      </c>
      <c r="AQ1031" s="149">
        <v>0</v>
      </c>
      <c r="AR1031" s="149">
        <v>0</v>
      </c>
      <c r="AS1031" s="149">
        <v>0</v>
      </c>
      <c r="AT1031" s="149">
        <v>16</v>
      </c>
      <c r="AU1031" s="149">
        <v>0</v>
      </c>
      <c r="AV1031" s="149">
        <v>0</v>
      </c>
      <c r="AW1031" s="149">
        <v>0</v>
      </c>
      <c r="AX1031" s="149">
        <v>0</v>
      </c>
      <c r="AY1031" s="149">
        <v>0</v>
      </c>
      <c r="AZ1031" s="149">
        <v>0</v>
      </c>
      <c r="BA1031" s="149">
        <v>16</v>
      </c>
      <c r="BB1031" s="149">
        <v>0</v>
      </c>
      <c r="BC1031" s="149">
        <v>0</v>
      </c>
      <c r="BD1031" s="149">
        <v>0</v>
      </c>
      <c r="BE1031" s="149">
        <v>0</v>
      </c>
      <c r="BF1031" s="149">
        <v>0</v>
      </c>
      <c r="BG1031" s="149">
        <v>0</v>
      </c>
      <c r="BH1031" s="149">
        <v>0</v>
      </c>
      <c r="BI1031" s="149">
        <v>0</v>
      </c>
      <c r="BJ1031" s="149">
        <v>0</v>
      </c>
      <c r="BK1031" s="149">
        <v>0</v>
      </c>
      <c r="BL1031" s="149">
        <v>0</v>
      </c>
      <c r="BM1031" s="149">
        <v>0</v>
      </c>
      <c r="BN1031" s="149">
        <v>0</v>
      </c>
      <c r="BO1031" s="149">
        <v>0</v>
      </c>
      <c r="BP1031" s="136" t="s">
        <v>143</v>
      </c>
      <c r="BQ1031" s="136"/>
      <c r="BR1031" s="154" t="s">
        <v>463</v>
      </c>
      <c r="BS1031" s="136">
        <v>19</v>
      </c>
      <c r="BT1031" s="267"/>
      <c r="BU1031" s="267"/>
      <c r="BV1031" s="267"/>
      <c r="BW1031" s="267"/>
      <c r="BX1031" s="267">
        <f>M1031/10</f>
        <v>1.6</v>
      </c>
      <c r="BY1031" s="267">
        <f>M1031/10</f>
        <v>1.6</v>
      </c>
      <c r="BZ1031" s="267">
        <f>M1031/10</f>
        <v>1.6</v>
      </c>
      <c r="CA1031" s="267">
        <f>M1031/10</f>
        <v>1.6</v>
      </c>
      <c r="CB1031" s="267">
        <f>M1031/10</f>
        <v>1.6</v>
      </c>
      <c r="CC1031" s="267">
        <f>M1031/10</f>
        <v>1.6</v>
      </c>
      <c r="CD1031" s="267">
        <f>M1031/10</f>
        <v>1.6</v>
      </c>
      <c r="CE1031" s="267">
        <f>M1031/10</f>
        <v>1.6</v>
      </c>
      <c r="CF1031" s="267">
        <f>M1031/10</f>
        <v>1.6</v>
      </c>
      <c r="CG1031" s="267">
        <f>M1031/10</f>
        <v>1.6</v>
      </c>
      <c r="CH1031" s="267"/>
      <c r="CI1031" s="267"/>
      <c r="CJ1031" s="267"/>
      <c r="CK1031" s="267"/>
      <c r="CL1031" s="267"/>
      <c r="CM1031" s="267"/>
      <c r="CN1031" s="101">
        <f t="shared" si="154"/>
        <v>3.2</v>
      </c>
      <c r="CO1031" s="101">
        <f t="shared" si="155"/>
        <v>11.2</v>
      </c>
    </row>
    <row r="1032" spans="1:93" ht="13.9" customHeight="1" x14ac:dyDescent="0.2">
      <c r="A1032" s="149">
        <v>7584</v>
      </c>
      <c r="B1032" s="150" t="s">
        <v>2522</v>
      </c>
      <c r="C1032" s="150"/>
      <c r="D1032" s="150" t="s">
        <v>2638</v>
      </c>
      <c r="E1032" s="150"/>
      <c r="F1032" s="149">
        <v>525773.66240000003</v>
      </c>
      <c r="G1032" s="149">
        <v>174729.85870000001</v>
      </c>
      <c r="H1032" s="150" t="s">
        <v>177</v>
      </c>
      <c r="I1032" s="151"/>
      <c r="J1032" s="151"/>
      <c r="K1032" s="149">
        <v>0</v>
      </c>
      <c r="L1032" s="149">
        <v>4</v>
      </c>
      <c r="M1032" s="149">
        <v>4</v>
      </c>
      <c r="N1032" s="149">
        <v>24</v>
      </c>
      <c r="O1032" s="149">
        <v>24</v>
      </c>
      <c r="P1032" s="152" t="s">
        <v>327</v>
      </c>
      <c r="Q1032" s="150" t="s">
        <v>2524</v>
      </c>
      <c r="R1032" s="150" t="s">
        <v>2525</v>
      </c>
      <c r="S1032" s="151"/>
      <c r="T1032" s="151"/>
      <c r="U1032" s="152"/>
      <c r="V1032" s="150" t="s">
        <v>330</v>
      </c>
      <c r="W1032" s="151"/>
      <c r="X1032" s="150" t="s">
        <v>331</v>
      </c>
      <c r="Y1032" s="150" t="s">
        <v>343</v>
      </c>
      <c r="Z1032" s="150" t="s">
        <v>343</v>
      </c>
      <c r="AA1032" s="150" t="s">
        <v>334</v>
      </c>
      <c r="AB1032" s="153">
        <v>0</v>
      </c>
      <c r="AC1032" s="151"/>
      <c r="AD1032" s="150"/>
      <c r="AE1032" s="151"/>
      <c r="AF1032" s="150" t="s">
        <v>49</v>
      </c>
      <c r="AG1032" s="152" t="s">
        <v>470</v>
      </c>
      <c r="AH1032" s="150" t="s">
        <v>2639</v>
      </c>
      <c r="AI1032" s="99"/>
      <c r="AJ1032" s="149">
        <v>0</v>
      </c>
      <c r="AK1032" s="99">
        <v>0</v>
      </c>
      <c r="AL1032" s="149">
        <v>0</v>
      </c>
      <c r="AM1032" s="99">
        <v>0</v>
      </c>
      <c r="AN1032" s="149">
        <v>0</v>
      </c>
      <c r="AO1032" s="149">
        <v>0</v>
      </c>
      <c r="AP1032" s="149">
        <v>0</v>
      </c>
      <c r="AQ1032" s="149">
        <v>0</v>
      </c>
      <c r="AR1032" s="149">
        <v>0</v>
      </c>
      <c r="AS1032" s="149">
        <v>0</v>
      </c>
      <c r="AT1032" s="149">
        <v>4</v>
      </c>
      <c r="AU1032" s="149">
        <v>0</v>
      </c>
      <c r="AV1032" s="149">
        <v>0</v>
      </c>
      <c r="AW1032" s="149">
        <v>0</v>
      </c>
      <c r="AX1032" s="149">
        <v>0</v>
      </c>
      <c r="AY1032" s="149">
        <v>0</v>
      </c>
      <c r="AZ1032" s="149">
        <v>0</v>
      </c>
      <c r="BA1032" s="149">
        <v>4</v>
      </c>
      <c r="BB1032" s="149">
        <v>0</v>
      </c>
      <c r="BC1032" s="149">
        <v>0</v>
      </c>
      <c r="BD1032" s="149">
        <v>0</v>
      </c>
      <c r="BE1032" s="149">
        <v>0</v>
      </c>
      <c r="BF1032" s="149">
        <v>0</v>
      </c>
      <c r="BG1032" s="149">
        <v>0</v>
      </c>
      <c r="BH1032" s="149">
        <v>0</v>
      </c>
      <c r="BI1032" s="149">
        <v>0</v>
      </c>
      <c r="BJ1032" s="149">
        <v>0</v>
      </c>
      <c r="BK1032" s="149">
        <v>0</v>
      </c>
      <c r="BL1032" s="149">
        <v>0</v>
      </c>
      <c r="BM1032" s="149">
        <v>0</v>
      </c>
      <c r="BN1032" s="149">
        <v>0</v>
      </c>
      <c r="BO1032" s="149">
        <v>0</v>
      </c>
      <c r="BP1032" s="136" t="s">
        <v>143</v>
      </c>
      <c r="BQ1032" s="136"/>
      <c r="BR1032" s="154" t="s">
        <v>463</v>
      </c>
      <c r="BS1032" s="136">
        <v>19</v>
      </c>
      <c r="BT1032" s="267"/>
      <c r="BU1032" s="267"/>
      <c r="BV1032" s="267"/>
      <c r="BW1032" s="267"/>
      <c r="BX1032" s="267">
        <f>M1032/10</f>
        <v>0.4</v>
      </c>
      <c r="BY1032" s="267">
        <f>M1032/10</f>
        <v>0.4</v>
      </c>
      <c r="BZ1032" s="267">
        <f>M1032/10</f>
        <v>0.4</v>
      </c>
      <c r="CA1032" s="267">
        <f>M1032/10</f>
        <v>0.4</v>
      </c>
      <c r="CB1032" s="267">
        <f>M1032/10</f>
        <v>0.4</v>
      </c>
      <c r="CC1032" s="267">
        <f>M1032/10</f>
        <v>0.4</v>
      </c>
      <c r="CD1032" s="267">
        <f>M1032/10</f>
        <v>0.4</v>
      </c>
      <c r="CE1032" s="267">
        <f>M1032/10</f>
        <v>0.4</v>
      </c>
      <c r="CF1032" s="267">
        <f>M1032/10</f>
        <v>0.4</v>
      </c>
      <c r="CG1032" s="267">
        <f>M1032/10</f>
        <v>0.4</v>
      </c>
      <c r="CH1032" s="267"/>
      <c r="CI1032" s="267"/>
      <c r="CJ1032" s="267"/>
      <c r="CK1032" s="267"/>
      <c r="CL1032" s="267"/>
      <c r="CM1032" s="267"/>
      <c r="CN1032" s="101">
        <f t="shared" si="154"/>
        <v>0.8</v>
      </c>
      <c r="CO1032" s="101">
        <f t="shared" si="155"/>
        <v>2.8</v>
      </c>
    </row>
    <row r="1033" spans="1:93" ht="13.9" customHeight="1" x14ac:dyDescent="0.2">
      <c r="A1033" s="149">
        <v>7584</v>
      </c>
      <c r="B1033" s="150" t="s">
        <v>2522</v>
      </c>
      <c r="C1033" s="150"/>
      <c r="D1033" s="150" t="s">
        <v>2638</v>
      </c>
      <c r="E1033" s="150"/>
      <c r="F1033" s="149">
        <v>525773.66240000003</v>
      </c>
      <c r="G1033" s="149">
        <v>174729.85870000001</v>
      </c>
      <c r="H1033" s="150" t="s">
        <v>177</v>
      </c>
      <c r="I1033" s="151"/>
      <c r="J1033" s="151"/>
      <c r="K1033" s="149">
        <v>0</v>
      </c>
      <c r="L1033" s="149">
        <v>4</v>
      </c>
      <c r="M1033" s="149">
        <v>4</v>
      </c>
      <c r="N1033" s="149">
        <v>24</v>
      </c>
      <c r="O1033" s="149">
        <v>24</v>
      </c>
      <c r="P1033" s="152" t="s">
        <v>327</v>
      </c>
      <c r="Q1033" s="150" t="s">
        <v>2524</v>
      </c>
      <c r="R1033" s="150" t="s">
        <v>2525</v>
      </c>
      <c r="S1033" s="151"/>
      <c r="T1033" s="151"/>
      <c r="U1033" s="152"/>
      <c r="V1033" s="150" t="s">
        <v>330</v>
      </c>
      <c r="W1033" s="151"/>
      <c r="X1033" s="150" t="s">
        <v>331</v>
      </c>
      <c r="Y1033" s="150" t="s">
        <v>343</v>
      </c>
      <c r="Z1033" s="150" t="s">
        <v>343</v>
      </c>
      <c r="AA1033" s="150" t="s">
        <v>334</v>
      </c>
      <c r="AB1033" s="153">
        <v>0</v>
      </c>
      <c r="AC1033" s="151"/>
      <c r="AD1033" s="150"/>
      <c r="AE1033" s="151"/>
      <c r="AF1033" s="150" t="s">
        <v>48</v>
      </c>
      <c r="AG1033" s="152" t="s">
        <v>992</v>
      </c>
      <c r="AH1033" s="150" t="s">
        <v>2639</v>
      </c>
      <c r="AI1033" s="99"/>
      <c r="AJ1033" s="149">
        <v>0</v>
      </c>
      <c r="AK1033" s="99">
        <v>0</v>
      </c>
      <c r="AL1033" s="149">
        <v>0</v>
      </c>
      <c r="AM1033" s="99">
        <v>0</v>
      </c>
      <c r="AN1033" s="149">
        <v>0</v>
      </c>
      <c r="AO1033" s="149">
        <v>0</v>
      </c>
      <c r="AP1033" s="149">
        <v>0</v>
      </c>
      <c r="AQ1033" s="149">
        <v>0</v>
      </c>
      <c r="AR1033" s="149">
        <v>0</v>
      </c>
      <c r="AS1033" s="149">
        <v>0</v>
      </c>
      <c r="AT1033" s="149">
        <v>4</v>
      </c>
      <c r="AU1033" s="149">
        <v>0</v>
      </c>
      <c r="AV1033" s="149">
        <v>0</v>
      </c>
      <c r="AW1033" s="149">
        <v>0</v>
      </c>
      <c r="AX1033" s="149">
        <v>0</v>
      </c>
      <c r="AY1033" s="149">
        <v>0</v>
      </c>
      <c r="AZ1033" s="149">
        <v>0</v>
      </c>
      <c r="BA1033" s="149">
        <v>4</v>
      </c>
      <c r="BB1033" s="149">
        <v>0</v>
      </c>
      <c r="BC1033" s="149">
        <v>0</v>
      </c>
      <c r="BD1033" s="149">
        <v>0</v>
      </c>
      <c r="BE1033" s="149">
        <v>0</v>
      </c>
      <c r="BF1033" s="149">
        <v>0</v>
      </c>
      <c r="BG1033" s="149">
        <v>0</v>
      </c>
      <c r="BH1033" s="149">
        <v>0</v>
      </c>
      <c r="BI1033" s="149">
        <v>0</v>
      </c>
      <c r="BJ1033" s="149">
        <v>0</v>
      </c>
      <c r="BK1033" s="149">
        <v>0</v>
      </c>
      <c r="BL1033" s="149">
        <v>0</v>
      </c>
      <c r="BM1033" s="149">
        <v>0</v>
      </c>
      <c r="BN1033" s="149">
        <v>0</v>
      </c>
      <c r="BO1033" s="149">
        <v>0</v>
      </c>
      <c r="BP1033" s="136" t="s">
        <v>143</v>
      </c>
      <c r="BQ1033" s="136"/>
      <c r="BR1033" s="154" t="s">
        <v>463</v>
      </c>
      <c r="BS1033" s="136">
        <v>19</v>
      </c>
      <c r="BT1033" s="267"/>
      <c r="BU1033" s="267"/>
      <c r="BV1033" s="267"/>
      <c r="BW1033" s="267"/>
      <c r="BX1033" s="267">
        <f>M1033/10</f>
        <v>0.4</v>
      </c>
      <c r="BY1033" s="267">
        <f>M1033/10</f>
        <v>0.4</v>
      </c>
      <c r="BZ1033" s="267">
        <f>M1033/10</f>
        <v>0.4</v>
      </c>
      <c r="CA1033" s="267">
        <f>M1033/10</f>
        <v>0.4</v>
      </c>
      <c r="CB1033" s="267">
        <f>M1033/10</f>
        <v>0.4</v>
      </c>
      <c r="CC1033" s="267">
        <f>M1033/10</f>
        <v>0.4</v>
      </c>
      <c r="CD1033" s="267">
        <f>M1033/10</f>
        <v>0.4</v>
      </c>
      <c r="CE1033" s="267">
        <f>M1033/10</f>
        <v>0.4</v>
      </c>
      <c r="CF1033" s="267">
        <f>M1033/10</f>
        <v>0.4</v>
      </c>
      <c r="CG1033" s="267">
        <f>M1033/10</f>
        <v>0.4</v>
      </c>
      <c r="CH1033" s="267"/>
      <c r="CI1033" s="267"/>
      <c r="CJ1033" s="267"/>
      <c r="CK1033" s="267"/>
      <c r="CL1033" s="267"/>
      <c r="CM1033" s="267"/>
      <c r="CN1033" s="101">
        <f t="shared" si="154"/>
        <v>0.8</v>
      </c>
      <c r="CO1033" s="101">
        <f t="shared" si="155"/>
        <v>2.8</v>
      </c>
    </row>
    <row r="1034" spans="1:93" ht="13.9" customHeight="1" x14ac:dyDescent="0.2">
      <c r="A1034" s="149">
        <v>7539</v>
      </c>
      <c r="B1034" s="150" t="s">
        <v>2522</v>
      </c>
      <c r="C1034" s="150"/>
      <c r="D1034" s="150" t="s">
        <v>2640</v>
      </c>
      <c r="E1034" s="150"/>
      <c r="F1034" s="149">
        <v>524520</v>
      </c>
      <c r="G1034" s="149">
        <v>173088</v>
      </c>
      <c r="H1034" s="150" t="s">
        <v>178</v>
      </c>
      <c r="I1034" s="151"/>
      <c r="J1034" s="151"/>
      <c r="K1034" s="149">
        <v>0</v>
      </c>
      <c r="L1034" s="149">
        <v>23</v>
      </c>
      <c r="M1034" s="149">
        <v>23</v>
      </c>
      <c r="N1034" s="149">
        <v>35</v>
      </c>
      <c r="O1034" s="149">
        <v>35</v>
      </c>
      <c r="P1034" s="152" t="s">
        <v>327</v>
      </c>
      <c r="Q1034" s="150" t="s">
        <v>2524</v>
      </c>
      <c r="R1034" s="150" t="s">
        <v>2525</v>
      </c>
      <c r="S1034" s="151"/>
      <c r="T1034" s="151"/>
      <c r="U1034" s="152"/>
      <c r="V1034" s="150" t="s">
        <v>330</v>
      </c>
      <c r="W1034" s="151"/>
      <c r="X1034" s="150" t="s">
        <v>331</v>
      </c>
      <c r="Y1034" s="150" t="s">
        <v>343</v>
      </c>
      <c r="Z1034" s="150" t="s">
        <v>343</v>
      </c>
      <c r="AA1034" s="150" t="s">
        <v>334</v>
      </c>
      <c r="AB1034" s="153">
        <v>0</v>
      </c>
      <c r="AC1034" s="151"/>
      <c r="AD1034" s="150"/>
      <c r="AE1034" s="151"/>
      <c r="AF1034" s="150" t="s">
        <v>70</v>
      </c>
      <c r="AG1034" s="152" t="s">
        <v>352</v>
      </c>
      <c r="AH1034" s="150"/>
      <c r="AI1034" s="99"/>
      <c r="AJ1034" s="149">
        <v>0</v>
      </c>
      <c r="AK1034" s="99">
        <v>0</v>
      </c>
      <c r="AL1034" s="149">
        <v>0</v>
      </c>
      <c r="AM1034" s="99">
        <v>0</v>
      </c>
      <c r="AN1034" s="149">
        <v>0</v>
      </c>
      <c r="AO1034" s="149">
        <v>0</v>
      </c>
      <c r="AP1034" s="149">
        <v>0</v>
      </c>
      <c r="AQ1034" s="149">
        <v>0</v>
      </c>
      <c r="AR1034" s="149">
        <v>0</v>
      </c>
      <c r="AS1034" s="149">
        <v>0</v>
      </c>
      <c r="AT1034" s="149">
        <v>23</v>
      </c>
      <c r="AU1034" s="149">
        <v>0</v>
      </c>
      <c r="AV1034" s="149">
        <v>0</v>
      </c>
      <c r="AW1034" s="149">
        <v>0</v>
      </c>
      <c r="AX1034" s="149">
        <v>0</v>
      </c>
      <c r="AY1034" s="149">
        <v>0</v>
      </c>
      <c r="AZ1034" s="149">
        <v>0</v>
      </c>
      <c r="BA1034" s="149">
        <v>23</v>
      </c>
      <c r="BB1034" s="149">
        <v>0</v>
      </c>
      <c r="BC1034" s="149">
        <v>0</v>
      </c>
      <c r="BD1034" s="149">
        <v>0</v>
      </c>
      <c r="BE1034" s="149">
        <v>0</v>
      </c>
      <c r="BF1034" s="149">
        <v>0</v>
      </c>
      <c r="BG1034" s="149">
        <v>0</v>
      </c>
      <c r="BH1034" s="149">
        <v>0</v>
      </c>
      <c r="BI1034" s="149">
        <v>0</v>
      </c>
      <c r="BJ1034" s="149">
        <v>0</v>
      </c>
      <c r="BK1034" s="149">
        <v>0</v>
      </c>
      <c r="BL1034" s="149">
        <v>0</v>
      </c>
      <c r="BM1034" s="149">
        <v>0</v>
      </c>
      <c r="BN1034" s="149">
        <v>0</v>
      </c>
      <c r="BO1034" s="149">
        <v>0</v>
      </c>
      <c r="BP1034" s="136"/>
      <c r="BQ1034" s="136"/>
      <c r="BR1034" s="154" t="s">
        <v>359</v>
      </c>
      <c r="BS1034" s="136">
        <v>19</v>
      </c>
      <c r="BT1034" s="267"/>
      <c r="BU1034" s="267"/>
      <c r="BV1034" s="267"/>
      <c r="BW1034" s="267"/>
      <c r="BX1034" s="267"/>
      <c r="BY1034" s="267">
        <f>M1034</f>
        <v>23</v>
      </c>
      <c r="BZ1034" s="267"/>
      <c r="CA1034" s="267"/>
      <c r="CB1034" s="267"/>
      <c r="CC1034" s="267"/>
      <c r="CD1034" s="267"/>
      <c r="CE1034" s="267"/>
      <c r="CF1034" s="267"/>
      <c r="CG1034" s="267"/>
      <c r="CH1034" s="267"/>
      <c r="CI1034" s="267"/>
      <c r="CJ1034" s="267"/>
      <c r="CK1034" s="267"/>
      <c r="CL1034" s="267"/>
      <c r="CM1034" s="267"/>
      <c r="CN1034" s="101">
        <f t="shared" si="154"/>
        <v>23</v>
      </c>
      <c r="CO1034" s="101">
        <f t="shared" si="155"/>
        <v>23</v>
      </c>
    </row>
    <row r="1035" spans="1:93" ht="13.9" customHeight="1" x14ac:dyDescent="0.2">
      <c r="A1035" s="149">
        <v>7539</v>
      </c>
      <c r="B1035" s="150" t="s">
        <v>2522</v>
      </c>
      <c r="C1035" s="150"/>
      <c r="D1035" s="150" t="s">
        <v>2640</v>
      </c>
      <c r="E1035" s="150"/>
      <c r="F1035" s="149">
        <v>524520</v>
      </c>
      <c r="G1035" s="149">
        <v>173088</v>
      </c>
      <c r="H1035" s="150" t="s">
        <v>178</v>
      </c>
      <c r="I1035" s="151"/>
      <c r="J1035" s="151"/>
      <c r="K1035" s="149">
        <v>0</v>
      </c>
      <c r="L1035" s="149">
        <v>6</v>
      </c>
      <c r="M1035" s="149">
        <v>6</v>
      </c>
      <c r="N1035" s="149">
        <v>35</v>
      </c>
      <c r="O1035" s="149">
        <v>35</v>
      </c>
      <c r="P1035" s="152" t="s">
        <v>327</v>
      </c>
      <c r="Q1035" s="150" t="s">
        <v>2524</v>
      </c>
      <c r="R1035" s="150" t="s">
        <v>2525</v>
      </c>
      <c r="S1035" s="151"/>
      <c r="T1035" s="151"/>
      <c r="U1035" s="152"/>
      <c r="V1035" s="150" t="s">
        <v>330</v>
      </c>
      <c r="W1035" s="151"/>
      <c r="X1035" s="150" t="s">
        <v>331</v>
      </c>
      <c r="Y1035" s="150" t="s">
        <v>343</v>
      </c>
      <c r="Z1035" s="150" t="s">
        <v>343</v>
      </c>
      <c r="AA1035" s="150" t="s">
        <v>334</v>
      </c>
      <c r="AB1035" s="153">
        <v>0</v>
      </c>
      <c r="AC1035" s="151"/>
      <c r="AD1035" s="150"/>
      <c r="AE1035" s="151"/>
      <c r="AF1035" s="150" t="s">
        <v>49</v>
      </c>
      <c r="AG1035" s="152" t="s">
        <v>470</v>
      </c>
      <c r="AH1035" s="150"/>
      <c r="AI1035" s="99"/>
      <c r="AJ1035" s="149">
        <v>0</v>
      </c>
      <c r="AK1035" s="99">
        <v>0</v>
      </c>
      <c r="AL1035" s="149">
        <v>0</v>
      </c>
      <c r="AM1035" s="99">
        <v>0</v>
      </c>
      <c r="AN1035" s="149">
        <v>0</v>
      </c>
      <c r="AO1035" s="149">
        <v>0</v>
      </c>
      <c r="AP1035" s="149">
        <v>0</v>
      </c>
      <c r="AQ1035" s="149">
        <v>0</v>
      </c>
      <c r="AR1035" s="149">
        <v>0</v>
      </c>
      <c r="AS1035" s="149">
        <v>0</v>
      </c>
      <c r="AT1035" s="149">
        <v>6</v>
      </c>
      <c r="AU1035" s="149">
        <v>0</v>
      </c>
      <c r="AV1035" s="149">
        <v>0</v>
      </c>
      <c r="AW1035" s="149">
        <v>0</v>
      </c>
      <c r="AX1035" s="149">
        <v>0</v>
      </c>
      <c r="AY1035" s="149">
        <v>0</v>
      </c>
      <c r="AZ1035" s="149">
        <v>0</v>
      </c>
      <c r="BA1035" s="149">
        <v>6</v>
      </c>
      <c r="BB1035" s="149">
        <v>0</v>
      </c>
      <c r="BC1035" s="149">
        <v>0</v>
      </c>
      <c r="BD1035" s="149">
        <v>0</v>
      </c>
      <c r="BE1035" s="149">
        <v>0</v>
      </c>
      <c r="BF1035" s="149">
        <v>0</v>
      </c>
      <c r="BG1035" s="149">
        <v>0</v>
      </c>
      <c r="BH1035" s="149">
        <v>0</v>
      </c>
      <c r="BI1035" s="149">
        <v>0</v>
      </c>
      <c r="BJ1035" s="149">
        <v>0</v>
      </c>
      <c r="BK1035" s="149">
        <v>0</v>
      </c>
      <c r="BL1035" s="149">
        <v>0</v>
      </c>
      <c r="BM1035" s="149">
        <v>0</v>
      </c>
      <c r="BN1035" s="149">
        <v>0</v>
      </c>
      <c r="BO1035" s="149">
        <v>0</v>
      </c>
      <c r="BP1035" s="136"/>
      <c r="BQ1035" s="136"/>
      <c r="BR1035" s="154" t="s">
        <v>359</v>
      </c>
      <c r="BS1035" s="136">
        <v>19</v>
      </c>
      <c r="BT1035" s="267"/>
      <c r="BU1035" s="267"/>
      <c r="BV1035" s="267"/>
      <c r="BW1035" s="267"/>
      <c r="BX1035" s="267"/>
      <c r="BY1035" s="267">
        <f>M1035</f>
        <v>6</v>
      </c>
      <c r="BZ1035" s="267"/>
      <c r="CA1035" s="267"/>
      <c r="CB1035" s="267"/>
      <c r="CC1035" s="267"/>
      <c r="CD1035" s="267"/>
      <c r="CE1035" s="267"/>
      <c r="CF1035" s="267"/>
      <c r="CG1035" s="267"/>
      <c r="CH1035" s="267"/>
      <c r="CI1035" s="267"/>
      <c r="CJ1035" s="267"/>
      <c r="CK1035" s="267"/>
      <c r="CL1035" s="267"/>
      <c r="CM1035" s="267"/>
      <c r="CN1035" s="101">
        <f t="shared" si="154"/>
        <v>6</v>
      </c>
      <c r="CO1035" s="101">
        <f t="shared" si="155"/>
        <v>6</v>
      </c>
    </row>
    <row r="1036" spans="1:93" ht="13.9" customHeight="1" x14ac:dyDescent="0.2">
      <c r="A1036" s="149">
        <v>7539</v>
      </c>
      <c r="B1036" s="150" t="s">
        <v>2522</v>
      </c>
      <c r="C1036" s="150"/>
      <c r="D1036" s="150" t="s">
        <v>2640</v>
      </c>
      <c r="E1036" s="150"/>
      <c r="F1036" s="149">
        <v>524520</v>
      </c>
      <c r="G1036" s="149">
        <v>173088</v>
      </c>
      <c r="H1036" s="150" t="s">
        <v>178</v>
      </c>
      <c r="I1036" s="151"/>
      <c r="J1036" s="151"/>
      <c r="K1036" s="149">
        <v>0</v>
      </c>
      <c r="L1036" s="149">
        <v>6</v>
      </c>
      <c r="M1036" s="149">
        <v>6</v>
      </c>
      <c r="N1036" s="149">
        <v>35</v>
      </c>
      <c r="O1036" s="149">
        <v>35</v>
      </c>
      <c r="P1036" s="152" t="s">
        <v>327</v>
      </c>
      <c r="Q1036" s="150" t="s">
        <v>2524</v>
      </c>
      <c r="R1036" s="150" t="s">
        <v>2525</v>
      </c>
      <c r="S1036" s="151"/>
      <c r="T1036" s="151"/>
      <c r="U1036" s="152"/>
      <c r="V1036" s="150" t="s">
        <v>330</v>
      </c>
      <c r="W1036" s="151"/>
      <c r="X1036" s="150" t="s">
        <v>331</v>
      </c>
      <c r="Y1036" s="150" t="s">
        <v>343</v>
      </c>
      <c r="Z1036" s="150" t="s">
        <v>343</v>
      </c>
      <c r="AA1036" s="150" t="s">
        <v>334</v>
      </c>
      <c r="AB1036" s="153">
        <v>0</v>
      </c>
      <c r="AC1036" s="151"/>
      <c r="AD1036" s="150"/>
      <c r="AE1036" s="151"/>
      <c r="AF1036" s="150" t="s">
        <v>48</v>
      </c>
      <c r="AG1036" s="152" t="s">
        <v>992</v>
      </c>
      <c r="AH1036" s="150"/>
      <c r="AI1036" s="99"/>
      <c r="AJ1036" s="149">
        <v>0</v>
      </c>
      <c r="AK1036" s="99">
        <v>0</v>
      </c>
      <c r="AL1036" s="149">
        <v>0</v>
      </c>
      <c r="AM1036" s="99">
        <v>0</v>
      </c>
      <c r="AN1036" s="149">
        <v>0</v>
      </c>
      <c r="AO1036" s="149">
        <v>0</v>
      </c>
      <c r="AP1036" s="149">
        <v>0</v>
      </c>
      <c r="AQ1036" s="149">
        <v>0</v>
      </c>
      <c r="AR1036" s="149">
        <v>0</v>
      </c>
      <c r="AS1036" s="149">
        <v>0</v>
      </c>
      <c r="AT1036" s="149">
        <v>6</v>
      </c>
      <c r="AU1036" s="149">
        <v>0</v>
      </c>
      <c r="AV1036" s="149">
        <v>0</v>
      </c>
      <c r="AW1036" s="149">
        <v>0</v>
      </c>
      <c r="AX1036" s="149">
        <v>0</v>
      </c>
      <c r="AY1036" s="149">
        <v>0</v>
      </c>
      <c r="AZ1036" s="149">
        <v>0</v>
      </c>
      <c r="BA1036" s="149">
        <v>6</v>
      </c>
      <c r="BB1036" s="149">
        <v>0</v>
      </c>
      <c r="BC1036" s="149">
        <v>0</v>
      </c>
      <c r="BD1036" s="149">
        <v>0</v>
      </c>
      <c r="BE1036" s="149">
        <v>0</v>
      </c>
      <c r="BF1036" s="149">
        <v>0</v>
      </c>
      <c r="BG1036" s="149">
        <v>0</v>
      </c>
      <c r="BH1036" s="149">
        <v>0</v>
      </c>
      <c r="BI1036" s="149">
        <v>0</v>
      </c>
      <c r="BJ1036" s="149">
        <v>0</v>
      </c>
      <c r="BK1036" s="149">
        <v>0</v>
      </c>
      <c r="BL1036" s="149">
        <v>0</v>
      </c>
      <c r="BM1036" s="149">
        <v>0</v>
      </c>
      <c r="BN1036" s="149">
        <v>0</v>
      </c>
      <c r="BO1036" s="149">
        <v>0</v>
      </c>
      <c r="BP1036" s="136"/>
      <c r="BQ1036" s="136"/>
      <c r="BR1036" s="154" t="s">
        <v>359</v>
      </c>
      <c r="BS1036" s="136">
        <v>19</v>
      </c>
      <c r="BT1036" s="267"/>
      <c r="BU1036" s="267"/>
      <c r="BV1036" s="267"/>
      <c r="BW1036" s="267"/>
      <c r="BX1036" s="267"/>
      <c r="BY1036" s="267">
        <f>M1036</f>
        <v>6</v>
      </c>
      <c r="BZ1036" s="267"/>
      <c r="CA1036" s="267"/>
      <c r="CB1036" s="267"/>
      <c r="CC1036" s="267"/>
      <c r="CD1036" s="267"/>
      <c r="CE1036" s="267"/>
      <c r="CF1036" s="267"/>
      <c r="CG1036" s="267"/>
      <c r="CH1036" s="267"/>
      <c r="CI1036" s="267"/>
      <c r="CJ1036" s="267"/>
      <c r="CK1036" s="267"/>
      <c r="CL1036" s="267"/>
      <c r="CM1036" s="267"/>
      <c r="CN1036" s="101">
        <f t="shared" si="154"/>
        <v>6</v>
      </c>
      <c r="CO1036" s="101">
        <f t="shared" si="155"/>
        <v>6</v>
      </c>
    </row>
    <row r="1037" spans="1:93" ht="13.9" customHeight="1" x14ac:dyDescent="0.2">
      <c r="A1037" s="149"/>
      <c r="B1037" s="150" t="s">
        <v>2641</v>
      </c>
      <c r="C1037" s="150"/>
      <c r="D1037" s="150"/>
      <c r="E1037" s="150"/>
      <c r="F1037" s="149"/>
      <c r="G1037" s="149"/>
      <c r="H1037" s="150"/>
      <c r="I1037" s="151"/>
      <c r="J1037" s="151"/>
      <c r="K1037" s="149">
        <v>0</v>
      </c>
      <c r="L1037" s="149">
        <v>203</v>
      </c>
      <c r="M1037" s="149">
        <v>203</v>
      </c>
      <c r="N1037" s="149">
        <v>0</v>
      </c>
      <c r="O1037" s="149">
        <v>0</v>
      </c>
      <c r="P1037" s="152" t="s">
        <v>327</v>
      </c>
      <c r="Q1037" s="150" t="s">
        <v>2524</v>
      </c>
      <c r="R1037" s="150" t="s">
        <v>2525</v>
      </c>
      <c r="S1037" s="151"/>
      <c r="T1037" s="151"/>
      <c r="U1037" s="152"/>
      <c r="V1037" s="150" t="s">
        <v>330</v>
      </c>
      <c r="W1037" s="151"/>
      <c r="X1037" s="150" t="s">
        <v>331</v>
      </c>
      <c r="Y1037" s="150" t="s">
        <v>343</v>
      </c>
      <c r="Z1037" s="150" t="s">
        <v>343</v>
      </c>
      <c r="AA1037" s="150" t="s">
        <v>334</v>
      </c>
      <c r="AB1037" s="153">
        <v>0</v>
      </c>
      <c r="AC1037" s="151"/>
      <c r="AD1037" s="150"/>
      <c r="AE1037" s="151"/>
      <c r="AF1037" s="150" t="s">
        <v>70</v>
      </c>
      <c r="AG1037" s="152" t="s">
        <v>352</v>
      </c>
      <c r="AH1037" s="150"/>
      <c r="AI1037" s="99"/>
      <c r="AJ1037" s="149">
        <v>0</v>
      </c>
      <c r="AK1037" s="99">
        <v>0</v>
      </c>
      <c r="AL1037" s="149">
        <v>0</v>
      </c>
      <c r="AM1037" s="99">
        <v>0</v>
      </c>
      <c r="AN1037" s="149">
        <v>0</v>
      </c>
      <c r="AO1037" s="149">
        <v>0</v>
      </c>
      <c r="AP1037" s="149">
        <v>0</v>
      </c>
      <c r="AQ1037" s="149">
        <v>0</v>
      </c>
      <c r="AR1037" s="149">
        <v>0</v>
      </c>
      <c r="AS1037" s="149">
        <v>0</v>
      </c>
      <c r="AT1037" s="149">
        <v>203</v>
      </c>
      <c r="AU1037" s="149">
        <v>0</v>
      </c>
      <c r="AV1037" s="149">
        <v>0</v>
      </c>
      <c r="AW1037" s="149">
        <v>0</v>
      </c>
      <c r="AX1037" s="149">
        <v>0</v>
      </c>
      <c r="AY1037" s="149">
        <v>0</v>
      </c>
      <c r="AZ1037" s="149">
        <v>0</v>
      </c>
      <c r="BA1037" s="149">
        <v>203</v>
      </c>
      <c r="BB1037" s="149">
        <v>0</v>
      </c>
      <c r="BC1037" s="149">
        <v>0</v>
      </c>
      <c r="BD1037" s="149">
        <v>0</v>
      </c>
      <c r="BE1037" s="149">
        <v>0</v>
      </c>
      <c r="BF1037" s="149">
        <v>0</v>
      </c>
      <c r="BG1037" s="149">
        <v>0</v>
      </c>
      <c r="BH1037" s="149">
        <v>0</v>
      </c>
      <c r="BI1037" s="149">
        <v>0</v>
      </c>
      <c r="BJ1037" s="149">
        <v>0</v>
      </c>
      <c r="BK1037" s="149">
        <v>0</v>
      </c>
      <c r="BL1037" s="149">
        <v>0</v>
      </c>
      <c r="BM1037" s="149">
        <v>0</v>
      </c>
      <c r="BN1037" s="149">
        <v>0</v>
      </c>
      <c r="BO1037" s="149">
        <v>0</v>
      </c>
      <c r="BP1037" s="136"/>
      <c r="BQ1037" s="136"/>
      <c r="BR1037" s="154" t="s">
        <v>2642</v>
      </c>
      <c r="BS1037" s="136">
        <v>21</v>
      </c>
      <c r="BT1037" s="267"/>
      <c r="BU1037" s="267"/>
      <c r="BV1037" s="267"/>
      <c r="BW1037" s="267"/>
      <c r="BX1037" s="267"/>
      <c r="BY1037" s="267">
        <f>M1037/14</f>
        <v>14.5</v>
      </c>
      <c r="BZ1037" s="267">
        <f>M1037/14</f>
        <v>14.5</v>
      </c>
      <c r="CA1037" s="267">
        <f>M1037/14</f>
        <v>14.5</v>
      </c>
      <c r="CB1037" s="267">
        <f>M1037/14</f>
        <v>14.5</v>
      </c>
      <c r="CC1037" s="267">
        <f>M1037/14</f>
        <v>14.5</v>
      </c>
      <c r="CD1037" s="267">
        <f>M1037/14</f>
        <v>14.5</v>
      </c>
      <c r="CE1037" s="267">
        <f>M1037/14</f>
        <v>14.5</v>
      </c>
      <c r="CF1037" s="267">
        <f>M1037/14</f>
        <v>14.5</v>
      </c>
      <c r="CG1037" s="267">
        <f>M1037/14</f>
        <v>14.5</v>
      </c>
      <c r="CH1037" s="267">
        <f>M1037/14</f>
        <v>14.5</v>
      </c>
      <c r="CI1037" s="267">
        <f>M1037/14</f>
        <v>14.5</v>
      </c>
      <c r="CJ1037" s="267">
        <f>M1037/14</f>
        <v>14.5</v>
      </c>
      <c r="CK1037" s="267">
        <f>M1037/14</f>
        <v>14.5</v>
      </c>
      <c r="CL1037" s="267">
        <f>M1037/14</f>
        <v>14.5</v>
      </c>
      <c r="CM1037" s="267"/>
      <c r="CN1037" s="101">
        <f t="shared" si="154"/>
        <v>14.5</v>
      </c>
      <c r="CO1037" s="101">
        <f t="shared" si="155"/>
        <v>87</v>
      </c>
    </row>
    <row r="1038" spans="1:93" ht="13.9" customHeight="1" x14ac:dyDescent="0.2">
      <c r="A1038" s="149"/>
      <c r="B1038" s="150" t="s">
        <v>2641</v>
      </c>
      <c r="C1038" s="150"/>
      <c r="D1038" s="150"/>
      <c r="E1038" s="150"/>
      <c r="F1038" s="149"/>
      <c r="G1038" s="149"/>
      <c r="H1038" s="150"/>
      <c r="I1038" s="151"/>
      <c r="J1038" s="151"/>
      <c r="K1038" s="149">
        <v>0</v>
      </c>
      <c r="L1038" s="149">
        <v>54</v>
      </c>
      <c r="M1038" s="149">
        <v>54</v>
      </c>
      <c r="N1038" s="149">
        <v>0</v>
      </c>
      <c r="O1038" s="149">
        <v>0</v>
      </c>
      <c r="P1038" s="152" t="s">
        <v>327</v>
      </c>
      <c r="Q1038" s="150" t="s">
        <v>2524</v>
      </c>
      <c r="R1038" s="150" t="s">
        <v>2525</v>
      </c>
      <c r="S1038" s="151"/>
      <c r="T1038" s="151"/>
      <c r="U1038" s="152"/>
      <c r="V1038" s="150" t="s">
        <v>330</v>
      </c>
      <c r="W1038" s="151"/>
      <c r="X1038" s="150" t="s">
        <v>331</v>
      </c>
      <c r="Y1038" s="150" t="s">
        <v>343</v>
      </c>
      <c r="Z1038" s="150" t="s">
        <v>343</v>
      </c>
      <c r="AA1038" s="150" t="s">
        <v>334</v>
      </c>
      <c r="AB1038" s="153">
        <v>0</v>
      </c>
      <c r="AC1038" s="151"/>
      <c r="AD1038" s="150"/>
      <c r="AE1038" s="151"/>
      <c r="AF1038" s="150" t="s">
        <v>49</v>
      </c>
      <c r="AG1038" s="152" t="s">
        <v>470</v>
      </c>
      <c r="AH1038" s="150"/>
      <c r="AI1038" s="99"/>
      <c r="AJ1038" s="149">
        <v>0</v>
      </c>
      <c r="AK1038" s="99">
        <v>0</v>
      </c>
      <c r="AL1038" s="149">
        <v>0</v>
      </c>
      <c r="AM1038" s="99">
        <v>0</v>
      </c>
      <c r="AN1038" s="149">
        <v>0</v>
      </c>
      <c r="AO1038" s="149">
        <v>0</v>
      </c>
      <c r="AP1038" s="149">
        <v>0</v>
      </c>
      <c r="AQ1038" s="149">
        <v>0</v>
      </c>
      <c r="AR1038" s="149">
        <v>0</v>
      </c>
      <c r="AS1038" s="149">
        <v>0</v>
      </c>
      <c r="AT1038" s="149">
        <v>54</v>
      </c>
      <c r="AU1038" s="149">
        <v>0</v>
      </c>
      <c r="AV1038" s="149">
        <v>0</v>
      </c>
      <c r="AW1038" s="149">
        <v>0</v>
      </c>
      <c r="AX1038" s="149">
        <v>0</v>
      </c>
      <c r="AY1038" s="149">
        <v>0</v>
      </c>
      <c r="AZ1038" s="149">
        <v>0</v>
      </c>
      <c r="BA1038" s="149">
        <v>54</v>
      </c>
      <c r="BB1038" s="149">
        <v>0</v>
      </c>
      <c r="BC1038" s="149">
        <v>0</v>
      </c>
      <c r="BD1038" s="149">
        <v>0</v>
      </c>
      <c r="BE1038" s="149">
        <v>0</v>
      </c>
      <c r="BF1038" s="149">
        <v>0</v>
      </c>
      <c r="BG1038" s="149">
        <v>0</v>
      </c>
      <c r="BH1038" s="149">
        <v>0</v>
      </c>
      <c r="BI1038" s="149">
        <v>0</v>
      </c>
      <c r="BJ1038" s="149">
        <v>0</v>
      </c>
      <c r="BK1038" s="149">
        <v>0</v>
      </c>
      <c r="BL1038" s="149">
        <v>0</v>
      </c>
      <c r="BM1038" s="149">
        <v>0</v>
      </c>
      <c r="BN1038" s="149">
        <v>0</v>
      </c>
      <c r="BO1038" s="149">
        <v>0</v>
      </c>
      <c r="BP1038" s="136"/>
      <c r="BQ1038" s="136"/>
      <c r="BR1038" s="154" t="s">
        <v>2642</v>
      </c>
      <c r="BS1038" s="136">
        <v>21</v>
      </c>
      <c r="BT1038" s="267"/>
      <c r="BU1038" s="267"/>
      <c r="BV1038" s="267"/>
      <c r="BW1038" s="267"/>
      <c r="BX1038" s="267"/>
      <c r="BY1038" s="267">
        <f>M1038/14</f>
        <v>3.8571428571428572</v>
      </c>
      <c r="BZ1038" s="267">
        <f>M1038/14</f>
        <v>3.8571428571428572</v>
      </c>
      <c r="CA1038" s="267">
        <f>M1038/14</f>
        <v>3.8571428571428572</v>
      </c>
      <c r="CB1038" s="267">
        <f>M1038/14</f>
        <v>3.8571428571428572</v>
      </c>
      <c r="CC1038" s="267">
        <f>M1038/14</f>
        <v>3.8571428571428572</v>
      </c>
      <c r="CD1038" s="267">
        <f>M1038/14</f>
        <v>3.8571428571428572</v>
      </c>
      <c r="CE1038" s="267">
        <f>M1038/14</f>
        <v>3.8571428571428572</v>
      </c>
      <c r="CF1038" s="267">
        <f>M1038/14</f>
        <v>3.8571428571428572</v>
      </c>
      <c r="CG1038" s="267">
        <f>M1038/14</f>
        <v>3.8571428571428572</v>
      </c>
      <c r="CH1038" s="267">
        <f>M1038/14</f>
        <v>3.8571428571428572</v>
      </c>
      <c r="CI1038" s="267">
        <f>M1038/14</f>
        <v>3.8571428571428572</v>
      </c>
      <c r="CJ1038" s="267">
        <f>M1038/14</f>
        <v>3.8571428571428572</v>
      </c>
      <c r="CK1038" s="267">
        <f>M1038/14</f>
        <v>3.8571428571428572</v>
      </c>
      <c r="CL1038" s="267">
        <f>M1038/14</f>
        <v>3.8571428571428572</v>
      </c>
      <c r="CM1038" s="267"/>
      <c r="CN1038" s="101">
        <f t="shared" si="154"/>
        <v>3.8571428571428572</v>
      </c>
      <c r="CO1038" s="101">
        <f t="shared" si="155"/>
        <v>23.142857142857142</v>
      </c>
    </row>
    <row r="1039" spans="1:93" ht="13.9" customHeight="1" x14ac:dyDescent="0.2">
      <c r="A1039" s="149"/>
      <c r="B1039" s="150" t="s">
        <v>2641</v>
      </c>
      <c r="C1039" s="150"/>
      <c r="D1039" s="150"/>
      <c r="E1039" s="150"/>
      <c r="F1039" s="149"/>
      <c r="G1039" s="149"/>
      <c r="H1039" s="150"/>
      <c r="I1039" s="151"/>
      <c r="J1039" s="151"/>
      <c r="K1039" s="149">
        <v>0</v>
      </c>
      <c r="L1039" s="149">
        <v>54</v>
      </c>
      <c r="M1039" s="149">
        <v>54</v>
      </c>
      <c r="N1039" s="149">
        <v>0</v>
      </c>
      <c r="O1039" s="149">
        <v>0</v>
      </c>
      <c r="P1039" s="152" t="s">
        <v>327</v>
      </c>
      <c r="Q1039" s="150" t="s">
        <v>2524</v>
      </c>
      <c r="R1039" s="150" t="s">
        <v>2525</v>
      </c>
      <c r="S1039" s="151"/>
      <c r="T1039" s="151"/>
      <c r="U1039" s="152"/>
      <c r="V1039" s="150" t="s">
        <v>330</v>
      </c>
      <c r="W1039" s="151"/>
      <c r="X1039" s="150" t="s">
        <v>331</v>
      </c>
      <c r="Y1039" s="150" t="s">
        <v>343</v>
      </c>
      <c r="Z1039" s="150" t="s">
        <v>343</v>
      </c>
      <c r="AA1039" s="150" t="s">
        <v>334</v>
      </c>
      <c r="AB1039" s="153">
        <v>0</v>
      </c>
      <c r="AC1039" s="151"/>
      <c r="AD1039" s="150"/>
      <c r="AE1039" s="151"/>
      <c r="AF1039" s="150" t="s">
        <v>48</v>
      </c>
      <c r="AG1039" s="152" t="s">
        <v>992</v>
      </c>
      <c r="AH1039" s="150"/>
      <c r="AI1039" s="99"/>
      <c r="AJ1039" s="149">
        <v>0</v>
      </c>
      <c r="AK1039" s="99">
        <v>0</v>
      </c>
      <c r="AL1039" s="149">
        <v>0</v>
      </c>
      <c r="AM1039" s="99">
        <v>0</v>
      </c>
      <c r="AN1039" s="149">
        <v>0</v>
      </c>
      <c r="AO1039" s="149">
        <v>0</v>
      </c>
      <c r="AP1039" s="149">
        <v>0</v>
      </c>
      <c r="AQ1039" s="149">
        <v>0</v>
      </c>
      <c r="AR1039" s="149">
        <v>0</v>
      </c>
      <c r="AS1039" s="149">
        <v>0</v>
      </c>
      <c r="AT1039" s="149">
        <v>54</v>
      </c>
      <c r="AU1039" s="149">
        <v>0</v>
      </c>
      <c r="AV1039" s="149">
        <v>0</v>
      </c>
      <c r="AW1039" s="149">
        <v>0</v>
      </c>
      <c r="AX1039" s="149">
        <v>0</v>
      </c>
      <c r="AY1039" s="149">
        <v>0</v>
      </c>
      <c r="AZ1039" s="149">
        <v>0</v>
      </c>
      <c r="BA1039" s="149">
        <v>54</v>
      </c>
      <c r="BB1039" s="149">
        <v>0</v>
      </c>
      <c r="BC1039" s="149">
        <v>0</v>
      </c>
      <c r="BD1039" s="149">
        <v>0</v>
      </c>
      <c r="BE1039" s="149">
        <v>0</v>
      </c>
      <c r="BF1039" s="149">
        <v>0</v>
      </c>
      <c r="BG1039" s="149">
        <v>0</v>
      </c>
      <c r="BH1039" s="149">
        <v>0</v>
      </c>
      <c r="BI1039" s="149">
        <v>0</v>
      </c>
      <c r="BJ1039" s="149">
        <v>0</v>
      </c>
      <c r="BK1039" s="149">
        <v>0</v>
      </c>
      <c r="BL1039" s="149">
        <v>0</v>
      </c>
      <c r="BM1039" s="149">
        <v>0</v>
      </c>
      <c r="BN1039" s="149">
        <v>0</v>
      </c>
      <c r="BO1039" s="149">
        <v>0</v>
      </c>
      <c r="BP1039" s="136"/>
      <c r="BQ1039" s="136"/>
      <c r="BR1039" s="154" t="s">
        <v>2642</v>
      </c>
      <c r="BS1039" s="136">
        <v>21</v>
      </c>
      <c r="BT1039" s="267"/>
      <c r="BU1039" s="267"/>
      <c r="BV1039" s="267"/>
      <c r="BW1039" s="267"/>
      <c r="BX1039" s="267"/>
      <c r="BY1039" s="267">
        <f>M1039/14</f>
        <v>3.8571428571428572</v>
      </c>
      <c r="BZ1039" s="267">
        <f>M1039/14</f>
        <v>3.8571428571428572</v>
      </c>
      <c r="CA1039" s="267">
        <f>M1039/14</f>
        <v>3.8571428571428572</v>
      </c>
      <c r="CB1039" s="267">
        <f>M1039/14</f>
        <v>3.8571428571428572</v>
      </c>
      <c r="CC1039" s="267">
        <f>M1039/14</f>
        <v>3.8571428571428572</v>
      </c>
      <c r="CD1039" s="267">
        <f>M1039/14</f>
        <v>3.8571428571428572</v>
      </c>
      <c r="CE1039" s="267">
        <f>M1039/14</f>
        <v>3.8571428571428572</v>
      </c>
      <c r="CF1039" s="267">
        <f>M1039/14</f>
        <v>3.8571428571428572</v>
      </c>
      <c r="CG1039" s="267">
        <f>M1039/14</f>
        <v>3.8571428571428572</v>
      </c>
      <c r="CH1039" s="267">
        <f>M1039/14</f>
        <v>3.8571428571428572</v>
      </c>
      <c r="CI1039" s="267">
        <f>M1039/14</f>
        <v>3.8571428571428572</v>
      </c>
      <c r="CJ1039" s="267">
        <f>M1039/14</f>
        <v>3.8571428571428572</v>
      </c>
      <c r="CK1039" s="267">
        <f>M1039/14</f>
        <v>3.8571428571428572</v>
      </c>
      <c r="CL1039" s="267">
        <f>M1039/14</f>
        <v>3.8571428571428572</v>
      </c>
      <c r="CM1039" s="267"/>
      <c r="CN1039" s="101">
        <f t="shared" si="154"/>
        <v>3.8571428571428572</v>
      </c>
      <c r="CO1039" s="101">
        <f t="shared" si="155"/>
        <v>23.142857142857142</v>
      </c>
    </row>
    <row r="1040" spans="1:93" ht="13.9" customHeight="1" x14ac:dyDescent="0.2">
      <c r="A1040" s="149"/>
      <c r="B1040" s="150" t="s">
        <v>2643</v>
      </c>
      <c r="C1040" s="150"/>
      <c r="D1040" s="150"/>
      <c r="E1040" s="150"/>
      <c r="F1040" s="149"/>
      <c r="G1040" s="149"/>
      <c r="H1040" s="150"/>
      <c r="I1040" s="151"/>
      <c r="J1040" s="151"/>
      <c r="K1040" s="149">
        <v>0</v>
      </c>
      <c r="L1040" s="149">
        <v>4611</v>
      </c>
      <c r="M1040" s="149">
        <v>4611</v>
      </c>
      <c r="N1040" s="149">
        <v>0</v>
      </c>
      <c r="O1040" s="149">
        <v>0</v>
      </c>
      <c r="P1040" s="152"/>
      <c r="Q1040" s="150" t="s">
        <v>2524</v>
      </c>
      <c r="R1040" s="150" t="s">
        <v>2525</v>
      </c>
      <c r="S1040" s="151"/>
      <c r="T1040" s="151"/>
      <c r="U1040" s="152"/>
      <c r="V1040" s="150" t="s">
        <v>330</v>
      </c>
      <c r="W1040" s="151"/>
      <c r="X1040" s="150" t="s">
        <v>331</v>
      </c>
      <c r="Y1040" s="150" t="s">
        <v>350</v>
      </c>
      <c r="Z1040" s="150" t="s">
        <v>334</v>
      </c>
      <c r="AA1040" s="150" t="s">
        <v>16</v>
      </c>
      <c r="AB1040" s="153">
        <v>0</v>
      </c>
      <c r="AC1040" s="151"/>
      <c r="AD1040" s="150"/>
      <c r="AE1040" s="151"/>
      <c r="AF1040" s="150" t="s">
        <v>72</v>
      </c>
      <c r="AG1040" s="152" t="s">
        <v>766</v>
      </c>
      <c r="AH1040" s="150"/>
      <c r="AI1040" s="99"/>
      <c r="AJ1040" s="149">
        <v>0</v>
      </c>
      <c r="AK1040" s="99">
        <v>0</v>
      </c>
      <c r="AL1040" s="149">
        <v>0</v>
      </c>
      <c r="AM1040" s="99">
        <v>0</v>
      </c>
      <c r="AN1040" s="149">
        <v>0</v>
      </c>
      <c r="AO1040" s="149">
        <v>0</v>
      </c>
      <c r="AP1040" s="149">
        <v>0</v>
      </c>
      <c r="AQ1040" s="149">
        <v>0</v>
      </c>
      <c r="AR1040" s="149">
        <v>0</v>
      </c>
      <c r="AS1040" s="149">
        <v>0</v>
      </c>
      <c r="AT1040" s="149">
        <v>4611</v>
      </c>
      <c r="AU1040" s="149">
        <v>0</v>
      </c>
      <c r="AV1040" s="149">
        <v>0</v>
      </c>
      <c r="AW1040" s="149">
        <v>0</v>
      </c>
      <c r="AX1040" s="149">
        <v>0</v>
      </c>
      <c r="AY1040" s="149">
        <v>0</v>
      </c>
      <c r="AZ1040" s="149">
        <v>0</v>
      </c>
      <c r="BA1040" s="149">
        <v>4611</v>
      </c>
      <c r="BB1040" s="149">
        <v>0</v>
      </c>
      <c r="BC1040" s="149">
        <v>0</v>
      </c>
      <c r="BD1040" s="149">
        <v>0</v>
      </c>
      <c r="BE1040" s="149">
        <v>0</v>
      </c>
      <c r="BF1040" s="149">
        <v>0</v>
      </c>
      <c r="BG1040" s="149">
        <v>0</v>
      </c>
      <c r="BH1040" s="149">
        <v>0</v>
      </c>
      <c r="BI1040" s="149">
        <v>0</v>
      </c>
      <c r="BJ1040" s="149">
        <v>0</v>
      </c>
      <c r="BK1040" s="149">
        <v>0</v>
      </c>
      <c r="BL1040" s="149">
        <v>0</v>
      </c>
      <c r="BM1040" s="149">
        <v>0</v>
      </c>
      <c r="BN1040" s="149">
        <v>0</v>
      </c>
      <c r="BO1040" s="149">
        <v>0</v>
      </c>
      <c r="BP1040" s="136"/>
      <c r="BQ1040" s="136"/>
      <c r="BR1040" s="154" t="s">
        <v>2642</v>
      </c>
      <c r="BS1040" s="136">
        <v>22</v>
      </c>
      <c r="BT1040" s="267"/>
      <c r="BU1040" s="267">
        <v>177</v>
      </c>
      <c r="BV1040" s="267">
        <v>177</v>
      </c>
      <c r="BW1040" s="267">
        <v>177</v>
      </c>
      <c r="BX1040" s="267">
        <v>177</v>
      </c>
      <c r="BY1040" s="267">
        <v>177</v>
      </c>
      <c r="BZ1040" s="267">
        <v>414</v>
      </c>
      <c r="CA1040" s="267">
        <v>414</v>
      </c>
      <c r="CB1040" s="267">
        <v>414</v>
      </c>
      <c r="CC1040" s="267">
        <v>414</v>
      </c>
      <c r="CD1040" s="267">
        <v>414</v>
      </c>
      <c r="CE1040" s="267">
        <v>414</v>
      </c>
      <c r="CF1040" s="267">
        <v>414</v>
      </c>
      <c r="CG1040" s="267">
        <v>414</v>
      </c>
      <c r="CH1040" s="267">
        <v>414</v>
      </c>
      <c r="CI1040" s="267"/>
      <c r="CJ1040" s="267"/>
      <c r="CK1040" s="267"/>
      <c r="CL1040" s="267"/>
      <c r="CM1040" s="267"/>
      <c r="CN1040" s="101">
        <f t="shared" si="154"/>
        <v>885</v>
      </c>
      <c r="CO1040" s="101">
        <f t="shared" si="155"/>
        <v>2955</v>
      </c>
    </row>
    <row r="1041" spans="1:93" ht="12" customHeight="1" x14ac:dyDescent="0.2">
      <c r="A1041" s="149"/>
      <c r="B1041" s="150"/>
      <c r="C1041" s="150"/>
      <c r="D1041" s="150"/>
      <c r="E1041" s="150"/>
      <c r="F1041" s="149"/>
      <c r="G1041" s="149"/>
      <c r="H1041" s="150"/>
      <c r="I1041" s="151"/>
      <c r="J1041" s="151"/>
      <c r="K1041" s="149"/>
      <c r="L1041" s="149"/>
      <c r="M1041" s="149"/>
      <c r="N1041" s="149"/>
      <c r="O1041" s="149"/>
      <c r="P1041" s="152"/>
      <c r="Q1041" s="150"/>
      <c r="R1041" s="150"/>
      <c r="S1041" s="151"/>
      <c r="T1041" s="151"/>
      <c r="U1041" s="152"/>
      <c r="V1041" s="150"/>
      <c r="W1041" s="151"/>
      <c r="X1041" s="150"/>
      <c r="Y1041" s="150"/>
      <c r="Z1041" s="150"/>
      <c r="AA1041" s="150"/>
      <c r="AB1041" s="153"/>
      <c r="AC1041" s="151"/>
      <c r="AD1041" s="150"/>
      <c r="AE1041" s="151"/>
      <c r="AF1041" s="150"/>
      <c r="AG1041" s="152"/>
      <c r="AH1041" s="150"/>
      <c r="AI1041" s="99"/>
      <c r="AJ1041" s="149"/>
      <c r="AK1041" s="99"/>
      <c r="AL1041" s="149"/>
      <c r="AM1041" s="99"/>
      <c r="AN1041" s="149"/>
      <c r="AO1041" s="149"/>
      <c r="AP1041" s="149"/>
      <c r="AQ1041" s="149"/>
      <c r="AR1041" s="149"/>
      <c r="AS1041" s="149"/>
      <c r="AT1041" s="149"/>
      <c r="AU1041" s="149"/>
      <c r="AV1041" s="149"/>
      <c r="AW1041" s="149"/>
      <c r="AX1041" s="149"/>
      <c r="AY1041" s="149"/>
      <c r="AZ1041" s="149"/>
      <c r="BA1041" s="149"/>
      <c r="BB1041" s="149"/>
      <c r="BC1041" s="149"/>
      <c r="BD1041" s="149"/>
      <c r="BE1041" s="149"/>
      <c r="BF1041" s="149"/>
      <c r="BG1041" s="149"/>
      <c r="BH1041" s="149"/>
      <c r="BI1041" s="149"/>
      <c r="BJ1041" s="149"/>
      <c r="BK1041" s="149"/>
      <c r="BL1041" s="149"/>
      <c r="BM1041" s="149"/>
      <c r="BN1041" s="149"/>
      <c r="BO1041" s="149"/>
      <c r="BP1041" s="136"/>
      <c r="BQ1041" s="136"/>
      <c r="BR1041" s="154"/>
      <c r="BS1041" s="136"/>
      <c r="BT1041" s="267"/>
      <c r="BU1041" s="267"/>
      <c r="BV1041" s="267"/>
      <c r="BW1041" s="267"/>
      <c r="BX1041" s="267"/>
      <c r="BY1041" s="267"/>
      <c r="BZ1041" s="267"/>
      <c r="CA1041" s="267"/>
      <c r="CB1041" s="267"/>
      <c r="CC1041" s="267"/>
      <c r="CD1041" s="267"/>
      <c r="CE1041" s="267"/>
      <c r="CF1041" s="267"/>
      <c r="CG1041" s="267"/>
      <c r="CH1041" s="267"/>
      <c r="CI1041" s="267"/>
      <c r="CJ1041" s="267"/>
      <c r="CK1041" s="267"/>
      <c r="CL1041" s="267"/>
      <c r="CM1041" s="267"/>
      <c r="CN1041" s="101"/>
      <c r="CO1041" s="101"/>
    </row>
  </sheetData>
  <autoFilter ref="A1:CO1040" xr:uid="{00000000-0001-0000-0300-000000000000}"/>
  <sortState xmlns:xlrd2="http://schemas.microsoft.com/office/spreadsheetml/2017/richdata2" ref="A2:CO1040">
    <sortCondition ref="B2:B1040"/>
    <sortCondition ref="A2:A1040"/>
    <sortCondition ref="C2:C1040"/>
    <sortCondition ref="E2:E1040"/>
    <sortCondition descending="1" ref="N2:N1040"/>
  </sortState>
  <printOptions horizontalCentered="1"/>
  <pageMargins left="0.39370078740157483" right="0.39370078740157483" top="0.39370078740157483" bottom="0.39370078740157483" header="0.19685039370078741" footer="0.19685039370078741"/>
  <pageSetup paperSize="9" scale="15" fitToHeight="0" orientation="landscape" verticalDpi="1200" r:id="rId1"/>
  <headerFooter alignWithMargins="0">
    <oddHeader>&amp;L&amp;"Calibri"&amp;10&amp;K000000Official&amp;1#</oddHeader>
    <oddFooter>&amp;C&amp;8&amp;P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06257F-6985-4C7D-8DAA-1FA7FC467287}">
  <sheetPr>
    <pageSetUpPr fitToPage="1"/>
  </sheetPr>
  <dimension ref="A1:BN34"/>
  <sheetViews>
    <sheetView zoomScaleNormal="100" workbookViewId="0">
      <pane ySplit="1" topLeftCell="A2" activePane="bottomLeft" state="frozen"/>
      <selection activeCell="N274" sqref="N274"/>
      <selection pane="bottomLeft"/>
    </sheetView>
  </sheetViews>
  <sheetFormatPr defaultColWidth="9.140625" defaultRowHeight="12.75" x14ac:dyDescent="0.2"/>
  <cols>
    <col min="1" max="1" width="5" style="142" customWidth="1"/>
    <col min="2" max="2" width="23.5703125" style="143" customWidth="1"/>
    <col min="3" max="3" width="11.140625" style="142" customWidth="1"/>
    <col min="4" max="4" width="30.28515625" style="143" customWidth="1"/>
    <col min="5" max="5" width="7" style="142" customWidth="1"/>
    <col min="6" max="6" width="7.85546875" style="142" customWidth="1"/>
    <col min="7" max="7" width="15.5703125" style="143" customWidth="1"/>
    <col min="8" max="8" width="11.42578125" style="144" customWidth="1"/>
    <col min="9" max="9" width="9.85546875" style="144" customWidth="1"/>
    <col min="10" max="30" width="10.7109375" style="145" customWidth="1"/>
    <col min="31" max="31" width="45.140625" style="143" customWidth="1"/>
    <col min="32" max="32" width="9.7109375" style="142" customWidth="1"/>
    <col min="33" max="34" width="9.85546875" style="144" customWidth="1"/>
    <col min="35" max="35" width="6.5703125" style="142" customWidth="1"/>
    <col min="36" max="36" width="9.85546875" style="144" customWidth="1"/>
    <col min="37" max="37" width="15" style="144" customWidth="1"/>
    <col min="38" max="38" width="14.28515625" style="144" customWidth="1"/>
    <col min="39" max="39" width="10.7109375" style="142" customWidth="1"/>
    <col min="40" max="40" width="9.140625" style="142" customWidth="1"/>
    <col min="41" max="41" width="11.140625" style="142" customWidth="1"/>
    <col min="42" max="42" width="9.140625" style="142" customWidth="1"/>
    <col min="43" max="43" width="9.28515625" style="142" customWidth="1"/>
    <col min="44" max="44" width="7" style="142" customWidth="1"/>
    <col min="45" max="45" width="11.28515625" style="142" customWidth="1"/>
    <col min="46" max="62" width="9.140625" style="146"/>
    <col min="63" max="64" width="9.140625" style="146" customWidth="1"/>
    <col min="65" max="66" width="9.140625" style="146"/>
    <col min="67" max="16384" width="9.140625" style="143"/>
  </cols>
  <sheetData>
    <row r="1" spans="1:66" s="131" customFormat="1" ht="48" customHeight="1" x14ac:dyDescent="0.2">
      <c r="A1" s="131" t="s">
        <v>250</v>
      </c>
      <c r="B1" s="131" t="s">
        <v>69</v>
      </c>
      <c r="C1" s="131" t="s">
        <v>251</v>
      </c>
      <c r="D1" s="131" t="s">
        <v>252</v>
      </c>
      <c r="E1" s="131" t="s">
        <v>254</v>
      </c>
      <c r="F1" s="131" t="s">
        <v>255</v>
      </c>
      <c r="G1" s="131" t="s">
        <v>158</v>
      </c>
      <c r="H1" s="132" t="s">
        <v>257</v>
      </c>
      <c r="I1" s="132" t="s">
        <v>258</v>
      </c>
      <c r="J1" s="131" t="s">
        <v>2644</v>
      </c>
      <c r="K1" s="131" t="s">
        <v>2645</v>
      </c>
      <c r="L1" s="131" t="s">
        <v>2646</v>
      </c>
      <c r="M1" s="131" t="s">
        <v>2647</v>
      </c>
      <c r="N1" s="131" t="s">
        <v>2648</v>
      </c>
      <c r="O1" s="131" t="s">
        <v>2649</v>
      </c>
      <c r="P1" s="131" t="s">
        <v>2650</v>
      </c>
      <c r="Q1" s="131" t="s">
        <v>2651</v>
      </c>
      <c r="R1" s="131" t="s">
        <v>2652</v>
      </c>
      <c r="S1" s="131" t="s">
        <v>2653</v>
      </c>
      <c r="T1" s="131" t="s">
        <v>2654</v>
      </c>
      <c r="U1" s="131" t="s">
        <v>2655</v>
      </c>
      <c r="V1" s="131" t="s">
        <v>2656</v>
      </c>
      <c r="W1" s="131" t="s">
        <v>2657</v>
      </c>
      <c r="X1" s="131" t="s">
        <v>2658</v>
      </c>
      <c r="Y1" s="131" t="s">
        <v>2659</v>
      </c>
      <c r="Z1" s="131" t="s">
        <v>2660</v>
      </c>
      <c r="AA1" s="131" t="s">
        <v>2661</v>
      </c>
      <c r="AB1" s="131" t="s">
        <v>2662</v>
      </c>
      <c r="AC1" s="131" t="s">
        <v>2663</v>
      </c>
      <c r="AD1" s="131" t="s">
        <v>2664</v>
      </c>
      <c r="AE1" s="131" t="s">
        <v>265</v>
      </c>
      <c r="AF1" s="131" t="s">
        <v>266</v>
      </c>
      <c r="AG1" s="132" t="s">
        <v>267</v>
      </c>
      <c r="AH1" s="132" t="s">
        <v>268</v>
      </c>
      <c r="AI1" s="131" t="s">
        <v>270</v>
      </c>
      <c r="AJ1" s="132" t="s">
        <v>271</v>
      </c>
      <c r="AK1" s="132" t="s">
        <v>2665</v>
      </c>
      <c r="AL1" s="132" t="s">
        <v>2666</v>
      </c>
      <c r="AM1" s="131" t="s">
        <v>133</v>
      </c>
      <c r="AN1" s="131" t="s">
        <v>279</v>
      </c>
      <c r="AO1" s="131" t="s">
        <v>280</v>
      </c>
      <c r="AP1" s="131" t="s">
        <v>281</v>
      </c>
      <c r="AQ1" s="131" t="s">
        <v>2667</v>
      </c>
      <c r="AR1" s="131" t="s">
        <v>2668</v>
      </c>
      <c r="AS1" s="131" t="s">
        <v>315</v>
      </c>
      <c r="AT1" s="133" t="s">
        <v>12</v>
      </c>
      <c r="AU1" s="133" t="s">
        <v>214</v>
      </c>
      <c r="AV1" s="133" t="s">
        <v>215</v>
      </c>
      <c r="AW1" s="133" t="s">
        <v>216</v>
      </c>
      <c r="AX1" s="133" t="s">
        <v>217</v>
      </c>
      <c r="AY1" s="133" t="s">
        <v>218</v>
      </c>
      <c r="AZ1" s="133" t="s">
        <v>219</v>
      </c>
      <c r="BA1" s="133" t="s">
        <v>220</v>
      </c>
      <c r="BB1" s="133" t="s">
        <v>221</v>
      </c>
      <c r="BC1" s="133" t="s">
        <v>222</v>
      </c>
      <c r="BD1" s="133" t="s">
        <v>223</v>
      </c>
      <c r="BE1" s="133" t="s">
        <v>224</v>
      </c>
      <c r="BF1" s="133" t="s">
        <v>225</v>
      </c>
      <c r="BG1" s="133" t="s">
        <v>226</v>
      </c>
      <c r="BH1" s="133" t="s">
        <v>227</v>
      </c>
      <c r="BI1" s="133" t="s">
        <v>316</v>
      </c>
      <c r="BJ1" s="133" t="s">
        <v>317</v>
      </c>
      <c r="BK1" s="133" t="s">
        <v>318</v>
      </c>
      <c r="BL1" s="131" t="s">
        <v>319</v>
      </c>
      <c r="BM1" s="133" t="s">
        <v>321</v>
      </c>
      <c r="BN1" s="133" t="s">
        <v>322</v>
      </c>
    </row>
    <row r="2" spans="1:66" s="99" customFormat="1" x14ac:dyDescent="0.2">
      <c r="A2" s="100">
        <v>6657</v>
      </c>
      <c r="B2" s="99" t="s">
        <v>854</v>
      </c>
      <c r="C2" s="99" t="s">
        <v>1118</v>
      </c>
      <c r="D2" s="99" t="s">
        <v>1119</v>
      </c>
      <c r="E2" s="99">
        <v>525999</v>
      </c>
      <c r="F2" s="99">
        <v>173647</v>
      </c>
      <c r="G2" s="99" t="s">
        <v>175</v>
      </c>
      <c r="H2" s="134">
        <v>44581</v>
      </c>
      <c r="I2" s="134"/>
      <c r="J2" s="101">
        <v>0</v>
      </c>
      <c r="K2" s="101">
        <v>0</v>
      </c>
      <c r="L2" s="101">
        <v>0</v>
      </c>
      <c r="M2" s="135">
        <v>0</v>
      </c>
      <c r="N2" s="101">
        <v>37</v>
      </c>
      <c r="O2" s="101">
        <v>0</v>
      </c>
      <c r="P2" s="101">
        <v>-37</v>
      </c>
      <c r="Q2" s="135">
        <v>-20.555555555555554</v>
      </c>
      <c r="R2" s="101">
        <v>0</v>
      </c>
      <c r="S2" s="101">
        <v>0</v>
      </c>
      <c r="T2" s="101">
        <v>0</v>
      </c>
      <c r="U2" s="135">
        <v>0</v>
      </c>
      <c r="V2" s="101">
        <v>0</v>
      </c>
      <c r="W2" s="101">
        <v>0</v>
      </c>
      <c r="X2" s="101">
        <v>0</v>
      </c>
      <c r="Y2" s="135">
        <v>0</v>
      </c>
      <c r="Z2" s="101">
        <v>0</v>
      </c>
      <c r="AA2" s="101">
        <v>0</v>
      </c>
      <c r="AB2" s="101">
        <v>0</v>
      </c>
      <c r="AC2" s="135">
        <v>0</v>
      </c>
      <c r="AD2" s="135">
        <v>-20.555555555555554</v>
      </c>
      <c r="AE2" s="99" t="s">
        <v>1121</v>
      </c>
      <c r="AF2" s="100" t="s">
        <v>850</v>
      </c>
      <c r="AG2" s="134">
        <v>44260</v>
      </c>
      <c r="AH2" s="134">
        <v>44396</v>
      </c>
      <c r="AI2" s="100" t="s">
        <v>330</v>
      </c>
      <c r="AK2" s="134">
        <v>44581</v>
      </c>
      <c r="AL2" s="134"/>
      <c r="AM2" s="136" t="s">
        <v>72</v>
      </c>
      <c r="AN2" s="100" t="s">
        <v>1299</v>
      </c>
      <c r="AO2" s="100" t="s">
        <v>326</v>
      </c>
      <c r="AP2" s="100"/>
      <c r="AQ2" s="100"/>
      <c r="AR2" s="100"/>
      <c r="AS2" s="101">
        <v>2</v>
      </c>
      <c r="AT2" s="101"/>
      <c r="AU2" s="101">
        <v>-20.555555555555554</v>
      </c>
      <c r="AV2" s="101"/>
      <c r="AW2" s="101"/>
      <c r="AX2" s="101"/>
      <c r="AY2" s="101"/>
      <c r="AZ2" s="101"/>
      <c r="BA2" s="101"/>
      <c r="BB2" s="101"/>
      <c r="BC2" s="101"/>
      <c r="BD2" s="101"/>
      <c r="BE2" s="101"/>
      <c r="BF2" s="101"/>
      <c r="BG2" s="101"/>
      <c r="BH2" s="101"/>
      <c r="BI2" s="101"/>
      <c r="BJ2" s="101"/>
      <c r="BK2" s="101"/>
      <c r="BL2" s="101"/>
      <c r="BM2" s="101">
        <f>SUM(AU2:AY2)</f>
        <v>-20.555555555555554</v>
      </c>
      <c r="BN2" s="101">
        <f>SUM(AU2:BD2)</f>
        <v>-20.555555555555554</v>
      </c>
    </row>
    <row r="3" spans="1:66" s="99" customFormat="1" x14ac:dyDescent="0.2">
      <c r="A3" s="136">
        <v>7317</v>
      </c>
      <c r="B3" s="137" t="s">
        <v>854</v>
      </c>
      <c r="C3" s="137" t="s">
        <v>1003</v>
      </c>
      <c r="D3" s="137" t="s">
        <v>1004</v>
      </c>
      <c r="E3" s="138">
        <v>527570</v>
      </c>
      <c r="F3" s="138">
        <v>171707</v>
      </c>
      <c r="G3" s="137" t="s">
        <v>172</v>
      </c>
      <c r="H3" s="139">
        <v>44876</v>
      </c>
      <c r="I3" s="139"/>
      <c r="J3" s="135">
        <v>0</v>
      </c>
      <c r="K3" s="135">
        <v>0</v>
      </c>
      <c r="L3" s="135">
        <v>0</v>
      </c>
      <c r="M3" s="135">
        <v>0</v>
      </c>
      <c r="N3" s="135">
        <v>0</v>
      </c>
      <c r="O3" s="135">
        <v>0</v>
      </c>
      <c r="P3" s="135">
        <v>0</v>
      </c>
      <c r="Q3" s="135">
        <v>0</v>
      </c>
      <c r="R3" s="135">
        <v>0</v>
      </c>
      <c r="S3" s="135">
        <v>0</v>
      </c>
      <c r="T3" s="135">
        <v>0</v>
      </c>
      <c r="U3" s="135">
        <v>0</v>
      </c>
      <c r="V3" s="135">
        <v>0</v>
      </c>
      <c r="W3" s="135">
        <v>0</v>
      </c>
      <c r="X3" s="135">
        <v>0</v>
      </c>
      <c r="Y3" s="135">
        <v>0</v>
      </c>
      <c r="Z3" s="135">
        <v>0</v>
      </c>
      <c r="AA3" s="135">
        <v>18</v>
      </c>
      <c r="AB3" s="135">
        <v>18</v>
      </c>
      <c r="AC3" s="135">
        <v>10</v>
      </c>
      <c r="AD3" s="135">
        <v>10</v>
      </c>
      <c r="AE3" s="137" t="s">
        <v>1005</v>
      </c>
      <c r="AF3" s="136" t="s">
        <v>349</v>
      </c>
      <c r="AG3" s="139">
        <v>43804</v>
      </c>
      <c r="AH3" s="139">
        <v>43879</v>
      </c>
      <c r="AI3" s="136" t="s">
        <v>330</v>
      </c>
      <c r="AJ3" s="138"/>
      <c r="AK3" s="139">
        <v>44876</v>
      </c>
      <c r="AL3" s="139"/>
      <c r="AM3" s="136" t="s">
        <v>70</v>
      </c>
      <c r="AN3" s="136" t="s">
        <v>352</v>
      </c>
      <c r="AO3" s="136" t="s">
        <v>326</v>
      </c>
      <c r="AP3" s="100"/>
      <c r="AQ3" s="136"/>
      <c r="AR3" s="136"/>
      <c r="AS3" s="101">
        <v>2</v>
      </c>
      <c r="AT3" s="101"/>
      <c r="AU3" s="101">
        <v>10</v>
      </c>
      <c r="AV3" s="101"/>
      <c r="AW3" s="101"/>
      <c r="AX3" s="101"/>
      <c r="AY3" s="101"/>
      <c r="AZ3" s="101"/>
      <c r="BA3" s="101"/>
      <c r="BB3" s="101"/>
      <c r="BC3" s="101"/>
      <c r="BD3" s="101"/>
      <c r="BE3" s="101"/>
      <c r="BF3" s="101"/>
      <c r="BG3" s="101"/>
      <c r="BH3" s="101"/>
      <c r="BI3" s="101"/>
      <c r="BJ3" s="101"/>
      <c r="BK3" s="101"/>
      <c r="BL3" s="101"/>
      <c r="BM3" s="101">
        <f t="shared" ref="BM3:BM25" si="0">SUM(AU3:AY3)</f>
        <v>10</v>
      </c>
      <c r="BN3" s="101">
        <f t="shared" ref="BN3:BN25" si="1">SUM(AU3:BD3)</f>
        <v>10</v>
      </c>
    </row>
    <row r="4" spans="1:66" s="99" customFormat="1" x14ac:dyDescent="0.2">
      <c r="A4" s="100">
        <v>7702</v>
      </c>
      <c r="B4" s="99" t="s">
        <v>2506</v>
      </c>
      <c r="C4" s="99" t="s">
        <v>2669</v>
      </c>
      <c r="D4" s="99" t="s">
        <v>2670</v>
      </c>
      <c r="E4" s="99">
        <v>528703</v>
      </c>
      <c r="F4" s="99">
        <v>171030</v>
      </c>
      <c r="G4" s="99" t="s">
        <v>163</v>
      </c>
      <c r="H4" s="134"/>
      <c r="I4" s="134"/>
      <c r="J4" s="101">
        <v>0</v>
      </c>
      <c r="K4" s="101">
        <v>0</v>
      </c>
      <c r="L4" s="101">
        <v>0</v>
      </c>
      <c r="M4" s="135">
        <v>0</v>
      </c>
      <c r="N4" s="101">
        <v>0</v>
      </c>
      <c r="O4" s="101">
        <v>0</v>
      </c>
      <c r="P4" s="101">
        <v>0</v>
      </c>
      <c r="Q4" s="135">
        <v>0</v>
      </c>
      <c r="R4" s="101">
        <v>0</v>
      </c>
      <c r="S4" s="101">
        <v>0</v>
      </c>
      <c r="T4" s="101">
        <v>0</v>
      </c>
      <c r="U4" s="135">
        <v>0</v>
      </c>
      <c r="V4" s="101">
        <v>0</v>
      </c>
      <c r="W4" s="101">
        <v>63</v>
      </c>
      <c r="X4" s="101">
        <v>63</v>
      </c>
      <c r="Y4" s="135">
        <v>25.2</v>
      </c>
      <c r="Z4" s="101">
        <v>0</v>
      </c>
      <c r="AA4" s="101">
        <v>0</v>
      </c>
      <c r="AB4" s="101">
        <v>0</v>
      </c>
      <c r="AC4" s="135">
        <v>0</v>
      </c>
      <c r="AD4" s="135">
        <v>25.2</v>
      </c>
      <c r="AE4" s="99" t="s">
        <v>2671</v>
      </c>
      <c r="AF4" s="100" t="s">
        <v>2509</v>
      </c>
      <c r="AG4" s="134">
        <v>44364</v>
      </c>
      <c r="AH4" s="134"/>
      <c r="AI4" s="100" t="s">
        <v>330</v>
      </c>
      <c r="AK4" s="134"/>
      <c r="AL4" s="134"/>
      <c r="AM4" s="136" t="s">
        <v>70</v>
      </c>
      <c r="AN4" s="100" t="s">
        <v>337</v>
      </c>
      <c r="AO4" s="100" t="s">
        <v>326</v>
      </c>
      <c r="AP4" s="100"/>
      <c r="AQ4" s="100"/>
      <c r="AR4" s="100"/>
      <c r="AS4" s="101">
        <v>8</v>
      </c>
      <c r="AT4" s="101"/>
      <c r="AU4" s="101"/>
      <c r="AV4" s="101"/>
      <c r="AW4" s="101"/>
      <c r="AX4" s="101"/>
      <c r="AY4" s="101"/>
      <c r="AZ4" s="101">
        <v>6.3</v>
      </c>
      <c r="BA4" s="101">
        <v>6.3</v>
      </c>
      <c r="BB4" s="101">
        <v>6.3</v>
      </c>
      <c r="BC4" s="101">
        <v>6.3</v>
      </c>
      <c r="BD4" s="101"/>
      <c r="BE4" s="101"/>
      <c r="BF4" s="101"/>
      <c r="BG4" s="101"/>
      <c r="BH4" s="101"/>
      <c r="BI4" s="101"/>
      <c r="BJ4" s="101"/>
      <c r="BK4" s="101"/>
      <c r="BL4" s="101"/>
      <c r="BM4" s="101">
        <f t="shared" si="0"/>
        <v>0</v>
      </c>
      <c r="BN4" s="101">
        <f t="shared" si="1"/>
        <v>25.2</v>
      </c>
    </row>
    <row r="5" spans="1:66" s="99" customFormat="1" x14ac:dyDescent="0.2">
      <c r="A5" s="136">
        <v>2502</v>
      </c>
      <c r="B5" s="137" t="s">
        <v>1216</v>
      </c>
      <c r="C5" s="137" t="s">
        <v>2672</v>
      </c>
      <c r="D5" s="137" t="s">
        <v>508</v>
      </c>
      <c r="E5" s="138">
        <v>527221</v>
      </c>
      <c r="F5" s="138">
        <v>172443</v>
      </c>
      <c r="G5" s="137" t="s">
        <v>176</v>
      </c>
      <c r="H5" s="139">
        <v>42244</v>
      </c>
      <c r="I5" s="139"/>
      <c r="J5" s="135">
        <v>0</v>
      </c>
      <c r="K5" s="135">
        <v>0</v>
      </c>
      <c r="L5" s="135">
        <v>0</v>
      </c>
      <c r="M5" s="135">
        <v>0</v>
      </c>
      <c r="N5" s="135">
        <v>46</v>
      </c>
      <c r="O5" s="135">
        <v>0</v>
      </c>
      <c r="P5" s="135">
        <v>-46</v>
      </c>
      <c r="Q5" s="135">
        <v>-25.555555555555554</v>
      </c>
      <c r="R5" s="135">
        <v>0</v>
      </c>
      <c r="S5" s="135">
        <v>0</v>
      </c>
      <c r="T5" s="135">
        <v>0</v>
      </c>
      <c r="U5" s="135">
        <v>0</v>
      </c>
      <c r="V5" s="135">
        <v>0</v>
      </c>
      <c r="W5" s="135">
        <v>0</v>
      </c>
      <c r="X5" s="135">
        <v>0</v>
      </c>
      <c r="Y5" s="135">
        <v>0</v>
      </c>
      <c r="Z5" s="135">
        <v>0</v>
      </c>
      <c r="AA5" s="135">
        <v>0</v>
      </c>
      <c r="AB5" s="135">
        <v>0</v>
      </c>
      <c r="AC5" s="135">
        <v>0</v>
      </c>
      <c r="AD5" s="135">
        <v>-25.555555555555554</v>
      </c>
      <c r="AE5" s="137" t="s">
        <v>2673</v>
      </c>
      <c r="AF5" s="136" t="s">
        <v>435</v>
      </c>
      <c r="AG5" s="139">
        <v>40431</v>
      </c>
      <c r="AH5" s="139">
        <v>40587</v>
      </c>
      <c r="AI5" s="136" t="s">
        <v>436</v>
      </c>
      <c r="AJ5" s="138">
        <v>41082</v>
      </c>
      <c r="AK5" s="139"/>
      <c r="AL5" s="139"/>
      <c r="AM5" s="136" t="s">
        <v>72</v>
      </c>
      <c r="AN5" s="136" t="s">
        <v>1299</v>
      </c>
      <c r="AO5" s="136" t="s">
        <v>511</v>
      </c>
      <c r="AP5" s="100"/>
      <c r="AQ5" s="136" t="s">
        <v>327</v>
      </c>
      <c r="AR5" s="136" t="s">
        <v>2674</v>
      </c>
      <c r="AS5" s="101">
        <v>6</v>
      </c>
      <c r="AT5" s="101"/>
      <c r="AU5" s="101"/>
      <c r="AV5" s="101">
        <v>-6.3888888888888884</v>
      </c>
      <c r="AW5" s="101">
        <v>-6.3888888888888884</v>
      </c>
      <c r="AX5" s="101">
        <v>-6.3888888888888884</v>
      </c>
      <c r="AY5" s="101">
        <v>-6.3888888888888884</v>
      </c>
      <c r="AZ5" s="101"/>
      <c r="BA5" s="101"/>
      <c r="BB5" s="101"/>
      <c r="BC5" s="101"/>
      <c r="BD5" s="101"/>
      <c r="BE5" s="101"/>
      <c r="BF5" s="101"/>
      <c r="BG5" s="101"/>
      <c r="BH5" s="101"/>
      <c r="BI5" s="101"/>
      <c r="BJ5" s="101"/>
      <c r="BK5" s="101"/>
      <c r="BL5" s="101"/>
      <c r="BM5" s="101">
        <f t="shared" si="0"/>
        <v>-25.555555555555554</v>
      </c>
      <c r="BN5" s="101">
        <f t="shared" si="1"/>
        <v>-25.555555555555554</v>
      </c>
    </row>
    <row r="6" spans="1:66" s="99" customFormat="1" x14ac:dyDescent="0.2">
      <c r="A6" s="100">
        <v>7765</v>
      </c>
      <c r="B6" s="99" t="s">
        <v>1216</v>
      </c>
      <c r="C6" s="99" t="s">
        <v>2028</v>
      </c>
      <c r="D6" s="99" t="s">
        <v>2029</v>
      </c>
      <c r="E6" s="99">
        <v>522152</v>
      </c>
      <c r="F6" s="99">
        <v>175463</v>
      </c>
      <c r="G6" s="137" t="s">
        <v>166</v>
      </c>
      <c r="H6" s="134"/>
      <c r="I6" s="134"/>
      <c r="J6" s="101">
        <v>0</v>
      </c>
      <c r="K6" s="101">
        <v>0</v>
      </c>
      <c r="L6" s="101">
        <v>0</v>
      </c>
      <c r="M6" s="135">
        <v>0</v>
      </c>
      <c r="N6" s="101">
        <v>0</v>
      </c>
      <c r="O6" s="101">
        <v>0</v>
      </c>
      <c r="P6" s="101">
        <v>0</v>
      </c>
      <c r="Q6" s="135">
        <v>0</v>
      </c>
      <c r="R6" s="101">
        <v>0</v>
      </c>
      <c r="S6" s="101">
        <v>0</v>
      </c>
      <c r="T6" s="101">
        <v>0</v>
      </c>
      <c r="U6" s="135">
        <v>0</v>
      </c>
      <c r="V6" s="101">
        <v>0</v>
      </c>
      <c r="W6" s="101">
        <v>0</v>
      </c>
      <c r="X6" s="101">
        <v>0</v>
      </c>
      <c r="Y6" s="135">
        <v>0</v>
      </c>
      <c r="Z6" s="101">
        <v>9</v>
      </c>
      <c r="AA6" s="101">
        <v>0</v>
      </c>
      <c r="AB6" s="101">
        <v>-9</v>
      </c>
      <c r="AC6" s="135">
        <v>-5</v>
      </c>
      <c r="AD6" s="135">
        <v>-5</v>
      </c>
      <c r="AE6" s="99" t="s">
        <v>2030</v>
      </c>
      <c r="AF6" s="100" t="s">
        <v>329</v>
      </c>
      <c r="AG6" s="134">
        <v>44615</v>
      </c>
      <c r="AH6" s="134">
        <v>44894</v>
      </c>
      <c r="AI6" s="100" t="s">
        <v>330</v>
      </c>
      <c r="AK6" s="134"/>
      <c r="AL6" s="134"/>
      <c r="AM6" s="136" t="s">
        <v>71</v>
      </c>
      <c r="AN6" s="100" t="s">
        <v>394</v>
      </c>
      <c r="AO6" s="100" t="s">
        <v>326</v>
      </c>
      <c r="AP6" s="100"/>
      <c r="AQ6" s="100"/>
      <c r="AR6" s="100" t="s">
        <v>326</v>
      </c>
      <c r="AS6" s="101">
        <v>6</v>
      </c>
      <c r="AT6" s="101"/>
      <c r="AU6" s="101"/>
      <c r="AV6" s="101">
        <v>-1.25</v>
      </c>
      <c r="AW6" s="101">
        <v>-1.25</v>
      </c>
      <c r="AX6" s="101">
        <v>-1.25</v>
      </c>
      <c r="AY6" s="101">
        <v>-1.25</v>
      </c>
      <c r="AZ6" s="101"/>
      <c r="BA6" s="101"/>
      <c r="BB6" s="101"/>
      <c r="BC6" s="101"/>
      <c r="BD6" s="101"/>
      <c r="BE6" s="101"/>
      <c r="BF6" s="101"/>
      <c r="BG6" s="101"/>
      <c r="BH6" s="101"/>
      <c r="BI6" s="101"/>
      <c r="BJ6" s="101"/>
      <c r="BK6" s="101"/>
      <c r="BL6" s="101"/>
      <c r="BM6" s="101">
        <f t="shared" si="0"/>
        <v>-5</v>
      </c>
      <c r="BN6" s="101">
        <f t="shared" si="1"/>
        <v>-5</v>
      </c>
    </row>
    <row r="7" spans="1:66" s="99" customFormat="1" x14ac:dyDescent="0.2">
      <c r="A7" s="100">
        <v>7766</v>
      </c>
      <c r="B7" s="99" t="s">
        <v>1216</v>
      </c>
      <c r="C7" s="99" t="s">
        <v>2031</v>
      </c>
      <c r="D7" s="99" t="s">
        <v>2032</v>
      </c>
      <c r="E7" s="99">
        <v>522160</v>
      </c>
      <c r="F7" s="99">
        <v>175461</v>
      </c>
      <c r="G7" s="137" t="s">
        <v>166</v>
      </c>
      <c r="H7" s="134"/>
      <c r="I7" s="134"/>
      <c r="J7" s="101">
        <v>0</v>
      </c>
      <c r="K7" s="101">
        <v>0</v>
      </c>
      <c r="L7" s="101">
        <v>0</v>
      </c>
      <c r="M7" s="135">
        <v>0</v>
      </c>
      <c r="N7" s="101">
        <v>0</v>
      </c>
      <c r="O7" s="101">
        <v>0</v>
      </c>
      <c r="P7" s="101">
        <v>0</v>
      </c>
      <c r="Q7" s="135">
        <v>0</v>
      </c>
      <c r="R7" s="101">
        <v>0</v>
      </c>
      <c r="S7" s="101">
        <v>0</v>
      </c>
      <c r="T7" s="101">
        <v>0</v>
      </c>
      <c r="U7" s="135">
        <v>0</v>
      </c>
      <c r="V7" s="101">
        <v>0</v>
      </c>
      <c r="W7" s="101">
        <v>0</v>
      </c>
      <c r="X7" s="101">
        <v>0</v>
      </c>
      <c r="Y7" s="135">
        <v>0</v>
      </c>
      <c r="Z7" s="101">
        <v>9</v>
      </c>
      <c r="AA7" s="101">
        <v>0</v>
      </c>
      <c r="AB7" s="101">
        <v>-9</v>
      </c>
      <c r="AC7" s="135">
        <v>-5</v>
      </c>
      <c r="AD7" s="135">
        <v>-5</v>
      </c>
      <c r="AE7" s="99" t="s">
        <v>2033</v>
      </c>
      <c r="AF7" s="100" t="s">
        <v>329</v>
      </c>
      <c r="AG7" s="134">
        <v>44615</v>
      </c>
      <c r="AH7" s="134">
        <v>44894</v>
      </c>
      <c r="AI7" s="100" t="s">
        <v>330</v>
      </c>
      <c r="AK7" s="134"/>
      <c r="AL7" s="134"/>
      <c r="AM7" s="136" t="s">
        <v>71</v>
      </c>
      <c r="AN7" s="100" t="s">
        <v>394</v>
      </c>
      <c r="AO7" s="100" t="s">
        <v>326</v>
      </c>
      <c r="AP7" s="100"/>
      <c r="AQ7" s="100"/>
      <c r="AR7" s="100" t="s">
        <v>326</v>
      </c>
      <c r="AS7" s="101">
        <v>6</v>
      </c>
      <c r="AT7" s="101"/>
      <c r="AU7" s="101"/>
      <c r="AV7" s="101">
        <v>-1.25</v>
      </c>
      <c r="AW7" s="101">
        <v>-1.25</v>
      </c>
      <c r="AX7" s="101">
        <v>-1.25</v>
      </c>
      <c r="AY7" s="101">
        <v>-1.25</v>
      </c>
      <c r="AZ7" s="101"/>
      <c r="BA7" s="101"/>
      <c r="BB7" s="101"/>
      <c r="BC7" s="101"/>
      <c r="BD7" s="101"/>
      <c r="BE7" s="101"/>
      <c r="BF7" s="101"/>
      <c r="BG7" s="101"/>
      <c r="BH7" s="101"/>
      <c r="BI7" s="101"/>
      <c r="BJ7" s="101"/>
      <c r="BK7" s="101"/>
      <c r="BL7" s="101"/>
      <c r="BM7" s="101">
        <f t="shared" si="0"/>
        <v>-5</v>
      </c>
      <c r="BN7" s="101">
        <f t="shared" si="1"/>
        <v>-5</v>
      </c>
    </row>
    <row r="8" spans="1:66" s="99" customFormat="1" x14ac:dyDescent="0.2">
      <c r="A8" s="136">
        <v>2411</v>
      </c>
      <c r="B8" s="137" t="s">
        <v>323</v>
      </c>
      <c r="C8" s="137" t="s">
        <v>2675</v>
      </c>
      <c r="D8" s="137" t="s">
        <v>1090</v>
      </c>
      <c r="E8" s="138">
        <v>528934</v>
      </c>
      <c r="F8" s="138">
        <v>177496</v>
      </c>
      <c r="G8" s="137" t="s">
        <v>149</v>
      </c>
      <c r="H8" s="139">
        <v>42506</v>
      </c>
      <c r="I8" s="139"/>
      <c r="J8" s="135">
        <v>0</v>
      </c>
      <c r="K8" s="135">
        <v>0</v>
      </c>
      <c r="L8" s="135">
        <v>0</v>
      </c>
      <c r="M8" s="135">
        <v>0</v>
      </c>
      <c r="N8" s="135">
        <v>0</v>
      </c>
      <c r="O8" s="135">
        <v>0</v>
      </c>
      <c r="P8" s="135">
        <v>0</v>
      </c>
      <c r="Q8" s="135">
        <v>0</v>
      </c>
      <c r="R8" s="135">
        <v>0</v>
      </c>
      <c r="S8" s="135">
        <v>0</v>
      </c>
      <c r="T8" s="135">
        <v>0</v>
      </c>
      <c r="U8" s="135">
        <v>0</v>
      </c>
      <c r="V8" s="135">
        <v>0</v>
      </c>
      <c r="W8" s="135">
        <v>0</v>
      </c>
      <c r="X8" s="135">
        <v>0</v>
      </c>
      <c r="Y8" s="135">
        <v>0</v>
      </c>
      <c r="Z8" s="135">
        <v>0</v>
      </c>
      <c r="AA8" s="135">
        <v>0</v>
      </c>
      <c r="AB8" s="135">
        <v>0</v>
      </c>
      <c r="AC8" s="135">
        <v>0</v>
      </c>
      <c r="AD8" s="135">
        <v>0</v>
      </c>
      <c r="AE8" s="137" t="s">
        <v>2676</v>
      </c>
      <c r="AF8" s="136" t="s">
        <v>342</v>
      </c>
      <c r="AG8" s="139">
        <v>44770</v>
      </c>
      <c r="AH8" s="139">
        <v>44817</v>
      </c>
      <c r="AI8" s="136" t="s">
        <v>330</v>
      </c>
      <c r="AJ8" s="140"/>
      <c r="AK8" s="139">
        <v>42506</v>
      </c>
      <c r="AL8" s="139">
        <v>45382</v>
      </c>
      <c r="AM8" s="136" t="s">
        <v>70</v>
      </c>
      <c r="AN8" s="136" t="s">
        <v>352</v>
      </c>
      <c r="AO8" s="136" t="s">
        <v>1093</v>
      </c>
      <c r="AP8" s="100"/>
      <c r="AQ8" s="136"/>
      <c r="AR8" s="136" t="s">
        <v>326</v>
      </c>
      <c r="AS8" s="101">
        <v>1</v>
      </c>
      <c r="AT8" s="101">
        <v>0</v>
      </c>
      <c r="AU8" s="101"/>
      <c r="AV8" s="101"/>
      <c r="AW8" s="101"/>
      <c r="AX8" s="101"/>
      <c r="AY8" s="101"/>
      <c r="AZ8" s="101"/>
      <c r="BA8" s="101"/>
      <c r="BB8" s="101"/>
      <c r="BC8" s="101"/>
      <c r="BD8" s="101"/>
      <c r="BE8" s="101"/>
      <c r="BF8" s="101"/>
      <c r="BG8" s="101"/>
      <c r="BH8" s="101"/>
      <c r="BI8" s="101"/>
      <c r="BJ8" s="101"/>
      <c r="BK8" s="101"/>
      <c r="BL8" s="101"/>
      <c r="BM8" s="101">
        <f t="shared" si="0"/>
        <v>0</v>
      </c>
      <c r="BN8" s="101">
        <f t="shared" si="1"/>
        <v>0</v>
      </c>
    </row>
    <row r="9" spans="1:66" s="99" customFormat="1" x14ac:dyDescent="0.2">
      <c r="A9" s="136">
        <v>7348</v>
      </c>
      <c r="B9" s="137" t="s">
        <v>323</v>
      </c>
      <c r="C9" s="137" t="s">
        <v>2677</v>
      </c>
      <c r="D9" s="137" t="s">
        <v>2678</v>
      </c>
      <c r="E9" s="138">
        <v>527583</v>
      </c>
      <c r="F9" s="138">
        <v>174336</v>
      </c>
      <c r="G9" s="137" t="s">
        <v>165</v>
      </c>
      <c r="H9" s="139">
        <v>44743</v>
      </c>
      <c r="I9" s="139">
        <v>45143</v>
      </c>
      <c r="J9" s="135">
        <v>0</v>
      </c>
      <c r="K9" s="135">
        <v>0</v>
      </c>
      <c r="L9" s="135">
        <v>0</v>
      </c>
      <c r="M9" s="135">
        <v>0</v>
      </c>
      <c r="N9" s="135">
        <v>0</v>
      </c>
      <c r="O9" s="135">
        <v>0</v>
      </c>
      <c r="P9" s="135">
        <v>0</v>
      </c>
      <c r="Q9" s="135">
        <v>0</v>
      </c>
      <c r="R9" s="135">
        <v>0</v>
      </c>
      <c r="S9" s="135">
        <v>0</v>
      </c>
      <c r="T9" s="135">
        <v>0</v>
      </c>
      <c r="U9" s="135">
        <v>0</v>
      </c>
      <c r="V9" s="135">
        <v>0</v>
      </c>
      <c r="W9" s="135">
        <v>0</v>
      </c>
      <c r="X9" s="135">
        <v>0</v>
      </c>
      <c r="Y9" s="135">
        <v>0</v>
      </c>
      <c r="Z9" s="135">
        <v>7</v>
      </c>
      <c r="AA9" s="135">
        <v>8</v>
      </c>
      <c r="AB9" s="135">
        <v>1</v>
      </c>
      <c r="AC9" s="135">
        <v>0.55555555555555558</v>
      </c>
      <c r="AD9" s="135">
        <v>0.55555555555555558</v>
      </c>
      <c r="AE9" s="137" t="s">
        <v>2679</v>
      </c>
      <c r="AF9" s="136" t="s">
        <v>349</v>
      </c>
      <c r="AG9" s="139">
        <v>43879</v>
      </c>
      <c r="AH9" s="139">
        <v>43971</v>
      </c>
      <c r="AI9" s="136" t="s">
        <v>330</v>
      </c>
      <c r="AJ9" s="138"/>
      <c r="AK9" s="139">
        <v>44743</v>
      </c>
      <c r="AL9" s="139">
        <v>45143</v>
      </c>
      <c r="AM9" s="136" t="s">
        <v>70</v>
      </c>
      <c r="AN9" s="136" t="s">
        <v>352</v>
      </c>
      <c r="AO9" s="136" t="s">
        <v>326</v>
      </c>
      <c r="AP9" s="100"/>
      <c r="AQ9" s="136"/>
      <c r="AR9" s="136" t="s">
        <v>326</v>
      </c>
      <c r="AS9" s="101">
        <v>1</v>
      </c>
      <c r="AT9" s="101">
        <v>0.55555555555555558</v>
      </c>
      <c r="AU9" s="101"/>
      <c r="AV9" s="101"/>
      <c r="AW9" s="101"/>
      <c r="AX9" s="101"/>
      <c r="AY9" s="101"/>
      <c r="AZ9" s="101"/>
      <c r="BA9" s="101"/>
      <c r="BB9" s="101"/>
      <c r="BC9" s="101"/>
      <c r="BD9" s="101"/>
      <c r="BE9" s="101"/>
      <c r="BF9" s="101"/>
      <c r="BG9" s="101"/>
      <c r="BH9" s="101"/>
      <c r="BI9" s="101"/>
      <c r="BJ9" s="101"/>
      <c r="BK9" s="101"/>
      <c r="BL9" s="101"/>
      <c r="BM9" s="101">
        <f t="shared" si="0"/>
        <v>0</v>
      </c>
      <c r="BN9" s="101">
        <f t="shared" si="1"/>
        <v>0</v>
      </c>
    </row>
    <row r="10" spans="1:66" s="99" customFormat="1" x14ac:dyDescent="0.2">
      <c r="A10" s="136">
        <v>7518</v>
      </c>
      <c r="B10" s="137" t="s">
        <v>1216</v>
      </c>
      <c r="C10" s="137" t="s">
        <v>1848</v>
      </c>
      <c r="D10" s="137" t="s">
        <v>1849</v>
      </c>
      <c r="E10" s="138">
        <v>527807</v>
      </c>
      <c r="F10" s="138">
        <v>175455</v>
      </c>
      <c r="G10" s="137" t="s">
        <v>164</v>
      </c>
      <c r="H10" s="139"/>
      <c r="I10" s="139"/>
      <c r="J10" s="135">
        <v>0</v>
      </c>
      <c r="K10" s="135">
        <v>0</v>
      </c>
      <c r="L10" s="135">
        <v>0</v>
      </c>
      <c r="M10" s="135">
        <v>0</v>
      </c>
      <c r="N10" s="135">
        <v>0</v>
      </c>
      <c r="O10" s="135">
        <v>0</v>
      </c>
      <c r="P10" s="135">
        <v>0</v>
      </c>
      <c r="Q10" s="135">
        <v>0</v>
      </c>
      <c r="R10" s="135">
        <v>0</v>
      </c>
      <c r="S10" s="135">
        <v>0</v>
      </c>
      <c r="T10" s="135">
        <v>0</v>
      </c>
      <c r="U10" s="135">
        <v>0</v>
      </c>
      <c r="V10" s="135">
        <v>0</v>
      </c>
      <c r="W10" s="135">
        <v>0</v>
      </c>
      <c r="X10" s="135">
        <v>0</v>
      </c>
      <c r="Y10" s="135">
        <v>0</v>
      </c>
      <c r="Z10" s="135">
        <v>0</v>
      </c>
      <c r="AA10" s="135">
        <v>7</v>
      </c>
      <c r="AB10" s="135">
        <v>7</v>
      </c>
      <c r="AC10" s="135">
        <v>3.8888888888888888</v>
      </c>
      <c r="AD10" s="135">
        <v>3.8888888888888888</v>
      </c>
      <c r="AE10" s="137" t="s">
        <v>1850</v>
      </c>
      <c r="AF10" s="136" t="s">
        <v>349</v>
      </c>
      <c r="AG10" s="139">
        <v>44273</v>
      </c>
      <c r="AH10" s="139">
        <v>44739</v>
      </c>
      <c r="AI10" s="136" t="s">
        <v>330</v>
      </c>
      <c r="AJ10" s="138"/>
      <c r="AK10" s="139"/>
      <c r="AL10" s="139"/>
      <c r="AM10" s="136" t="s">
        <v>70</v>
      </c>
      <c r="AN10" s="136" t="s">
        <v>352</v>
      </c>
      <c r="AO10" s="136" t="s">
        <v>326</v>
      </c>
      <c r="AP10" s="100"/>
      <c r="AQ10" s="136"/>
      <c r="AR10" s="136" t="s">
        <v>326</v>
      </c>
      <c r="AS10" s="101">
        <v>6</v>
      </c>
      <c r="AT10" s="101"/>
      <c r="AU10" s="101"/>
      <c r="AV10" s="101">
        <v>0.97222222222222221</v>
      </c>
      <c r="AW10" s="101">
        <v>0.97222222222222221</v>
      </c>
      <c r="AX10" s="101">
        <v>0.97222222222222221</v>
      </c>
      <c r="AY10" s="101">
        <v>0.97222222222222221</v>
      </c>
      <c r="AZ10" s="101"/>
      <c r="BA10" s="101"/>
      <c r="BB10" s="101"/>
      <c r="BC10" s="101"/>
      <c r="BD10" s="101"/>
      <c r="BE10" s="101"/>
      <c r="BF10" s="101"/>
      <c r="BG10" s="101"/>
      <c r="BH10" s="101"/>
      <c r="BI10" s="101"/>
      <c r="BJ10" s="101"/>
      <c r="BK10" s="101"/>
      <c r="BL10" s="101"/>
      <c r="BM10" s="101">
        <f t="shared" si="0"/>
        <v>3.8888888888888888</v>
      </c>
      <c r="BN10" s="101">
        <f t="shared" si="1"/>
        <v>3.8888888888888888</v>
      </c>
    </row>
    <row r="11" spans="1:66" s="99" customFormat="1" x14ac:dyDescent="0.2">
      <c r="A11" s="100">
        <v>7519</v>
      </c>
      <c r="B11" s="99" t="s">
        <v>1216</v>
      </c>
      <c r="C11" s="99" t="s">
        <v>1852</v>
      </c>
      <c r="D11" s="99" t="s">
        <v>1853</v>
      </c>
      <c r="E11" s="99">
        <v>527864</v>
      </c>
      <c r="F11" s="99">
        <v>175385</v>
      </c>
      <c r="G11" s="99" t="s">
        <v>164</v>
      </c>
      <c r="H11" s="134"/>
      <c r="I11" s="134"/>
      <c r="J11" s="101">
        <v>0</v>
      </c>
      <c r="K11" s="101">
        <v>0</v>
      </c>
      <c r="L11" s="101">
        <v>0</v>
      </c>
      <c r="M11" s="135">
        <v>0</v>
      </c>
      <c r="N11" s="101">
        <v>0</v>
      </c>
      <c r="O11" s="101">
        <v>0</v>
      </c>
      <c r="P11" s="101">
        <v>0</v>
      </c>
      <c r="Q11" s="135">
        <v>0</v>
      </c>
      <c r="R11" s="101">
        <v>0</v>
      </c>
      <c r="S11" s="101">
        <v>0</v>
      </c>
      <c r="T11" s="101">
        <v>0</v>
      </c>
      <c r="U11" s="135">
        <v>0</v>
      </c>
      <c r="V11" s="101">
        <v>0</v>
      </c>
      <c r="W11" s="101">
        <v>0</v>
      </c>
      <c r="X11" s="101">
        <v>0</v>
      </c>
      <c r="Y11" s="135">
        <v>0</v>
      </c>
      <c r="Z11" s="101">
        <v>0</v>
      </c>
      <c r="AA11" s="101">
        <v>7</v>
      </c>
      <c r="AB11" s="101">
        <v>7</v>
      </c>
      <c r="AC11" s="135">
        <v>3.8888888888888888</v>
      </c>
      <c r="AD11" s="135">
        <v>3.8888888888888888</v>
      </c>
      <c r="AE11" s="99" t="s">
        <v>1850</v>
      </c>
      <c r="AF11" s="100" t="s">
        <v>349</v>
      </c>
      <c r="AG11" s="134">
        <v>44273</v>
      </c>
      <c r="AH11" s="134">
        <v>44739</v>
      </c>
      <c r="AI11" s="100" t="s">
        <v>330</v>
      </c>
      <c r="AK11" s="134"/>
      <c r="AL11" s="134"/>
      <c r="AM11" s="136" t="s">
        <v>70</v>
      </c>
      <c r="AN11" s="100" t="s">
        <v>352</v>
      </c>
      <c r="AO11" s="100" t="s">
        <v>326</v>
      </c>
      <c r="AP11" s="100"/>
      <c r="AQ11" s="136"/>
      <c r="AR11" s="100" t="s">
        <v>326</v>
      </c>
      <c r="AS11" s="101">
        <v>6</v>
      </c>
      <c r="AT11" s="101"/>
      <c r="AU11" s="101"/>
      <c r="AV11" s="101">
        <v>0.97222222222222221</v>
      </c>
      <c r="AW11" s="101">
        <v>0.97222222222222221</v>
      </c>
      <c r="AX11" s="101">
        <v>0.97222222222222221</v>
      </c>
      <c r="AY11" s="101">
        <v>0.97222222222222221</v>
      </c>
      <c r="AZ11" s="101"/>
      <c r="BA11" s="101"/>
      <c r="BB11" s="101"/>
      <c r="BC11" s="101"/>
      <c r="BD11" s="101"/>
      <c r="BE11" s="101"/>
      <c r="BF11" s="101"/>
      <c r="BG11" s="101"/>
      <c r="BH11" s="101"/>
      <c r="BI11" s="101"/>
      <c r="BJ11" s="101"/>
      <c r="BK11" s="101"/>
      <c r="BL11" s="101"/>
      <c r="BM11" s="101">
        <f t="shared" si="0"/>
        <v>3.8888888888888888</v>
      </c>
      <c r="BN11" s="101">
        <f t="shared" si="1"/>
        <v>3.8888888888888888</v>
      </c>
    </row>
    <row r="12" spans="1:66" s="99" customFormat="1" x14ac:dyDescent="0.2">
      <c r="A12" s="100">
        <v>7465</v>
      </c>
      <c r="B12" s="99" t="s">
        <v>854</v>
      </c>
      <c r="C12" s="99" t="s">
        <v>2680</v>
      </c>
      <c r="D12" s="99" t="s">
        <v>2681</v>
      </c>
      <c r="E12" s="99">
        <v>527187</v>
      </c>
      <c r="F12" s="99">
        <v>171602</v>
      </c>
      <c r="G12" s="99" t="s">
        <v>173</v>
      </c>
      <c r="H12" s="134">
        <v>45222</v>
      </c>
      <c r="I12" s="134"/>
      <c r="J12" s="101">
        <v>0</v>
      </c>
      <c r="K12" s="101">
        <v>0</v>
      </c>
      <c r="L12" s="101">
        <v>0</v>
      </c>
      <c r="M12" s="135">
        <v>0</v>
      </c>
      <c r="N12" s="101">
        <v>0</v>
      </c>
      <c r="O12" s="101">
        <v>0</v>
      </c>
      <c r="P12" s="101">
        <v>0</v>
      </c>
      <c r="Q12" s="135">
        <v>0</v>
      </c>
      <c r="R12" s="101">
        <v>0</v>
      </c>
      <c r="S12" s="101">
        <v>0</v>
      </c>
      <c r="T12" s="101">
        <v>0</v>
      </c>
      <c r="U12" s="135">
        <v>0</v>
      </c>
      <c r="V12" s="101">
        <v>0</v>
      </c>
      <c r="W12" s="101">
        <v>0</v>
      </c>
      <c r="X12" s="101">
        <v>0</v>
      </c>
      <c r="Y12" s="135">
        <v>0</v>
      </c>
      <c r="Z12" s="101">
        <v>7</v>
      </c>
      <c r="AA12" s="101">
        <v>9</v>
      </c>
      <c r="AB12" s="101">
        <v>2</v>
      </c>
      <c r="AC12" s="135">
        <v>1.1111111111111112</v>
      </c>
      <c r="AD12" s="135">
        <v>1.1111111111111112</v>
      </c>
      <c r="AE12" s="99" t="s">
        <v>2682</v>
      </c>
      <c r="AF12" s="100" t="s">
        <v>349</v>
      </c>
      <c r="AG12" s="134">
        <v>44077</v>
      </c>
      <c r="AH12" s="134">
        <v>44137</v>
      </c>
      <c r="AI12" s="100" t="s">
        <v>330</v>
      </c>
      <c r="AK12" s="134">
        <v>45222</v>
      </c>
      <c r="AL12" s="134"/>
      <c r="AM12" s="136" t="s">
        <v>70</v>
      </c>
      <c r="AN12" s="100" t="s">
        <v>352</v>
      </c>
      <c r="AO12" s="100" t="s">
        <v>326</v>
      </c>
      <c r="AP12" s="100"/>
      <c r="AQ12" s="100"/>
      <c r="AR12" s="100"/>
      <c r="AS12" s="101">
        <v>3</v>
      </c>
      <c r="AT12" s="101"/>
      <c r="AU12" s="101">
        <v>0.55555555555555558</v>
      </c>
      <c r="AV12" s="101">
        <v>0.55555555555555558</v>
      </c>
      <c r="AW12" s="101"/>
      <c r="AX12" s="101"/>
      <c r="AY12" s="101"/>
      <c r="AZ12" s="101"/>
      <c r="BA12" s="101"/>
      <c r="BB12" s="101"/>
      <c r="BC12" s="101"/>
      <c r="BD12" s="101"/>
      <c r="BE12" s="101"/>
      <c r="BF12" s="101"/>
      <c r="BG12" s="101"/>
      <c r="BH12" s="101"/>
      <c r="BI12" s="101"/>
      <c r="BJ12" s="101"/>
      <c r="BK12" s="101"/>
      <c r="BL12" s="101"/>
      <c r="BM12" s="101">
        <f t="shared" si="0"/>
        <v>1.1111111111111112</v>
      </c>
      <c r="BN12" s="101">
        <f t="shared" si="1"/>
        <v>1.1111111111111112</v>
      </c>
    </row>
    <row r="13" spans="1:66" s="99" customFormat="1" x14ac:dyDescent="0.2">
      <c r="A13" s="100">
        <v>7795</v>
      </c>
      <c r="B13" s="99" t="s">
        <v>323</v>
      </c>
      <c r="C13" s="99" t="s">
        <v>2683</v>
      </c>
      <c r="D13" s="99" t="s">
        <v>2684</v>
      </c>
      <c r="E13" s="99">
        <v>528490</v>
      </c>
      <c r="F13" s="99">
        <v>172898</v>
      </c>
      <c r="G13" s="99" t="s">
        <v>168</v>
      </c>
      <c r="H13" s="134">
        <v>44840</v>
      </c>
      <c r="I13" s="134">
        <v>45017</v>
      </c>
      <c r="J13" s="101">
        <v>0</v>
      </c>
      <c r="K13" s="101">
        <v>0</v>
      </c>
      <c r="L13" s="101">
        <v>0</v>
      </c>
      <c r="M13" s="135">
        <v>0</v>
      </c>
      <c r="N13" s="101">
        <v>0</v>
      </c>
      <c r="O13" s="101">
        <v>0</v>
      </c>
      <c r="P13" s="101">
        <v>0</v>
      </c>
      <c r="Q13" s="135">
        <v>0</v>
      </c>
      <c r="R13" s="101">
        <v>0</v>
      </c>
      <c r="S13" s="101">
        <v>0</v>
      </c>
      <c r="T13" s="101">
        <v>0</v>
      </c>
      <c r="U13" s="135">
        <v>0</v>
      </c>
      <c r="V13" s="101">
        <v>0</v>
      </c>
      <c r="W13" s="101">
        <v>0</v>
      </c>
      <c r="X13" s="101">
        <v>0</v>
      </c>
      <c r="Y13" s="135">
        <v>0</v>
      </c>
      <c r="Z13" s="101">
        <v>0</v>
      </c>
      <c r="AA13" s="101">
        <v>0</v>
      </c>
      <c r="AB13" s="101">
        <v>0</v>
      </c>
      <c r="AC13" s="135">
        <v>0</v>
      </c>
      <c r="AD13" s="135">
        <v>0</v>
      </c>
      <c r="AE13" s="99" t="s">
        <v>2685</v>
      </c>
      <c r="AF13" s="100" t="s">
        <v>349</v>
      </c>
      <c r="AG13" s="134">
        <v>44777</v>
      </c>
      <c r="AH13" s="134">
        <v>44840</v>
      </c>
      <c r="AI13" s="100" t="s">
        <v>330</v>
      </c>
      <c r="AK13" s="134">
        <v>44840</v>
      </c>
      <c r="AL13" s="134">
        <v>45017</v>
      </c>
      <c r="AM13" s="136" t="s">
        <v>70</v>
      </c>
      <c r="AN13" s="100" t="s">
        <v>352</v>
      </c>
      <c r="AO13" s="100" t="s">
        <v>326</v>
      </c>
      <c r="AP13" s="100"/>
      <c r="AQ13" s="136"/>
      <c r="AR13" s="100" t="s">
        <v>326</v>
      </c>
      <c r="AS13" s="101">
        <v>1</v>
      </c>
      <c r="AT13" s="101">
        <v>0</v>
      </c>
      <c r="AU13" s="101"/>
      <c r="AV13" s="101"/>
      <c r="AW13" s="101"/>
      <c r="AX13" s="101"/>
      <c r="AY13" s="101"/>
      <c r="AZ13" s="101"/>
      <c r="BA13" s="101"/>
      <c r="BB13" s="101"/>
      <c r="BC13" s="101"/>
      <c r="BD13" s="101"/>
      <c r="BE13" s="101"/>
      <c r="BF13" s="101"/>
      <c r="BG13" s="101"/>
      <c r="BH13" s="101"/>
      <c r="BI13" s="101"/>
      <c r="BJ13" s="101"/>
      <c r="BK13" s="101"/>
      <c r="BL13" s="101"/>
      <c r="BM13" s="101">
        <f t="shared" si="0"/>
        <v>0</v>
      </c>
      <c r="BN13" s="101">
        <f t="shared" si="1"/>
        <v>0</v>
      </c>
    </row>
    <row r="14" spans="1:66" s="99" customFormat="1" x14ac:dyDescent="0.2">
      <c r="A14" s="100">
        <v>7321</v>
      </c>
      <c r="B14" s="99" t="s">
        <v>323</v>
      </c>
      <c r="C14" s="99" t="s">
        <v>2686</v>
      </c>
      <c r="D14" s="99" t="s">
        <v>2687</v>
      </c>
      <c r="E14" s="99">
        <v>526389</v>
      </c>
      <c r="F14" s="99">
        <v>175612</v>
      </c>
      <c r="G14" s="99" t="s">
        <v>170</v>
      </c>
      <c r="H14" s="134">
        <v>44364</v>
      </c>
      <c r="I14" s="134">
        <v>45113</v>
      </c>
      <c r="J14" s="101">
        <v>0</v>
      </c>
      <c r="K14" s="101">
        <v>239</v>
      </c>
      <c r="L14" s="101">
        <v>239</v>
      </c>
      <c r="M14" s="135">
        <v>132.77777777777777</v>
      </c>
      <c r="N14" s="101">
        <v>0</v>
      </c>
      <c r="O14" s="101">
        <v>0</v>
      </c>
      <c r="P14" s="101">
        <v>0</v>
      </c>
      <c r="Q14" s="135">
        <v>0</v>
      </c>
      <c r="R14" s="101">
        <v>0</v>
      </c>
      <c r="S14" s="101">
        <v>0</v>
      </c>
      <c r="T14" s="101">
        <v>0</v>
      </c>
      <c r="U14" s="135">
        <v>0</v>
      </c>
      <c r="V14" s="101">
        <v>0</v>
      </c>
      <c r="W14" s="101">
        <v>0</v>
      </c>
      <c r="X14" s="101">
        <v>0</v>
      </c>
      <c r="Y14" s="135">
        <v>0</v>
      </c>
      <c r="Z14" s="101">
        <v>0</v>
      </c>
      <c r="AA14" s="101">
        <v>0</v>
      </c>
      <c r="AB14" s="101">
        <v>0</v>
      </c>
      <c r="AC14" s="135">
        <v>0</v>
      </c>
      <c r="AD14" s="135">
        <v>132.77777777777777</v>
      </c>
      <c r="AE14" s="99" t="s">
        <v>2688</v>
      </c>
      <c r="AF14" s="100" t="s">
        <v>381</v>
      </c>
      <c r="AG14" s="134">
        <v>44176</v>
      </c>
      <c r="AH14" s="134">
        <v>44398</v>
      </c>
      <c r="AI14" s="100" t="s">
        <v>330</v>
      </c>
      <c r="AK14" s="134">
        <v>44364</v>
      </c>
      <c r="AL14" s="134">
        <v>45113</v>
      </c>
      <c r="AM14" s="136" t="s">
        <v>72</v>
      </c>
      <c r="AN14" s="100" t="s">
        <v>1299</v>
      </c>
      <c r="AO14" s="100" t="s">
        <v>2689</v>
      </c>
      <c r="AP14" s="100"/>
      <c r="AQ14" s="100"/>
      <c r="AR14" s="100" t="s">
        <v>2690</v>
      </c>
      <c r="AS14" s="101">
        <v>1</v>
      </c>
      <c r="AT14" s="101">
        <v>132.77777777777777</v>
      </c>
      <c r="AU14" s="101"/>
      <c r="AV14" s="101"/>
      <c r="AW14" s="101"/>
      <c r="AX14" s="101"/>
      <c r="AY14" s="101"/>
      <c r="AZ14" s="101"/>
      <c r="BA14" s="101"/>
      <c r="BB14" s="101"/>
      <c r="BC14" s="101"/>
      <c r="BD14" s="101"/>
      <c r="BE14" s="101"/>
      <c r="BF14" s="101"/>
      <c r="BG14" s="101"/>
      <c r="BH14" s="101"/>
      <c r="BI14" s="101"/>
      <c r="BJ14" s="101"/>
      <c r="BK14" s="101"/>
      <c r="BL14" s="101"/>
      <c r="BM14" s="101">
        <f t="shared" si="0"/>
        <v>0</v>
      </c>
      <c r="BN14" s="101">
        <f t="shared" si="1"/>
        <v>0</v>
      </c>
    </row>
    <row r="15" spans="1:66" s="99" customFormat="1" x14ac:dyDescent="0.2">
      <c r="A15" s="100">
        <v>7118</v>
      </c>
      <c r="B15" s="99" t="s">
        <v>1216</v>
      </c>
      <c r="C15" s="99" t="s">
        <v>1663</v>
      </c>
      <c r="D15" s="99" t="s">
        <v>1664</v>
      </c>
      <c r="E15" s="99">
        <v>527344</v>
      </c>
      <c r="F15" s="99">
        <v>171674</v>
      </c>
      <c r="G15" s="99" t="s">
        <v>173</v>
      </c>
      <c r="H15" s="134"/>
      <c r="I15" s="134"/>
      <c r="J15" s="101">
        <v>0</v>
      </c>
      <c r="K15" s="101">
        <v>0</v>
      </c>
      <c r="L15" s="101">
        <v>0</v>
      </c>
      <c r="M15" s="135">
        <v>0</v>
      </c>
      <c r="N15" s="101">
        <v>0</v>
      </c>
      <c r="O15" s="101">
        <v>0</v>
      </c>
      <c r="P15" s="101">
        <v>0</v>
      </c>
      <c r="Q15" s="135">
        <v>0</v>
      </c>
      <c r="R15" s="101">
        <v>0</v>
      </c>
      <c r="S15" s="101">
        <v>0</v>
      </c>
      <c r="T15" s="101">
        <v>0</v>
      </c>
      <c r="U15" s="135">
        <v>0</v>
      </c>
      <c r="V15" s="101">
        <v>0</v>
      </c>
      <c r="W15" s="101">
        <v>0</v>
      </c>
      <c r="X15" s="101">
        <v>0</v>
      </c>
      <c r="Y15" s="135">
        <v>0</v>
      </c>
      <c r="Z15" s="101">
        <v>0</v>
      </c>
      <c r="AA15" s="101">
        <v>7</v>
      </c>
      <c r="AB15" s="101">
        <v>7</v>
      </c>
      <c r="AC15" s="135">
        <v>3.8888888888888888</v>
      </c>
      <c r="AD15" s="135">
        <v>3.8888888888888888</v>
      </c>
      <c r="AE15" s="99" t="s">
        <v>1665</v>
      </c>
      <c r="AF15" s="100" t="s">
        <v>349</v>
      </c>
      <c r="AG15" s="134">
        <v>43516</v>
      </c>
      <c r="AH15" s="134">
        <v>44132</v>
      </c>
      <c r="AI15" s="100" t="s">
        <v>330</v>
      </c>
      <c r="AK15" s="134"/>
      <c r="AL15" s="134"/>
      <c r="AM15" s="136" t="s">
        <v>70</v>
      </c>
      <c r="AN15" s="100" t="s">
        <v>352</v>
      </c>
      <c r="AO15" s="100" t="s">
        <v>326</v>
      </c>
      <c r="AP15" s="100"/>
      <c r="AQ15" s="100"/>
      <c r="AR15" s="100" t="s">
        <v>326</v>
      </c>
      <c r="AS15" s="101">
        <v>6</v>
      </c>
      <c r="AT15" s="101"/>
      <c r="AU15" s="101"/>
      <c r="AV15" s="101">
        <v>0.97222222222222221</v>
      </c>
      <c r="AW15" s="101">
        <v>0.97222222222222221</v>
      </c>
      <c r="AX15" s="101">
        <v>0.97222222222222221</v>
      </c>
      <c r="AY15" s="101">
        <v>0.97222222222222221</v>
      </c>
      <c r="AZ15" s="101"/>
      <c r="BA15" s="101"/>
      <c r="BB15" s="101"/>
      <c r="BC15" s="101"/>
      <c r="BD15" s="101"/>
      <c r="BE15" s="101"/>
      <c r="BF15" s="101"/>
      <c r="BG15" s="101"/>
      <c r="BH15" s="101"/>
      <c r="BI15" s="101"/>
      <c r="BJ15" s="101"/>
      <c r="BK15" s="101"/>
      <c r="BL15" s="101"/>
      <c r="BM15" s="101">
        <f t="shared" si="0"/>
        <v>3.8888888888888888</v>
      </c>
      <c r="BN15" s="101">
        <f t="shared" si="1"/>
        <v>3.8888888888888888</v>
      </c>
    </row>
    <row r="16" spans="1:66" s="99" customFormat="1" x14ac:dyDescent="0.2">
      <c r="A16" s="100">
        <v>7235</v>
      </c>
      <c r="B16" s="99" t="s">
        <v>323</v>
      </c>
      <c r="C16" s="99" t="s">
        <v>449</v>
      </c>
      <c r="D16" s="99" t="s">
        <v>450</v>
      </c>
      <c r="E16" s="99">
        <v>524049</v>
      </c>
      <c r="F16" s="99">
        <v>175301</v>
      </c>
      <c r="G16" s="99" t="s">
        <v>171</v>
      </c>
      <c r="H16" s="134">
        <v>44578</v>
      </c>
      <c r="I16" s="134">
        <v>45382</v>
      </c>
      <c r="J16" s="101">
        <v>0</v>
      </c>
      <c r="K16" s="101">
        <v>0</v>
      </c>
      <c r="L16" s="101">
        <v>0</v>
      </c>
      <c r="M16" s="135">
        <v>0</v>
      </c>
      <c r="N16" s="101">
        <v>0</v>
      </c>
      <c r="O16" s="101">
        <v>0</v>
      </c>
      <c r="P16" s="101">
        <v>0</v>
      </c>
      <c r="Q16" s="135">
        <v>0</v>
      </c>
      <c r="R16" s="101">
        <v>0</v>
      </c>
      <c r="S16" s="101">
        <v>0</v>
      </c>
      <c r="T16" s="101">
        <v>0</v>
      </c>
      <c r="U16" s="135">
        <v>0</v>
      </c>
      <c r="V16" s="101">
        <v>0</v>
      </c>
      <c r="W16" s="101">
        <v>0</v>
      </c>
      <c r="X16" s="101">
        <v>0</v>
      </c>
      <c r="Y16" s="135">
        <v>0</v>
      </c>
      <c r="Z16" s="101">
        <v>0</v>
      </c>
      <c r="AA16" s="101">
        <v>16</v>
      </c>
      <c r="AB16" s="101">
        <v>16</v>
      </c>
      <c r="AC16" s="135">
        <v>8.8888888888888893</v>
      </c>
      <c r="AD16" s="135">
        <v>8.8888888888888893</v>
      </c>
      <c r="AE16" s="99" t="s">
        <v>451</v>
      </c>
      <c r="AF16" s="100" t="s">
        <v>349</v>
      </c>
      <c r="AG16" s="134">
        <v>43698</v>
      </c>
      <c r="AH16" s="134">
        <v>43754</v>
      </c>
      <c r="AI16" s="100" t="s">
        <v>330</v>
      </c>
      <c r="AK16" s="134">
        <v>44578</v>
      </c>
      <c r="AL16" s="134">
        <v>45382</v>
      </c>
      <c r="AM16" s="136" t="s">
        <v>70</v>
      </c>
      <c r="AN16" s="100" t="s">
        <v>352</v>
      </c>
      <c r="AO16" s="100" t="s">
        <v>326</v>
      </c>
      <c r="AP16" s="100"/>
      <c r="AQ16" s="100"/>
      <c r="AR16" s="100" t="s">
        <v>326</v>
      </c>
      <c r="AS16" s="101">
        <v>1</v>
      </c>
      <c r="AT16" s="101">
        <v>8.8888888888888893</v>
      </c>
      <c r="AU16" s="101"/>
      <c r="AV16" s="101"/>
      <c r="AW16" s="101"/>
      <c r="AX16" s="101"/>
      <c r="AY16" s="101"/>
      <c r="AZ16" s="101"/>
      <c r="BA16" s="101"/>
      <c r="BB16" s="101"/>
      <c r="BC16" s="101"/>
      <c r="BD16" s="101"/>
      <c r="BE16" s="101"/>
      <c r="BF16" s="101"/>
      <c r="BG16" s="101"/>
      <c r="BH16" s="101"/>
      <c r="BI16" s="101"/>
      <c r="BJ16" s="101"/>
      <c r="BK16" s="101"/>
      <c r="BL16" s="101"/>
      <c r="BM16" s="101">
        <f t="shared" si="0"/>
        <v>0</v>
      </c>
      <c r="BN16" s="101">
        <f t="shared" si="1"/>
        <v>0</v>
      </c>
    </row>
    <row r="17" spans="1:66" s="99" customFormat="1" x14ac:dyDescent="0.2">
      <c r="A17" s="100">
        <v>4257</v>
      </c>
      <c r="B17" s="99" t="s">
        <v>323</v>
      </c>
      <c r="C17" s="99" t="s">
        <v>658</v>
      </c>
      <c r="D17" s="99" t="s">
        <v>659</v>
      </c>
      <c r="E17" s="99">
        <v>527846</v>
      </c>
      <c r="F17" s="99">
        <v>172221</v>
      </c>
      <c r="G17" s="99" t="s">
        <v>172</v>
      </c>
      <c r="H17" s="134">
        <v>44651</v>
      </c>
      <c r="I17" s="134">
        <v>45069</v>
      </c>
      <c r="J17" s="101">
        <v>0</v>
      </c>
      <c r="K17" s="101">
        <v>0</v>
      </c>
      <c r="L17" s="101">
        <v>0</v>
      </c>
      <c r="M17" s="135">
        <v>0</v>
      </c>
      <c r="N17" s="101">
        <v>0</v>
      </c>
      <c r="O17" s="101">
        <v>0</v>
      </c>
      <c r="P17" s="101">
        <v>0</v>
      </c>
      <c r="Q17" s="135">
        <v>0</v>
      </c>
      <c r="R17" s="101">
        <v>0</v>
      </c>
      <c r="S17" s="101">
        <v>0</v>
      </c>
      <c r="T17" s="101">
        <v>0</v>
      </c>
      <c r="U17" s="135">
        <v>0</v>
      </c>
      <c r="V17" s="101">
        <v>0</v>
      </c>
      <c r="W17" s="101">
        <v>0</v>
      </c>
      <c r="X17" s="101">
        <v>0</v>
      </c>
      <c r="Y17" s="135">
        <v>0</v>
      </c>
      <c r="Z17" s="101">
        <v>0</v>
      </c>
      <c r="AA17" s="101">
        <v>13</v>
      </c>
      <c r="AB17" s="101">
        <v>13</v>
      </c>
      <c r="AC17" s="135">
        <v>7.2222222222222223</v>
      </c>
      <c r="AD17" s="135">
        <v>7.2222222222222223</v>
      </c>
      <c r="AE17" s="99" t="s">
        <v>660</v>
      </c>
      <c r="AF17" s="100" t="s">
        <v>349</v>
      </c>
      <c r="AG17" s="134">
        <v>44477</v>
      </c>
      <c r="AH17" s="134">
        <v>44595</v>
      </c>
      <c r="AI17" s="100" t="s">
        <v>330</v>
      </c>
      <c r="AJ17" s="141"/>
      <c r="AK17" s="134">
        <v>44651</v>
      </c>
      <c r="AL17" s="134">
        <v>45069</v>
      </c>
      <c r="AM17" s="136" t="s">
        <v>70</v>
      </c>
      <c r="AN17" s="100" t="s">
        <v>337</v>
      </c>
      <c r="AO17" s="100" t="s">
        <v>326</v>
      </c>
      <c r="AP17" s="100"/>
      <c r="AQ17" s="100"/>
      <c r="AR17" s="100" t="s">
        <v>326</v>
      </c>
      <c r="AS17" s="101">
        <v>1</v>
      </c>
      <c r="AT17" s="101">
        <v>7.2222222222222223</v>
      </c>
      <c r="AU17" s="101"/>
      <c r="AV17" s="101"/>
      <c r="AW17" s="101"/>
      <c r="AX17" s="101"/>
      <c r="AY17" s="101"/>
      <c r="AZ17" s="101"/>
      <c r="BA17" s="101"/>
      <c r="BB17" s="101"/>
      <c r="BC17" s="101"/>
      <c r="BD17" s="101"/>
      <c r="BE17" s="101"/>
      <c r="BF17" s="101"/>
      <c r="BG17" s="101"/>
      <c r="BH17" s="101"/>
      <c r="BI17" s="101"/>
      <c r="BJ17" s="101"/>
      <c r="BK17" s="101"/>
      <c r="BL17" s="101"/>
      <c r="BM17" s="101">
        <f t="shared" si="0"/>
        <v>0</v>
      </c>
      <c r="BN17" s="101">
        <f t="shared" si="1"/>
        <v>0</v>
      </c>
    </row>
    <row r="18" spans="1:66" s="99" customFormat="1" x14ac:dyDescent="0.2">
      <c r="A18" s="100">
        <v>5438</v>
      </c>
      <c r="B18" s="99" t="s">
        <v>854</v>
      </c>
      <c r="C18" s="99" t="s">
        <v>2691</v>
      </c>
      <c r="D18" s="99" t="s">
        <v>2692</v>
      </c>
      <c r="E18" s="99">
        <v>529422</v>
      </c>
      <c r="F18" s="99">
        <v>171315</v>
      </c>
      <c r="G18" s="99" t="s">
        <v>163</v>
      </c>
      <c r="H18" s="134">
        <v>45382</v>
      </c>
      <c r="I18" s="134"/>
      <c r="J18" s="101">
        <v>0</v>
      </c>
      <c r="K18" s="101">
        <v>0</v>
      </c>
      <c r="L18" s="101">
        <v>0</v>
      </c>
      <c r="M18" s="135">
        <v>0</v>
      </c>
      <c r="N18" s="101">
        <v>0</v>
      </c>
      <c r="O18" s="101">
        <v>14</v>
      </c>
      <c r="P18" s="101">
        <v>14</v>
      </c>
      <c r="Q18" s="135">
        <v>7.7777777777777777</v>
      </c>
      <c r="R18" s="101">
        <v>0</v>
      </c>
      <c r="S18" s="101">
        <v>0</v>
      </c>
      <c r="T18" s="101">
        <v>0</v>
      </c>
      <c r="U18" s="135">
        <v>0</v>
      </c>
      <c r="V18" s="101">
        <v>0</v>
      </c>
      <c r="W18" s="101">
        <v>0</v>
      </c>
      <c r="X18" s="101">
        <v>0</v>
      </c>
      <c r="Y18" s="135">
        <v>0</v>
      </c>
      <c r="Z18" s="101">
        <v>0</v>
      </c>
      <c r="AA18" s="101">
        <v>0</v>
      </c>
      <c r="AB18" s="101">
        <v>0</v>
      </c>
      <c r="AC18" s="135">
        <v>0</v>
      </c>
      <c r="AD18" s="135">
        <v>7.7777777777777777</v>
      </c>
      <c r="AE18" s="99" t="s">
        <v>2693</v>
      </c>
      <c r="AF18" s="100" t="s">
        <v>349</v>
      </c>
      <c r="AG18" s="134">
        <v>45196</v>
      </c>
      <c r="AH18" s="134">
        <v>45257</v>
      </c>
      <c r="AI18" s="100" t="s">
        <v>330</v>
      </c>
      <c r="AK18" s="134">
        <v>45382</v>
      </c>
      <c r="AL18" s="134"/>
      <c r="AM18" s="136" t="s">
        <v>2694</v>
      </c>
      <c r="AN18" s="100" t="s">
        <v>852</v>
      </c>
      <c r="AO18" s="100" t="s">
        <v>326</v>
      </c>
      <c r="AP18" s="100"/>
      <c r="AQ18" s="100"/>
      <c r="AR18" s="100"/>
      <c r="AS18" s="101">
        <v>3</v>
      </c>
      <c r="AT18" s="101"/>
      <c r="AU18" s="101">
        <v>3.8888888888888888</v>
      </c>
      <c r="AV18" s="101">
        <v>3.8888888888888888</v>
      </c>
      <c r="AW18" s="101"/>
      <c r="AX18" s="101"/>
      <c r="AY18" s="101"/>
      <c r="AZ18" s="101"/>
      <c r="BA18" s="101"/>
      <c r="BB18" s="101"/>
      <c r="BC18" s="101"/>
      <c r="BD18" s="101"/>
      <c r="BE18" s="101"/>
      <c r="BF18" s="101"/>
      <c r="BG18" s="101"/>
      <c r="BH18" s="101"/>
      <c r="BI18" s="101"/>
      <c r="BJ18" s="101"/>
      <c r="BK18" s="101"/>
      <c r="BL18" s="101"/>
      <c r="BM18" s="101">
        <f t="shared" si="0"/>
        <v>7.7777777777777777</v>
      </c>
      <c r="BN18" s="101">
        <f t="shared" si="1"/>
        <v>7.7777777777777777</v>
      </c>
    </row>
    <row r="19" spans="1:66" s="99" customFormat="1" x14ac:dyDescent="0.2">
      <c r="A19" s="100">
        <v>7787</v>
      </c>
      <c r="B19" s="99" t="s">
        <v>323</v>
      </c>
      <c r="C19" s="99" t="s">
        <v>646</v>
      </c>
      <c r="D19" s="99" t="s">
        <v>647</v>
      </c>
      <c r="E19" s="99">
        <v>527051</v>
      </c>
      <c r="F19" s="99">
        <v>171896</v>
      </c>
      <c r="G19" s="99" t="s">
        <v>173</v>
      </c>
      <c r="H19" s="134">
        <v>45017</v>
      </c>
      <c r="I19" s="134">
        <v>45017</v>
      </c>
      <c r="J19" s="101">
        <v>0</v>
      </c>
      <c r="K19" s="101">
        <v>0</v>
      </c>
      <c r="L19" s="101">
        <v>0</v>
      </c>
      <c r="M19" s="135">
        <v>0</v>
      </c>
      <c r="N19" s="101">
        <v>0</v>
      </c>
      <c r="O19" s="101">
        <v>0</v>
      </c>
      <c r="P19" s="101">
        <v>0</v>
      </c>
      <c r="Q19" s="135">
        <v>0</v>
      </c>
      <c r="R19" s="101">
        <v>0</v>
      </c>
      <c r="S19" s="101">
        <v>0</v>
      </c>
      <c r="T19" s="101">
        <v>0</v>
      </c>
      <c r="U19" s="135">
        <v>0</v>
      </c>
      <c r="V19" s="101">
        <v>0</v>
      </c>
      <c r="W19" s="101">
        <v>0</v>
      </c>
      <c r="X19" s="101">
        <v>0</v>
      </c>
      <c r="Y19" s="135">
        <v>0</v>
      </c>
      <c r="Z19" s="101">
        <v>0</v>
      </c>
      <c r="AA19" s="101">
        <v>7</v>
      </c>
      <c r="AB19" s="101">
        <v>7</v>
      </c>
      <c r="AC19" s="135">
        <v>3.8888888888888888</v>
      </c>
      <c r="AD19" s="135">
        <v>3.8888888888888888</v>
      </c>
      <c r="AE19" s="99" t="s">
        <v>648</v>
      </c>
      <c r="AF19" s="100" t="s">
        <v>349</v>
      </c>
      <c r="AG19" s="134">
        <v>44404</v>
      </c>
      <c r="AH19" s="134">
        <v>44460</v>
      </c>
      <c r="AI19" s="100" t="s">
        <v>330</v>
      </c>
      <c r="AK19" s="134">
        <v>45017</v>
      </c>
      <c r="AL19" s="134">
        <v>45017</v>
      </c>
      <c r="AM19" s="136" t="s">
        <v>70</v>
      </c>
      <c r="AN19" s="100" t="s">
        <v>337</v>
      </c>
      <c r="AO19" s="100" t="s">
        <v>326</v>
      </c>
      <c r="AP19" s="100"/>
      <c r="AQ19" s="100"/>
      <c r="AR19" s="100" t="s">
        <v>326</v>
      </c>
      <c r="AS19" s="101">
        <v>1</v>
      </c>
      <c r="AT19" s="101">
        <v>3.8888888888888888</v>
      </c>
      <c r="AU19" s="101"/>
      <c r="AV19" s="101"/>
      <c r="AW19" s="101"/>
      <c r="AX19" s="101"/>
      <c r="AY19" s="101"/>
      <c r="AZ19" s="101"/>
      <c r="BA19" s="101"/>
      <c r="BB19" s="101"/>
      <c r="BC19" s="101"/>
      <c r="BD19" s="101"/>
      <c r="BE19" s="101"/>
      <c r="BF19" s="101"/>
      <c r="BG19" s="101"/>
      <c r="BH19" s="101"/>
      <c r="BI19" s="101"/>
      <c r="BJ19" s="101"/>
      <c r="BK19" s="101"/>
      <c r="BL19" s="101"/>
      <c r="BM19" s="101">
        <f t="shared" si="0"/>
        <v>0</v>
      </c>
      <c r="BN19" s="101">
        <f t="shared" si="1"/>
        <v>0</v>
      </c>
    </row>
    <row r="20" spans="1:66" s="99" customFormat="1" x14ac:dyDescent="0.2">
      <c r="A20" s="100">
        <v>6478</v>
      </c>
      <c r="B20" s="99" t="s">
        <v>854</v>
      </c>
      <c r="C20" s="99" t="s">
        <v>2695</v>
      </c>
      <c r="D20" s="99" t="s">
        <v>2696</v>
      </c>
      <c r="E20" s="99">
        <v>528953</v>
      </c>
      <c r="F20" s="99">
        <v>177092</v>
      </c>
      <c r="G20" s="99" t="s">
        <v>167</v>
      </c>
      <c r="H20" s="134">
        <v>44348</v>
      </c>
      <c r="I20" s="134"/>
      <c r="J20" s="101">
        <v>0</v>
      </c>
      <c r="K20" s="101">
        <v>0</v>
      </c>
      <c r="L20" s="101">
        <v>0</v>
      </c>
      <c r="M20" s="135">
        <v>0</v>
      </c>
      <c r="N20" s="101">
        <v>0</v>
      </c>
      <c r="O20" s="101">
        <v>0</v>
      </c>
      <c r="P20" s="101">
        <v>0</v>
      </c>
      <c r="Q20" s="135">
        <v>0</v>
      </c>
      <c r="R20" s="101">
        <v>0</v>
      </c>
      <c r="S20" s="101">
        <v>0</v>
      </c>
      <c r="T20" s="101">
        <v>0</v>
      </c>
      <c r="U20" s="135">
        <v>0</v>
      </c>
      <c r="V20" s="101">
        <v>0</v>
      </c>
      <c r="W20" s="101">
        <v>852</v>
      </c>
      <c r="X20" s="101">
        <v>852</v>
      </c>
      <c r="Y20" s="135">
        <v>340.8</v>
      </c>
      <c r="Z20" s="101">
        <v>0</v>
      </c>
      <c r="AA20" s="101">
        <v>0</v>
      </c>
      <c r="AB20" s="101">
        <v>0</v>
      </c>
      <c r="AC20" s="135">
        <v>0</v>
      </c>
      <c r="AD20" s="135">
        <v>340.8</v>
      </c>
      <c r="AE20" s="99" t="s">
        <v>2697</v>
      </c>
      <c r="AF20" s="100" t="s">
        <v>342</v>
      </c>
      <c r="AG20" s="134">
        <v>44538</v>
      </c>
      <c r="AH20" s="134">
        <v>44617</v>
      </c>
      <c r="AI20" s="100" t="s">
        <v>330</v>
      </c>
      <c r="AK20" s="134">
        <v>44348</v>
      </c>
      <c r="AL20" s="134"/>
      <c r="AM20" s="136" t="s">
        <v>70</v>
      </c>
      <c r="AN20" s="100" t="s">
        <v>337</v>
      </c>
      <c r="AO20" s="100" t="s">
        <v>326</v>
      </c>
      <c r="AP20" s="100"/>
      <c r="AQ20" s="100"/>
      <c r="AR20" s="100"/>
      <c r="AS20" s="101">
        <v>4</v>
      </c>
      <c r="AT20" s="101"/>
      <c r="AU20" s="101">
        <v>340.8</v>
      </c>
      <c r="AV20" s="101"/>
      <c r="AW20" s="101"/>
      <c r="AX20" s="101"/>
      <c r="AY20" s="101"/>
      <c r="AZ20" s="101"/>
      <c r="BA20" s="101"/>
      <c r="BB20" s="101"/>
      <c r="BC20" s="101"/>
      <c r="BD20" s="101"/>
      <c r="BE20" s="101"/>
      <c r="BF20" s="101"/>
      <c r="BG20" s="101"/>
      <c r="BH20" s="101"/>
      <c r="BI20" s="101"/>
      <c r="BJ20" s="101"/>
      <c r="BK20" s="101"/>
      <c r="BL20" s="101"/>
      <c r="BM20" s="101">
        <f t="shared" si="0"/>
        <v>340.8</v>
      </c>
      <c r="BN20" s="101">
        <f t="shared" si="1"/>
        <v>340.8</v>
      </c>
    </row>
    <row r="21" spans="1:66" s="99" customFormat="1" x14ac:dyDescent="0.2">
      <c r="A21" s="100">
        <v>3307</v>
      </c>
      <c r="B21" s="99" t="s">
        <v>1216</v>
      </c>
      <c r="C21" s="99" t="s">
        <v>1889</v>
      </c>
      <c r="D21" s="99" t="s">
        <v>1890</v>
      </c>
      <c r="E21" s="99">
        <v>527098</v>
      </c>
      <c r="F21" s="99">
        <v>171727</v>
      </c>
      <c r="G21" s="99" t="s">
        <v>173</v>
      </c>
      <c r="H21" s="134"/>
      <c r="I21" s="134"/>
      <c r="J21" s="101">
        <v>0</v>
      </c>
      <c r="K21" s="101">
        <v>0</v>
      </c>
      <c r="L21" s="101">
        <v>0</v>
      </c>
      <c r="M21" s="135">
        <v>0</v>
      </c>
      <c r="N21" s="101">
        <v>0</v>
      </c>
      <c r="O21" s="101">
        <v>0</v>
      </c>
      <c r="P21" s="101">
        <v>0</v>
      </c>
      <c r="Q21" s="135">
        <v>0</v>
      </c>
      <c r="R21" s="101">
        <v>0</v>
      </c>
      <c r="S21" s="101">
        <v>0</v>
      </c>
      <c r="T21" s="101">
        <v>0</v>
      </c>
      <c r="U21" s="135">
        <v>0</v>
      </c>
      <c r="V21" s="101">
        <v>0</v>
      </c>
      <c r="W21" s="101">
        <v>0</v>
      </c>
      <c r="X21" s="101">
        <v>0</v>
      </c>
      <c r="Y21" s="135">
        <v>0</v>
      </c>
      <c r="Z21" s="101">
        <v>0</v>
      </c>
      <c r="AA21" s="101">
        <v>8</v>
      </c>
      <c r="AB21" s="101">
        <v>8</v>
      </c>
      <c r="AC21" s="135">
        <v>4.4444444444444446</v>
      </c>
      <c r="AD21" s="135">
        <v>4.4444444444444446</v>
      </c>
      <c r="AE21" s="99" t="s">
        <v>1891</v>
      </c>
      <c r="AF21" s="100" t="s">
        <v>349</v>
      </c>
      <c r="AG21" s="134">
        <v>44361</v>
      </c>
      <c r="AH21" s="134">
        <v>44671</v>
      </c>
      <c r="AI21" s="100" t="s">
        <v>330</v>
      </c>
      <c r="AK21" s="134"/>
      <c r="AL21" s="134"/>
      <c r="AM21" s="136" t="s">
        <v>70</v>
      </c>
      <c r="AN21" s="100" t="s">
        <v>352</v>
      </c>
      <c r="AO21" s="100" t="s">
        <v>326</v>
      </c>
      <c r="AP21" s="100"/>
      <c r="AQ21" s="100"/>
      <c r="AR21" s="100" t="s">
        <v>326</v>
      </c>
      <c r="AS21" s="101">
        <v>6</v>
      </c>
      <c r="AT21" s="101"/>
      <c r="AU21" s="101"/>
      <c r="AV21" s="101">
        <v>1.1111111111111112</v>
      </c>
      <c r="AW21" s="101">
        <v>1.1111111111111112</v>
      </c>
      <c r="AX21" s="101">
        <v>1.1111111111111112</v>
      </c>
      <c r="AY21" s="101">
        <v>1.1111111111111112</v>
      </c>
      <c r="AZ21" s="101"/>
      <c r="BA21" s="101"/>
      <c r="BB21" s="101"/>
      <c r="BC21" s="101"/>
      <c r="BD21" s="101"/>
      <c r="BE21" s="101"/>
      <c r="BF21" s="101"/>
      <c r="BG21" s="101"/>
      <c r="BH21" s="101"/>
      <c r="BI21" s="101"/>
      <c r="BJ21" s="101"/>
      <c r="BK21" s="101"/>
      <c r="BL21" s="101"/>
      <c r="BM21" s="101">
        <f t="shared" si="0"/>
        <v>4.4444444444444446</v>
      </c>
      <c r="BN21" s="101">
        <f t="shared" si="1"/>
        <v>4.4444444444444446</v>
      </c>
    </row>
    <row r="22" spans="1:66" s="99" customFormat="1" x14ac:dyDescent="0.2">
      <c r="A22" s="100">
        <v>6497</v>
      </c>
      <c r="B22" s="99" t="s">
        <v>1216</v>
      </c>
      <c r="C22" s="99" t="s">
        <v>2287</v>
      </c>
      <c r="D22" s="99" t="s">
        <v>2288</v>
      </c>
      <c r="E22" s="99">
        <v>527487</v>
      </c>
      <c r="F22" s="99">
        <v>175150</v>
      </c>
      <c r="G22" s="99" t="s">
        <v>164</v>
      </c>
      <c r="H22" s="134"/>
      <c r="I22" s="134"/>
      <c r="J22" s="101">
        <v>0</v>
      </c>
      <c r="K22" s="101">
        <v>0</v>
      </c>
      <c r="L22" s="101">
        <v>0</v>
      </c>
      <c r="M22" s="135">
        <v>0</v>
      </c>
      <c r="N22" s="101">
        <v>0</v>
      </c>
      <c r="O22" s="101">
        <v>0</v>
      </c>
      <c r="P22" s="101">
        <v>0</v>
      </c>
      <c r="Q22" s="135">
        <v>0</v>
      </c>
      <c r="R22" s="101">
        <v>0</v>
      </c>
      <c r="S22" s="101">
        <v>0</v>
      </c>
      <c r="T22" s="101">
        <v>0</v>
      </c>
      <c r="U22" s="135">
        <v>0</v>
      </c>
      <c r="V22" s="101">
        <v>0</v>
      </c>
      <c r="W22" s="101">
        <v>0</v>
      </c>
      <c r="X22" s="101">
        <v>0</v>
      </c>
      <c r="Y22" s="135">
        <v>0</v>
      </c>
      <c r="Z22" s="101">
        <v>0</v>
      </c>
      <c r="AA22" s="101">
        <v>13</v>
      </c>
      <c r="AB22" s="101">
        <v>13</v>
      </c>
      <c r="AC22" s="135">
        <v>7.2222222222222223</v>
      </c>
      <c r="AD22" s="135">
        <v>7.2222222222222223</v>
      </c>
      <c r="AE22" s="99" t="s">
        <v>2289</v>
      </c>
      <c r="AF22" s="100" t="s">
        <v>349</v>
      </c>
      <c r="AG22" s="134">
        <v>44986</v>
      </c>
      <c r="AH22" s="134">
        <v>45224</v>
      </c>
      <c r="AI22" s="100" t="s">
        <v>330</v>
      </c>
      <c r="AK22" s="134"/>
      <c r="AL22" s="134"/>
      <c r="AM22" s="136" t="s">
        <v>70</v>
      </c>
      <c r="AN22" s="100" t="s">
        <v>337</v>
      </c>
      <c r="AO22" s="100" t="s">
        <v>326</v>
      </c>
      <c r="AP22" s="100"/>
      <c r="AQ22" s="100"/>
      <c r="AR22" s="100" t="s">
        <v>326</v>
      </c>
      <c r="AS22" s="101">
        <v>6</v>
      </c>
      <c r="AT22" s="101"/>
      <c r="AU22" s="101"/>
      <c r="AV22" s="101">
        <v>1.8055555555555556</v>
      </c>
      <c r="AW22" s="101">
        <v>1.8055555555555556</v>
      </c>
      <c r="AX22" s="101">
        <v>1.8055555555555556</v>
      </c>
      <c r="AY22" s="101">
        <v>1.8055555555555556</v>
      </c>
      <c r="AZ22" s="101"/>
      <c r="BA22" s="101"/>
      <c r="BB22" s="101"/>
      <c r="BC22" s="101"/>
      <c r="BD22" s="101"/>
      <c r="BE22" s="101"/>
      <c r="BF22" s="101"/>
      <c r="BG22" s="101"/>
      <c r="BH22" s="101"/>
      <c r="BI22" s="101"/>
      <c r="BJ22" s="101"/>
      <c r="BK22" s="101"/>
      <c r="BL22" s="101"/>
      <c r="BM22" s="101">
        <f t="shared" si="0"/>
        <v>7.2222222222222223</v>
      </c>
      <c r="BN22" s="101">
        <f t="shared" si="1"/>
        <v>7.2222222222222223</v>
      </c>
    </row>
    <row r="23" spans="1:66" s="99" customFormat="1" x14ac:dyDescent="0.2">
      <c r="A23" s="100">
        <v>6578</v>
      </c>
      <c r="B23" s="99" t="s">
        <v>854</v>
      </c>
      <c r="C23" s="99" t="s">
        <v>2698</v>
      </c>
      <c r="D23" s="99" t="s">
        <v>2699</v>
      </c>
      <c r="E23" s="99">
        <v>526555</v>
      </c>
      <c r="F23" s="99">
        <v>175062</v>
      </c>
      <c r="G23" s="99" t="s">
        <v>177</v>
      </c>
      <c r="H23" s="134">
        <v>45016</v>
      </c>
      <c r="I23" s="134"/>
      <c r="J23" s="101">
        <v>0</v>
      </c>
      <c r="K23" s="101">
        <v>159</v>
      </c>
      <c r="L23" s="101">
        <v>159</v>
      </c>
      <c r="M23" s="135">
        <v>88.333333333333329</v>
      </c>
      <c r="N23" s="101">
        <v>24</v>
      </c>
      <c r="O23" s="101">
        <v>0</v>
      </c>
      <c r="P23" s="101">
        <v>-24</v>
      </c>
      <c r="Q23" s="135">
        <v>-13.333333333333332</v>
      </c>
      <c r="R23" s="101">
        <v>0</v>
      </c>
      <c r="S23" s="101">
        <v>0</v>
      </c>
      <c r="T23" s="101">
        <v>0</v>
      </c>
      <c r="U23" s="135">
        <v>0</v>
      </c>
      <c r="V23" s="101">
        <v>0</v>
      </c>
      <c r="W23" s="101">
        <v>0</v>
      </c>
      <c r="X23" s="101">
        <v>0</v>
      </c>
      <c r="Y23" s="135">
        <v>0</v>
      </c>
      <c r="Z23" s="101">
        <v>0</v>
      </c>
      <c r="AA23" s="101">
        <v>0</v>
      </c>
      <c r="AB23" s="101">
        <v>0</v>
      </c>
      <c r="AC23" s="135">
        <v>0</v>
      </c>
      <c r="AD23" s="135">
        <v>75</v>
      </c>
      <c r="AE23" s="99" t="s">
        <v>2700</v>
      </c>
      <c r="AF23" s="100" t="s">
        <v>329</v>
      </c>
      <c r="AG23" s="134">
        <v>44033</v>
      </c>
      <c r="AH23" s="134">
        <v>44169</v>
      </c>
      <c r="AI23" s="100" t="s">
        <v>436</v>
      </c>
      <c r="AJ23" s="99">
        <v>44456</v>
      </c>
      <c r="AK23" s="134">
        <v>45016</v>
      </c>
      <c r="AL23" s="134"/>
      <c r="AM23" s="136" t="s">
        <v>70</v>
      </c>
      <c r="AN23" s="100" t="s">
        <v>352</v>
      </c>
      <c r="AO23" s="100" t="s">
        <v>326</v>
      </c>
      <c r="AP23" s="100"/>
      <c r="AQ23" s="100"/>
      <c r="AR23" s="100"/>
      <c r="AS23" s="101">
        <v>5</v>
      </c>
      <c r="AT23" s="101"/>
      <c r="AU23" s="101"/>
      <c r="AV23" s="101">
        <v>18.75</v>
      </c>
      <c r="AW23" s="101">
        <v>18.75</v>
      </c>
      <c r="AX23" s="101">
        <v>18.75</v>
      </c>
      <c r="AY23" s="101">
        <v>18.75</v>
      </c>
      <c r="AZ23" s="101"/>
      <c r="BA23" s="101"/>
      <c r="BB23" s="101"/>
      <c r="BC23" s="101"/>
      <c r="BD23" s="101"/>
      <c r="BE23" s="101"/>
      <c r="BF23" s="101"/>
      <c r="BG23" s="101"/>
      <c r="BH23" s="101"/>
      <c r="BI23" s="101"/>
      <c r="BJ23" s="101"/>
      <c r="BK23" s="101"/>
      <c r="BL23" s="101"/>
      <c r="BM23" s="101">
        <f t="shared" si="0"/>
        <v>75</v>
      </c>
      <c r="BN23" s="101">
        <f t="shared" si="1"/>
        <v>75</v>
      </c>
    </row>
    <row r="24" spans="1:66" s="99" customFormat="1" x14ac:dyDescent="0.2">
      <c r="A24" s="100">
        <v>4918</v>
      </c>
      <c r="B24" s="99" t="s">
        <v>1216</v>
      </c>
      <c r="C24" s="99" t="s">
        <v>2701</v>
      </c>
      <c r="D24" s="99" t="s">
        <v>2702</v>
      </c>
      <c r="E24" s="99">
        <v>526574</v>
      </c>
      <c r="F24" s="99">
        <v>176050</v>
      </c>
      <c r="G24" s="99" t="s">
        <v>170</v>
      </c>
      <c r="H24" s="134"/>
      <c r="I24" s="134"/>
      <c r="J24" s="101">
        <v>0</v>
      </c>
      <c r="K24" s="101">
        <v>0</v>
      </c>
      <c r="L24" s="101">
        <v>0</v>
      </c>
      <c r="M24" s="135">
        <v>0</v>
      </c>
      <c r="N24" s="101">
        <v>0</v>
      </c>
      <c r="O24" s="101">
        <v>96</v>
      </c>
      <c r="P24" s="101">
        <v>96</v>
      </c>
      <c r="Q24" s="135">
        <v>53.333333333333329</v>
      </c>
      <c r="R24" s="101">
        <v>0</v>
      </c>
      <c r="S24" s="101">
        <v>0</v>
      </c>
      <c r="T24" s="101">
        <v>0</v>
      </c>
      <c r="U24" s="135">
        <v>0</v>
      </c>
      <c r="V24" s="101">
        <v>0</v>
      </c>
      <c r="W24" s="101">
        <v>0</v>
      </c>
      <c r="X24" s="101">
        <v>0</v>
      </c>
      <c r="Y24" s="135">
        <v>0</v>
      </c>
      <c r="Z24" s="101">
        <v>0</v>
      </c>
      <c r="AA24" s="101">
        <v>0</v>
      </c>
      <c r="AB24" s="101">
        <v>0</v>
      </c>
      <c r="AC24" s="135">
        <v>0</v>
      </c>
      <c r="AD24" s="135">
        <v>53.333333333333329</v>
      </c>
      <c r="AE24" s="99" t="s">
        <v>2703</v>
      </c>
      <c r="AF24" s="100" t="s">
        <v>329</v>
      </c>
      <c r="AG24" s="134">
        <v>44400</v>
      </c>
      <c r="AH24" s="134">
        <v>44776</v>
      </c>
      <c r="AI24" s="100" t="s">
        <v>330</v>
      </c>
      <c r="AK24" s="134"/>
      <c r="AL24" s="134"/>
      <c r="AM24" s="136" t="s">
        <v>2694</v>
      </c>
      <c r="AN24" s="100" t="s">
        <v>852</v>
      </c>
      <c r="AO24" s="100" t="s">
        <v>326</v>
      </c>
      <c r="AP24" s="100"/>
      <c r="AQ24" s="100"/>
      <c r="AR24" s="100" t="s">
        <v>326</v>
      </c>
      <c r="AS24" s="101">
        <v>9</v>
      </c>
      <c r="AT24" s="101"/>
      <c r="AU24" s="101"/>
      <c r="AV24" s="101"/>
      <c r="AW24" s="101"/>
      <c r="AX24" s="101">
        <v>17.777777777777775</v>
      </c>
      <c r="AY24" s="101">
        <v>17.777777777777775</v>
      </c>
      <c r="AZ24" s="101">
        <v>17.777777777777775</v>
      </c>
      <c r="BA24" s="101"/>
      <c r="BB24" s="101"/>
      <c r="BC24" s="101"/>
      <c r="BD24" s="101"/>
      <c r="BE24" s="101"/>
      <c r="BF24" s="101"/>
      <c r="BG24" s="101"/>
      <c r="BH24" s="101"/>
      <c r="BI24" s="101"/>
      <c r="BJ24" s="101"/>
      <c r="BK24" s="101"/>
      <c r="BL24" s="101"/>
      <c r="BM24" s="101">
        <f t="shared" si="0"/>
        <v>35.55555555555555</v>
      </c>
      <c r="BN24" s="101">
        <f t="shared" si="1"/>
        <v>53.333333333333329</v>
      </c>
    </row>
    <row r="25" spans="1:66" s="99" customFormat="1" x14ac:dyDescent="0.2">
      <c r="A25" s="100">
        <v>7775</v>
      </c>
      <c r="B25" s="99" t="s">
        <v>854</v>
      </c>
      <c r="C25" s="99" t="s">
        <v>2704</v>
      </c>
      <c r="D25" s="99" t="s">
        <v>2705</v>
      </c>
      <c r="E25" s="99">
        <v>527859</v>
      </c>
      <c r="F25" s="99">
        <v>176519</v>
      </c>
      <c r="G25" s="99" t="s">
        <v>160</v>
      </c>
      <c r="H25" s="134">
        <v>43555</v>
      </c>
      <c r="I25" s="134"/>
      <c r="J25" s="101">
        <v>0</v>
      </c>
      <c r="K25" s="101">
        <v>213</v>
      </c>
      <c r="L25" s="101">
        <v>213</v>
      </c>
      <c r="M25" s="135">
        <v>118.33333333333333</v>
      </c>
      <c r="N25" s="101">
        <v>0</v>
      </c>
      <c r="O25" s="101">
        <v>0</v>
      </c>
      <c r="P25" s="101">
        <v>0</v>
      </c>
      <c r="Q25" s="135">
        <v>0</v>
      </c>
      <c r="R25" s="101">
        <v>0</v>
      </c>
      <c r="S25" s="101">
        <v>0</v>
      </c>
      <c r="T25" s="101">
        <v>0</v>
      </c>
      <c r="U25" s="135">
        <v>0</v>
      </c>
      <c r="V25" s="101">
        <v>0</v>
      </c>
      <c r="W25" s="101">
        <v>0</v>
      </c>
      <c r="X25" s="101">
        <v>0</v>
      </c>
      <c r="Y25" s="135">
        <v>0</v>
      </c>
      <c r="Z25" s="101">
        <v>0</v>
      </c>
      <c r="AA25" s="101">
        <v>0</v>
      </c>
      <c r="AB25" s="101">
        <v>0</v>
      </c>
      <c r="AC25" s="135">
        <v>0</v>
      </c>
      <c r="AD25" s="135">
        <v>118.33333333333333</v>
      </c>
      <c r="AE25" s="99" t="s">
        <v>2706</v>
      </c>
      <c r="AF25" s="100" t="s">
        <v>329</v>
      </c>
      <c r="AG25" s="134">
        <v>44501</v>
      </c>
      <c r="AH25" s="134">
        <v>44799</v>
      </c>
      <c r="AI25" s="100" t="s">
        <v>330</v>
      </c>
      <c r="AK25" s="134">
        <v>43555</v>
      </c>
      <c r="AL25" s="134"/>
      <c r="AM25" s="136" t="s">
        <v>70</v>
      </c>
      <c r="AN25" s="100" t="s">
        <v>352</v>
      </c>
      <c r="AO25" s="100" t="s">
        <v>326</v>
      </c>
      <c r="AP25" s="100"/>
      <c r="AQ25" s="100" t="s">
        <v>327</v>
      </c>
      <c r="AR25" s="100" t="s">
        <v>2690</v>
      </c>
      <c r="AS25" s="101">
        <v>5</v>
      </c>
      <c r="AT25" s="101"/>
      <c r="AU25" s="101"/>
      <c r="AV25" s="101">
        <v>29.583333333333332</v>
      </c>
      <c r="AW25" s="101">
        <v>29.583333333333332</v>
      </c>
      <c r="AX25" s="101">
        <v>29.583333333333332</v>
      </c>
      <c r="AY25" s="101">
        <v>29.583333333333332</v>
      </c>
      <c r="AZ25" s="101"/>
      <c r="BA25" s="101"/>
      <c r="BB25" s="101"/>
      <c r="BC25" s="101"/>
      <c r="BD25" s="101"/>
      <c r="BE25" s="101"/>
      <c r="BF25" s="101"/>
      <c r="BG25" s="101"/>
      <c r="BH25" s="101"/>
      <c r="BI25" s="101"/>
      <c r="BJ25" s="101"/>
      <c r="BK25" s="101"/>
      <c r="BL25" s="101"/>
      <c r="BM25" s="101">
        <f t="shared" si="0"/>
        <v>118.33333333333333</v>
      </c>
      <c r="BN25" s="101">
        <f t="shared" si="1"/>
        <v>118.33333333333333</v>
      </c>
    </row>
    <row r="26" spans="1:66" s="99" customFormat="1" x14ac:dyDescent="0.2">
      <c r="A26" s="100"/>
      <c r="H26" s="134"/>
      <c r="I26" s="134"/>
      <c r="J26" s="101"/>
      <c r="K26" s="101"/>
      <c r="L26" s="101"/>
      <c r="M26" s="135"/>
      <c r="N26" s="101"/>
      <c r="O26" s="101"/>
      <c r="P26" s="101"/>
      <c r="Q26" s="135"/>
      <c r="R26" s="101"/>
      <c r="S26" s="101"/>
      <c r="T26" s="101"/>
      <c r="U26" s="135"/>
      <c r="V26" s="101"/>
      <c r="W26" s="101"/>
      <c r="X26" s="101"/>
      <c r="Y26" s="135"/>
      <c r="Z26" s="101"/>
      <c r="AA26" s="101"/>
      <c r="AB26" s="101"/>
      <c r="AC26" s="135"/>
      <c r="AD26" s="135"/>
      <c r="AF26" s="100"/>
      <c r="AG26" s="134"/>
      <c r="AH26" s="134"/>
      <c r="AI26" s="100"/>
      <c r="AK26" s="134"/>
      <c r="AL26" s="134"/>
      <c r="AM26" s="136"/>
      <c r="AN26" s="100"/>
      <c r="AO26" s="100"/>
      <c r="AP26" s="100"/>
      <c r="AQ26" s="100"/>
      <c r="AR26" s="100"/>
      <c r="AS26" s="101"/>
      <c r="AT26" s="101"/>
      <c r="AU26" s="101"/>
      <c r="AV26" s="101"/>
      <c r="AW26" s="101"/>
      <c r="AX26" s="101"/>
      <c r="AY26" s="101"/>
      <c r="AZ26" s="101"/>
      <c r="BA26" s="101"/>
      <c r="BB26" s="101"/>
      <c r="BC26" s="101"/>
      <c r="BD26" s="101"/>
      <c r="BE26" s="101"/>
      <c r="BF26" s="101"/>
      <c r="BG26" s="101"/>
      <c r="BH26" s="101"/>
      <c r="BI26" s="101"/>
      <c r="BJ26" s="101"/>
      <c r="BK26" s="101"/>
      <c r="BL26" s="101"/>
      <c r="BM26" s="101"/>
      <c r="BN26" s="101"/>
    </row>
    <row r="27" spans="1:66" s="99" customFormat="1" x14ac:dyDescent="0.2">
      <c r="A27" s="100"/>
      <c r="H27" s="134"/>
      <c r="I27" s="134"/>
      <c r="J27" s="101"/>
      <c r="K27" s="101"/>
      <c r="L27" s="101"/>
      <c r="M27" s="135"/>
      <c r="N27" s="101"/>
      <c r="O27" s="101"/>
      <c r="P27" s="101"/>
      <c r="Q27" s="135"/>
      <c r="R27" s="101"/>
      <c r="S27" s="101"/>
      <c r="T27" s="101"/>
      <c r="U27" s="135"/>
      <c r="V27" s="101"/>
      <c r="W27" s="101"/>
      <c r="X27" s="101"/>
      <c r="Y27" s="135"/>
      <c r="Z27" s="101"/>
      <c r="AA27" s="101"/>
      <c r="AB27" s="101"/>
      <c r="AC27" s="135"/>
      <c r="AD27" s="135"/>
      <c r="AF27" s="100"/>
      <c r="AG27" s="134"/>
      <c r="AH27" s="134"/>
      <c r="AI27" s="100"/>
      <c r="AK27" s="134"/>
      <c r="AL27" s="134"/>
      <c r="AM27" s="136"/>
      <c r="AN27" s="100"/>
      <c r="AO27" s="100"/>
      <c r="AP27" s="100"/>
      <c r="AQ27" s="100"/>
      <c r="AR27" s="100"/>
      <c r="AS27" s="101"/>
      <c r="AT27" s="101"/>
      <c r="AU27" s="101"/>
      <c r="AV27" s="101"/>
      <c r="AW27" s="101"/>
      <c r="AX27" s="101"/>
      <c r="AY27" s="101"/>
      <c r="AZ27" s="101"/>
      <c r="BA27" s="101"/>
      <c r="BB27" s="101"/>
      <c r="BC27" s="101"/>
      <c r="BD27" s="101"/>
      <c r="BE27" s="101"/>
      <c r="BF27" s="101"/>
      <c r="BG27" s="101"/>
      <c r="BH27" s="101"/>
      <c r="BI27" s="101"/>
      <c r="BJ27" s="101"/>
      <c r="BK27" s="101"/>
      <c r="BL27" s="101"/>
      <c r="BM27" s="101"/>
      <c r="BN27" s="101"/>
    </row>
    <row r="28" spans="1:66" s="99" customFormat="1" x14ac:dyDescent="0.2">
      <c r="A28" s="100"/>
      <c r="H28" s="134"/>
      <c r="I28" s="134"/>
      <c r="J28" s="101"/>
      <c r="K28" s="101"/>
      <c r="L28" s="101"/>
      <c r="M28" s="135"/>
      <c r="N28" s="101"/>
      <c r="O28" s="101"/>
      <c r="P28" s="101"/>
      <c r="Q28" s="135"/>
      <c r="R28" s="101"/>
      <c r="S28" s="101"/>
      <c r="T28" s="101"/>
      <c r="U28" s="135"/>
      <c r="V28" s="101"/>
      <c r="W28" s="101"/>
      <c r="X28" s="101"/>
      <c r="Y28" s="135"/>
      <c r="Z28" s="101"/>
      <c r="AA28" s="101"/>
      <c r="AB28" s="101"/>
      <c r="AC28" s="135"/>
      <c r="AD28" s="135"/>
      <c r="AF28" s="100"/>
      <c r="AG28" s="134"/>
      <c r="AH28" s="134"/>
      <c r="AI28" s="100"/>
      <c r="AK28" s="134"/>
      <c r="AL28" s="134"/>
      <c r="AM28" s="136"/>
      <c r="AN28" s="100"/>
      <c r="AO28" s="100"/>
      <c r="AP28" s="100"/>
      <c r="AQ28" s="100"/>
      <c r="AR28" s="100"/>
      <c r="AS28" s="101"/>
      <c r="AT28" s="101"/>
      <c r="AU28" s="101"/>
      <c r="AV28" s="101"/>
      <c r="AW28" s="101"/>
      <c r="AX28" s="101"/>
      <c r="AY28" s="101"/>
      <c r="AZ28" s="101"/>
      <c r="BA28" s="101"/>
      <c r="BB28" s="101"/>
      <c r="BC28" s="101"/>
      <c r="BD28" s="101"/>
      <c r="BE28" s="101"/>
      <c r="BF28" s="101"/>
      <c r="BG28" s="101"/>
      <c r="BH28" s="101"/>
      <c r="BI28" s="101"/>
      <c r="BJ28" s="101"/>
      <c r="BK28" s="101"/>
      <c r="BL28" s="101"/>
      <c r="BM28" s="101"/>
      <c r="BN28" s="101"/>
    </row>
    <row r="29" spans="1:66" s="99" customFormat="1" x14ac:dyDescent="0.2">
      <c r="A29" s="100"/>
      <c r="H29" s="134"/>
      <c r="I29" s="134"/>
      <c r="J29" s="101"/>
      <c r="K29" s="101"/>
      <c r="L29" s="101"/>
      <c r="M29" s="135"/>
      <c r="N29" s="101"/>
      <c r="O29" s="101"/>
      <c r="P29" s="101"/>
      <c r="Q29" s="135"/>
      <c r="R29" s="101"/>
      <c r="S29" s="101"/>
      <c r="T29" s="101"/>
      <c r="U29" s="135"/>
      <c r="V29" s="101"/>
      <c r="W29" s="101"/>
      <c r="X29" s="101"/>
      <c r="Y29" s="135"/>
      <c r="Z29" s="101"/>
      <c r="AA29" s="101"/>
      <c r="AB29" s="101"/>
      <c r="AC29" s="135"/>
      <c r="AD29" s="135"/>
      <c r="AF29" s="100"/>
      <c r="AG29" s="134"/>
      <c r="AH29" s="134"/>
      <c r="AI29" s="100"/>
      <c r="AK29" s="134"/>
      <c r="AL29" s="134"/>
      <c r="AM29" s="136"/>
      <c r="AN29" s="100"/>
      <c r="AO29" s="100"/>
      <c r="AP29" s="100"/>
      <c r="AQ29" s="100"/>
      <c r="AR29" s="100"/>
      <c r="AS29" s="101"/>
      <c r="AT29" s="101"/>
      <c r="AU29" s="101"/>
      <c r="AV29" s="101"/>
      <c r="AW29" s="101"/>
      <c r="AX29" s="101"/>
      <c r="AY29" s="101"/>
      <c r="AZ29" s="101"/>
      <c r="BA29" s="101"/>
      <c r="BB29" s="101"/>
      <c r="BC29" s="101"/>
      <c r="BD29" s="101"/>
      <c r="BE29" s="101"/>
      <c r="BF29" s="101"/>
      <c r="BG29" s="101"/>
      <c r="BH29" s="101"/>
      <c r="BI29" s="101"/>
      <c r="BJ29" s="101"/>
      <c r="BK29" s="101"/>
      <c r="BL29" s="101"/>
      <c r="BM29" s="101"/>
      <c r="BN29" s="101"/>
    </row>
    <row r="30" spans="1:66" s="99" customFormat="1" x14ac:dyDescent="0.2">
      <c r="A30" s="100"/>
      <c r="H30" s="134"/>
      <c r="I30" s="134"/>
      <c r="J30" s="101"/>
      <c r="K30" s="101"/>
      <c r="L30" s="101"/>
      <c r="M30" s="135"/>
      <c r="N30" s="101"/>
      <c r="O30" s="101"/>
      <c r="P30" s="101"/>
      <c r="Q30" s="135"/>
      <c r="R30" s="101"/>
      <c r="S30" s="101"/>
      <c r="T30" s="101"/>
      <c r="U30" s="135"/>
      <c r="V30" s="101"/>
      <c r="W30" s="101"/>
      <c r="X30" s="101"/>
      <c r="Y30" s="135"/>
      <c r="Z30" s="101"/>
      <c r="AA30" s="101"/>
      <c r="AB30" s="101"/>
      <c r="AC30" s="135"/>
      <c r="AD30" s="135"/>
      <c r="AF30" s="100"/>
      <c r="AG30" s="134"/>
      <c r="AH30" s="134"/>
      <c r="AI30" s="100"/>
      <c r="AK30" s="134"/>
      <c r="AL30" s="134"/>
      <c r="AM30" s="136"/>
      <c r="AN30" s="100"/>
      <c r="AO30" s="100"/>
      <c r="AP30" s="100"/>
      <c r="AQ30" s="100"/>
      <c r="AR30" s="100"/>
      <c r="AS30" s="101"/>
      <c r="AT30" s="101"/>
      <c r="AU30" s="101"/>
      <c r="AV30" s="101"/>
      <c r="AW30" s="101"/>
      <c r="AX30" s="101"/>
      <c r="AY30" s="101"/>
      <c r="AZ30" s="101"/>
      <c r="BA30" s="101"/>
      <c r="BB30" s="101"/>
      <c r="BC30" s="101"/>
      <c r="BD30" s="101"/>
      <c r="BE30" s="101"/>
      <c r="BF30" s="101"/>
      <c r="BG30" s="101"/>
      <c r="BH30" s="101"/>
      <c r="BI30" s="101"/>
      <c r="BJ30" s="101"/>
      <c r="BK30" s="101"/>
      <c r="BL30" s="101"/>
      <c r="BM30" s="101"/>
      <c r="BN30" s="101"/>
    </row>
    <row r="31" spans="1:66" s="99" customFormat="1" x14ac:dyDescent="0.2">
      <c r="A31" s="100"/>
      <c r="H31" s="134"/>
      <c r="I31" s="134"/>
      <c r="J31" s="101"/>
      <c r="K31" s="101"/>
      <c r="L31" s="101"/>
      <c r="M31" s="135"/>
      <c r="N31" s="101"/>
      <c r="O31" s="101"/>
      <c r="P31" s="101"/>
      <c r="Q31" s="135"/>
      <c r="R31" s="101"/>
      <c r="S31" s="101"/>
      <c r="T31" s="101"/>
      <c r="U31" s="135"/>
      <c r="V31" s="101"/>
      <c r="W31" s="101"/>
      <c r="X31" s="101"/>
      <c r="Y31" s="135"/>
      <c r="Z31" s="101"/>
      <c r="AA31" s="101"/>
      <c r="AB31" s="101"/>
      <c r="AC31" s="135"/>
      <c r="AD31" s="135"/>
      <c r="AF31" s="100"/>
      <c r="AG31" s="134"/>
      <c r="AH31" s="134"/>
      <c r="AI31" s="100"/>
      <c r="AK31" s="134"/>
      <c r="AL31" s="134"/>
      <c r="AM31" s="136"/>
      <c r="AN31" s="100"/>
      <c r="AO31" s="100"/>
      <c r="AP31" s="100"/>
      <c r="AQ31" s="100"/>
      <c r="AR31" s="100"/>
      <c r="AS31" s="101"/>
      <c r="AT31" s="101"/>
      <c r="AU31" s="101"/>
      <c r="AV31" s="101"/>
      <c r="AW31" s="101"/>
      <c r="AX31" s="101"/>
      <c r="AY31" s="101"/>
      <c r="AZ31" s="101"/>
      <c r="BA31" s="101"/>
      <c r="BB31" s="101"/>
      <c r="BC31" s="101"/>
      <c r="BD31" s="101"/>
      <c r="BE31" s="101"/>
      <c r="BF31" s="101"/>
      <c r="BG31" s="101"/>
      <c r="BH31" s="101"/>
      <c r="BI31" s="101"/>
      <c r="BJ31" s="101"/>
      <c r="BK31" s="101"/>
      <c r="BL31" s="101"/>
      <c r="BM31" s="101"/>
      <c r="BN31" s="101"/>
    </row>
    <row r="32" spans="1:66" s="99" customFormat="1" x14ac:dyDescent="0.2">
      <c r="A32" s="100"/>
      <c r="G32" s="137"/>
      <c r="H32" s="134"/>
      <c r="I32" s="134"/>
      <c r="J32" s="101"/>
      <c r="K32" s="101"/>
      <c r="L32" s="101"/>
      <c r="M32" s="135"/>
      <c r="N32" s="101"/>
      <c r="O32" s="101"/>
      <c r="P32" s="101"/>
      <c r="Q32" s="135"/>
      <c r="R32" s="101"/>
      <c r="S32" s="101"/>
      <c r="T32" s="101"/>
      <c r="U32" s="135"/>
      <c r="V32" s="101"/>
      <c r="W32" s="101"/>
      <c r="X32" s="101"/>
      <c r="Y32" s="135"/>
      <c r="Z32" s="101"/>
      <c r="AA32" s="101"/>
      <c r="AB32" s="101"/>
      <c r="AC32" s="135"/>
      <c r="AD32" s="135"/>
      <c r="AF32" s="100"/>
      <c r="AG32" s="134"/>
      <c r="AH32" s="134"/>
      <c r="AI32" s="100"/>
      <c r="AJ32" s="141"/>
      <c r="AK32" s="134"/>
      <c r="AL32" s="134"/>
      <c r="AM32" s="136"/>
      <c r="AN32" s="100"/>
      <c r="AO32" s="100"/>
      <c r="AP32" s="100"/>
      <c r="AQ32" s="136"/>
      <c r="AR32" s="100"/>
      <c r="AS32" s="101"/>
      <c r="AT32" s="101"/>
      <c r="AU32" s="101"/>
      <c r="AV32" s="101"/>
      <c r="AW32" s="101"/>
      <c r="AX32" s="101"/>
      <c r="AY32" s="101"/>
      <c r="AZ32" s="101"/>
      <c r="BA32" s="101"/>
      <c r="BB32" s="101"/>
      <c r="BC32" s="101"/>
      <c r="BD32" s="101"/>
      <c r="BE32" s="101"/>
      <c r="BF32" s="101"/>
      <c r="BG32" s="101"/>
      <c r="BH32" s="101"/>
      <c r="BI32" s="101"/>
      <c r="BJ32" s="101"/>
      <c r="BK32" s="101"/>
      <c r="BL32" s="101"/>
      <c r="BM32" s="101"/>
      <c r="BN32" s="101"/>
    </row>
    <row r="33" spans="1:66" s="99" customFormat="1" x14ac:dyDescent="0.2">
      <c r="A33" s="100"/>
      <c r="H33" s="134"/>
      <c r="I33" s="134"/>
      <c r="J33" s="101"/>
      <c r="K33" s="101"/>
      <c r="L33" s="101"/>
      <c r="M33" s="135"/>
      <c r="N33" s="101"/>
      <c r="O33" s="101"/>
      <c r="P33" s="101"/>
      <c r="Q33" s="135"/>
      <c r="R33" s="101"/>
      <c r="S33" s="101"/>
      <c r="T33" s="101"/>
      <c r="U33" s="135"/>
      <c r="V33" s="101"/>
      <c r="W33" s="101"/>
      <c r="X33" s="101"/>
      <c r="Y33" s="135"/>
      <c r="Z33" s="101"/>
      <c r="AA33" s="101"/>
      <c r="AB33" s="101"/>
      <c r="AC33" s="135"/>
      <c r="AD33" s="135"/>
      <c r="AF33" s="100"/>
      <c r="AG33" s="134"/>
      <c r="AH33" s="134"/>
      <c r="AI33" s="100"/>
      <c r="AK33" s="134"/>
      <c r="AL33" s="134"/>
      <c r="AM33" s="136"/>
      <c r="AN33" s="100"/>
      <c r="AO33" s="100"/>
      <c r="AP33" s="100"/>
      <c r="AQ33" s="100"/>
      <c r="AR33" s="100"/>
      <c r="AS33" s="101"/>
      <c r="AT33" s="101"/>
      <c r="AU33" s="101"/>
      <c r="AV33" s="101"/>
      <c r="AW33" s="101"/>
      <c r="AX33" s="101"/>
      <c r="AY33" s="101"/>
      <c r="AZ33" s="101"/>
      <c r="BA33" s="101"/>
      <c r="BB33" s="101"/>
      <c r="BC33" s="101"/>
      <c r="BD33" s="101"/>
      <c r="BE33" s="101"/>
      <c r="BF33" s="101"/>
      <c r="BG33" s="101"/>
      <c r="BH33" s="101"/>
      <c r="BI33" s="101"/>
      <c r="BJ33" s="101"/>
      <c r="BK33" s="101"/>
      <c r="BL33" s="101"/>
      <c r="BM33" s="101"/>
      <c r="BN33" s="101"/>
    </row>
    <row r="34" spans="1:66" x14ac:dyDescent="0.2">
      <c r="BM34" s="101"/>
      <c r="BN34" s="101"/>
    </row>
  </sheetData>
  <autoFilter ref="A1:BN33" xr:uid="{00000000-0009-0000-0000-000005000000}"/>
  <printOptions horizontalCentered="1"/>
  <pageMargins left="0.39370078740157483" right="0.39370078740157483" top="0.39370078740157483" bottom="0.39370078740157483" header="0.19685039370078741" footer="0.19685039370078741"/>
  <pageSetup paperSize="9" scale="20" fitToHeight="0" orientation="landscape" r:id="rId1"/>
  <headerFooter alignWithMargins="0">
    <oddHeader>&amp;L&amp;"Calibri"&amp;10&amp;K000000Official&amp;1#</oddHeader>
    <oddFooter>&amp;C&amp;8&amp;P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515DEC-D4C8-4131-BBA6-8C0508292C94}">
  <sheetPr>
    <pageSetUpPr autoPageBreaks="0" fitToPage="1"/>
  </sheetPr>
  <dimension ref="A1:C44"/>
  <sheetViews>
    <sheetView zoomScale="95" zoomScaleNormal="95" workbookViewId="0">
      <selection sqref="A1:C1"/>
    </sheetView>
  </sheetViews>
  <sheetFormatPr defaultColWidth="9.140625" defaultRowHeight="12.75" x14ac:dyDescent="0.2"/>
  <cols>
    <col min="1" max="1" width="9.28515625" style="109" customWidth="1"/>
    <col min="2" max="2" width="29.42578125" style="111" customWidth="1"/>
    <col min="3" max="3" width="69.85546875" style="111" customWidth="1"/>
    <col min="4" max="4" width="70.28515625" style="111" customWidth="1"/>
    <col min="5" max="16384" width="9.140625" style="111"/>
  </cols>
  <sheetData>
    <row r="1" spans="1:3" s="108" customFormat="1" ht="15.75" x14ac:dyDescent="0.25">
      <c r="A1" s="413" t="s">
        <v>2707</v>
      </c>
      <c r="B1" s="413"/>
      <c r="C1" s="413"/>
    </row>
    <row r="2" spans="1:3" x14ac:dyDescent="0.2">
      <c r="B2" s="110"/>
      <c r="C2" s="110"/>
    </row>
    <row r="3" spans="1:3" s="116" customFormat="1" ht="15.75" x14ac:dyDescent="0.2">
      <c r="A3" s="426" t="s">
        <v>2708</v>
      </c>
      <c r="B3" s="426"/>
      <c r="C3" s="426"/>
    </row>
    <row r="4" spans="1:3" x14ac:dyDescent="0.2">
      <c r="B4" s="110"/>
      <c r="C4" s="110"/>
    </row>
    <row r="5" spans="1:3" x14ac:dyDescent="0.2">
      <c r="A5" s="414" t="s">
        <v>2709</v>
      </c>
      <c r="B5" s="415"/>
      <c r="C5" s="112" t="s">
        <v>315</v>
      </c>
    </row>
    <row r="6" spans="1:3" ht="25.5" x14ac:dyDescent="0.2">
      <c r="A6" s="113">
        <v>1</v>
      </c>
      <c r="B6" s="114" t="s">
        <v>2710</v>
      </c>
      <c r="C6" s="114" t="s">
        <v>2711</v>
      </c>
    </row>
    <row r="7" spans="1:3" x14ac:dyDescent="0.2">
      <c r="A7" s="113">
        <v>2</v>
      </c>
      <c r="B7" s="417" t="s">
        <v>2712</v>
      </c>
      <c r="C7" s="114" t="s">
        <v>2713</v>
      </c>
    </row>
    <row r="8" spans="1:3" ht="22.9" customHeight="1" x14ac:dyDescent="0.2">
      <c r="A8" s="113">
        <v>3</v>
      </c>
      <c r="B8" s="418"/>
      <c r="C8" s="114" t="s">
        <v>2714</v>
      </c>
    </row>
    <row r="9" spans="1:3" ht="25.5" x14ac:dyDescent="0.2">
      <c r="A9" s="113">
        <v>4</v>
      </c>
      <c r="B9" s="419"/>
      <c r="C9" s="114" t="s">
        <v>2715</v>
      </c>
    </row>
    <row r="10" spans="1:3" ht="25.5" x14ac:dyDescent="0.2">
      <c r="A10" s="113">
        <v>5</v>
      </c>
      <c r="B10" s="417" t="s">
        <v>2716</v>
      </c>
      <c r="C10" s="114" t="s">
        <v>2717</v>
      </c>
    </row>
    <row r="11" spans="1:3" ht="38.25" x14ac:dyDescent="0.2">
      <c r="A11" s="115">
        <v>6</v>
      </c>
      <c r="B11" s="419"/>
      <c r="C11" s="114" t="s">
        <v>2718</v>
      </c>
    </row>
    <row r="12" spans="1:3" ht="76.5" x14ac:dyDescent="0.2">
      <c r="A12" s="113">
        <v>7</v>
      </c>
      <c r="B12" s="114" t="s">
        <v>2719</v>
      </c>
      <c r="C12" s="114" t="s">
        <v>2720</v>
      </c>
    </row>
    <row r="13" spans="1:3" x14ac:dyDescent="0.2">
      <c r="A13" s="113">
        <v>8</v>
      </c>
      <c r="B13" s="417" t="s">
        <v>2721</v>
      </c>
      <c r="C13" s="114" t="s">
        <v>2713</v>
      </c>
    </row>
    <row r="14" spans="1:3" ht="63.75" x14ac:dyDescent="0.2">
      <c r="A14" s="113">
        <v>9</v>
      </c>
      <c r="B14" s="418"/>
      <c r="C14" s="114" t="s">
        <v>2722</v>
      </c>
    </row>
    <row r="15" spans="1:3" ht="38.25" x14ac:dyDescent="0.2">
      <c r="A15" s="113">
        <v>10</v>
      </c>
      <c r="B15" s="419"/>
      <c r="C15" s="114" t="s">
        <v>2723</v>
      </c>
    </row>
    <row r="16" spans="1:3" x14ac:dyDescent="0.2">
      <c r="A16" s="117"/>
      <c r="B16" s="118"/>
      <c r="C16" s="118"/>
    </row>
    <row r="17" spans="1:3" x14ac:dyDescent="0.2">
      <c r="A17" s="420" t="s">
        <v>2724</v>
      </c>
      <c r="B17" s="420"/>
      <c r="C17" s="420"/>
    </row>
    <row r="18" spans="1:3" x14ac:dyDescent="0.2">
      <c r="A18" s="119"/>
      <c r="B18" s="120"/>
      <c r="C18" s="120"/>
    </row>
    <row r="19" spans="1:3" x14ac:dyDescent="0.2">
      <c r="A19" s="414" t="s">
        <v>2709</v>
      </c>
      <c r="B19" s="415"/>
      <c r="C19" s="112" t="s">
        <v>315</v>
      </c>
    </row>
    <row r="20" spans="1:3" ht="51" x14ac:dyDescent="0.2">
      <c r="A20" s="113">
        <v>11</v>
      </c>
      <c r="B20" s="114" t="s">
        <v>2725</v>
      </c>
      <c r="C20" s="114" t="s">
        <v>2711</v>
      </c>
    </row>
    <row r="21" spans="1:3" x14ac:dyDescent="0.2">
      <c r="A21" s="121">
        <v>12</v>
      </c>
      <c r="B21" s="417" t="s">
        <v>2726</v>
      </c>
      <c r="C21" s="122" t="s">
        <v>2727</v>
      </c>
    </row>
    <row r="22" spans="1:3" ht="22.9" customHeight="1" x14ac:dyDescent="0.2">
      <c r="A22" s="121">
        <v>13</v>
      </c>
      <c r="B22" s="418"/>
      <c r="C22" s="114" t="s">
        <v>2728</v>
      </c>
    </row>
    <row r="23" spans="1:3" ht="25.5" x14ac:dyDescent="0.2">
      <c r="A23" s="121">
        <v>14</v>
      </c>
      <c r="B23" s="419"/>
      <c r="C23" s="114" t="s">
        <v>2715</v>
      </c>
    </row>
    <row r="24" spans="1:3" ht="89.25" x14ac:dyDescent="0.2">
      <c r="A24" s="121">
        <v>15</v>
      </c>
      <c r="B24" s="123" t="s">
        <v>2729</v>
      </c>
      <c r="C24" s="122" t="s">
        <v>2730</v>
      </c>
    </row>
    <row r="25" spans="1:3" x14ac:dyDescent="0.2">
      <c r="A25" s="121">
        <v>16</v>
      </c>
      <c r="B25" s="421" t="s">
        <v>2731</v>
      </c>
      <c r="C25" s="122" t="s">
        <v>2727</v>
      </c>
    </row>
    <row r="26" spans="1:3" ht="51" x14ac:dyDescent="0.2">
      <c r="A26" s="121">
        <v>17</v>
      </c>
      <c r="B26" s="422"/>
      <c r="C26" s="122" t="s">
        <v>2732</v>
      </c>
    </row>
    <row r="27" spans="1:3" ht="38.25" x14ac:dyDescent="0.2">
      <c r="A27" s="121">
        <v>18</v>
      </c>
      <c r="B27" s="423"/>
      <c r="C27" s="122" t="s">
        <v>2733</v>
      </c>
    </row>
    <row r="28" spans="1:3" x14ac:dyDescent="0.2">
      <c r="A28" s="124"/>
      <c r="B28" s="125"/>
      <c r="C28" s="125"/>
    </row>
    <row r="29" spans="1:3" x14ac:dyDescent="0.2">
      <c r="A29" s="424" t="s">
        <v>62</v>
      </c>
      <c r="B29" s="424"/>
      <c r="C29" s="424"/>
    </row>
    <row r="30" spans="1:3" x14ac:dyDescent="0.2">
      <c r="A30" s="126"/>
      <c r="B30" s="127"/>
      <c r="C30" s="127"/>
    </row>
    <row r="31" spans="1:3" x14ac:dyDescent="0.2">
      <c r="A31" s="414" t="s">
        <v>2709</v>
      </c>
      <c r="B31" s="415"/>
      <c r="C31" s="112" t="s">
        <v>315</v>
      </c>
    </row>
    <row r="32" spans="1:3" ht="114.75" x14ac:dyDescent="0.2">
      <c r="A32" s="121">
        <v>19</v>
      </c>
      <c r="B32" s="123" t="s">
        <v>2734</v>
      </c>
      <c r="C32" s="128" t="s">
        <v>2735</v>
      </c>
    </row>
    <row r="33" spans="1:3" ht="63.75" x14ac:dyDescent="0.2">
      <c r="A33" s="121">
        <v>20</v>
      </c>
      <c r="B33" s="123" t="s">
        <v>2736</v>
      </c>
      <c r="C33" s="114" t="s">
        <v>2737</v>
      </c>
    </row>
    <row r="34" spans="1:3" x14ac:dyDescent="0.2">
      <c r="A34" s="124"/>
      <c r="B34" s="125"/>
      <c r="C34" s="125"/>
    </row>
    <row r="35" spans="1:3" x14ac:dyDescent="0.2">
      <c r="A35" s="425" t="s">
        <v>2738</v>
      </c>
      <c r="B35" s="425"/>
      <c r="C35" s="425"/>
    </row>
    <row r="36" spans="1:3" x14ac:dyDescent="0.2">
      <c r="A36" s="129"/>
      <c r="B36" s="130"/>
      <c r="C36" s="130"/>
    </row>
    <row r="37" spans="1:3" x14ac:dyDescent="0.2">
      <c r="A37" s="414" t="s">
        <v>2709</v>
      </c>
      <c r="B37" s="415"/>
      <c r="C37" s="112" t="s">
        <v>315</v>
      </c>
    </row>
    <row r="38" spans="1:3" ht="89.25" x14ac:dyDescent="0.2">
      <c r="A38" s="121">
        <v>21</v>
      </c>
      <c r="B38" s="123" t="s">
        <v>2739</v>
      </c>
      <c r="C38" s="114" t="s">
        <v>2740</v>
      </c>
    </row>
    <row r="39" spans="1:3" ht="76.5" x14ac:dyDescent="0.2">
      <c r="A39" s="121">
        <v>22</v>
      </c>
      <c r="B39" s="123" t="s">
        <v>2741</v>
      </c>
      <c r="C39" s="114" t="s">
        <v>2742</v>
      </c>
    </row>
    <row r="41" spans="1:3" x14ac:dyDescent="0.2">
      <c r="A41" s="416" t="s">
        <v>2694</v>
      </c>
      <c r="B41" s="416"/>
      <c r="C41" s="416"/>
    </row>
    <row r="43" spans="1:3" x14ac:dyDescent="0.2">
      <c r="A43" s="414" t="s">
        <v>2709</v>
      </c>
      <c r="B43" s="415"/>
      <c r="C43" s="112" t="s">
        <v>315</v>
      </c>
    </row>
    <row r="44" spans="1:3" x14ac:dyDescent="0.2">
      <c r="A44" s="113">
        <v>23</v>
      </c>
      <c r="B44" s="123" t="s">
        <v>2743</v>
      </c>
      <c r="C44" s="123" t="s">
        <v>2744</v>
      </c>
    </row>
  </sheetData>
  <mergeCells count="16">
    <mergeCell ref="A1:C1"/>
    <mergeCell ref="A3:C3"/>
    <mergeCell ref="A5:B5"/>
    <mergeCell ref="B10:B11"/>
    <mergeCell ref="B13:B15"/>
    <mergeCell ref="A37:B37"/>
    <mergeCell ref="A41:C41"/>
    <mergeCell ref="A43:B43"/>
    <mergeCell ref="B7:B9"/>
    <mergeCell ref="A17:C17"/>
    <mergeCell ref="A19:B19"/>
    <mergeCell ref="B21:B23"/>
    <mergeCell ref="B25:B27"/>
    <mergeCell ref="A29:C29"/>
    <mergeCell ref="A31:B31"/>
    <mergeCell ref="A35:C35"/>
  </mergeCells>
  <printOptions horizontalCentered="1"/>
  <pageMargins left="0.39370078740157483" right="0.39370078740157483" top="0.39370078740157483" bottom="0.39370078740157483" header="0.19685039370078741" footer="0.19685039370078741"/>
  <pageSetup paperSize="9" fitToHeight="0" orientation="landscape" r:id="rId1"/>
  <headerFooter alignWithMargins="0">
    <oddHeader>&amp;L&amp;"Calibri"&amp;10&amp;K000000 Official&amp;1#_x000D_</oddHeader>
    <oddFooter>&amp;C&amp;8&amp;P of &amp;N</oddFooter>
  </headerFooter>
  <rowBreaks count="1" manualBreakCount="1">
    <brk id="34"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992E3B-B64D-42A2-9BE6-A46E50CEE606}">
  <sheetPr>
    <pageSetUpPr autoPageBreaks="0" fitToPage="1"/>
  </sheetPr>
  <dimension ref="A1:C12"/>
  <sheetViews>
    <sheetView zoomScaleNormal="100" workbookViewId="0">
      <selection sqref="A1:C1"/>
    </sheetView>
  </sheetViews>
  <sheetFormatPr defaultColWidth="9.140625" defaultRowHeight="12.75" x14ac:dyDescent="0.2"/>
  <cols>
    <col min="1" max="1" width="3" style="109" bestFit="1" customWidth="1"/>
    <col min="2" max="2" width="29.42578125" style="111" customWidth="1"/>
    <col min="3" max="3" width="69.85546875" style="111" customWidth="1"/>
    <col min="4" max="16384" width="9.140625" style="111"/>
  </cols>
  <sheetData>
    <row r="1" spans="1:3" s="108" customFormat="1" ht="18" customHeight="1" x14ac:dyDescent="0.25">
      <c r="A1" s="413" t="s">
        <v>2745</v>
      </c>
      <c r="B1" s="413"/>
      <c r="C1" s="413"/>
    </row>
    <row r="2" spans="1:3" x14ac:dyDescent="0.2">
      <c r="B2" s="110"/>
      <c r="C2" s="110"/>
    </row>
    <row r="3" spans="1:3" x14ac:dyDescent="0.2">
      <c r="A3" s="414" t="s">
        <v>2709</v>
      </c>
      <c r="B3" s="415"/>
      <c r="C3" s="112" t="s">
        <v>2746</v>
      </c>
    </row>
    <row r="4" spans="1:3" ht="25.5" x14ac:dyDescent="0.2">
      <c r="A4" s="113">
        <v>1</v>
      </c>
      <c r="B4" s="114" t="s">
        <v>2747</v>
      </c>
      <c r="C4" s="114" t="s">
        <v>2711</v>
      </c>
    </row>
    <row r="5" spans="1:3" ht="25.5" x14ac:dyDescent="0.2">
      <c r="A5" s="113">
        <v>2</v>
      </c>
      <c r="B5" s="427" t="s">
        <v>2748</v>
      </c>
      <c r="C5" s="114" t="s">
        <v>2714</v>
      </c>
    </row>
    <row r="6" spans="1:3" ht="25.5" x14ac:dyDescent="0.2">
      <c r="A6" s="113">
        <v>3</v>
      </c>
      <c r="B6" s="428"/>
      <c r="C6" s="114" t="s">
        <v>2749</v>
      </c>
    </row>
    <row r="7" spans="1:3" ht="25.5" x14ac:dyDescent="0.2">
      <c r="A7" s="113">
        <v>4</v>
      </c>
      <c r="B7" s="417" t="s">
        <v>2750</v>
      </c>
      <c r="C7" s="114" t="s">
        <v>2751</v>
      </c>
    </row>
    <row r="8" spans="1:3" ht="38.25" x14ac:dyDescent="0.2">
      <c r="A8" s="115">
        <v>5</v>
      </c>
      <c r="B8" s="419"/>
      <c r="C8" s="114" t="s">
        <v>2752</v>
      </c>
    </row>
    <row r="9" spans="1:3" ht="63.75" x14ac:dyDescent="0.2">
      <c r="A9" s="113">
        <v>6</v>
      </c>
      <c r="B9" s="114" t="s">
        <v>2753</v>
      </c>
      <c r="C9" s="114" t="s">
        <v>2754</v>
      </c>
    </row>
    <row r="10" spans="1:3" x14ac:dyDescent="0.2">
      <c r="A10" s="113">
        <v>7</v>
      </c>
      <c r="B10" s="417" t="s">
        <v>2755</v>
      </c>
      <c r="C10" s="114" t="s">
        <v>2713</v>
      </c>
    </row>
    <row r="11" spans="1:3" ht="48" customHeight="1" x14ac:dyDescent="0.2">
      <c r="A11" s="113">
        <v>8</v>
      </c>
      <c r="B11" s="418"/>
      <c r="C11" s="114" t="s">
        <v>2756</v>
      </c>
    </row>
    <row r="12" spans="1:3" ht="38.25" x14ac:dyDescent="0.2">
      <c r="A12" s="113">
        <v>9</v>
      </c>
      <c r="B12" s="419"/>
      <c r="C12" s="114" t="s">
        <v>2757</v>
      </c>
    </row>
  </sheetData>
  <mergeCells count="5">
    <mergeCell ref="A1:C1"/>
    <mergeCell ref="A3:B3"/>
    <mergeCell ref="B5:B6"/>
    <mergeCell ref="B7:B8"/>
    <mergeCell ref="B10:B12"/>
  </mergeCells>
  <printOptions horizontalCentered="1"/>
  <pageMargins left="0.39370078740157483" right="0.39370078740157483" top="0.39370078740157483" bottom="0.39370078740157483" header="0.19685039370078741" footer="0.19685039370078741"/>
  <pageSetup paperSize="9" fitToHeight="0" orientation="landscape" r:id="rId1"/>
  <headerFooter alignWithMargins="0">
    <oddHeader>&amp;L&amp;"Calibri"&amp;10&amp;K000000 Official&amp;1#_x000D_</oddHeader>
    <oddFooter>&amp;C&amp;8&amp;P of &amp;N</oddFooter>
  </headerFooter>
  <rowBreaks count="1" manualBreakCount="1">
    <brk id="15" max="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0">
    <pageSetUpPr autoPageBreaks="0" fitToPage="1"/>
  </sheetPr>
  <dimension ref="A1:C97"/>
  <sheetViews>
    <sheetView workbookViewId="0">
      <selection sqref="A1:B1"/>
    </sheetView>
  </sheetViews>
  <sheetFormatPr defaultColWidth="9.140625" defaultRowHeight="12.75" x14ac:dyDescent="0.2"/>
  <cols>
    <col min="1" max="1" width="8.7109375" style="2" bestFit="1" customWidth="1"/>
    <col min="2" max="2" width="49.140625" style="2" bestFit="1" customWidth="1"/>
    <col min="3" max="3" width="31" style="2" customWidth="1"/>
    <col min="4" max="16384" width="9.140625" style="2"/>
  </cols>
  <sheetData>
    <row r="1" spans="1:3" s="41" customFormat="1" ht="18" customHeight="1" x14ac:dyDescent="0.25">
      <c r="A1" s="431" t="s">
        <v>2758</v>
      </c>
      <c r="B1" s="431"/>
      <c r="C1" s="61"/>
    </row>
    <row r="2" spans="1:3" s="64" customFormat="1" ht="12" x14ac:dyDescent="0.2">
      <c r="A2" s="40"/>
      <c r="B2" s="40"/>
      <c r="C2" s="40"/>
    </row>
    <row r="3" spans="1:3" x14ac:dyDescent="0.2">
      <c r="A3" s="429" t="s">
        <v>266</v>
      </c>
      <c r="B3" s="430"/>
    </row>
    <row r="4" spans="1:3" x14ac:dyDescent="0.2">
      <c r="A4" s="65" t="s">
        <v>2759</v>
      </c>
      <c r="B4" s="65" t="s">
        <v>2760</v>
      </c>
    </row>
    <row r="5" spans="1:3" x14ac:dyDescent="0.2">
      <c r="A5" s="65" t="s">
        <v>2761</v>
      </c>
      <c r="B5" s="65" t="s">
        <v>2762</v>
      </c>
    </row>
    <row r="6" spans="1:3" x14ac:dyDescent="0.2">
      <c r="A6" s="65" t="s">
        <v>388</v>
      </c>
      <c r="B6" s="65" t="s">
        <v>2763</v>
      </c>
    </row>
    <row r="7" spans="1:3" x14ac:dyDescent="0.2">
      <c r="A7" s="65" t="s">
        <v>779</v>
      </c>
      <c r="B7" s="65" t="s">
        <v>2764</v>
      </c>
    </row>
    <row r="8" spans="1:3" x14ac:dyDescent="0.2">
      <c r="A8" s="65" t="s">
        <v>765</v>
      </c>
      <c r="B8" s="65" t="s">
        <v>2765</v>
      </c>
    </row>
    <row r="9" spans="1:3" x14ac:dyDescent="0.2">
      <c r="A9" s="65" t="s">
        <v>358</v>
      </c>
      <c r="B9" s="65" t="s">
        <v>2766</v>
      </c>
    </row>
    <row r="10" spans="1:3" x14ac:dyDescent="0.2">
      <c r="A10" s="65" t="s">
        <v>2525</v>
      </c>
      <c r="B10" s="65" t="s">
        <v>2767</v>
      </c>
    </row>
    <row r="11" spans="1:3" x14ac:dyDescent="0.2">
      <c r="A11" s="65" t="s">
        <v>2768</v>
      </c>
      <c r="B11" s="65" t="s">
        <v>2769</v>
      </c>
    </row>
    <row r="12" spans="1:3" x14ac:dyDescent="0.2">
      <c r="A12" s="65" t="s">
        <v>427</v>
      </c>
      <c r="B12" s="65" t="s">
        <v>2770</v>
      </c>
    </row>
    <row r="13" spans="1:3" x14ac:dyDescent="0.2">
      <c r="A13" s="65" t="s">
        <v>407</v>
      </c>
      <c r="B13" s="65" t="s">
        <v>2771</v>
      </c>
    </row>
    <row r="14" spans="1:3" x14ac:dyDescent="0.2">
      <c r="A14" s="65" t="s">
        <v>2772</v>
      </c>
      <c r="B14" s="65" t="s">
        <v>2773</v>
      </c>
    </row>
    <row r="15" spans="1:3" x14ac:dyDescent="0.2">
      <c r="A15" s="65" t="s">
        <v>349</v>
      </c>
      <c r="B15" s="65" t="s">
        <v>2774</v>
      </c>
    </row>
    <row r="16" spans="1:3" x14ac:dyDescent="0.2">
      <c r="A16" s="65" t="s">
        <v>329</v>
      </c>
      <c r="B16" s="65" t="s">
        <v>2775</v>
      </c>
    </row>
    <row r="17" spans="1:2" x14ac:dyDescent="0.2">
      <c r="A17" s="65" t="s">
        <v>2776</v>
      </c>
      <c r="B17" s="65" t="s">
        <v>2777</v>
      </c>
    </row>
    <row r="18" spans="1:2" x14ac:dyDescent="0.2">
      <c r="A18" s="65" t="s">
        <v>2101</v>
      </c>
      <c r="B18" s="65" t="s">
        <v>2778</v>
      </c>
    </row>
    <row r="19" spans="1:2" x14ac:dyDescent="0.2">
      <c r="A19" s="65" t="s">
        <v>1844</v>
      </c>
      <c r="B19" s="65" t="s">
        <v>2779</v>
      </c>
    </row>
    <row r="20" spans="1:2" x14ac:dyDescent="0.2">
      <c r="A20" s="62" t="s">
        <v>1467</v>
      </c>
      <c r="B20" s="65" t="s">
        <v>2780</v>
      </c>
    </row>
    <row r="21" spans="1:2" x14ac:dyDescent="0.2">
      <c r="A21" s="65" t="s">
        <v>435</v>
      </c>
      <c r="B21" s="65" t="s">
        <v>2781</v>
      </c>
    </row>
    <row r="22" spans="1:2" x14ac:dyDescent="0.2">
      <c r="A22" s="65" t="s">
        <v>381</v>
      </c>
      <c r="B22" s="65" t="s">
        <v>2782</v>
      </c>
    </row>
    <row r="23" spans="1:2" x14ac:dyDescent="0.2">
      <c r="A23" s="65" t="s">
        <v>342</v>
      </c>
      <c r="B23" s="65" t="s">
        <v>2783</v>
      </c>
    </row>
    <row r="24" spans="1:2" x14ac:dyDescent="0.2">
      <c r="A24" s="65" t="s">
        <v>850</v>
      </c>
      <c r="B24" s="65" t="s">
        <v>2784</v>
      </c>
    </row>
    <row r="25" spans="1:2" x14ac:dyDescent="0.2">
      <c r="A25" s="65" t="s">
        <v>2509</v>
      </c>
      <c r="B25" s="65" t="s">
        <v>2785</v>
      </c>
    </row>
    <row r="26" spans="1:2" x14ac:dyDescent="0.2">
      <c r="A26" s="65" t="s">
        <v>2786</v>
      </c>
      <c r="B26" s="65" t="s">
        <v>2787</v>
      </c>
    </row>
    <row r="27" spans="1:2" x14ac:dyDescent="0.2">
      <c r="A27" s="65" t="s">
        <v>2788</v>
      </c>
      <c r="B27" s="65" t="s">
        <v>2789</v>
      </c>
    </row>
    <row r="28" spans="1:2" x14ac:dyDescent="0.2">
      <c r="A28" s="3"/>
      <c r="B28" s="3"/>
    </row>
    <row r="29" spans="1:2" x14ac:dyDescent="0.2">
      <c r="A29" s="429" t="s">
        <v>270</v>
      </c>
      <c r="B29" s="430"/>
    </row>
    <row r="30" spans="1:2" x14ac:dyDescent="0.2">
      <c r="A30" s="65" t="s">
        <v>2790</v>
      </c>
      <c r="B30" s="65" t="s">
        <v>2791</v>
      </c>
    </row>
    <row r="31" spans="1:2" x14ac:dyDescent="0.2">
      <c r="A31" s="65" t="s">
        <v>436</v>
      </c>
      <c r="B31" s="65" t="s">
        <v>2792</v>
      </c>
    </row>
    <row r="32" spans="1:2" x14ac:dyDescent="0.2">
      <c r="A32" s="65" t="s">
        <v>2793</v>
      </c>
      <c r="B32" s="65" t="s">
        <v>2794</v>
      </c>
    </row>
    <row r="33" spans="1:2" x14ac:dyDescent="0.2">
      <c r="A33" s="65" t="s">
        <v>2795</v>
      </c>
      <c r="B33" s="65" t="s">
        <v>2796</v>
      </c>
    </row>
    <row r="34" spans="1:2" x14ac:dyDescent="0.2">
      <c r="A34" s="65" t="s">
        <v>330</v>
      </c>
      <c r="B34" s="65" t="s">
        <v>2797</v>
      </c>
    </row>
    <row r="35" spans="1:2" x14ac:dyDescent="0.2">
      <c r="A35" s="3"/>
      <c r="B35" s="3"/>
    </row>
    <row r="36" spans="1:2" x14ac:dyDescent="0.2">
      <c r="A36" s="429" t="s">
        <v>272</v>
      </c>
      <c r="B36" s="430"/>
    </row>
    <row r="37" spans="1:2" x14ac:dyDescent="0.2">
      <c r="A37" s="65" t="s">
        <v>331</v>
      </c>
      <c r="B37" s="65" t="s">
        <v>2798</v>
      </c>
    </row>
    <row r="38" spans="1:2" x14ac:dyDescent="0.2">
      <c r="A38" s="65" t="s">
        <v>2799</v>
      </c>
      <c r="B38" s="65" t="s">
        <v>2800</v>
      </c>
    </row>
    <row r="39" spans="1:2" x14ac:dyDescent="0.2">
      <c r="A39" s="65" t="s">
        <v>2046</v>
      </c>
      <c r="B39" s="65" t="s">
        <v>2801</v>
      </c>
    </row>
    <row r="40" spans="1:2" x14ac:dyDescent="0.2">
      <c r="A40" s="3"/>
      <c r="B40" s="3"/>
    </row>
    <row r="41" spans="1:2" x14ac:dyDescent="0.2">
      <c r="A41" s="429" t="s">
        <v>101</v>
      </c>
      <c r="B41" s="430"/>
    </row>
    <row r="42" spans="1:2" x14ac:dyDescent="0.2">
      <c r="A42" s="65" t="s">
        <v>350</v>
      </c>
      <c r="B42" s="65" t="s">
        <v>2802</v>
      </c>
    </row>
    <row r="43" spans="1:2" x14ac:dyDescent="0.2">
      <c r="A43" s="65" t="s">
        <v>332</v>
      </c>
      <c r="B43" s="65" t="s">
        <v>2803</v>
      </c>
    </row>
    <row r="44" spans="1:2" x14ac:dyDescent="0.2">
      <c r="A44" s="65" t="s">
        <v>491</v>
      </c>
      <c r="B44" s="65" t="s">
        <v>2804</v>
      </c>
    </row>
    <row r="45" spans="1:2" x14ac:dyDescent="0.2">
      <c r="A45" s="65" t="s">
        <v>398</v>
      </c>
      <c r="B45" s="65" t="s">
        <v>2805</v>
      </c>
    </row>
    <row r="46" spans="1:2" x14ac:dyDescent="0.2">
      <c r="A46" s="65" t="s">
        <v>343</v>
      </c>
      <c r="B46" s="65" t="s">
        <v>1527</v>
      </c>
    </row>
    <row r="47" spans="1:2" x14ac:dyDescent="0.2">
      <c r="A47" s="65" t="s">
        <v>766</v>
      </c>
      <c r="B47" s="65" t="s">
        <v>72</v>
      </c>
    </row>
    <row r="48" spans="1:2" x14ac:dyDescent="0.2">
      <c r="A48" s="3"/>
      <c r="B48" s="3"/>
    </row>
    <row r="49" spans="1:2" x14ac:dyDescent="0.2">
      <c r="A49" s="429" t="s">
        <v>273</v>
      </c>
      <c r="B49" s="430"/>
    </row>
    <row r="50" spans="1:2" x14ac:dyDescent="0.2">
      <c r="A50" s="65" t="s">
        <v>491</v>
      </c>
      <c r="B50" s="65" t="s">
        <v>1700</v>
      </c>
    </row>
    <row r="51" spans="1:2" x14ac:dyDescent="0.2">
      <c r="A51" s="65" t="s">
        <v>1307</v>
      </c>
      <c r="B51" s="65" t="s">
        <v>2806</v>
      </c>
    </row>
    <row r="52" spans="1:2" x14ac:dyDescent="0.2">
      <c r="A52" s="65" t="s">
        <v>334</v>
      </c>
      <c r="B52" s="65" t="s">
        <v>2807</v>
      </c>
    </row>
    <row r="53" spans="1:2" x14ac:dyDescent="0.2">
      <c r="A53" s="65" t="s">
        <v>343</v>
      </c>
      <c r="B53" s="65" t="s">
        <v>2808</v>
      </c>
    </row>
    <row r="54" spans="1:2" x14ac:dyDescent="0.2">
      <c r="A54" s="65" t="s">
        <v>852</v>
      </c>
      <c r="B54" s="65" t="s">
        <v>2694</v>
      </c>
    </row>
    <row r="55" spans="1:2" x14ac:dyDescent="0.2">
      <c r="A55" s="65" t="s">
        <v>931</v>
      </c>
      <c r="B55" s="65" t="s">
        <v>2809</v>
      </c>
    </row>
    <row r="56" spans="1:2" x14ac:dyDescent="0.2">
      <c r="A56" s="62" t="s">
        <v>333</v>
      </c>
      <c r="B56" s="65" t="s">
        <v>2810</v>
      </c>
    </row>
    <row r="57" spans="1:2" x14ac:dyDescent="0.2">
      <c r="A57" s="3"/>
      <c r="B57" s="3"/>
    </row>
    <row r="58" spans="1:2" x14ac:dyDescent="0.2">
      <c r="A58" s="429" t="s">
        <v>274</v>
      </c>
      <c r="B58" s="430"/>
    </row>
    <row r="59" spans="1:2" x14ac:dyDescent="0.2">
      <c r="A59" s="62" t="s">
        <v>16</v>
      </c>
      <c r="B59" s="63" t="s">
        <v>2811</v>
      </c>
    </row>
    <row r="60" spans="1:2" x14ac:dyDescent="0.2">
      <c r="A60" s="62" t="s">
        <v>18</v>
      </c>
      <c r="B60" s="63" t="s">
        <v>2812</v>
      </c>
    </row>
    <row r="61" spans="1:2" x14ac:dyDescent="0.2">
      <c r="A61" s="62" t="s">
        <v>351</v>
      </c>
      <c r="B61" s="63" t="s">
        <v>2813</v>
      </c>
    </row>
    <row r="62" spans="1:2" x14ac:dyDescent="0.2">
      <c r="A62" s="62" t="s">
        <v>399</v>
      </c>
      <c r="B62" s="63" t="s">
        <v>2814</v>
      </c>
    </row>
    <row r="63" spans="1:2" x14ac:dyDescent="0.2">
      <c r="A63" s="62" t="s">
        <v>23</v>
      </c>
      <c r="B63" s="62" t="s">
        <v>2815</v>
      </c>
    </row>
    <row r="64" spans="1:2" x14ac:dyDescent="0.2">
      <c r="A64" s="62" t="s">
        <v>26</v>
      </c>
      <c r="B64" s="62" t="s">
        <v>2816</v>
      </c>
    </row>
    <row r="65" spans="1:2" x14ac:dyDescent="0.2">
      <c r="A65" s="62" t="s">
        <v>29</v>
      </c>
      <c r="B65" s="62" t="s">
        <v>2817</v>
      </c>
    </row>
    <row r="66" spans="1:2" x14ac:dyDescent="0.2">
      <c r="A66" s="62" t="s">
        <v>32</v>
      </c>
      <c r="B66" s="62" t="s">
        <v>2818</v>
      </c>
    </row>
    <row r="67" spans="1:2" x14ac:dyDescent="0.2">
      <c r="A67" s="62" t="s">
        <v>35</v>
      </c>
      <c r="B67" s="62" t="s">
        <v>2819</v>
      </c>
    </row>
    <row r="68" spans="1:2" x14ac:dyDescent="0.2">
      <c r="A68" s="62" t="s">
        <v>37</v>
      </c>
      <c r="B68" s="62" t="s">
        <v>2820</v>
      </c>
    </row>
    <row r="69" spans="1:2" x14ac:dyDescent="0.2">
      <c r="A69" s="62" t="s">
        <v>2156</v>
      </c>
      <c r="B69" s="62" t="s">
        <v>2821</v>
      </c>
    </row>
    <row r="70" spans="1:2" x14ac:dyDescent="0.2">
      <c r="A70" s="62" t="s">
        <v>1851</v>
      </c>
      <c r="B70" s="62" t="s">
        <v>2822</v>
      </c>
    </row>
    <row r="71" spans="1:2" x14ac:dyDescent="0.2">
      <c r="A71" s="62" t="s">
        <v>413</v>
      </c>
      <c r="B71" s="62" t="s">
        <v>1700</v>
      </c>
    </row>
    <row r="72" spans="1:2" x14ac:dyDescent="0.2">
      <c r="A72" s="62" t="s">
        <v>363</v>
      </c>
      <c r="B72" s="63" t="s">
        <v>2823</v>
      </c>
    </row>
    <row r="73" spans="1:2" x14ac:dyDescent="0.2">
      <c r="A73" s="62" t="s">
        <v>2824</v>
      </c>
      <c r="B73" s="63" t="s">
        <v>2825</v>
      </c>
    </row>
    <row r="74" spans="1:2" x14ac:dyDescent="0.2">
      <c r="A74" s="62" t="s">
        <v>2826</v>
      </c>
      <c r="B74" s="63" t="s">
        <v>2827</v>
      </c>
    </row>
    <row r="75" spans="1:2" x14ac:dyDescent="0.2">
      <c r="A75" s="62" t="s">
        <v>334</v>
      </c>
      <c r="B75" s="62" t="s">
        <v>2828</v>
      </c>
    </row>
    <row r="76" spans="1:2" x14ac:dyDescent="0.2">
      <c r="A76" s="3"/>
      <c r="B76" s="3"/>
    </row>
    <row r="77" spans="1:2" x14ac:dyDescent="0.2">
      <c r="A77" s="429" t="s">
        <v>279</v>
      </c>
      <c r="B77" s="430"/>
    </row>
    <row r="78" spans="1:2" x14ac:dyDescent="0.2">
      <c r="A78" s="66" t="s">
        <v>2829</v>
      </c>
      <c r="B78" s="66" t="s">
        <v>2830</v>
      </c>
    </row>
    <row r="79" spans="1:2" x14ac:dyDescent="0.2">
      <c r="A79" s="65" t="s">
        <v>470</v>
      </c>
      <c r="B79" s="65" t="s">
        <v>2831</v>
      </c>
    </row>
    <row r="80" spans="1:2" x14ac:dyDescent="0.2">
      <c r="A80" s="65" t="s">
        <v>394</v>
      </c>
      <c r="B80" s="65" t="s">
        <v>2832</v>
      </c>
    </row>
    <row r="81" spans="1:2" x14ac:dyDescent="0.2">
      <c r="A81" s="65" t="s">
        <v>481</v>
      </c>
      <c r="B81" s="65" t="s">
        <v>2833</v>
      </c>
    </row>
    <row r="82" spans="1:2" x14ac:dyDescent="0.2">
      <c r="A82" s="65" t="s">
        <v>383</v>
      </c>
      <c r="B82" s="65" t="s">
        <v>2834</v>
      </c>
    </row>
    <row r="83" spans="1:2" x14ac:dyDescent="0.2">
      <c r="A83" s="62" t="s">
        <v>444</v>
      </c>
      <c r="B83" s="65" t="s">
        <v>2835</v>
      </c>
    </row>
    <row r="84" spans="1:2" x14ac:dyDescent="0.2">
      <c r="A84" s="62" t="s">
        <v>2836</v>
      </c>
      <c r="B84" s="65" t="s">
        <v>2837</v>
      </c>
    </row>
    <row r="85" spans="1:2" x14ac:dyDescent="0.2">
      <c r="A85" s="65" t="s">
        <v>335</v>
      </c>
      <c r="B85" s="65" t="s">
        <v>2838</v>
      </c>
    </row>
    <row r="86" spans="1:2" x14ac:dyDescent="0.2">
      <c r="A86" s="65" t="s">
        <v>389</v>
      </c>
      <c r="B86" s="65" t="s">
        <v>2839</v>
      </c>
    </row>
    <row r="87" spans="1:2" x14ac:dyDescent="0.2">
      <c r="A87" s="65" t="s">
        <v>2182</v>
      </c>
      <c r="B87" s="65" t="s">
        <v>2840</v>
      </c>
    </row>
    <row r="88" spans="1:2" x14ac:dyDescent="0.2">
      <c r="A88" s="65" t="s">
        <v>1515</v>
      </c>
      <c r="B88" s="65" t="s">
        <v>2841</v>
      </c>
    </row>
    <row r="89" spans="1:2" x14ac:dyDescent="0.2">
      <c r="A89" s="65" t="s">
        <v>785</v>
      </c>
      <c r="B89" s="65" t="s">
        <v>2842</v>
      </c>
    </row>
    <row r="90" spans="1:2" x14ac:dyDescent="0.2">
      <c r="A90" s="65" t="s">
        <v>2843</v>
      </c>
      <c r="B90" s="65" t="s">
        <v>2844</v>
      </c>
    </row>
    <row r="91" spans="1:2" x14ac:dyDescent="0.2">
      <c r="A91" s="65" t="s">
        <v>344</v>
      </c>
      <c r="B91" s="65" t="s">
        <v>2845</v>
      </c>
    </row>
    <row r="92" spans="1:2" x14ac:dyDescent="0.2">
      <c r="A92" s="65" t="s">
        <v>992</v>
      </c>
      <c r="B92" s="65" t="s">
        <v>2846</v>
      </c>
    </row>
    <row r="93" spans="1:2" x14ac:dyDescent="0.2">
      <c r="A93" s="65" t="s">
        <v>352</v>
      </c>
      <c r="B93" s="65" t="s">
        <v>70</v>
      </c>
    </row>
    <row r="94" spans="1:2" x14ac:dyDescent="0.2">
      <c r="A94" s="65" t="s">
        <v>337</v>
      </c>
      <c r="B94" s="65" t="s">
        <v>2847</v>
      </c>
    </row>
    <row r="95" spans="1:2" x14ac:dyDescent="0.2">
      <c r="A95" s="65" t="s">
        <v>852</v>
      </c>
      <c r="B95" s="65" t="s">
        <v>2694</v>
      </c>
    </row>
    <row r="96" spans="1:2" x14ac:dyDescent="0.2">
      <c r="A96" s="65" t="s">
        <v>2848</v>
      </c>
      <c r="B96" s="65" t="s">
        <v>2849</v>
      </c>
    </row>
    <row r="97" spans="1:2" x14ac:dyDescent="0.2">
      <c r="A97" s="65" t="s">
        <v>1299</v>
      </c>
      <c r="B97" s="65" t="s">
        <v>72</v>
      </c>
    </row>
  </sheetData>
  <mergeCells count="8">
    <mergeCell ref="A77:B77"/>
    <mergeCell ref="A58:B58"/>
    <mergeCell ref="A1:B1"/>
    <mergeCell ref="A3:B3"/>
    <mergeCell ref="A49:B49"/>
    <mergeCell ref="A41:B41"/>
    <mergeCell ref="A36:B36"/>
    <mergeCell ref="A29:B29"/>
  </mergeCells>
  <printOptions horizontalCentered="1"/>
  <pageMargins left="0.39370078740157483" right="0.39370078740157483" top="0.39370078740157483" bottom="0.39370078740157483" header="0.19685039370078741" footer="0.19685039370078741"/>
  <pageSetup paperSize="9" fitToHeight="0" orientation="landscape" verticalDpi="1200" r:id="rId1"/>
  <headerFooter alignWithMargins="0">
    <oddHeader>&amp;L&amp;"Calibri"&amp;10&amp;K000000Official&amp;1#</oddHeader>
    <oddFooter>&amp;C&amp;8&amp;P of &amp;N</oddFooter>
  </headerFooter>
  <rowBreaks count="2" manualBreakCount="2">
    <brk id="40" max="1" man="1"/>
    <brk id="76" max="1"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4">
    <pageSetUpPr fitToPage="1"/>
  </sheetPr>
  <dimension ref="A1:B3"/>
  <sheetViews>
    <sheetView workbookViewId="0">
      <selection activeCell="B2" sqref="B2"/>
    </sheetView>
  </sheetViews>
  <sheetFormatPr defaultRowHeight="12.75" x14ac:dyDescent="0.2"/>
  <cols>
    <col min="1" max="1" width="13.85546875" bestFit="1" customWidth="1"/>
    <col min="2" max="2" width="22.5703125" bestFit="1" customWidth="1"/>
  </cols>
  <sheetData>
    <row r="1" spans="1:2" x14ac:dyDescent="0.2">
      <c r="A1" s="29" t="s">
        <v>2850</v>
      </c>
      <c r="B1" t="s">
        <v>2851</v>
      </c>
    </row>
    <row r="2" spans="1:2" x14ac:dyDescent="0.2">
      <c r="A2" s="28" t="s">
        <v>323</v>
      </c>
      <c r="B2">
        <v>2662</v>
      </c>
    </row>
    <row r="3" spans="1:2" x14ac:dyDescent="0.2">
      <c r="A3" s="28" t="s">
        <v>2852</v>
      </c>
      <c r="B3">
        <v>2662</v>
      </c>
    </row>
  </sheetData>
  <printOptions horizontalCentered="1"/>
  <pageMargins left="0.39370078740157483" right="0.39370078740157483" top="0.39370078740157483" bottom="0.39370078740157483" header="0.19685039370078741" footer="0.19685039370078741"/>
  <pageSetup paperSize="9" fitToHeight="0" orientation="landscape" r:id="rId2"/>
  <headerFooter alignWithMargins="0">
    <oddHeader>&amp;L&amp;"Calibri"&amp;10&amp;K000000Official&amp;1#</oddHeader>
    <oddFooter>&amp;C&amp;8&amp;P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5">
    <pageSetUpPr fitToPage="1"/>
  </sheetPr>
  <dimension ref="A1:B3"/>
  <sheetViews>
    <sheetView workbookViewId="0">
      <selection activeCell="B2" sqref="B2"/>
    </sheetView>
  </sheetViews>
  <sheetFormatPr defaultRowHeight="12.75" x14ac:dyDescent="0.2"/>
  <cols>
    <col min="1" max="1" width="13.42578125" bestFit="1" customWidth="1"/>
    <col min="2" max="2" width="47.85546875" bestFit="1" customWidth="1"/>
  </cols>
  <sheetData>
    <row r="1" spans="1:2" x14ac:dyDescent="0.2">
      <c r="A1" s="29" t="s">
        <v>2850</v>
      </c>
      <c r="B1" s="87" t="s">
        <v>2853</v>
      </c>
    </row>
    <row r="2" spans="1:2" x14ac:dyDescent="0.2">
      <c r="A2" s="28" t="s">
        <v>323</v>
      </c>
      <c r="B2" s="87">
        <v>153.33333333333331</v>
      </c>
    </row>
    <row r="3" spans="1:2" x14ac:dyDescent="0.2">
      <c r="A3" s="28" t="s">
        <v>2852</v>
      </c>
      <c r="B3" s="87">
        <v>153.33333333333331</v>
      </c>
    </row>
  </sheetData>
  <printOptions horizontalCentered="1"/>
  <pageMargins left="0.39370078740157483" right="0.39370078740157483" top="0.39370078740157483" bottom="0.39370078740157483" header="0.19685039370078741" footer="0.19685039370078741"/>
  <pageSetup paperSize="9" fitToHeight="0" orientation="landscape" r:id="rId2"/>
  <headerFooter alignWithMargins="0">
    <oddHeader>&amp;L&amp;"Calibri"&amp;10&amp;K000000Official&amp;1#</oddHeader>
    <oddFooter>&amp;C&amp;8&amp;P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6">
    <pageSetUpPr fitToPage="1"/>
  </sheetPr>
  <dimension ref="A1:E4"/>
  <sheetViews>
    <sheetView workbookViewId="0">
      <selection activeCell="B2" sqref="B2"/>
    </sheetView>
  </sheetViews>
  <sheetFormatPr defaultRowHeight="12.75" x14ac:dyDescent="0.2"/>
  <cols>
    <col min="1" max="1" width="22.5703125" bestFit="1" customWidth="1"/>
    <col min="2" max="2" width="17" bestFit="1" customWidth="1"/>
    <col min="3" max="3" width="12.5703125" bestFit="1" customWidth="1"/>
    <col min="4" max="4" width="21.85546875" bestFit="1" customWidth="1"/>
    <col min="5" max="5" width="11.7109375" bestFit="1" customWidth="1"/>
  </cols>
  <sheetData>
    <row r="1" spans="1:5" x14ac:dyDescent="0.2">
      <c r="A1" s="29" t="s">
        <v>2851</v>
      </c>
      <c r="B1" s="29" t="s">
        <v>2854</v>
      </c>
    </row>
    <row r="2" spans="1:5" x14ac:dyDescent="0.2">
      <c r="A2" s="29" t="s">
        <v>2850</v>
      </c>
      <c r="B2" t="s">
        <v>48</v>
      </c>
      <c r="C2" t="s">
        <v>70</v>
      </c>
      <c r="D2" t="s">
        <v>49</v>
      </c>
      <c r="E2" t="s">
        <v>2852</v>
      </c>
    </row>
    <row r="3" spans="1:5" x14ac:dyDescent="0.2">
      <c r="A3" s="28" t="s">
        <v>323</v>
      </c>
      <c r="B3">
        <v>446</v>
      </c>
      <c r="C3">
        <v>1838</v>
      </c>
      <c r="D3">
        <v>378</v>
      </c>
      <c r="E3">
        <v>2662</v>
      </c>
    </row>
    <row r="4" spans="1:5" x14ac:dyDescent="0.2">
      <c r="A4" s="28" t="s">
        <v>2852</v>
      </c>
      <c r="B4">
        <v>446</v>
      </c>
      <c r="C4">
        <v>1838</v>
      </c>
      <c r="D4">
        <v>378</v>
      </c>
      <c r="E4">
        <v>2662</v>
      </c>
    </row>
  </sheetData>
  <printOptions horizontalCentered="1"/>
  <pageMargins left="0.39370078740157483" right="0.39370078740157483" top="0.39370078740157483" bottom="0.39370078740157483" header="0.19685039370078741" footer="0.19685039370078741"/>
  <pageSetup paperSize="9" fitToHeight="0" orientation="landscape" r:id="rId2"/>
  <headerFooter alignWithMargins="0">
    <oddHeader>&amp;L&amp;"Calibri"&amp;10&amp;K000000Official&amp;1#</oddHeader>
    <oddFooter>&amp;C&amp;8&amp;P of &amp;N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8">
    <pageSetUpPr fitToPage="1"/>
  </sheetPr>
  <dimension ref="A1:C11"/>
  <sheetViews>
    <sheetView workbookViewId="0">
      <selection activeCell="B6" sqref="B6:B7"/>
    </sheetView>
  </sheetViews>
  <sheetFormatPr defaultRowHeight="12.75" x14ac:dyDescent="0.2"/>
  <cols>
    <col min="1" max="1" width="31.7109375" bestFit="1" customWidth="1"/>
    <col min="2" max="2" width="22.5703125" bestFit="1" customWidth="1"/>
    <col min="3" max="3" width="28.28515625" bestFit="1" customWidth="1"/>
    <col min="4" max="4" width="21.85546875" bestFit="1" customWidth="1"/>
    <col min="5" max="5" width="11.7109375" bestFit="1" customWidth="1"/>
    <col min="6" max="6" width="22.5703125" customWidth="1"/>
    <col min="7" max="7" width="28.28515625" customWidth="1"/>
    <col min="8" max="8" width="22.5703125" customWidth="1"/>
    <col min="9" max="9" width="28.28515625" customWidth="1"/>
    <col min="10" max="10" width="22.5703125" customWidth="1"/>
    <col min="11" max="11" width="28.28515625" customWidth="1"/>
    <col min="12" max="12" width="27.85546875" bestFit="1" customWidth="1"/>
    <col min="13" max="13" width="33.5703125" customWidth="1"/>
  </cols>
  <sheetData>
    <row r="1" spans="1:3" x14ac:dyDescent="0.2">
      <c r="A1" s="29" t="s">
        <v>273</v>
      </c>
      <c r="B1" t="s">
        <v>2855</v>
      </c>
    </row>
    <row r="2" spans="1:3" x14ac:dyDescent="0.2">
      <c r="A2" s="29" t="s">
        <v>274</v>
      </c>
      <c r="B2" t="s">
        <v>2855</v>
      </c>
    </row>
    <row r="4" spans="1:3" x14ac:dyDescent="0.2">
      <c r="A4" s="29" t="s">
        <v>2850</v>
      </c>
      <c r="B4" t="s">
        <v>2851</v>
      </c>
      <c r="C4" t="s">
        <v>2856</v>
      </c>
    </row>
    <row r="5" spans="1:3" x14ac:dyDescent="0.2">
      <c r="A5" s="28" t="s">
        <v>323</v>
      </c>
      <c r="B5">
        <v>2559</v>
      </c>
      <c r="C5">
        <v>2729</v>
      </c>
    </row>
    <row r="6" spans="1:3" x14ac:dyDescent="0.2">
      <c r="A6" s="28" t="s">
        <v>854</v>
      </c>
      <c r="B6">
        <v>4413</v>
      </c>
      <c r="C6">
        <v>4510</v>
      </c>
    </row>
    <row r="7" spans="1:3" x14ac:dyDescent="0.2">
      <c r="A7" s="28" t="s">
        <v>1216</v>
      </c>
      <c r="B7">
        <v>7636</v>
      </c>
      <c r="C7">
        <v>8721</v>
      </c>
    </row>
    <row r="8" spans="1:3" x14ac:dyDescent="0.2">
      <c r="A8" s="28" t="s">
        <v>2506</v>
      </c>
      <c r="B8">
        <v>341</v>
      </c>
      <c r="C8">
        <v>341</v>
      </c>
    </row>
    <row r="9" spans="1:3" x14ac:dyDescent="0.2">
      <c r="A9" s="28" t="s">
        <v>2522</v>
      </c>
      <c r="B9">
        <v>5335</v>
      </c>
      <c r="C9">
        <v>5335</v>
      </c>
    </row>
    <row r="10" spans="1:3" x14ac:dyDescent="0.2">
      <c r="A10" s="28" t="s">
        <v>2641</v>
      </c>
      <c r="B10">
        <v>311</v>
      </c>
      <c r="C10">
        <v>311</v>
      </c>
    </row>
    <row r="11" spans="1:3" x14ac:dyDescent="0.2">
      <c r="A11" s="28" t="s">
        <v>2852</v>
      </c>
      <c r="B11">
        <v>20595</v>
      </c>
      <c r="C11">
        <v>21947</v>
      </c>
    </row>
  </sheetData>
  <printOptions horizontalCentered="1"/>
  <pageMargins left="0.39370078740157483" right="0.39370078740157483" top="0.39370078740157483" bottom="0.39370078740157483" header="0.19685039370078741" footer="0.19685039370078741"/>
  <pageSetup paperSize="9" fitToHeight="0" orientation="landscape" r:id="rId2"/>
  <headerFooter alignWithMargins="0">
    <oddHeader>&amp;L&amp;"Calibri"&amp;10&amp;K000000Official&amp;1#</oddHeader>
    <oddFooter>&amp;C&amp;8&amp;P of &amp;N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9">
    <pageSetUpPr fitToPage="1"/>
  </sheetPr>
  <dimension ref="A1:C10"/>
  <sheetViews>
    <sheetView workbookViewId="0">
      <selection activeCell="B6" sqref="B6:B7"/>
    </sheetView>
  </sheetViews>
  <sheetFormatPr defaultRowHeight="12.75" x14ac:dyDescent="0.2"/>
  <cols>
    <col min="1" max="1" width="31.7109375" bestFit="1" customWidth="1"/>
    <col min="2" max="2" width="22.5703125" bestFit="1" customWidth="1"/>
    <col min="3" max="3" width="28.28515625" bestFit="1" customWidth="1"/>
    <col min="4" max="4" width="28.28515625" customWidth="1"/>
    <col min="5" max="5" width="22.5703125" bestFit="1" customWidth="1"/>
    <col min="6" max="6" width="28.28515625" bestFit="1" customWidth="1"/>
    <col min="7" max="7" width="22.5703125" bestFit="1" customWidth="1"/>
    <col min="8" max="8" width="28.28515625" bestFit="1" customWidth="1"/>
    <col min="9" max="9" width="22.5703125" bestFit="1" customWidth="1"/>
    <col min="10" max="10" width="33.5703125" bestFit="1" customWidth="1"/>
    <col min="11" max="11" width="27.85546875" bestFit="1" customWidth="1"/>
  </cols>
  <sheetData>
    <row r="1" spans="1:3" x14ac:dyDescent="0.2">
      <c r="A1" s="29" t="s">
        <v>273</v>
      </c>
      <c r="B1" t="s">
        <v>2855</v>
      </c>
    </row>
    <row r="2" spans="1:3" x14ac:dyDescent="0.2">
      <c r="A2" s="29" t="s">
        <v>274</v>
      </c>
      <c r="B2" t="s">
        <v>2855</v>
      </c>
    </row>
    <row r="4" spans="1:3" x14ac:dyDescent="0.2">
      <c r="A4" s="29" t="s">
        <v>2850</v>
      </c>
      <c r="B4" t="s">
        <v>2851</v>
      </c>
      <c r="C4" t="s">
        <v>2856</v>
      </c>
    </row>
    <row r="5" spans="1:3" x14ac:dyDescent="0.2">
      <c r="A5" s="28" t="s">
        <v>323</v>
      </c>
      <c r="B5">
        <v>103</v>
      </c>
      <c r="C5">
        <v>256</v>
      </c>
    </row>
    <row r="6" spans="1:3" x14ac:dyDescent="0.2">
      <c r="A6" s="28" t="s">
        <v>854</v>
      </c>
      <c r="B6">
        <v>288</v>
      </c>
      <c r="C6">
        <v>388</v>
      </c>
    </row>
    <row r="7" spans="1:3" x14ac:dyDescent="0.2">
      <c r="A7" s="28" t="s">
        <v>1216</v>
      </c>
      <c r="B7">
        <v>408</v>
      </c>
      <c r="C7">
        <v>587</v>
      </c>
    </row>
    <row r="8" spans="1:3" x14ac:dyDescent="0.2">
      <c r="A8" s="28" t="s">
        <v>2506</v>
      </c>
      <c r="B8">
        <v>32</v>
      </c>
      <c r="C8">
        <v>32</v>
      </c>
    </row>
    <row r="9" spans="1:3" x14ac:dyDescent="0.2">
      <c r="A9" s="28" t="s">
        <v>2643</v>
      </c>
      <c r="B9">
        <v>4611</v>
      </c>
      <c r="C9">
        <v>4611</v>
      </c>
    </row>
    <row r="10" spans="1:3" x14ac:dyDescent="0.2">
      <c r="A10" s="28" t="s">
        <v>2852</v>
      </c>
      <c r="B10">
        <v>5442</v>
      </c>
      <c r="C10">
        <v>5874</v>
      </c>
    </row>
  </sheetData>
  <printOptions horizontalCentered="1"/>
  <pageMargins left="0.39370078740157483" right="0.39370078740157483" top="0.39370078740157483" bottom="0.39370078740157483" header="0.19685039370078741" footer="0.19685039370078741"/>
  <pageSetup paperSize="9" fitToHeight="0" orientation="landscape" r:id="rId2"/>
  <headerFooter alignWithMargins="0">
    <oddHeader>&amp;L&amp;"Calibri"&amp;10&amp;K000000Official&amp;1#</oddHeader>
    <oddFooter>&amp;C&amp;8&amp;P of &amp;N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0">
    <pageSetUpPr fitToPage="1"/>
  </sheetPr>
  <dimension ref="A1:K11"/>
  <sheetViews>
    <sheetView topLeftCell="B1" workbookViewId="0">
      <selection activeCell="B2" sqref="B2"/>
    </sheetView>
  </sheetViews>
  <sheetFormatPr defaultRowHeight="12.75" x14ac:dyDescent="0.2"/>
  <cols>
    <col min="1" max="1" width="27.140625" bestFit="1" customWidth="1"/>
    <col min="2" max="2" width="28.28515625" bestFit="1" customWidth="1"/>
    <col min="3" max="3" width="22.5703125" bestFit="1" customWidth="1"/>
    <col min="4" max="4" width="28.28515625" bestFit="1" customWidth="1"/>
    <col min="5" max="5" width="22.5703125" bestFit="1" customWidth="1"/>
    <col min="6" max="6" width="28.28515625" bestFit="1" customWidth="1"/>
    <col min="7" max="7" width="22.5703125" bestFit="1" customWidth="1"/>
    <col min="8" max="8" width="28.28515625" bestFit="1" customWidth="1"/>
    <col min="9" max="9" width="22.5703125" bestFit="1" customWidth="1"/>
    <col min="10" max="10" width="33.5703125" bestFit="1" customWidth="1"/>
    <col min="11" max="11" width="27.85546875" bestFit="1" customWidth="1"/>
    <col min="12" max="12" width="32.5703125" bestFit="1" customWidth="1"/>
    <col min="13" max="13" width="27" bestFit="1" customWidth="1"/>
    <col min="14" max="14" width="32.7109375" bestFit="1" customWidth="1"/>
    <col min="15" max="15" width="27.140625" bestFit="1" customWidth="1"/>
    <col min="16" max="36" width="3" customWidth="1"/>
    <col min="37" max="39" width="4" customWidth="1"/>
    <col min="40" max="45" width="3" customWidth="1"/>
    <col min="46" max="50" width="4" customWidth="1"/>
    <col min="51" max="51" width="18" customWidth="1"/>
    <col min="52" max="52" width="14.5703125" customWidth="1"/>
    <col min="53" max="58" width="4" customWidth="1"/>
    <col min="59" max="59" width="3" customWidth="1"/>
    <col min="60" max="62" width="4" customWidth="1"/>
    <col min="63" max="74" width="3" customWidth="1"/>
    <col min="75" max="75" width="3.5703125" customWidth="1"/>
    <col min="76" max="80" width="3" customWidth="1"/>
    <col min="81" max="81" width="4" customWidth="1"/>
    <col min="82" max="89" width="3" customWidth="1"/>
    <col min="90" max="90" width="4" customWidth="1"/>
    <col min="91" max="95" width="3" customWidth="1"/>
    <col min="96" max="97" width="4" customWidth="1"/>
    <col min="98" max="99" width="3" customWidth="1"/>
    <col min="100" max="100" width="4" customWidth="1"/>
    <col min="101" max="106" width="3" customWidth="1"/>
    <col min="107" max="107" width="4" customWidth="1"/>
    <col min="108" max="108" width="3" customWidth="1"/>
    <col min="109" max="110" width="4" customWidth="1"/>
    <col min="111" max="112" width="3" customWidth="1"/>
    <col min="113" max="113" width="4" customWidth="1"/>
    <col min="114" max="116" width="3" customWidth="1"/>
    <col min="117" max="119" width="4" customWidth="1"/>
    <col min="120" max="120" width="3" customWidth="1"/>
    <col min="121" max="121" width="4" customWidth="1"/>
    <col min="122" max="123" width="3" customWidth="1"/>
    <col min="124" max="180" width="4" customWidth="1"/>
    <col min="181" max="181" width="18" customWidth="1"/>
    <col min="182" max="182" width="23.85546875" customWidth="1"/>
    <col min="183" max="183" width="2" customWidth="1"/>
    <col min="184" max="188" width="3" customWidth="1"/>
    <col min="189" max="189" width="2" customWidth="1"/>
    <col min="190" max="207" width="3" customWidth="1"/>
    <col min="208" max="208" width="4" customWidth="1"/>
    <col min="209" max="215" width="3" customWidth="1"/>
    <col min="216" max="216" width="3.5703125" customWidth="1"/>
    <col min="217" max="221" width="3" customWidth="1"/>
    <col min="222" max="222" width="4" customWidth="1"/>
    <col min="223" max="223" width="3" customWidth="1"/>
    <col min="224" max="224" width="4" customWidth="1"/>
    <col min="225" max="232" width="3" customWidth="1"/>
    <col min="233" max="236" width="4" customWidth="1"/>
    <col min="237" max="237" width="27.140625" customWidth="1"/>
    <col min="238" max="238" width="11.7109375" customWidth="1"/>
    <col min="239" max="239" width="8.140625" customWidth="1"/>
    <col min="240" max="240" width="5" customWidth="1"/>
    <col min="241" max="241" width="8.140625" customWidth="1"/>
    <col min="242" max="242" width="5" customWidth="1"/>
    <col min="243" max="243" width="8.140625" customWidth="1"/>
    <col min="244" max="244" width="5" customWidth="1"/>
    <col min="245" max="245" width="8.140625" customWidth="1"/>
    <col min="246" max="246" width="5" customWidth="1"/>
    <col min="247" max="247" width="8.140625" customWidth="1"/>
    <col min="248" max="248" width="5" customWidth="1"/>
    <col min="249" max="249" width="8.140625" customWidth="1"/>
    <col min="250" max="250" width="5" customWidth="1"/>
    <col min="251" max="251" width="8.140625" customWidth="1"/>
    <col min="252" max="252" width="5" customWidth="1"/>
    <col min="253" max="253" width="8.140625" customWidth="1"/>
    <col min="254" max="254" width="5" customWidth="1"/>
    <col min="255" max="255" width="8.140625" customWidth="1"/>
    <col min="256" max="256" width="5" customWidth="1"/>
    <col min="257" max="257" width="8.140625" customWidth="1"/>
    <col min="258" max="258" width="5" customWidth="1"/>
    <col min="259" max="259" width="8.140625" customWidth="1"/>
    <col min="260" max="260" width="5" customWidth="1"/>
    <col min="261" max="261" width="8.140625" customWidth="1"/>
    <col min="262" max="262" width="5" customWidth="1"/>
    <col min="263" max="263" width="8.140625" customWidth="1"/>
    <col min="264" max="264" width="5" customWidth="1"/>
    <col min="265" max="265" width="8.140625" customWidth="1"/>
    <col min="266" max="266" width="5" customWidth="1"/>
    <col min="267" max="267" width="8.140625" customWidth="1"/>
    <col min="268" max="268" width="5" customWidth="1"/>
    <col min="269" max="269" width="8.140625" customWidth="1"/>
    <col min="270" max="270" width="5" customWidth="1"/>
    <col min="271" max="271" width="8.140625" customWidth="1"/>
    <col min="272" max="272" width="5" customWidth="1"/>
    <col min="273" max="273" width="8.140625" customWidth="1"/>
    <col min="274" max="274" width="5" customWidth="1"/>
    <col min="275" max="275" width="8.140625" customWidth="1"/>
    <col min="276" max="276" width="5" customWidth="1"/>
    <col min="277" max="277" width="8.140625" customWidth="1"/>
    <col min="278" max="278" width="5" customWidth="1"/>
    <col min="279" max="279" width="8.140625" customWidth="1"/>
    <col min="280" max="280" width="5" customWidth="1"/>
    <col min="281" max="281" width="8.140625" customWidth="1"/>
    <col min="282" max="282" width="5" customWidth="1"/>
    <col min="283" max="283" width="8.140625" customWidth="1"/>
    <col min="284" max="284" width="5" customWidth="1"/>
    <col min="285" max="285" width="8.140625" customWidth="1"/>
    <col min="286" max="286" width="5" customWidth="1"/>
    <col min="287" max="287" width="8.140625" customWidth="1"/>
    <col min="288" max="288" width="5" customWidth="1"/>
    <col min="289" max="289" width="8.140625" customWidth="1"/>
    <col min="290" max="290" width="5" customWidth="1"/>
    <col min="291" max="291" width="8.140625" customWidth="1"/>
    <col min="292" max="292" width="5" customWidth="1"/>
    <col min="293" max="293" width="8.140625" customWidth="1"/>
    <col min="294" max="294" width="5" customWidth="1"/>
    <col min="295" max="295" width="8.140625" customWidth="1"/>
    <col min="296" max="296" width="5" customWidth="1"/>
    <col min="297" max="297" width="8.140625" customWidth="1"/>
    <col min="298" max="298" width="5" customWidth="1"/>
    <col min="299" max="299" width="8.140625" customWidth="1"/>
    <col min="300" max="300" width="5" customWidth="1"/>
    <col min="301" max="301" width="8.140625" customWidth="1"/>
    <col min="302" max="302" width="5" customWidth="1"/>
    <col min="303" max="303" width="8.140625" customWidth="1"/>
    <col min="304" max="304" width="6" customWidth="1"/>
    <col min="306" max="306" width="6" customWidth="1"/>
    <col min="308" max="308" width="6" customWidth="1"/>
    <col min="310" max="310" width="6" customWidth="1"/>
    <col min="312" max="312" width="6" customWidth="1"/>
    <col min="314" max="314" width="6" customWidth="1"/>
    <col min="316" max="316" width="6" customWidth="1"/>
    <col min="318" max="318" width="6" customWidth="1"/>
    <col min="320" max="320" width="6" customWidth="1"/>
    <col min="322" max="322" width="6" customWidth="1"/>
    <col min="324" max="324" width="6" customWidth="1"/>
    <col min="325" max="325" width="4" customWidth="1"/>
    <col min="327" max="327" width="6" customWidth="1"/>
    <col min="329" max="329" width="6" customWidth="1"/>
    <col min="331" max="331" width="6" customWidth="1"/>
    <col min="333" max="333" width="6" customWidth="1"/>
    <col min="335" max="335" width="6" customWidth="1"/>
    <col min="337" max="337" width="6" customWidth="1"/>
    <col min="339" max="339" width="6" customWidth="1"/>
    <col min="341" max="341" width="6" customWidth="1"/>
    <col min="343" max="343" width="6" customWidth="1"/>
    <col min="345" max="345" width="6" customWidth="1"/>
    <col min="347" max="347" width="6" customWidth="1"/>
    <col min="349" max="349" width="6" customWidth="1"/>
    <col min="351" max="351" width="6" customWidth="1"/>
    <col min="353" max="353" width="6" customWidth="1"/>
    <col min="355" max="355" width="6" customWidth="1"/>
    <col min="357" max="357" width="6" customWidth="1"/>
    <col min="359" max="359" width="6" customWidth="1"/>
    <col min="361" max="361" width="6" customWidth="1"/>
    <col min="363" max="363" width="6" customWidth="1"/>
    <col min="365" max="365" width="6" customWidth="1"/>
    <col min="367" max="367" width="6" customWidth="1"/>
    <col min="369" max="369" width="6" customWidth="1"/>
    <col min="371" max="371" width="6" customWidth="1"/>
    <col min="373" max="373" width="6" customWidth="1"/>
    <col min="375" max="375" width="6" customWidth="1"/>
    <col min="377" max="377" width="6" customWidth="1"/>
    <col min="379" max="379" width="6" customWidth="1"/>
    <col min="381" max="381" width="6" customWidth="1"/>
    <col min="383" max="383" width="6" customWidth="1"/>
    <col min="385" max="385" width="6" customWidth="1"/>
    <col min="387" max="387" width="6" customWidth="1"/>
    <col min="389" max="389" width="6" customWidth="1"/>
    <col min="391" max="391" width="6" customWidth="1"/>
    <col min="393" max="393" width="6" customWidth="1"/>
    <col min="395" max="395" width="6" customWidth="1"/>
    <col min="397" max="397" width="6" customWidth="1"/>
    <col min="399" max="399" width="6" customWidth="1"/>
    <col min="401" max="401" width="6" customWidth="1"/>
    <col min="403" max="403" width="6" customWidth="1"/>
    <col min="405" max="405" width="6" customWidth="1"/>
    <col min="407" max="407" width="6" customWidth="1"/>
    <col min="409" max="409" width="6" customWidth="1"/>
    <col min="411" max="411" width="6" customWidth="1"/>
    <col min="413" max="413" width="6" customWidth="1"/>
    <col min="415" max="415" width="6" customWidth="1"/>
    <col min="417" max="417" width="6" customWidth="1"/>
    <col min="419" max="419" width="18" bestFit="1" customWidth="1"/>
    <col min="420" max="420" width="23.85546875" bestFit="1" customWidth="1"/>
    <col min="421" max="421" width="3.5703125" customWidth="1"/>
    <col min="422" max="422" width="2" customWidth="1"/>
    <col min="423" max="423" width="7.140625" customWidth="1"/>
    <col min="424" max="424" width="4" customWidth="1"/>
    <col min="425" max="425" width="7.140625" customWidth="1"/>
    <col min="426" max="426" width="4" customWidth="1"/>
    <col min="427" max="427" width="7.140625" customWidth="1"/>
    <col min="428" max="428" width="4" customWidth="1"/>
    <col min="429" max="429" width="7.140625" customWidth="1"/>
    <col min="430" max="430" width="4" customWidth="1"/>
    <col min="431" max="431" width="7.140625" customWidth="1"/>
    <col min="432" max="432" width="4" customWidth="1"/>
    <col min="433" max="433" width="7.140625" customWidth="1"/>
    <col min="434" max="434" width="4" customWidth="1"/>
    <col min="435" max="435" width="7.140625" customWidth="1"/>
    <col min="436" max="436" width="4" customWidth="1"/>
    <col min="437" max="437" width="7.140625" customWidth="1"/>
    <col min="438" max="438" width="4" customWidth="1"/>
    <col min="439" max="439" width="7.140625" customWidth="1"/>
    <col min="440" max="440" width="4" customWidth="1"/>
    <col min="441" max="441" width="7.140625" customWidth="1"/>
    <col min="442" max="442" width="5" customWidth="1"/>
    <col min="443" max="443" width="8.140625" customWidth="1"/>
    <col min="444" max="444" width="5" customWidth="1"/>
    <col min="445" max="445" width="8.140625" customWidth="1"/>
    <col min="446" max="446" width="5" customWidth="1"/>
    <col min="447" max="447" width="8.140625" customWidth="1"/>
    <col min="448" max="448" width="5" customWidth="1"/>
    <col min="449" max="449" width="8.140625" customWidth="1"/>
    <col min="450" max="450" width="5" customWidth="1"/>
    <col min="451" max="451" width="8.140625" customWidth="1"/>
    <col min="452" max="452" width="5" customWidth="1"/>
    <col min="453" max="453" width="8.140625" customWidth="1"/>
    <col min="454" max="454" width="5" customWidth="1"/>
    <col min="455" max="455" width="8.140625" customWidth="1"/>
    <col min="456" max="456" width="5" customWidth="1"/>
    <col min="457" max="457" width="8.140625" customWidth="1"/>
    <col min="458" max="458" width="5" customWidth="1"/>
    <col min="459" max="459" width="8.140625" customWidth="1"/>
    <col min="460" max="460" width="5" customWidth="1"/>
    <col min="461" max="461" width="8.140625" customWidth="1"/>
    <col min="462" max="462" width="5" customWidth="1"/>
    <col min="463" max="463" width="8.140625" customWidth="1"/>
    <col min="464" max="464" width="5" customWidth="1"/>
    <col min="465" max="465" width="8.140625" customWidth="1"/>
    <col min="466" max="466" width="5" customWidth="1"/>
    <col min="467" max="467" width="8.140625" customWidth="1"/>
    <col min="468" max="468" width="5" customWidth="1"/>
    <col min="469" max="469" width="8.140625" customWidth="1"/>
    <col min="470" max="470" width="5" customWidth="1"/>
    <col min="471" max="471" width="8.140625" customWidth="1"/>
    <col min="472" max="472" width="5" customWidth="1"/>
    <col min="473" max="473" width="8.140625" customWidth="1"/>
    <col min="474" max="474" width="5" customWidth="1"/>
    <col min="475" max="475" width="8.140625" customWidth="1"/>
    <col min="476" max="476" width="5" customWidth="1"/>
    <col min="477" max="477" width="8.140625" customWidth="1"/>
    <col min="478" max="478" width="5" customWidth="1"/>
    <col min="479" max="479" width="8.140625" customWidth="1"/>
    <col min="480" max="480" width="5" customWidth="1"/>
    <col min="481" max="481" width="8.140625" customWidth="1"/>
    <col min="482" max="482" width="5" customWidth="1"/>
    <col min="483" max="483" width="8.140625" customWidth="1"/>
    <col min="484" max="484" width="5" customWidth="1"/>
    <col min="485" max="485" width="8.140625" customWidth="1"/>
    <col min="486" max="486" width="5" customWidth="1"/>
    <col min="487" max="487" width="8.140625" customWidth="1"/>
    <col min="488" max="488" width="5" customWidth="1"/>
    <col min="489" max="489" width="8.140625" customWidth="1"/>
    <col min="490" max="490" width="5" customWidth="1"/>
    <col min="491" max="491" width="3" customWidth="1"/>
    <col min="492" max="492" width="8.140625" customWidth="1"/>
    <col min="493" max="493" width="5" customWidth="1"/>
    <col min="494" max="494" width="8.140625" customWidth="1"/>
    <col min="495" max="495" width="5" customWidth="1"/>
    <col min="496" max="496" width="8.140625" customWidth="1"/>
    <col min="497" max="497" width="5" customWidth="1"/>
    <col min="498" max="498" width="8.140625" customWidth="1"/>
    <col min="499" max="499" width="5" customWidth="1"/>
    <col min="500" max="500" width="8.140625" customWidth="1"/>
    <col min="501" max="501" width="5" customWidth="1"/>
    <col min="502" max="502" width="8.140625" customWidth="1"/>
    <col min="503" max="503" width="5" customWidth="1"/>
    <col min="504" max="504" width="8.140625" customWidth="1"/>
    <col min="505" max="505" width="5" customWidth="1"/>
    <col min="506" max="506" width="8.140625" customWidth="1"/>
    <col min="507" max="507" width="5" customWidth="1"/>
    <col min="508" max="508" width="8.140625" customWidth="1"/>
    <col min="509" max="509" width="5" customWidth="1"/>
    <col min="510" max="510" width="8.140625" customWidth="1"/>
    <col min="511" max="511" width="5" customWidth="1"/>
    <col min="512" max="512" width="8.140625" customWidth="1"/>
    <col min="513" max="513" width="5" customWidth="1"/>
    <col min="514" max="514" width="8.140625" customWidth="1"/>
    <col min="515" max="515" width="5" customWidth="1"/>
    <col min="516" max="516" width="8.140625" customWidth="1"/>
    <col min="517" max="517" width="5" customWidth="1"/>
    <col min="518" max="518" width="8.140625" customWidth="1"/>
    <col min="519" max="519" width="5" customWidth="1"/>
    <col min="520" max="520" width="8.140625" customWidth="1"/>
    <col min="521" max="521" width="5" customWidth="1"/>
    <col min="522" max="522" width="8.140625" customWidth="1"/>
    <col min="523" max="523" width="5" customWidth="1"/>
    <col min="524" max="524" width="8.140625" customWidth="1"/>
    <col min="525" max="525" width="6" customWidth="1"/>
    <col min="527" max="527" width="6" customWidth="1"/>
    <col min="529" max="529" width="6" customWidth="1"/>
    <col min="531" max="531" width="6" customWidth="1"/>
    <col min="533" max="533" width="27.140625" bestFit="1" customWidth="1"/>
    <col min="534" max="534" width="11.7109375" bestFit="1" customWidth="1"/>
  </cols>
  <sheetData>
    <row r="1" spans="1:11" x14ac:dyDescent="0.2">
      <c r="B1" s="29" t="s">
        <v>2854</v>
      </c>
    </row>
    <row r="2" spans="1:11" x14ac:dyDescent="0.2">
      <c r="B2" t="s">
        <v>70</v>
      </c>
      <c r="D2" t="s">
        <v>48</v>
      </c>
      <c r="F2" t="s">
        <v>72</v>
      </c>
      <c r="H2" t="s">
        <v>49</v>
      </c>
      <c r="J2" t="s">
        <v>2857</v>
      </c>
      <c r="K2" t="s">
        <v>2858</v>
      </c>
    </row>
    <row r="3" spans="1:11" x14ac:dyDescent="0.2">
      <c r="A3" s="29" t="s">
        <v>2850</v>
      </c>
      <c r="B3" t="s">
        <v>2856</v>
      </c>
      <c r="C3" t="s">
        <v>2851</v>
      </c>
      <c r="D3" t="s">
        <v>2856</v>
      </c>
      <c r="E3" t="s">
        <v>2851</v>
      </c>
      <c r="F3" t="s">
        <v>2856</v>
      </c>
      <c r="G3" t="s">
        <v>2851</v>
      </c>
      <c r="H3" t="s">
        <v>2856</v>
      </c>
      <c r="I3" t="s">
        <v>2851</v>
      </c>
    </row>
    <row r="4" spans="1:11" x14ac:dyDescent="0.2">
      <c r="A4" s="28" t="s">
        <v>323</v>
      </c>
      <c r="B4">
        <v>2019</v>
      </c>
      <c r="C4">
        <v>1838</v>
      </c>
      <c r="D4">
        <v>454</v>
      </c>
      <c r="E4">
        <v>446</v>
      </c>
      <c r="H4">
        <v>512</v>
      </c>
      <c r="I4">
        <v>378</v>
      </c>
      <c r="J4">
        <v>2985</v>
      </c>
      <c r="K4">
        <v>2662</v>
      </c>
    </row>
    <row r="5" spans="1:11" x14ac:dyDescent="0.2">
      <c r="A5" s="28" t="s">
        <v>854</v>
      </c>
      <c r="B5">
        <v>3863</v>
      </c>
      <c r="C5">
        <v>3742</v>
      </c>
      <c r="D5">
        <v>268</v>
      </c>
      <c r="E5">
        <v>257</v>
      </c>
      <c r="F5">
        <v>0</v>
      </c>
      <c r="G5">
        <v>-1</v>
      </c>
      <c r="H5">
        <v>767</v>
      </c>
      <c r="I5">
        <v>703</v>
      </c>
      <c r="J5">
        <v>4898</v>
      </c>
      <c r="K5">
        <v>4701</v>
      </c>
    </row>
    <row r="6" spans="1:11" x14ac:dyDescent="0.2">
      <c r="A6" s="28" t="s">
        <v>1216</v>
      </c>
      <c r="B6">
        <v>6989</v>
      </c>
      <c r="C6">
        <v>6426</v>
      </c>
      <c r="D6">
        <v>1097</v>
      </c>
      <c r="E6">
        <v>1081</v>
      </c>
      <c r="H6">
        <v>1222</v>
      </c>
      <c r="I6">
        <v>537</v>
      </c>
      <c r="J6">
        <v>9308</v>
      </c>
      <c r="K6">
        <v>8044</v>
      </c>
    </row>
    <row r="7" spans="1:11" x14ac:dyDescent="0.2">
      <c r="A7" s="28" t="s">
        <v>2506</v>
      </c>
      <c r="B7">
        <v>236</v>
      </c>
      <c r="C7">
        <v>236</v>
      </c>
      <c r="D7">
        <v>28</v>
      </c>
      <c r="E7">
        <v>28</v>
      </c>
      <c r="H7">
        <v>109</v>
      </c>
      <c r="I7">
        <v>109</v>
      </c>
      <c r="J7">
        <v>373</v>
      </c>
      <c r="K7">
        <v>373</v>
      </c>
    </row>
    <row r="8" spans="1:11" x14ac:dyDescent="0.2">
      <c r="A8" s="28" t="s">
        <v>2522</v>
      </c>
      <c r="B8">
        <v>3507</v>
      </c>
      <c r="C8">
        <v>3507</v>
      </c>
      <c r="D8">
        <v>901</v>
      </c>
      <c r="E8">
        <v>901</v>
      </c>
      <c r="H8">
        <v>927</v>
      </c>
      <c r="I8">
        <v>927</v>
      </c>
      <c r="J8">
        <v>5335</v>
      </c>
      <c r="K8">
        <v>5335</v>
      </c>
    </row>
    <row r="9" spans="1:11" x14ac:dyDescent="0.2">
      <c r="A9" s="28" t="s">
        <v>2643</v>
      </c>
      <c r="F9">
        <v>4611</v>
      </c>
      <c r="G9">
        <v>4611</v>
      </c>
      <c r="J9">
        <v>4611</v>
      </c>
      <c r="K9">
        <v>4611</v>
      </c>
    </row>
    <row r="10" spans="1:11" x14ac:dyDescent="0.2">
      <c r="A10" s="28" t="s">
        <v>2641</v>
      </c>
      <c r="B10">
        <v>203</v>
      </c>
      <c r="C10">
        <v>203</v>
      </c>
      <c r="D10">
        <v>54</v>
      </c>
      <c r="E10">
        <v>54</v>
      </c>
      <c r="H10">
        <v>54</v>
      </c>
      <c r="I10">
        <v>54</v>
      </c>
      <c r="J10">
        <v>311</v>
      </c>
      <c r="K10">
        <v>311</v>
      </c>
    </row>
    <row r="11" spans="1:11" x14ac:dyDescent="0.2">
      <c r="A11" s="28" t="s">
        <v>2852</v>
      </c>
      <c r="B11">
        <v>16817</v>
      </c>
      <c r="C11">
        <v>15952</v>
      </c>
      <c r="D11">
        <v>2802</v>
      </c>
      <c r="E11">
        <v>2767</v>
      </c>
      <c r="F11">
        <v>4611</v>
      </c>
      <c r="G11">
        <v>4610</v>
      </c>
      <c r="H11">
        <v>3591</v>
      </c>
      <c r="I11">
        <v>2708</v>
      </c>
      <c r="J11">
        <v>27821</v>
      </c>
      <c r="K11">
        <v>26037</v>
      </c>
    </row>
  </sheetData>
  <printOptions horizontalCentered="1"/>
  <pageMargins left="0.39370078740157483" right="0.39370078740157483" top="0.39370078740157483" bottom="0.39370078740157483" header="0.19685039370078741" footer="0.19685039370078741"/>
  <pageSetup paperSize="9" scale="41" fitToHeight="0" orientation="landscape" r:id="rId2"/>
  <headerFooter alignWithMargins="0">
    <oddHeader>&amp;L&amp;"Calibri"&amp;10&amp;K000000Official&amp;1#</oddHeader>
    <oddFooter>&amp;C&amp;8&amp;P of &amp;N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1">
    <pageSetUpPr fitToPage="1"/>
  </sheetPr>
  <dimension ref="A1:I13"/>
  <sheetViews>
    <sheetView workbookViewId="0">
      <selection activeCell="B2" sqref="B2"/>
    </sheetView>
  </sheetViews>
  <sheetFormatPr defaultColWidth="9.140625" defaultRowHeight="12.75" x14ac:dyDescent="0.2"/>
  <cols>
    <col min="1" max="1" width="31.7109375" bestFit="1" customWidth="1"/>
    <col min="2" max="2" width="28.28515625" bestFit="1" customWidth="1"/>
    <col min="3" max="3" width="22.5703125" bestFit="1" customWidth="1"/>
    <col min="4" max="4" width="28.28515625" bestFit="1" customWidth="1"/>
    <col min="5" max="5" width="22.5703125" bestFit="1" customWidth="1"/>
    <col min="6" max="6" width="28.28515625" bestFit="1" customWidth="1"/>
    <col min="7" max="7" width="22.5703125" bestFit="1" customWidth="1"/>
    <col min="8" max="8" width="33.5703125" bestFit="1" customWidth="1"/>
    <col min="9" max="9" width="27.85546875" bestFit="1" customWidth="1"/>
    <col min="10" max="10" width="32.5703125" bestFit="1" customWidth="1"/>
    <col min="11" max="11" width="27" bestFit="1" customWidth="1"/>
    <col min="12" max="12" width="32.7109375" bestFit="1" customWidth="1"/>
    <col min="13" max="13" width="27.140625" bestFit="1" customWidth="1"/>
    <col min="14" max="36" width="3" customWidth="1"/>
    <col min="37" max="39" width="4" customWidth="1"/>
    <col min="40" max="45" width="3" customWidth="1"/>
    <col min="46" max="50" width="4" customWidth="1"/>
    <col min="51" max="51" width="18" customWidth="1"/>
    <col min="52" max="52" width="14.5703125" customWidth="1"/>
    <col min="53" max="58" width="4" customWidth="1"/>
    <col min="59" max="59" width="3" customWidth="1"/>
    <col min="60" max="62" width="4" customWidth="1"/>
    <col min="63" max="74" width="3" customWidth="1"/>
    <col min="75" max="75" width="3.5703125" customWidth="1"/>
    <col min="76" max="80" width="3" customWidth="1"/>
    <col min="81" max="81" width="4" customWidth="1"/>
    <col min="82" max="89" width="3" customWidth="1"/>
    <col min="90" max="90" width="4" customWidth="1"/>
    <col min="91" max="95" width="3" customWidth="1"/>
    <col min="96" max="97" width="4" customWidth="1"/>
    <col min="98" max="99" width="3" customWidth="1"/>
    <col min="100" max="100" width="4" customWidth="1"/>
    <col min="101" max="106" width="3" customWidth="1"/>
    <col min="107" max="107" width="4" customWidth="1"/>
    <col min="108" max="108" width="3" customWidth="1"/>
    <col min="109" max="110" width="4" customWidth="1"/>
    <col min="111" max="112" width="3" customWidth="1"/>
    <col min="113" max="113" width="4" customWidth="1"/>
    <col min="114" max="116" width="3" customWidth="1"/>
    <col min="117" max="119" width="4" customWidth="1"/>
    <col min="120" max="120" width="3" customWidth="1"/>
    <col min="121" max="121" width="4" customWidth="1"/>
    <col min="122" max="123" width="3" customWidth="1"/>
    <col min="124" max="180" width="4" customWidth="1"/>
    <col min="181" max="181" width="18" customWidth="1"/>
    <col min="182" max="182" width="23.85546875" customWidth="1"/>
    <col min="183" max="183" width="2" customWidth="1"/>
    <col min="184" max="188" width="3" customWidth="1"/>
    <col min="189" max="189" width="2" customWidth="1"/>
    <col min="190" max="207" width="3" customWidth="1"/>
    <col min="208" max="208" width="4" customWidth="1"/>
    <col min="209" max="215" width="3" customWidth="1"/>
    <col min="216" max="216" width="3.5703125" customWidth="1"/>
    <col min="217" max="221" width="3" customWidth="1"/>
    <col min="222" max="222" width="4" customWidth="1"/>
    <col min="223" max="223" width="3" customWidth="1"/>
    <col min="224" max="224" width="4" customWidth="1"/>
    <col min="225" max="232" width="3" customWidth="1"/>
    <col min="233" max="236" width="4" customWidth="1"/>
    <col min="237" max="237" width="27.140625" customWidth="1"/>
    <col min="238" max="238" width="11.7109375" customWidth="1"/>
    <col min="239" max="239" width="8.140625" customWidth="1"/>
    <col min="240" max="240" width="5" customWidth="1"/>
    <col min="241" max="241" width="8.140625" customWidth="1"/>
    <col min="242" max="242" width="5" customWidth="1"/>
    <col min="243" max="243" width="8.140625" customWidth="1"/>
    <col min="244" max="244" width="5" customWidth="1"/>
    <col min="245" max="245" width="8.140625" customWidth="1"/>
    <col min="246" max="246" width="5" customWidth="1"/>
    <col min="247" max="247" width="8.140625" customWidth="1"/>
    <col min="248" max="248" width="5" customWidth="1"/>
    <col min="249" max="249" width="8.140625" customWidth="1"/>
    <col min="250" max="250" width="5" customWidth="1"/>
    <col min="251" max="251" width="8.140625" customWidth="1"/>
    <col min="252" max="252" width="5" customWidth="1"/>
    <col min="253" max="253" width="8.140625" customWidth="1"/>
    <col min="254" max="254" width="5" customWidth="1"/>
    <col min="255" max="255" width="8.140625" customWidth="1"/>
    <col min="256" max="256" width="5" customWidth="1"/>
    <col min="257" max="257" width="8.140625" customWidth="1"/>
    <col min="258" max="258" width="5" customWidth="1"/>
    <col min="259" max="259" width="8.140625" customWidth="1"/>
    <col min="260" max="260" width="5" customWidth="1"/>
    <col min="261" max="261" width="8.140625" customWidth="1"/>
    <col min="262" max="262" width="5" customWidth="1"/>
    <col min="263" max="263" width="8.140625" customWidth="1"/>
    <col min="264" max="264" width="5" customWidth="1"/>
    <col min="265" max="265" width="8.140625" customWidth="1"/>
    <col min="266" max="266" width="5" customWidth="1"/>
    <col min="267" max="267" width="8.140625" customWidth="1"/>
    <col min="268" max="268" width="5" customWidth="1"/>
    <col min="269" max="269" width="8.140625" customWidth="1"/>
    <col min="270" max="270" width="5" customWidth="1"/>
    <col min="271" max="271" width="8.140625" customWidth="1"/>
    <col min="272" max="272" width="5" customWidth="1"/>
    <col min="273" max="273" width="8.140625" customWidth="1"/>
    <col min="274" max="274" width="5" customWidth="1"/>
    <col min="275" max="275" width="8.140625" customWidth="1"/>
    <col min="276" max="276" width="5" customWidth="1"/>
    <col min="277" max="277" width="8.140625" customWidth="1"/>
    <col min="278" max="278" width="5" customWidth="1"/>
    <col min="279" max="279" width="8.140625" customWidth="1"/>
    <col min="280" max="280" width="5" customWidth="1"/>
    <col min="281" max="281" width="8.140625" customWidth="1"/>
    <col min="282" max="282" width="5" customWidth="1"/>
    <col min="283" max="283" width="8.140625" customWidth="1"/>
    <col min="284" max="284" width="5" customWidth="1"/>
    <col min="285" max="285" width="8.140625" customWidth="1"/>
    <col min="286" max="286" width="5" customWidth="1"/>
    <col min="287" max="287" width="8.140625" customWidth="1"/>
    <col min="288" max="288" width="5" customWidth="1"/>
    <col min="289" max="289" width="8.140625" customWidth="1"/>
    <col min="290" max="290" width="5" customWidth="1"/>
    <col min="291" max="291" width="8.140625" customWidth="1"/>
    <col min="292" max="292" width="5" customWidth="1"/>
    <col min="293" max="293" width="8.140625" customWidth="1"/>
    <col min="294" max="294" width="5" customWidth="1"/>
    <col min="295" max="295" width="8.140625" customWidth="1"/>
    <col min="296" max="296" width="5" customWidth="1"/>
    <col min="297" max="297" width="8.140625" customWidth="1"/>
    <col min="298" max="298" width="5" customWidth="1"/>
    <col min="299" max="299" width="8.140625" customWidth="1"/>
    <col min="300" max="300" width="5" customWidth="1"/>
    <col min="301" max="301" width="8.140625" customWidth="1"/>
    <col min="302" max="302" width="5" customWidth="1"/>
    <col min="303" max="303" width="8.140625" customWidth="1"/>
    <col min="304" max="304" width="6" customWidth="1"/>
    <col min="306" max="306" width="6" customWidth="1"/>
    <col min="308" max="308" width="6" customWidth="1"/>
    <col min="310" max="310" width="6" customWidth="1"/>
    <col min="312" max="312" width="6" customWidth="1"/>
    <col min="314" max="314" width="6" customWidth="1"/>
    <col min="316" max="316" width="6" customWidth="1"/>
    <col min="318" max="318" width="6" customWidth="1"/>
    <col min="320" max="320" width="6" customWidth="1"/>
    <col min="322" max="322" width="6" customWidth="1"/>
    <col min="324" max="324" width="6" customWidth="1"/>
    <col min="325" max="325" width="4" customWidth="1"/>
    <col min="327" max="327" width="6" customWidth="1"/>
    <col min="329" max="329" width="6" customWidth="1"/>
    <col min="331" max="331" width="6" customWidth="1"/>
    <col min="333" max="333" width="6" customWidth="1"/>
    <col min="335" max="335" width="6" customWidth="1"/>
    <col min="337" max="337" width="6" customWidth="1"/>
    <col min="339" max="339" width="6" customWidth="1"/>
    <col min="341" max="341" width="6" customWidth="1"/>
    <col min="343" max="343" width="6" customWidth="1"/>
    <col min="345" max="345" width="6" customWidth="1"/>
    <col min="347" max="347" width="6" customWidth="1"/>
    <col min="349" max="349" width="6" customWidth="1"/>
    <col min="351" max="351" width="6" customWidth="1"/>
    <col min="353" max="353" width="6" customWidth="1"/>
    <col min="355" max="355" width="6" customWidth="1"/>
    <col min="357" max="357" width="6" customWidth="1"/>
    <col min="359" max="359" width="6" customWidth="1"/>
    <col min="361" max="361" width="6" customWidth="1"/>
    <col min="363" max="363" width="6" customWidth="1"/>
    <col min="365" max="365" width="6" customWidth="1"/>
    <col min="367" max="367" width="6" customWidth="1"/>
    <col min="369" max="369" width="6" customWidth="1"/>
    <col min="371" max="371" width="6" customWidth="1"/>
    <col min="373" max="373" width="6" customWidth="1"/>
    <col min="375" max="375" width="6" customWidth="1"/>
    <col min="377" max="377" width="6" customWidth="1"/>
    <col min="379" max="379" width="6" customWidth="1"/>
    <col min="381" max="381" width="6" customWidth="1"/>
    <col min="383" max="383" width="6" customWidth="1"/>
    <col min="385" max="385" width="6" customWidth="1"/>
    <col min="387" max="387" width="6" customWidth="1"/>
    <col min="389" max="389" width="6" customWidth="1"/>
    <col min="391" max="391" width="6" customWidth="1"/>
    <col min="393" max="393" width="6" customWidth="1"/>
    <col min="395" max="395" width="6" customWidth="1"/>
    <col min="397" max="397" width="6" customWidth="1"/>
    <col min="399" max="399" width="6" customWidth="1"/>
    <col min="401" max="401" width="6" customWidth="1"/>
    <col min="403" max="403" width="6" customWidth="1"/>
    <col min="405" max="405" width="6" customWidth="1"/>
    <col min="407" max="407" width="6" customWidth="1"/>
    <col min="409" max="409" width="6" customWidth="1"/>
    <col min="411" max="411" width="6" customWidth="1"/>
    <col min="413" max="413" width="6" customWidth="1"/>
    <col min="415" max="415" width="6" customWidth="1"/>
    <col min="417" max="417" width="6" customWidth="1"/>
    <col min="419" max="419" width="18" customWidth="1"/>
    <col min="420" max="420" width="23.85546875" customWidth="1"/>
    <col min="421" max="421" width="3.5703125" customWidth="1"/>
    <col min="422" max="422" width="2" customWidth="1"/>
    <col min="423" max="423" width="7.140625" customWidth="1"/>
    <col min="424" max="424" width="4" customWidth="1"/>
    <col min="425" max="425" width="7.140625" customWidth="1"/>
    <col min="426" max="426" width="4" customWidth="1"/>
    <col min="427" max="427" width="7.140625" customWidth="1"/>
    <col min="428" max="428" width="4" customWidth="1"/>
    <col min="429" max="429" width="7.140625" customWidth="1"/>
    <col min="430" max="430" width="4" customWidth="1"/>
    <col min="431" max="431" width="7.140625" customWidth="1"/>
    <col min="432" max="432" width="4" customWidth="1"/>
    <col min="433" max="433" width="7.140625" customWidth="1"/>
    <col min="434" max="434" width="4" customWidth="1"/>
    <col min="435" max="435" width="7.140625" customWidth="1"/>
    <col min="436" max="436" width="4" customWidth="1"/>
    <col min="437" max="437" width="7.140625" customWidth="1"/>
    <col min="438" max="438" width="4" customWidth="1"/>
    <col min="439" max="439" width="7.140625" customWidth="1"/>
    <col min="440" max="440" width="4" customWidth="1"/>
    <col min="441" max="441" width="7.140625" customWidth="1"/>
    <col min="442" max="442" width="5" customWidth="1"/>
    <col min="443" max="443" width="8.140625" customWidth="1"/>
    <col min="444" max="444" width="5" customWidth="1"/>
    <col min="445" max="445" width="8.140625" customWidth="1"/>
    <col min="446" max="446" width="5" customWidth="1"/>
    <col min="447" max="447" width="8.140625" customWidth="1"/>
    <col min="448" max="448" width="5" customWidth="1"/>
    <col min="449" max="449" width="8.140625" customWidth="1"/>
    <col min="450" max="450" width="5" customWidth="1"/>
    <col min="451" max="451" width="8.140625" customWidth="1"/>
    <col min="452" max="452" width="5" customWidth="1"/>
    <col min="453" max="453" width="8.140625" customWidth="1"/>
    <col min="454" max="454" width="5" customWidth="1"/>
    <col min="455" max="455" width="8.140625" customWidth="1"/>
    <col min="456" max="456" width="5" customWidth="1"/>
    <col min="457" max="457" width="8.140625" customWidth="1"/>
    <col min="458" max="458" width="5" customWidth="1"/>
    <col min="459" max="459" width="8.140625" customWidth="1"/>
    <col min="460" max="460" width="5" customWidth="1"/>
    <col min="461" max="461" width="8.140625" customWidth="1"/>
    <col min="462" max="462" width="5" customWidth="1"/>
    <col min="463" max="463" width="8.140625" customWidth="1"/>
    <col min="464" max="464" width="5" customWidth="1"/>
    <col min="465" max="465" width="8.140625" customWidth="1"/>
    <col min="466" max="466" width="5" customWidth="1"/>
    <col min="467" max="467" width="8.140625" customWidth="1"/>
    <col min="468" max="468" width="5" customWidth="1"/>
    <col min="469" max="469" width="8.140625" customWidth="1"/>
    <col min="470" max="470" width="5" customWidth="1"/>
    <col min="471" max="471" width="8.140625" customWidth="1"/>
    <col min="472" max="472" width="5" customWidth="1"/>
    <col min="473" max="473" width="8.140625" customWidth="1"/>
    <col min="474" max="474" width="5" customWidth="1"/>
    <col min="475" max="475" width="8.140625" customWidth="1"/>
    <col min="476" max="476" width="5" customWidth="1"/>
    <col min="477" max="477" width="8.140625" customWidth="1"/>
    <col min="478" max="478" width="5" customWidth="1"/>
    <col min="479" max="479" width="8.140625" customWidth="1"/>
    <col min="480" max="480" width="5" customWidth="1"/>
    <col min="481" max="481" width="8.140625" customWidth="1"/>
    <col min="482" max="482" width="5" customWidth="1"/>
    <col min="483" max="483" width="8.140625" customWidth="1"/>
    <col min="484" max="484" width="5" customWidth="1"/>
    <col min="485" max="485" width="8.140625" customWidth="1"/>
    <col min="486" max="486" width="5" customWidth="1"/>
    <col min="487" max="487" width="8.140625" customWidth="1"/>
    <col min="488" max="488" width="5" customWidth="1"/>
    <col min="489" max="489" width="8.140625" customWidth="1"/>
    <col min="490" max="490" width="5" customWidth="1"/>
    <col min="491" max="491" width="3" customWidth="1"/>
    <col min="492" max="492" width="8.140625" customWidth="1"/>
    <col min="493" max="493" width="5" customWidth="1"/>
    <col min="494" max="494" width="8.140625" customWidth="1"/>
    <col min="495" max="495" width="5" customWidth="1"/>
    <col min="496" max="496" width="8.140625" customWidth="1"/>
    <col min="497" max="497" width="5" customWidth="1"/>
    <col min="498" max="498" width="8.140625" customWidth="1"/>
    <col min="499" max="499" width="5" customWidth="1"/>
    <col min="500" max="500" width="8.140625" customWidth="1"/>
    <col min="501" max="501" width="5" customWidth="1"/>
    <col min="502" max="502" width="8.140625" customWidth="1"/>
    <col min="503" max="503" width="5" customWidth="1"/>
    <col min="504" max="504" width="8.140625" customWidth="1"/>
    <col min="505" max="505" width="5" customWidth="1"/>
    <col min="506" max="506" width="8.140625" customWidth="1"/>
    <col min="507" max="507" width="5" customWidth="1"/>
    <col min="508" max="508" width="8.140625" customWidth="1"/>
    <col min="509" max="509" width="5" customWidth="1"/>
    <col min="510" max="510" width="8.140625" customWidth="1"/>
    <col min="511" max="511" width="5" customWidth="1"/>
    <col min="512" max="512" width="8.140625" customWidth="1"/>
    <col min="513" max="513" width="5" customWidth="1"/>
    <col min="514" max="514" width="8.140625" customWidth="1"/>
    <col min="515" max="515" width="5" customWidth="1"/>
    <col min="516" max="516" width="8.140625" customWidth="1"/>
    <col min="517" max="517" width="5" customWidth="1"/>
    <col min="518" max="518" width="8.140625" customWidth="1"/>
    <col min="519" max="519" width="5" customWidth="1"/>
    <col min="520" max="520" width="8.140625" customWidth="1"/>
    <col min="521" max="521" width="5" customWidth="1"/>
    <col min="522" max="522" width="8.140625" customWidth="1"/>
    <col min="523" max="523" width="5" customWidth="1"/>
    <col min="524" max="524" width="8.140625" customWidth="1"/>
    <col min="525" max="525" width="6" customWidth="1"/>
    <col min="527" max="527" width="6" customWidth="1"/>
    <col min="529" max="529" width="6" customWidth="1"/>
    <col min="531" max="531" width="6" customWidth="1"/>
    <col min="533" max="533" width="27.140625" customWidth="1"/>
    <col min="534" max="534" width="11.7109375" customWidth="1"/>
  </cols>
  <sheetData>
    <row r="1" spans="1:9" x14ac:dyDescent="0.2">
      <c r="A1" s="29" t="s">
        <v>273</v>
      </c>
      <c r="B1" t="s">
        <v>2855</v>
      </c>
    </row>
    <row r="2" spans="1:9" x14ac:dyDescent="0.2">
      <c r="A2" s="29" t="s">
        <v>274</v>
      </c>
      <c r="B2" t="s">
        <v>2855</v>
      </c>
    </row>
    <row r="4" spans="1:9" x14ac:dyDescent="0.2">
      <c r="B4" s="29" t="s">
        <v>2854</v>
      </c>
    </row>
    <row r="5" spans="1:9" x14ac:dyDescent="0.2">
      <c r="B5" t="s">
        <v>70</v>
      </c>
      <c r="D5" t="s">
        <v>48</v>
      </c>
      <c r="F5" t="s">
        <v>49</v>
      </c>
      <c r="H5" t="s">
        <v>2857</v>
      </c>
      <c r="I5" t="s">
        <v>2858</v>
      </c>
    </row>
    <row r="6" spans="1:9" x14ac:dyDescent="0.2">
      <c r="A6" s="29" t="s">
        <v>2850</v>
      </c>
      <c r="B6" t="s">
        <v>2856</v>
      </c>
      <c r="C6" t="s">
        <v>2851</v>
      </c>
      <c r="D6" t="s">
        <v>2856</v>
      </c>
      <c r="E6" t="s">
        <v>2851</v>
      </c>
      <c r="F6" t="s">
        <v>2856</v>
      </c>
      <c r="G6" t="s">
        <v>2851</v>
      </c>
    </row>
    <row r="7" spans="1:9" x14ac:dyDescent="0.2">
      <c r="A7" s="28" t="s">
        <v>323</v>
      </c>
      <c r="B7">
        <v>1777</v>
      </c>
      <c r="C7">
        <v>1734</v>
      </c>
      <c r="D7">
        <v>448</v>
      </c>
      <c r="E7">
        <v>440</v>
      </c>
      <c r="F7">
        <v>504</v>
      </c>
      <c r="G7">
        <v>385</v>
      </c>
      <c r="H7">
        <v>2729</v>
      </c>
      <c r="I7">
        <v>2559</v>
      </c>
    </row>
    <row r="8" spans="1:9" x14ac:dyDescent="0.2">
      <c r="A8" s="28" t="s">
        <v>854</v>
      </c>
      <c r="B8">
        <v>3475</v>
      </c>
      <c r="C8">
        <v>3453</v>
      </c>
      <c r="D8">
        <v>268</v>
      </c>
      <c r="E8">
        <v>257</v>
      </c>
      <c r="F8">
        <v>767</v>
      </c>
      <c r="G8">
        <v>703</v>
      </c>
      <c r="H8">
        <v>4510</v>
      </c>
      <c r="I8">
        <v>4413</v>
      </c>
    </row>
    <row r="9" spans="1:9" x14ac:dyDescent="0.2">
      <c r="A9" s="28" t="s">
        <v>1216</v>
      </c>
      <c r="B9">
        <v>6404</v>
      </c>
      <c r="C9">
        <v>6018</v>
      </c>
      <c r="D9">
        <v>1096</v>
      </c>
      <c r="E9">
        <v>1082</v>
      </c>
      <c r="F9">
        <v>1221</v>
      </c>
      <c r="G9">
        <v>536</v>
      </c>
      <c r="H9">
        <v>8721</v>
      </c>
      <c r="I9">
        <v>7636</v>
      </c>
    </row>
    <row r="10" spans="1:9" x14ac:dyDescent="0.2">
      <c r="A10" s="28" t="s">
        <v>2506</v>
      </c>
      <c r="B10">
        <v>204</v>
      </c>
      <c r="C10">
        <v>204</v>
      </c>
      <c r="D10">
        <v>28</v>
      </c>
      <c r="E10">
        <v>28</v>
      </c>
      <c r="F10">
        <v>109</v>
      </c>
      <c r="G10">
        <v>109</v>
      </c>
      <c r="H10">
        <v>341</v>
      </c>
      <c r="I10">
        <v>341</v>
      </c>
    </row>
    <row r="11" spans="1:9" x14ac:dyDescent="0.2">
      <c r="A11" s="28" t="s">
        <v>2522</v>
      </c>
      <c r="B11">
        <v>3507</v>
      </c>
      <c r="C11">
        <v>3507</v>
      </c>
      <c r="D11">
        <v>901</v>
      </c>
      <c r="E11">
        <v>901</v>
      </c>
      <c r="F11">
        <v>927</v>
      </c>
      <c r="G11">
        <v>927</v>
      </c>
      <c r="H11">
        <v>5335</v>
      </c>
      <c r="I11">
        <v>5335</v>
      </c>
    </row>
    <row r="12" spans="1:9" x14ac:dyDescent="0.2">
      <c r="A12" s="28" t="s">
        <v>2641</v>
      </c>
      <c r="B12">
        <v>203</v>
      </c>
      <c r="C12">
        <v>203</v>
      </c>
      <c r="D12">
        <v>54</v>
      </c>
      <c r="E12">
        <v>54</v>
      </c>
      <c r="F12">
        <v>54</v>
      </c>
      <c r="G12">
        <v>54</v>
      </c>
      <c r="H12">
        <v>311</v>
      </c>
      <c r="I12">
        <v>311</v>
      </c>
    </row>
    <row r="13" spans="1:9" x14ac:dyDescent="0.2">
      <c r="A13" s="28" t="s">
        <v>2852</v>
      </c>
      <c r="B13">
        <v>15570</v>
      </c>
      <c r="C13">
        <v>15119</v>
      </c>
      <c r="D13">
        <v>2795</v>
      </c>
      <c r="E13">
        <v>2762</v>
      </c>
      <c r="F13">
        <v>3582</v>
      </c>
      <c r="G13">
        <v>2714</v>
      </c>
      <c r="H13">
        <v>21947</v>
      </c>
      <c r="I13">
        <v>20595</v>
      </c>
    </row>
  </sheetData>
  <printOptions horizontalCentered="1"/>
  <pageMargins left="0.39370078740157483" right="0.39370078740157483" top="0.39370078740157483" bottom="0.39370078740157483" header="0.19685039370078741" footer="0.19685039370078741"/>
  <pageSetup paperSize="9" scale="48" fitToHeight="0" orientation="landscape" r:id="rId2"/>
  <headerFooter alignWithMargins="0">
    <oddHeader>&amp;L&amp;"Calibri"&amp;10&amp;K000000Official&amp;1#</oddHeader>
    <oddFooter>&amp;C&amp;8&amp;P of &amp;N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2">
    <pageSetUpPr fitToPage="1"/>
  </sheetPr>
  <dimension ref="A1:B7"/>
  <sheetViews>
    <sheetView workbookViewId="0">
      <selection activeCell="B4" sqref="B4:B6"/>
    </sheetView>
  </sheetViews>
  <sheetFormatPr defaultRowHeight="12.75" x14ac:dyDescent="0.2"/>
  <cols>
    <col min="1" max="1" width="21.42578125" bestFit="1" customWidth="1"/>
    <col min="2" max="3" width="22.5703125" bestFit="1" customWidth="1"/>
    <col min="4" max="4" width="28.28515625" bestFit="1" customWidth="1"/>
    <col min="5" max="5" width="22.5703125" bestFit="1" customWidth="1"/>
    <col min="6" max="6" width="28.28515625" customWidth="1"/>
    <col min="7" max="7" width="22.5703125" customWidth="1"/>
    <col min="8" max="8" width="28.28515625" bestFit="1" customWidth="1"/>
    <col min="9" max="9" width="22.5703125" bestFit="1" customWidth="1"/>
    <col min="10" max="10" width="33.5703125" bestFit="1" customWidth="1"/>
    <col min="11" max="11" width="27.85546875" bestFit="1" customWidth="1"/>
  </cols>
  <sheetData>
    <row r="1" spans="1:2" x14ac:dyDescent="0.2">
      <c r="A1" s="29" t="s">
        <v>269</v>
      </c>
      <c r="B1" t="s">
        <v>327</v>
      </c>
    </row>
    <row r="3" spans="1:2" x14ac:dyDescent="0.2">
      <c r="A3" s="29" t="s">
        <v>2850</v>
      </c>
      <c r="B3" t="s">
        <v>2851</v>
      </c>
    </row>
    <row r="4" spans="1:2" x14ac:dyDescent="0.2">
      <c r="A4" s="28" t="s">
        <v>323</v>
      </c>
      <c r="B4">
        <v>17</v>
      </c>
    </row>
    <row r="5" spans="1:2" x14ac:dyDescent="0.2">
      <c r="A5" s="28" t="s">
        <v>854</v>
      </c>
      <c r="B5">
        <v>1213</v>
      </c>
    </row>
    <row r="6" spans="1:2" x14ac:dyDescent="0.2">
      <c r="A6" s="28" t="s">
        <v>1216</v>
      </c>
      <c r="B6">
        <v>425</v>
      </c>
    </row>
    <row r="7" spans="1:2" x14ac:dyDescent="0.2">
      <c r="A7" s="28" t="s">
        <v>2852</v>
      </c>
      <c r="B7">
        <v>1655</v>
      </c>
    </row>
  </sheetData>
  <printOptions horizontalCentered="1"/>
  <pageMargins left="0.39370078740157483" right="0.39370078740157483" top="0.39370078740157483" bottom="0.39370078740157483" header="0.19685039370078741" footer="0.19685039370078741"/>
  <pageSetup paperSize="9" scale="64" fitToHeight="0" orientation="landscape" r:id="rId2"/>
  <headerFooter alignWithMargins="0">
    <oddHeader>&amp;L&amp;"Calibri"&amp;10&amp;K000000Official&amp;1#</oddHeader>
    <oddFooter>&amp;C&amp;8&amp;P of &amp;N</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3">
    <pageSetUpPr fitToPage="1"/>
  </sheetPr>
  <dimension ref="A1:B6"/>
  <sheetViews>
    <sheetView workbookViewId="0">
      <selection activeCell="B2" sqref="B2"/>
    </sheetView>
  </sheetViews>
  <sheetFormatPr defaultColWidth="9.140625" defaultRowHeight="12.75" x14ac:dyDescent="0.2"/>
  <cols>
    <col min="1" max="1" width="19.7109375" bestFit="1" customWidth="1"/>
    <col min="2" max="2" width="22.5703125" bestFit="1" customWidth="1"/>
    <col min="3" max="3" width="12.5703125" customWidth="1"/>
    <col min="4" max="4" width="21.85546875" customWidth="1"/>
    <col min="5" max="5" width="11.7109375" customWidth="1"/>
    <col min="6" max="6" width="28.28515625" customWidth="1"/>
    <col min="7" max="7" width="22.5703125" customWidth="1"/>
    <col min="8" max="8" width="33.5703125" customWidth="1"/>
    <col min="9" max="9" width="27.85546875" customWidth="1"/>
  </cols>
  <sheetData>
    <row r="1" spans="1:2" x14ac:dyDescent="0.2">
      <c r="A1" s="29" t="s">
        <v>277</v>
      </c>
      <c r="B1" t="s">
        <v>327</v>
      </c>
    </row>
    <row r="3" spans="1:2" x14ac:dyDescent="0.2">
      <c r="A3" s="29" t="s">
        <v>2850</v>
      </c>
      <c r="B3" t="s">
        <v>2851</v>
      </c>
    </row>
    <row r="4" spans="1:2" x14ac:dyDescent="0.2">
      <c r="A4" s="28" t="s">
        <v>323</v>
      </c>
      <c r="B4">
        <v>-43</v>
      </c>
    </row>
    <row r="5" spans="1:2" x14ac:dyDescent="0.2">
      <c r="A5" s="28" t="s">
        <v>854</v>
      </c>
      <c r="B5">
        <v>840</v>
      </c>
    </row>
    <row r="6" spans="1:2" x14ac:dyDescent="0.2">
      <c r="A6" s="28" t="s">
        <v>2852</v>
      </c>
      <c r="B6">
        <v>797</v>
      </c>
    </row>
  </sheetData>
  <printOptions horizontalCentered="1"/>
  <pageMargins left="0.39370078740157483" right="0.39370078740157483" top="0.39370078740157483" bottom="0.39370078740157483" header="0.19685039370078741" footer="0.19685039370078741"/>
  <pageSetup paperSize="9" fitToHeight="0" orientation="landscape" r:id="rId2"/>
  <headerFooter alignWithMargins="0">
    <oddHeader>&amp;L&amp;"Calibri"&amp;10&amp;K000000Official&amp;1#</oddHeader>
    <oddFooter>&amp;C&amp;8&amp;P of &amp;N</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4">
    <pageSetUpPr fitToPage="1"/>
  </sheetPr>
  <dimension ref="A1:C9"/>
  <sheetViews>
    <sheetView workbookViewId="0">
      <selection activeCell="C7" sqref="C7"/>
    </sheetView>
  </sheetViews>
  <sheetFormatPr defaultRowHeight="12.75" x14ac:dyDescent="0.2"/>
  <cols>
    <col min="1" max="1" width="31.7109375" bestFit="1" customWidth="1"/>
    <col min="2" max="2" width="22.5703125" bestFit="1" customWidth="1"/>
    <col min="3" max="3" width="28.28515625" bestFit="1" customWidth="1"/>
    <col min="4" max="4" width="5" customWidth="1"/>
    <col min="5" max="5" width="4.5703125" customWidth="1"/>
    <col min="6" max="6" width="4.42578125" customWidth="1"/>
    <col min="7" max="7" width="11.7109375" bestFit="1" customWidth="1"/>
  </cols>
  <sheetData>
    <row r="1" spans="1:3" x14ac:dyDescent="0.2">
      <c r="A1" s="29" t="s">
        <v>269</v>
      </c>
      <c r="B1" t="s">
        <v>327</v>
      </c>
    </row>
    <row r="2" spans="1:3" x14ac:dyDescent="0.2">
      <c r="A2" s="29" t="s">
        <v>273</v>
      </c>
      <c r="B2" t="s">
        <v>2855</v>
      </c>
    </row>
    <row r="3" spans="1:3" x14ac:dyDescent="0.2">
      <c r="A3" s="29" t="s">
        <v>274</v>
      </c>
      <c r="B3" t="s">
        <v>2855</v>
      </c>
    </row>
    <row r="5" spans="1:3" x14ac:dyDescent="0.2">
      <c r="A5" s="29" t="s">
        <v>2850</v>
      </c>
      <c r="B5" t="s">
        <v>2851</v>
      </c>
      <c r="C5" t="s">
        <v>2856</v>
      </c>
    </row>
    <row r="6" spans="1:3" x14ac:dyDescent="0.2">
      <c r="A6" s="28" t="s">
        <v>323</v>
      </c>
      <c r="B6">
        <v>1</v>
      </c>
      <c r="C6">
        <v>73</v>
      </c>
    </row>
    <row r="7" spans="1:3" x14ac:dyDescent="0.2">
      <c r="A7" s="28" t="s">
        <v>854</v>
      </c>
      <c r="B7">
        <v>1171</v>
      </c>
      <c r="C7">
        <v>1173</v>
      </c>
    </row>
    <row r="8" spans="1:3" x14ac:dyDescent="0.2">
      <c r="A8" s="28" t="s">
        <v>1216</v>
      </c>
      <c r="B8">
        <v>348</v>
      </c>
      <c r="C8">
        <v>359</v>
      </c>
    </row>
    <row r="9" spans="1:3" x14ac:dyDescent="0.2">
      <c r="A9" s="28" t="s">
        <v>2852</v>
      </c>
      <c r="B9">
        <v>1520</v>
      </c>
      <c r="C9">
        <v>1605</v>
      </c>
    </row>
  </sheetData>
  <printOptions horizontalCentered="1"/>
  <pageMargins left="0.39370078740157483" right="0.39370078740157483" top="0.39370078740157483" bottom="0.39370078740157483" header="0.19685039370078741" footer="0.19685039370078741"/>
  <pageSetup paperSize="9" fitToHeight="0" orientation="landscape" r:id="rId2"/>
  <headerFooter alignWithMargins="0">
    <oddHeader>&amp;L&amp;"Calibri"&amp;10&amp;K000000Official&amp;1#</oddHeader>
    <oddFooter>&amp;C&amp;8&amp;P of &amp;N</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5">
    <pageSetUpPr fitToPage="1"/>
  </sheetPr>
  <dimension ref="A1:C9"/>
  <sheetViews>
    <sheetView workbookViewId="0">
      <selection activeCell="C7" sqref="C7"/>
    </sheetView>
  </sheetViews>
  <sheetFormatPr defaultColWidth="9.140625" defaultRowHeight="12.75" x14ac:dyDescent="0.2"/>
  <cols>
    <col min="1" max="1" width="31.7109375" bestFit="1" customWidth="1"/>
    <col min="2" max="2" width="22.5703125" bestFit="1" customWidth="1"/>
    <col min="3" max="3" width="28.28515625" bestFit="1" customWidth="1"/>
    <col min="4" max="4" width="5" customWidth="1"/>
    <col min="5" max="5" width="4.5703125" customWidth="1"/>
    <col min="6" max="6" width="4.42578125" customWidth="1"/>
    <col min="7" max="7" width="11.7109375" customWidth="1"/>
  </cols>
  <sheetData>
    <row r="1" spans="1:3" x14ac:dyDescent="0.2">
      <c r="A1" s="29" t="s">
        <v>269</v>
      </c>
      <c r="B1" t="s">
        <v>327</v>
      </c>
    </row>
    <row r="2" spans="1:3" x14ac:dyDescent="0.2">
      <c r="A2" s="29" t="s">
        <v>273</v>
      </c>
      <c r="B2" t="s">
        <v>2855</v>
      </c>
    </row>
    <row r="3" spans="1:3" x14ac:dyDescent="0.2">
      <c r="A3" s="29" t="s">
        <v>274</v>
      </c>
      <c r="B3" t="s">
        <v>2855</v>
      </c>
    </row>
    <row r="5" spans="1:3" x14ac:dyDescent="0.2">
      <c r="A5" s="29" t="s">
        <v>2850</v>
      </c>
      <c r="B5" t="s">
        <v>2851</v>
      </c>
      <c r="C5" t="s">
        <v>2856</v>
      </c>
    </row>
    <row r="6" spans="1:3" x14ac:dyDescent="0.2">
      <c r="A6" s="28" t="s">
        <v>323</v>
      </c>
      <c r="B6">
        <v>16</v>
      </c>
      <c r="C6">
        <v>39</v>
      </c>
    </row>
    <row r="7" spans="1:3" x14ac:dyDescent="0.2">
      <c r="A7" s="28" t="s">
        <v>854</v>
      </c>
      <c r="B7">
        <v>42</v>
      </c>
      <c r="C7">
        <v>67</v>
      </c>
    </row>
    <row r="8" spans="1:3" x14ac:dyDescent="0.2">
      <c r="A8" s="28" t="s">
        <v>1216</v>
      </c>
      <c r="B8">
        <v>77</v>
      </c>
      <c r="C8">
        <v>142</v>
      </c>
    </row>
    <row r="9" spans="1:3" x14ac:dyDescent="0.2">
      <c r="A9" s="28" t="s">
        <v>2852</v>
      </c>
      <c r="B9">
        <v>135</v>
      </c>
      <c r="C9">
        <v>248</v>
      </c>
    </row>
  </sheetData>
  <printOptions horizontalCentered="1"/>
  <pageMargins left="0.39370078740157483" right="0.39370078740157483" top="0.39370078740157483" bottom="0.39370078740157483" header="0.19685039370078741" footer="0.19685039370078741"/>
  <pageSetup paperSize="9" fitToHeight="0" orientation="landscape" r:id="rId2"/>
  <headerFooter alignWithMargins="0">
    <oddHeader>&amp;L&amp;"Calibri"&amp;10&amp;K000000Official&amp;1#</oddHeader>
    <oddFooter>&amp;C&amp;8&amp;P of &amp;N</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6">
    <pageSetUpPr fitToPage="1"/>
  </sheetPr>
  <dimension ref="A1:B8"/>
  <sheetViews>
    <sheetView workbookViewId="0">
      <selection activeCell="C7" sqref="C7"/>
    </sheetView>
  </sheetViews>
  <sheetFormatPr defaultRowHeight="12.75" x14ac:dyDescent="0.2"/>
  <cols>
    <col min="1" max="1" width="31.7109375" bestFit="1" customWidth="1"/>
    <col min="2" max="2" width="22.5703125" bestFit="1" customWidth="1"/>
    <col min="3" max="4" width="5" customWidth="1"/>
    <col min="5" max="5" width="4.5703125" customWidth="1"/>
    <col min="6" max="6" width="4.42578125" customWidth="1"/>
    <col min="7" max="7" width="11.7109375" bestFit="1" customWidth="1"/>
  </cols>
  <sheetData>
    <row r="1" spans="1:2" x14ac:dyDescent="0.2">
      <c r="A1" s="29" t="s">
        <v>273</v>
      </c>
      <c r="B1" t="s">
        <v>2855</v>
      </c>
    </row>
    <row r="2" spans="1:2" x14ac:dyDescent="0.2">
      <c r="A2" s="29" t="s">
        <v>274</v>
      </c>
      <c r="B2" t="s">
        <v>2855</v>
      </c>
    </row>
    <row r="3" spans="1:2" x14ac:dyDescent="0.2">
      <c r="A3" s="29" t="s">
        <v>277</v>
      </c>
      <c r="B3" t="s">
        <v>327</v>
      </c>
    </row>
    <row r="5" spans="1:2" x14ac:dyDescent="0.2">
      <c r="A5" s="29" t="s">
        <v>2850</v>
      </c>
      <c r="B5" t="s">
        <v>2851</v>
      </c>
    </row>
    <row r="6" spans="1:2" x14ac:dyDescent="0.2">
      <c r="A6" s="28" t="s">
        <v>323</v>
      </c>
      <c r="B6">
        <v>-78</v>
      </c>
    </row>
    <row r="7" spans="1:2" x14ac:dyDescent="0.2">
      <c r="A7" s="28" t="s">
        <v>854</v>
      </c>
      <c r="B7">
        <v>752</v>
      </c>
    </row>
    <row r="8" spans="1:2" x14ac:dyDescent="0.2">
      <c r="A8" s="28" t="s">
        <v>2852</v>
      </c>
      <c r="B8">
        <v>674</v>
      </c>
    </row>
  </sheetData>
  <printOptions horizontalCentered="1"/>
  <pageMargins left="0.39370078740157483" right="0.39370078740157483" top="0.39370078740157483" bottom="0.39370078740157483" header="0.19685039370078741" footer="0.19685039370078741"/>
  <pageSetup paperSize="9" fitToHeight="0" orientation="landscape" r:id="rId2"/>
  <headerFooter alignWithMargins="0">
    <oddHeader>&amp;L&amp;"Calibri"&amp;10&amp;K000000Official&amp;1#</oddHeader>
    <oddFooter>&amp;C&amp;8&amp;P of &amp;N</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pageSetUpPr fitToPage="1"/>
  </sheetPr>
  <dimension ref="A1:B8"/>
  <sheetViews>
    <sheetView workbookViewId="0">
      <selection activeCell="C7" sqref="C7"/>
    </sheetView>
  </sheetViews>
  <sheetFormatPr defaultColWidth="9.140625" defaultRowHeight="12.75" x14ac:dyDescent="0.2"/>
  <cols>
    <col min="1" max="1" width="31" bestFit="1" customWidth="1"/>
    <col min="2" max="2" width="22" bestFit="1" customWidth="1"/>
    <col min="3" max="4" width="5" customWidth="1"/>
    <col min="5" max="5" width="4.5703125" customWidth="1"/>
    <col min="6" max="6" width="4.42578125" customWidth="1"/>
    <col min="7" max="7" width="11.7109375" customWidth="1"/>
  </cols>
  <sheetData>
    <row r="1" spans="1:2" x14ac:dyDescent="0.2">
      <c r="A1" s="29" t="s">
        <v>273</v>
      </c>
      <c r="B1" t="s">
        <v>2855</v>
      </c>
    </row>
    <row r="2" spans="1:2" x14ac:dyDescent="0.2">
      <c r="A2" s="29" t="s">
        <v>274</v>
      </c>
      <c r="B2" t="s">
        <v>2855</v>
      </c>
    </row>
    <row r="3" spans="1:2" x14ac:dyDescent="0.2">
      <c r="A3" s="29" t="s">
        <v>277</v>
      </c>
      <c r="B3" t="s">
        <v>327</v>
      </c>
    </row>
    <row r="5" spans="1:2" x14ac:dyDescent="0.2">
      <c r="A5" s="29" t="s">
        <v>2850</v>
      </c>
      <c r="B5" t="s">
        <v>2851</v>
      </c>
    </row>
    <row r="6" spans="1:2" x14ac:dyDescent="0.2">
      <c r="A6" s="28" t="s">
        <v>323</v>
      </c>
      <c r="B6">
        <v>35</v>
      </c>
    </row>
    <row r="7" spans="1:2" x14ac:dyDescent="0.2">
      <c r="A7" s="28" t="s">
        <v>854</v>
      </c>
      <c r="B7">
        <v>88</v>
      </c>
    </row>
    <row r="8" spans="1:2" x14ac:dyDescent="0.2">
      <c r="A8" s="28" t="s">
        <v>2852</v>
      </c>
      <c r="B8">
        <v>123</v>
      </c>
    </row>
  </sheetData>
  <printOptions horizontalCentered="1"/>
  <pageMargins left="0.39370078740157483" right="0.39370078740157483" top="0.39370078740157483" bottom="0.39370078740157483" header="0.19685039370078741" footer="0.19685039370078741"/>
  <pageSetup paperSize="9" fitToHeight="0" orientation="landscape" r:id="rId2"/>
  <headerFooter alignWithMargins="0">
    <oddHeader>&amp;L&amp;"Calibri"&amp;10&amp;K000000Official&amp;1#</oddHeader>
    <oddFooter>&amp;C&amp;8&amp;P of &amp;N</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8">
    <pageSetUpPr fitToPage="1"/>
  </sheetPr>
  <dimension ref="A1:E8"/>
  <sheetViews>
    <sheetView workbookViewId="0">
      <selection activeCell="B2" sqref="B2"/>
    </sheetView>
  </sheetViews>
  <sheetFormatPr defaultRowHeight="12.75" x14ac:dyDescent="0.2"/>
  <cols>
    <col min="1" max="1" width="22.5703125" bestFit="1" customWidth="1"/>
    <col min="2" max="2" width="17" bestFit="1" customWidth="1"/>
    <col min="3" max="3" width="12.5703125" bestFit="1" customWidth="1"/>
    <col min="4" max="4" width="21.85546875" bestFit="1" customWidth="1"/>
    <col min="5" max="5" width="9.42578125" bestFit="1" customWidth="1"/>
    <col min="6" max="7" width="11.28515625" bestFit="1" customWidth="1"/>
  </cols>
  <sheetData>
    <row r="1" spans="1:5" x14ac:dyDescent="0.2">
      <c r="A1" s="29" t="s">
        <v>269</v>
      </c>
      <c r="B1" t="s">
        <v>327</v>
      </c>
    </row>
    <row r="3" spans="1:5" x14ac:dyDescent="0.2">
      <c r="A3" s="29" t="s">
        <v>2851</v>
      </c>
      <c r="B3" s="29" t="s">
        <v>2854</v>
      </c>
    </row>
    <row r="4" spans="1:5" x14ac:dyDescent="0.2">
      <c r="A4" s="29" t="s">
        <v>2850</v>
      </c>
      <c r="B4" t="s">
        <v>70</v>
      </c>
      <c r="C4" t="s">
        <v>48</v>
      </c>
      <c r="D4" t="s">
        <v>49</v>
      </c>
      <c r="E4" t="s">
        <v>72</v>
      </c>
    </row>
    <row r="5" spans="1:5" x14ac:dyDescent="0.2">
      <c r="A5" s="28" t="s">
        <v>323</v>
      </c>
      <c r="B5">
        <v>17</v>
      </c>
      <c r="C5">
        <v>-5</v>
      </c>
      <c r="D5">
        <v>5</v>
      </c>
    </row>
    <row r="6" spans="1:5" x14ac:dyDescent="0.2">
      <c r="A6" s="28" t="s">
        <v>854</v>
      </c>
      <c r="B6">
        <v>725</v>
      </c>
      <c r="C6">
        <v>15</v>
      </c>
      <c r="D6">
        <v>474</v>
      </c>
      <c r="E6">
        <v>-1</v>
      </c>
    </row>
    <row r="7" spans="1:5" x14ac:dyDescent="0.2">
      <c r="A7" s="28" t="s">
        <v>1216</v>
      </c>
      <c r="B7">
        <v>401</v>
      </c>
      <c r="C7">
        <v>7</v>
      </c>
      <c r="D7">
        <v>17</v>
      </c>
    </row>
    <row r="8" spans="1:5" x14ac:dyDescent="0.2">
      <c r="A8" s="28" t="s">
        <v>2852</v>
      </c>
      <c r="B8">
        <v>1143</v>
      </c>
      <c r="C8">
        <v>17</v>
      </c>
      <c r="D8">
        <v>496</v>
      </c>
      <c r="E8">
        <v>-1</v>
      </c>
    </row>
  </sheetData>
  <printOptions horizontalCentered="1"/>
  <pageMargins left="0.39370078740157483" right="0.39370078740157483" top="0.39370078740157483" bottom="0.39370078740157483" header="0.19685039370078741" footer="0.19685039370078741"/>
  <pageSetup paperSize="9" fitToHeight="0" orientation="landscape" r:id="rId2"/>
  <headerFooter alignWithMargins="0">
    <oddHeader>&amp;L&amp;"Calibri"&amp;10&amp;K000000Official&amp;1#</oddHeader>
    <oddFooter>&amp;C&amp;8&amp;P of &amp;N</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9">
    <pageSetUpPr fitToPage="1"/>
  </sheetPr>
  <dimension ref="A1:F7"/>
  <sheetViews>
    <sheetView workbookViewId="0">
      <selection activeCell="B2" sqref="B2"/>
    </sheetView>
  </sheetViews>
  <sheetFormatPr defaultRowHeight="12.75" x14ac:dyDescent="0.2"/>
  <cols>
    <col min="1" max="1" width="22.5703125" bestFit="1" customWidth="1"/>
    <col min="2" max="2" width="17" bestFit="1" customWidth="1"/>
    <col min="3" max="3" width="12.5703125" bestFit="1" customWidth="1"/>
    <col min="4" max="4" width="21.85546875" bestFit="1" customWidth="1"/>
    <col min="5" max="5" width="9.42578125" bestFit="1" customWidth="1"/>
    <col min="6" max="6" width="11.7109375" bestFit="1" customWidth="1"/>
    <col min="7" max="7" width="11.28515625" bestFit="1" customWidth="1"/>
  </cols>
  <sheetData>
    <row r="1" spans="1:6" x14ac:dyDescent="0.2">
      <c r="A1" s="29" t="s">
        <v>277</v>
      </c>
      <c r="B1" t="s">
        <v>327</v>
      </c>
    </row>
    <row r="3" spans="1:6" x14ac:dyDescent="0.2">
      <c r="A3" s="29" t="s">
        <v>2851</v>
      </c>
      <c r="B3" s="29" t="s">
        <v>2854</v>
      </c>
    </row>
    <row r="4" spans="1:6" x14ac:dyDescent="0.2">
      <c r="A4" s="29" t="s">
        <v>2850</v>
      </c>
      <c r="B4" t="s">
        <v>70</v>
      </c>
      <c r="C4" t="s">
        <v>48</v>
      </c>
      <c r="D4" t="s">
        <v>49</v>
      </c>
      <c r="E4" t="s">
        <v>72</v>
      </c>
      <c r="F4" t="s">
        <v>2852</v>
      </c>
    </row>
    <row r="5" spans="1:6" x14ac:dyDescent="0.2">
      <c r="A5" s="28" t="s">
        <v>323</v>
      </c>
      <c r="B5">
        <v>13</v>
      </c>
      <c r="C5">
        <v>-5</v>
      </c>
      <c r="D5">
        <v>-51</v>
      </c>
      <c r="F5">
        <v>-43</v>
      </c>
    </row>
    <row r="6" spans="1:6" x14ac:dyDescent="0.2">
      <c r="A6" s="28" t="s">
        <v>854</v>
      </c>
      <c r="B6">
        <v>599</v>
      </c>
      <c r="C6">
        <v>58</v>
      </c>
      <c r="D6">
        <v>184</v>
      </c>
      <c r="E6">
        <v>-1</v>
      </c>
      <c r="F6">
        <v>840</v>
      </c>
    </row>
    <row r="7" spans="1:6" x14ac:dyDescent="0.2">
      <c r="A7" s="28" t="s">
        <v>2852</v>
      </c>
      <c r="B7">
        <v>612</v>
      </c>
      <c r="C7">
        <v>53</v>
      </c>
      <c r="D7">
        <v>133</v>
      </c>
      <c r="E7">
        <v>-1</v>
      </c>
      <c r="F7">
        <v>797</v>
      </c>
    </row>
  </sheetData>
  <printOptions horizontalCentered="1"/>
  <pageMargins left="0.39370078740157483" right="0.39370078740157483" top="0.39370078740157483" bottom="0.39370078740157483" header="0.19685039370078741" footer="0.19685039370078741"/>
  <pageSetup paperSize="9" fitToHeight="0" orientation="landscape" r:id="rId2"/>
  <headerFooter alignWithMargins="0">
    <oddHeader>&amp;L&amp;"Calibri"&amp;10&amp;K000000Official&amp;1#</oddHeader>
    <oddFooter>&amp;C&amp;8&amp;P of &amp;N</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0">
    <pageSetUpPr fitToPage="1"/>
  </sheetPr>
  <dimension ref="A1:J7"/>
  <sheetViews>
    <sheetView workbookViewId="0">
      <selection activeCell="J7" sqref="J7"/>
    </sheetView>
  </sheetViews>
  <sheetFormatPr defaultRowHeight="12.75" x14ac:dyDescent="0.2"/>
  <cols>
    <col min="1" max="1" width="33.28515625" bestFit="1" customWidth="1"/>
    <col min="2" max="2" width="17" bestFit="1" customWidth="1"/>
    <col min="3" max="3" width="12.5703125" bestFit="1" customWidth="1"/>
    <col min="4" max="4" width="21.85546875" bestFit="1" customWidth="1"/>
    <col min="5" max="5" width="12.28515625" bestFit="1" customWidth="1"/>
    <col min="6" max="7" width="12.5703125" bestFit="1" customWidth="1"/>
    <col min="8" max="8" width="21.85546875" bestFit="1" customWidth="1"/>
    <col min="9" max="9" width="7.28515625" bestFit="1" customWidth="1"/>
    <col min="10" max="11" width="11.7109375" bestFit="1" customWidth="1"/>
  </cols>
  <sheetData>
    <row r="1" spans="1:10" x14ac:dyDescent="0.2">
      <c r="A1" s="29" t="s">
        <v>264</v>
      </c>
      <c r="B1" t="s">
        <v>327</v>
      </c>
    </row>
    <row r="3" spans="1:10" x14ac:dyDescent="0.2">
      <c r="A3" s="29" t="s">
        <v>2851</v>
      </c>
      <c r="B3" s="29" t="s">
        <v>2854</v>
      </c>
    </row>
    <row r="4" spans="1:10" x14ac:dyDescent="0.2">
      <c r="B4" t="s">
        <v>2859</v>
      </c>
      <c r="E4" t="s">
        <v>2860</v>
      </c>
      <c r="F4" t="s">
        <v>327</v>
      </c>
      <c r="I4" t="s">
        <v>2861</v>
      </c>
      <c r="J4" t="s">
        <v>2852</v>
      </c>
    </row>
    <row r="5" spans="1:10" x14ac:dyDescent="0.2">
      <c r="A5" s="29" t="s">
        <v>2850</v>
      </c>
      <c r="B5" t="s">
        <v>70</v>
      </c>
      <c r="C5" t="s">
        <v>48</v>
      </c>
      <c r="D5" t="s">
        <v>49</v>
      </c>
      <c r="F5" t="s">
        <v>70</v>
      </c>
      <c r="G5" t="s">
        <v>48</v>
      </c>
      <c r="H5" t="s">
        <v>49</v>
      </c>
    </row>
    <row r="6" spans="1:10" x14ac:dyDescent="0.2">
      <c r="A6" s="28" t="s">
        <v>323</v>
      </c>
      <c r="B6">
        <v>387</v>
      </c>
      <c r="C6">
        <v>258</v>
      </c>
      <c r="D6">
        <v>127</v>
      </c>
      <c r="E6">
        <v>772</v>
      </c>
      <c r="F6">
        <v>1309</v>
      </c>
      <c r="G6">
        <v>188</v>
      </c>
      <c r="H6">
        <v>250</v>
      </c>
      <c r="I6">
        <v>1747</v>
      </c>
      <c r="J6">
        <v>2519</v>
      </c>
    </row>
    <row r="7" spans="1:10" x14ac:dyDescent="0.2">
      <c r="A7" s="28" t="s">
        <v>2852</v>
      </c>
      <c r="B7">
        <v>387</v>
      </c>
      <c r="C7">
        <v>258</v>
      </c>
      <c r="D7">
        <v>127</v>
      </c>
      <c r="E7">
        <v>772</v>
      </c>
      <c r="F7">
        <v>1309</v>
      </c>
      <c r="G7">
        <v>188</v>
      </c>
      <c r="H7">
        <v>250</v>
      </c>
      <c r="I7">
        <v>1747</v>
      </c>
      <c r="J7">
        <v>2519</v>
      </c>
    </row>
  </sheetData>
  <printOptions horizontalCentered="1"/>
  <pageMargins left="0.39370078740157483" right="0.39370078740157483" top="0.39370078740157483" bottom="0.39370078740157483" header="0.19685039370078741" footer="0.19685039370078741"/>
  <pageSetup paperSize="9" scale="85" fitToHeight="0" orientation="landscape" r:id="rId2"/>
  <headerFooter alignWithMargins="0">
    <oddHeader>&amp;L&amp;"Calibri"&amp;10&amp;K000000Official&amp;1#</oddHeader>
    <oddFooter>&amp;C&amp;8&amp;P of &amp;N</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1C3554-632E-4240-A601-B9F464053E2F}">
  <sheetPr>
    <pageSetUpPr fitToPage="1"/>
  </sheetPr>
  <dimension ref="A1:E6"/>
  <sheetViews>
    <sheetView workbookViewId="0">
      <selection activeCell="H10" sqref="H10"/>
    </sheetView>
  </sheetViews>
  <sheetFormatPr defaultRowHeight="12.75" x14ac:dyDescent="0.2"/>
  <cols>
    <col min="1" max="1" width="32.7109375" bestFit="1" customWidth="1"/>
    <col min="2" max="2" width="16.5703125" bestFit="1" customWidth="1"/>
    <col min="3" max="3" width="12.28515625" bestFit="1" customWidth="1"/>
    <col min="4" max="4" width="21.28515625" bestFit="1" customWidth="1"/>
    <col min="5" max="5" width="11.28515625" bestFit="1" customWidth="1"/>
    <col min="6" max="7" width="12.5703125" bestFit="1" customWidth="1"/>
    <col min="8" max="8" width="21.85546875" bestFit="1" customWidth="1"/>
    <col min="9" max="9" width="7.28515625" bestFit="1" customWidth="1"/>
    <col min="10" max="11" width="11.7109375" bestFit="1" customWidth="1"/>
  </cols>
  <sheetData>
    <row r="1" spans="1:5" x14ac:dyDescent="0.2">
      <c r="A1" s="29" t="s">
        <v>264</v>
      </c>
      <c r="B1" t="s">
        <v>327</v>
      </c>
    </row>
    <row r="3" spans="1:5" x14ac:dyDescent="0.2">
      <c r="A3" s="29" t="s">
        <v>2856</v>
      </c>
      <c r="B3" s="29" t="s">
        <v>2854</v>
      </c>
    </row>
    <row r="4" spans="1:5" x14ac:dyDescent="0.2">
      <c r="A4" s="29" t="s">
        <v>2850</v>
      </c>
      <c r="B4" t="s">
        <v>70</v>
      </c>
      <c r="C4" t="s">
        <v>48</v>
      </c>
      <c r="D4" t="s">
        <v>49</v>
      </c>
      <c r="E4" t="s">
        <v>2852</v>
      </c>
    </row>
    <row r="5" spans="1:5" x14ac:dyDescent="0.2">
      <c r="A5" s="28" t="s">
        <v>323</v>
      </c>
      <c r="B5">
        <v>1769</v>
      </c>
      <c r="C5">
        <v>454</v>
      </c>
      <c r="D5">
        <v>496</v>
      </c>
      <c r="E5">
        <v>2719</v>
      </c>
    </row>
    <row r="6" spans="1:5" x14ac:dyDescent="0.2">
      <c r="A6" s="28" t="s">
        <v>2852</v>
      </c>
      <c r="B6">
        <v>1769</v>
      </c>
      <c r="C6">
        <v>454</v>
      </c>
      <c r="D6">
        <v>496</v>
      </c>
      <c r="E6">
        <v>2719</v>
      </c>
    </row>
  </sheetData>
  <printOptions horizontalCentered="1"/>
  <pageMargins left="0.39370078740157483" right="0.39370078740157483" top="0.39370078740157483" bottom="0.39370078740157483" header="0.19685039370078741" footer="0.19685039370078741"/>
  <pageSetup paperSize="9" scale="85" fitToHeight="0" orientation="landscape" r:id="rId2"/>
  <headerFooter alignWithMargins="0">
    <oddHeader>&amp;L&amp;"Calibri"&amp;10&amp;K000000Official&amp;1#</oddHeader>
    <oddFooter>&amp;C&amp;8&amp;P of &amp;N</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45FD6C-D2E3-424A-B845-944EB8C26B45}">
  <sheetPr>
    <pageSetUpPr fitToPage="1"/>
  </sheetPr>
  <dimension ref="A1:H8"/>
  <sheetViews>
    <sheetView workbookViewId="0">
      <selection activeCell="A7" sqref="A7"/>
    </sheetView>
  </sheetViews>
  <sheetFormatPr defaultRowHeight="12.75" x14ac:dyDescent="0.2"/>
  <cols>
    <col min="1" max="7" width="32.7109375" bestFit="1" customWidth="1"/>
    <col min="8" max="8" width="27.140625" bestFit="1" customWidth="1"/>
  </cols>
  <sheetData>
    <row r="1" spans="1:8" x14ac:dyDescent="0.2">
      <c r="A1" s="29" t="s">
        <v>269</v>
      </c>
      <c r="B1" t="s">
        <v>327</v>
      </c>
    </row>
    <row r="2" spans="1:8" x14ac:dyDescent="0.2">
      <c r="A2" s="29" t="s">
        <v>264</v>
      </c>
      <c r="B2" t="s">
        <v>327</v>
      </c>
    </row>
    <row r="4" spans="1:8" x14ac:dyDescent="0.2">
      <c r="A4" s="29" t="s">
        <v>2854</v>
      </c>
    </row>
    <row r="5" spans="1:8" x14ac:dyDescent="0.2">
      <c r="A5" t="s">
        <v>70</v>
      </c>
      <c r="C5" t="s">
        <v>48</v>
      </c>
      <c r="E5" t="s">
        <v>49</v>
      </c>
      <c r="G5" t="s">
        <v>2857</v>
      </c>
      <c r="H5" t="s">
        <v>2858</v>
      </c>
    </row>
    <row r="6" spans="1:8" x14ac:dyDescent="0.2">
      <c r="A6" t="s">
        <v>2856</v>
      </c>
      <c r="B6" t="s">
        <v>2851</v>
      </c>
      <c r="C6" t="s">
        <v>2856</v>
      </c>
      <c r="D6" t="s">
        <v>2851</v>
      </c>
      <c r="E6" t="s">
        <v>2856</v>
      </c>
      <c r="F6" t="s">
        <v>2851</v>
      </c>
    </row>
    <row r="7" spans="1:8" x14ac:dyDescent="0.2">
      <c r="A7">
        <v>929</v>
      </c>
      <c r="B7">
        <v>929</v>
      </c>
      <c r="C7">
        <v>18</v>
      </c>
      <c r="D7">
        <v>10</v>
      </c>
      <c r="E7">
        <v>542</v>
      </c>
      <c r="F7">
        <v>479</v>
      </c>
      <c r="G7">
        <v>1489</v>
      </c>
      <c r="H7">
        <v>1418</v>
      </c>
    </row>
    <row r="8" spans="1:8" x14ac:dyDescent="0.2">
      <c r="F8" s="268"/>
    </row>
  </sheetData>
  <printOptions horizontalCentered="1"/>
  <pageMargins left="0.39370078740157483" right="0.39370078740157483" top="0.39370078740157483" bottom="0.39370078740157483" header="0.19685039370078741" footer="0.19685039370078741"/>
  <pageSetup paperSize="9" fitToHeight="0" orientation="landscape" r:id="rId2"/>
  <headerFooter alignWithMargins="0">
    <oddHeader>&amp;L&amp;"Calibri"&amp;10&amp;K000000Official&amp;1#</oddHeader>
    <oddFooter>&amp;C&amp;8&amp;P of &amp;N</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3">
    <pageSetUpPr fitToPage="1"/>
  </sheetPr>
  <dimension ref="A1:K9"/>
  <sheetViews>
    <sheetView workbookViewId="0">
      <selection activeCell="B4" sqref="B4:B7"/>
    </sheetView>
  </sheetViews>
  <sheetFormatPr defaultRowHeight="12.75" x14ac:dyDescent="0.2"/>
  <cols>
    <col min="1" max="1" width="15.85546875" bestFit="1" customWidth="1"/>
    <col min="2" max="2" width="22.5703125" bestFit="1" customWidth="1"/>
    <col min="3" max="3" width="12.5703125" bestFit="1" customWidth="1"/>
    <col min="4" max="4" width="21.85546875" bestFit="1" customWidth="1"/>
    <col min="5" max="5" width="11.7109375" bestFit="1" customWidth="1"/>
    <col min="6" max="7" width="12.5703125" bestFit="1" customWidth="1"/>
    <col min="8" max="8" width="21.85546875" bestFit="1" customWidth="1"/>
    <col min="9" max="9" width="7.28515625" bestFit="1" customWidth="1"/>
    <col min="10" max="10" width="11.7109375" bestFit="1" customWidth="1"/>
  </cols>
  <sheetData>
    <row r="1" spans="1:11" x14ac:dyDescent="0.2">
      <c r="A1" s="29" t="s">
        <v>69</v>
      </c>
      <c r="B1" t="s">
        <v>323</v>
      </c>
    </row>
    <row r="3" spans="1:11" x14ac:dyDescent="0.2">
      <c r="A3" s="29" t="s">
        <v>2850</v>
      </c>
      <c r="B3" t="s">
        <v>2851</v>
      </c>
    </row>
    <row r="4" spans="1:11" x14ac:dyDescent="0.2">
      <c r="A4" s="28" t="s">
        <v>140</v>
      </c>
      <c r="B4">
        <v>8</v>
      </c>
    </row>
    <row r="5" spans="1:11" x14ac:dyDescent="0.2">
      <c r="A5" s="28" t="s">
        <v>141</v>
      </c>
      <c r="B5">
        <v>7</v>
      </c>
      <c r="K5" s="29"/>
    </row>
    <row r="6" spans="1:11" x14ac:dyDescent="0.2">
      <c r="A6" s="28" t="s">
        <v>142</v>
      </c>
      <c r="B6">
        <v>-19</v>
      </c>
    </row>
    <row r="7" spans="1:11" x14ac:dyDescent="0.2">
      <c r="A7" s="28" t="s">
        <v>143</v>
      </c>
      <c r="B7">
        <v>13</v>
      </c>
    </row>
    <row r="8" spans="1:11" x14ac:dyDescent="0.2">
      <c r="A8" s="28" t="s">
        <v>2859</v>
      </c>
      <c r="B8">
        <v>2653</v>
      </c>
    </row>
    <row r="9" spans="1:11" x14ac:dyDescent="0.2">
      <c r="A9" s="28" t="s">
        <v>2852</v>
      </c>
      <c r="B9">
        <v>2662</v>
      </c>
    </row>
  </sheetData>
  <printOptions horizontalCentered="1"/>
  <pageMargins left="0.39370078740157483" right="0.39370078740157483" top="0.39370078740157483" bottom="0.39370078740157483" header="0.19685039370078741" footer="0.19685039370078741"/>
  <pageSetup paperSize="9" scale="89" fitToHeight="0" orientation="landscape" r:id="rId2"/>
  <headerFooter alignWithMargins="0">
    <oddHeader>&amp;L&amp;"Calibri"&amp;10&amp;K000000Official&amp;1#</oddHeader>
    <oddFooter>&amp;C&amp;8&amp;P of &amp;N</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4">
    <pageSetUpPr fitToPage="1"/>
  </sheetPr>
  <dimension ref="A1:B4"/>
  <sheetViews>
    <sheetView workbookViewId="0">
      <selection activeCell="A3" sqref="A3"/>
    </sheetView>
  </sheetViews>
  <sheetFormatPr defaultRowHeight="12.75" x14ac:dyDescent="0.2"/>
  <cols>
    <col min="1" max="1" width="22.5703125" bestFit="1" customWidth="1"/>
    <col min="2" max="2" width="15.140625" bestFit="1" customWidth="1"/>
  </cols>
  <sheetData>
    <row r="1" spans="1:2" x14ac:dyDescent="0.2">
      <c r="A1" s="29" t="s">
        <v>69</v>
      </c>
      <c r="B1" t="s">
        <v>323</v>
      </c>
    </row>
    <row r="3" spans="1:2" x14ac:dyDescent="0.2">
      <c r="A3" t="s">
        <v>2851</v>
      </c>
    </row>
    <row r="4" spans="1:2" x14ac:dyDescent="0.2">
      <c r="A4">
        <v>2662</v>
      </c>
    </row>
  </sheetData>
  <printOptions horizontalCentered="1"/>
  <pageMargins left="0.39370078740157483" right="0.39370078740157483" top="0.39370078740157483" bottom="0.39370078740157483" header="0.19685039370078741" footer="0.19685039370078741"/>
  <pageSetup paperSize="9" fitToHeight="0" orientation="landscape" r:id="rId2"/>
  <headerFooter alignWithMargins="0">
    <oddHeader>&amp;L&amp;"Calibri"&amp;10&amp;K000000Official&amp;1#</oddHeader>
    <oddFooter>&amp;C&amp;8&amp;P of &amp;N</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E787D1-73E7-48F7-871B-E6424369D289}">
  <sheetPr>
    <pageSetUpPr fitToPage="1"/>
  </sheetPr>
  <dimension ref="A2:B14"/>
  <sheetViews>
    <sheetView workbookViewId="0">
      <selection activeCell="A6" sqref="A6"/>
    </sheetView>
  </sheetViews>
  <sheetFormatPr defaultRowHeight="12.75" x14ac:dyDescent="0.2"/>
  <cols>
    <col min="1" max="1" width="57" bestFit="1" customWidth="1"/>
    <col min="2" max="2" width="22.5703125" bestFit="1" customWidth="1"/>
  </cols>
  <sheetData>
    <row r="2" spans="1:2" x14ac:dyDescent="0.2">
      <c r="A2" s="29" t="s">
        <v>69</v>
      </c>
      <c r="B2" t="s">
        <v>323</v>
      </c>
    </row>
    <row r="4" spans="1:2" x14ac:dyDescent="0.2">
      <c r="A4" s="29" t="s">
        <v>2850</v>
      </c>
      <c r="B4" t="s">
        <v>2851</v>
      </c>
    </row>
    <row r="5" spans="1:2" x14ac:dyDescent="0.2">
      <c r="A5" s="28" t="s">
        <v>359</v>
      </c>
      <c r="B5">
        <v>313</v>
      </c>
    </row>
    <row r="6" spans="1:2" x14ac:dyDescent="0.2">
      <c r="A6" s="28" t="s">
        <v>142</v>
      </c>
      <c r="B6">
        <v>-12</v>
      </c>
    </row>
    <row r="7" spans="1:2" x14ac:dyDescent="0.2">
      <c r="A7" s="28" t="s">
        <v>408</v>
      </c>
      <c r="B7">
        <v>94</v>
      </c>
    </row>
    <row r="8" spans="1:2" x14ac:dyDescent="0.2">
      <c r="A8" s="28" t="s">
        <v>463</v>
      </c>
      <c r="B8">
        <v>562</v>
      </c>
    </row>
    <row r="9" spans="1:2" x14ac:dyDescent="0.2">
      <c r="A9" s="28" t="s">
        <v>149</v>
      </c>
      <c r="B9">
        <v>1747</v>
      </c>
    </row>
    <row r="10" spans="1:2" x14ac:dyDescent="0.2">
      <c r="A10" s="28" t="s">
        <v>148</v>
      </c>
      <c r="B10">
        <v>-68</v>
      </c>
    </row>
    <row r="11" spans="1:2" x14ac:dyDescent="0.2">
      <c r="A11" s="28" t="s">
        <v>151</v>
      </c>
      <c r="B11">
        <v>17</v>
      </c>
    </row>
    <row r="12" spans="1:2" x14ac:dyDescent="0.2">
      <c r="A12" s="28" t="s">
        <v>141</v>
      </c>
      <c r="B12">
        <v>8</v>
      </c>
    </row>
    <row r="13" spans="1:2" x14ac:dyDescent="0.2">
      <c r="A13" s="28" t="s">
        <v>150</v>
      </c>
      <c r="B13">
        <v>1</v>
      </c>
    </row>
    <row r="14" spans="1:2" x14ac:dyDescent="0.2">
      <c r="A14" s="28" t="s">
        <v>2852</v>
      </c>
      <c r="B14">
        <v>2662</v>
      </c>
    </row>
  </sheetData>
  <printOptions horizontalCentered="1"/>
  <pageMargins left="0.39370078740157483" right="0.39370078740157483" top="0.39370078740157483" bottom="0.39370078740157483" header="0.19685039370078741" footer="0.19685039370078741"/>
  <pageSetup paperSize="9" fitToHeight="0" orientation="landscape" r:id="rId2"/>
  <headerFooter alignWithMargins="0">
    <oddHeader>&amp;L&amp;"Calibri"&amp;10&amp;K000000Official&amp;1#</oddHeader>
    <oddFooter>&amp;C&amp;8&amp;P of &amp;N</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32">
    <pageSetUpPr fitToPage="1"/>
  </sheetPr>
  <dimension ref="A1:E25"/>
  <sheetViews>
    <sheetView workbookViewId="0">
      <selection activeCell="B6" sqref="B6:B7"/>
    </sheetView>
  </sheetViews>
  <sheetFormatPr defaultRowHeight="12.75" x14ac:dyDescent="0.2"/>
  <cols>
    <col min="1" max="1" width="24" bestFit="1" customWidth="1"/>
    <col min="2" max="2" width="17" bestFit="1" customWidth="1"/>
    <col min="3" max="3" width="21.140625" bestFit="1" customWidth="1"/>
    <col min="4" max="5" width="11.7109375" bestFit="1" customWidth="1"/>
    <col min="6" max="6" width="11.7109375" customWidth="1"/>
  </cols>
  <sheetData>
    <row r="1" spans="1:5" x14ac:dyDescent="0.2">
      <c r="A1" s="29" t="s">
        <v>2851</v>
      </c>
      <c r="B1" s="29" t="s">
        <v>2854</v>
      </c>
    </row>
    <row r="2" spans="1:5" x14ac:dyDescent="0.2">
      <c r="A2" s="29" t="s">
        <v>2850</v>
      </c>
      <c r="B2" t="s">
        <v>323</v>
      </c>
      <c r="C2" t="s">
        <v>854</v>
      </c>
      <c r="D2" t="s">
        <v>1216</v>
      </c>
      <c r="E2" t="s">
        <v>2852</v>
      </c>
    </row>
    <row r="3" spans="1:5" x14ac:dyDescent="0.2">
      <c r="A3" s="28" t="s">
        <v>139</v>
      </c>
      <c r="B3">
        <v>8</v>
      </c>
      <c r="C3">
        <v>13</v>
      </c>
      <c r="D3">
        <v>30</v>
      </c>
      <c r="E3">
        <v>51</v>
      </c>
    </row>
    <row r="4" spans="1:5" x14ac:dyDescent="0.2">
      <c r="A4" s="28" t="s">
        <v>160</v>
      </c>
      <c r="B4">
        <v>2</v>
      </c>
      <c r="C4">
        <v>148</v>
      </c>
      <c r="D4">
        <v>131</v>
      </c>
      <c r="E4">
        <v>281</v>
      </c>
    </row>
    <row r="5" spans="1:5" x14ac:dyDescent="0.2">
      <c r="A5" s="28" t="s">
        <v>161</v>
      </c>
      <c r="B5">
        <v>3</v>
      </c>
      <c r="C5">
        <v>50</v>
      </c>
      <c r="D5">
        <v>56</v>
      </c>
      <c r="E5">
        <v>109</v>
      </c>
    </row>
    <row r="6" spans="1:5" x14ac:dyDescent="0.2">
      <c r="A6" s="28" t="s">
        <v>162</v>
      </c>
      <c r="B6">
        <v>1</v>
      </c>
      <c r="C6">
        <v>137</v>
      </c>
      <c r="D6">
        <v>1681</v>
      </c>
      <c r="E6">
        <v>1819</v>
      </c>
    </row>
    <row r="7" spans="1:5" x14ac:dyDescent="0.2">
      <c r="A7" s="28" t="s">
        <v>163</v>
      </c>
      <c r="B7">
        <v>20</v>
      </c>
      <c r="C7">
        <v>56</v>
      </c>
      <c r="D7">
        <v>60</v>
      </c>
      <c r="E7">
        <v>136</v>
      </c>
    </row>
    <row r="8" spans="1:5" x14ac:dyDescent="0.2">
      <c r="A8" s="28" t="s">
        <v>164</v>
      </c>
      <c r="B8">
        <v>-73</v>
      </c>
      <c r="C8">
        <v>328</v>
      </c>
      <c r="D8">
        <v>10</v>
      </c>
      <c r="E8">
        <v>265</v>
      </c>
    </row>
    <row r="9" spans="1:5" x14ac:dyDescent="0.2">
      <c r="A9" s="28" t="s">
        <v>149</v>
      </c>
      <c r="B9">
        <v>1747</v>
      </c>
      <c r="C9">
        <v>2514</v>
      </c>
      <c r="D9">
        <v>3416</v>
      </c>
      <c r="E9">
        <v>7677</v>
      </c>
    </row>
    <row r="10" spans="1:5" x14ac:dyDescent="0.2">
      <c r="A10" s="28" t="s">
        <v>165</v>
      </c>
      <c r="B10">
        <v>6</v>
      </c>
      <c r="C10">
        <v>17</v>
      </c>
      <c r="D10">
        <v>10</v>
      </c>
      <c r="E10">
        <v>33</v>
      </c>
    </row>
    <row r="11" spans="1:5" x14ac:dyDescent="0.2">
      <c r="A11" s="28" t="s">
        <v>166</v>
      </c>
      <c r="B11">
        <v>7</v>
      </c>
      <c r="C11">
        <v>64</v>
      </c>
      <c r="D11">
        <v>800</v>
      </c>
      <c r="E11">
        <v>871</v>
      </c>
    </row>
    <row r="12" spans="1:5" x14ac:dyDescent="0.2">
      <c r="A12" s="28" t="s">
        <v>167</v>
      </c>
      <c r="B12">
        <v>5</v>
      </c>
      <c r="C12">
        <v>78</v>
      </c>
      <c r="D12">
        <v>15</v>
      </c>
      <c r="E12">
        <v>98</v>
      </c>
    </row>
    <row r="13" spans="1:5" x14ac:dyDescent="0.2">
      <c r="A13" s="28" t="s">
        <v>168</v>
      </c>
      <c r="B13">
        <v>6</v>
      </c>
      <c r="C13">
        <v>6</v>
      </c>
      <c r="D13">
        <v>61</v>
      </c>
      <c r="E13">
        <v>73</v>
      </c>
    </row>
    <row r="14" spans="1:5" x14ac:dyDescent="0.2">
      <c r="A14" s="28" t="s">
        <v>169</v>
      </c>
      <c r="B14">
        <v>6</v>
      </c>
      <c r="C14">
        <v>11</v>
      </c>
      <c r="D14">
        <v>47</v>
      </c>
      <c r="E14">
        <v>64</v>
      </c>
    </row>
    <row r="15" spans="1:5" x14ac:dyDescent="0.2">
      <c r="A15" s="28" t="s">
        <v>170</v>
      </c>
      <c r="B15">
        <v>643</v>
      </c>
      <c r="C15">
        <v>523</v>
      </c>
      <c r="D15">
        <v>242</v>
      </c>
      <c r="E15">
        <v>1408</v>
      </c>
    </row>
    <row r="16" spans="1:5" x14ac:dyDescent="0.2">
      <c r="A16" s="28" t="s">
        <v>171</v>
      </c>
      <c r="B16">
        <v>31</v>
      </c>
      <c r="C16">
        <v>10</v>
      </c>
      <c r="D16">
        <v>154</v>
      </c>
      <c r="E16">
        <v>195</v>
      </c>
    </row>
    <row r="17" spans="1:5" x14ac:dyDescent="0.2">
      <c r="A17" s="28" t="s">
        <v>172</v>
      </c>
      <c r="B17">
        <v>-39</v>
      </c>
      <c r="C17">
        <v>11</v>
      </c>
      <c r="D17">
        <v>29</v>
      </c>
      <c r="E17">
        <v>1</v>
      </c>
    </row>
    <row r="18" spans="1:5" x14ac:dyDescent="0.2">
      <c r="A18" s="28" t="s">
        <v>173</v>
      </c>
      <c r="B18">
        <v>36</v>
      </c>
      <c r="C18">
        <v>68</v>
      </c>
      <c r="D18">
        <v>129</v>
      </c>
      <c r="E18">
        <v>233</v>
      </c>
    </row>
    <row r="19" spans="1:5" x14ac:dyDescent="0.2">
      <c r="A19" s="28" t="s">
        <v>174</v>
      </c>
      <c r="B19">
        <v>-3</v>
      </c>
      <c r="C19">
        <v>20</v>
      </c>
      <c r="D19">
        <v>11</v>
      </c>
      <c r="E19">
        <v>28</v>
      </c>
    </row>
    <row r="20" spans="1:5" x14ac:dyDescent="0.2">
      <c r="A20" s="28" t="s">
        <v>175</v>
      </c>
      <c r="B20">
        <v>18</v>
      </c>
      <c r="C20">
        <v>195</v>
      </c>
      <c r="D20">
        <v>466</v>
      </c>
      <c r="E20">
        <v>679</v>
      </c>
    </row>
    <row r="21" spans="1:5" x14ac:dyDescent="0.2">
      <c r="A21" s="28" t="s">
        <v>176</v>
      </c>
      <c r="B21">
        <v>215</v>
      </c>
      <c r="C21">
        <v>370</v>
      </c>
      <c r="D21">
        <v>93</v>
      </c>
      <c r="E21">
        <v>678</v>
      </c>
    </row>
    <row r="22" spans="1:5" x14ac:dyDescent="0.2">
      <c r="A22" s="28" t="s">
        <v>177</v>
      </c>
      <c r="B22">
        <v>20</v>
      </c>
      <c r="C22">
        <v>58</v>
      </c>
      <c r="D22">
        <v>536</v>
      </c>
      <c r="E22">
        <v>614</v>
      </c>
    </row>
    <row r="23" spans="1:5" x14ac:dyDescent="0.2">
      <c r="A23" s="28" t="s">
        <v>178</v>
      </c>
      <c r="B23">
        <v>1</v>
      </c>
      <c r="C23">
        <v>19</v>
      </c>
      <c r="D23">
        <v>27</v>
      </c>
      <c r="E23">
        <v>47</v>
      </c>
    </row>
    <row r="24" spans="1:5" x14ac:dyDescent="0.2">
      <c r="A24" s="28" t="s">
        <v>179</v>
      </c>
      <c r="B24">
        <v>2</v>
      </c>
      <c r="C24">
        <v>5</v>
      </c>
      <c r="D24">
        <v>40</v>
      </c>
      <c r="E24">
        <v>47</v>
      </c>
    </row>
    <row r="25" spans="1:5" x14ac:dyDescent="0.2">
      <c r="A25" s="28" t="s">
        <v>2852</v>
      </c>
      <c r="B25">
        <v>2662</v>
      </c>
      <c r="C25">
        <v>4701</v>
      </c>
      <c r="D25">
        <v>8044</v>
      </c>
      <c r="E25">
        <v>15407</v>
      </c>
    </row>
  </sheetData>
  <printOptions horizontalCentered="1"/>
  <pageMargins left="0.39370078740157483" right="0.39370078740157483" top="0.39370078740157483" bottom="0.39370078740157483" header="0.19685039370078741" footer="0.19685039370078741"/>
  <pageSetup paperSize="9" fitToHeight="0" orientation="landscape" r:id="rId2"/>
  <headerFooter alignWithMargins="0">
    <oddHeader>&amp;L&amp;"Calibri"&amp;10&amp;K000000Official&amp;1#</oddHeader>
    <oddFooter>&amp;C&amp;8&amp;P of &amp;N</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33">
    <pageSetUpPr fitToPage="1"/>
  </sheetPr>
  <dimension ref="A1:P6"/>
  <sheetViews>
    <sheetView topLeftCell="E1" workbookViewId="0">
      <selection activeCell="B6" sqref="B6:B7"/>
    </sheetView>
  </sheetViews>
  <sheetFormatPr defaultRowHeight="12.75" x14ac:dyDescent="0.2"/>
  <cols>
    <col min="1" max="1" width="22.5703125" bestFit="1" customWidth="1"/>
    <col min="2" max="2" width="17" bestFit="1" customWidth="1"/>
    <col min="3" max="3" width="12.5703125" bestFit="1" customWidth="1"/>
    <col min="4" max="4" width="21.85546875" bestFit="1" customWidth="1"/>
    <col min="5" max="5" width="17" bestFit="1" customWidth="1"/>
    <col min="6" max="6" width="23.140625" bestFit="1" customWidth="1"/>
    <col min="7" max="7" width="12.5703125" bestFit="1" customWidth="1"/>
    <col min="8" max="8" width="21.85546875" bestFit="1" customWidth="1"/>
    <col min="9" max="9" width="9.42578125" bestFit="1" customWidth="1"/>
    <col min="10" max="10" width="26.5703125" bestFit="1" customWidth="1"/>
    <col min="11" max="11" width="16.140625" bestFit="1" customWidth="1"/>
    <col min="12" max="12" width="12.5703125" bestFit="1" customWidth="1"/>
    <col min="13" max="13" width="21.85546875" bestFit="1" customWidth="1"/>
    <col min="14" max="14" width="19.42578125" bestFit="1" customWidth="1"/>
    <col min="15" max="15" width="11.7109375" bestFit="1" customWidth="1"/>
    <col min="16" max="16" width="11.7109375" customWidth="1"/>
  </cols>
  <sheetData>
    <row r="1" spans="1:16" x14ac:dyDescent="0.2">
      <c r="A1" s="29" t="s">
        <v>2851</v>
      </c>
      <c r="B1" s="29" t="s">
        <v>2854</v>
      </c>
    </row>
    <row r="2" spans="1:16" x14ac:dyDescent="0.2">
      <c r="B2" t="s">
        <v>1216</v>
      </c>
      <c r="E2" t="s">
        <v>2862</v>
      </c>
      <c r="F2" t="s">
        <v>854</v>
      </c>
      <c r="J2" t="s">
        <v>2863</v>
      </c>
      <c r="K2" t="s">
        <v>323</v>
      </c>
      <c r="N2" t="s">
        <v>2864</v>
      </c>
      <c r="O2" t="s">
        <v>2852</v>
      </c>
      <c r="P2" s="29"/>
    </row>
    <row r="3" spans="1:16" x14ac:dyDescent="0.2">
      <c r="A3" s="29" t="s">
        <v>2850</v>
      </c>
      <c r="B3" t="s">
        <v>48</v>
      </c>
      <c r="C3" t="s">
        <v>70</v>
      </c>
      <c r="D3" t="s">
        <v>49</v>
      </c>
      <c r="F3" t="s">
        <v>48</v>
      </c>
      <c r="G3" t="s">
        <v>70</v>
      </c>
      <c r="H3" t="s">
        <v>49</v>
      </c>
      <c r="I3" t="s">
        <v>72</v>
      </c>
      <c r="K3" t="s">
        <v>48</v>
      </c>
      <c r="L3" t="s">
        <v>70</v>
      </c>
      <c r="M3" t="s">
        <v>49</v>
      </c>
    </row>
    <row r="4" spans="1:16" x14ac:dyDescent="0.2">
      <c r="A4" s="28" t="s">
        <v>327</v>
      </c>
      <c r="B4">
        <v>528</v>
      </c>
      <c r="C4">
        <v>2572</v>
      </c>
      <c r="D4">
        <v>319</v>
      </c>
      <c r="E4">
        <v>3419</v>
      </c>
      <c r="F4">
        <v>30</v>
      </c>
      <c r="G4">
        <v>2317</v>
      </c>
      <c r="H4">
        <v>254</v>
      </c>
      <c r="I4">
        <v>0</v>
      </c>
      <c r="J4">
        <v>2601</v>
      </c>
      <c r="K4">
        <v>188</v>
      </c>
      <c r="L4">
        <v>1309</v>
      </c>
      <c r="M4">
        <v>250</v>
      </c>
      <c r="N4">
        <v>1747</v>
      </c>
      <c r="O4">
        <v>7767</v>
      </c>
    </row>
    <row r="5" spans="1:16" x14ac:dyDescent="0.2">
      <c r="A5" s="28" t="s">
        <v>2859</v>
      </c>
      <c r="B5">
        <v>553</v>
      </c>
      <c r="C5">
        <v>3854</v>
      </c>
      <c r="D5">
        <v>218</v>
      </c>
      <c r="E5">
        <v>4625</v>
      </c>
      <c r="F5">
        <v>227</v>
      </c>
      <c r="G5">
        <v>1425</v>
      </c>
      <c r="H5">
        <v>449</v>
      </c>
      <c r="I5">
        <v>-1</v>
      </c>
      <c r="J5">
        <v>2100</v>
      </c>
      <c r="K5">
        <v>258</v>
      </c>
      <c r="L5">
        <v>529</v>
      </c>
      <c r="M5">
        <v>128</v>
      </c>
      <c r="N5">
        <v>915</v>
      </c>
      <c r="O5">
        <v>7640</v>
      </c>
    </row>
    <row r="6" spans="1:16" x14ac:dyDescent="0.2">
      <c r="A6" s="28" t="s">
        <v>2852</v>
      </c>
      <c r="B6">
        <v>1081</v>
      </c>
      <c r="C6">
        <v>6426</v>
      </c>
      <c r="D6">
        <v>537</v>
      </c>
      <c r="E6">
        <v>8044</v>
      </c>
      <c r="F6">
        <v>257</v>
      </c>
      <c r="G6">
        <v>3742</v>
      </c>
      <c r="H6">
        <v>703</v>
      </c>
      <c r="I6">
        <v>-1</v>
      </c>
      <c r="J6">
        <v>4701</v>
      </c>
      <c r="K6">
        <v>446</v>
      </c>
      <c r="L6">
        <v>1838</v>
      </c>
      <c r="M6">
        <v>378</v>
      </c>
      <c r="N6">
        <v>2662</v>
      </c>
      <c r="O6">
        <v>15407</v>
      </c>
    </row>
  </sheetData>
  <printOptions horizontalCentered="1"/>
  <pageMargins left="0.39370078740157483" right="0.39370078740157483" top="0.39370078740157483" bottom="0.39370078740157483" header="0.19685039370078741" footer="0.19685039370078741"/>
  <pageSetup paperSize="9" scale="46" fitToHeight="0" orientation="landscape" r:id="rId2"/>
  <headerFooter alignWithMargins="0">
    <oddHeader>&amp;L&amp;"Calibri"&amp;10&amp;K000000Official&amp;1#</oddHeader>
    <oddFooter>&amp;C&amp;8&amp;P of &amp;N</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34">
    <pageSetUpPr fitToPage="1"/>
  </sheetPr>
  <dimension ref="A1:I9"/>
  <sheetViews>
    <sheetView workbookViewId="0">
      <selection activeCell="B6" sqref="B6:B7"/>
    </sheetView>
  </sheetViews>
  <sheetFormatPr defaultRowHeight="12.75" x14ac:dyDescent="0.2"/>
  <cols>
    <col min="1" max="1" width="31.7109375" bestFit="1" customWidth="1"/>
    <col min="2" max="2" width="22.5703125" bestFit="1" customWidth="1"/>
    <col min="3" max="3" width="22.85546875" bestFit="1" customWidth="1"/>
    <col min="4" max="7" width="22.140625" bestFit="1" customWidth="1"/>
    <col min="8" max="8" width="23.28515625" bestFit="1" customWidth="1"/>
    <col min="9" max="24" width="31.28515625" bestFit="1" customWidth="1"/>
    <col min="25" max="25" width="27.85546875" bestFit="1" customWidth="1"/>
    <col min="26" max="26" width="28.140625" bestFit="1" customWidth="1"/>
    <col min="27" max="30" width="27.42578125" bestFit="1" customWidth="1"/>
    <col min="31" max="31" width="28.5703125" bestFit="1" customWidth="1"/>
    <col min="32" max="33" width="36.5703125" bestFit="1" customWidth="1"/>
  </cols>
  <sheetData>
    <row r="1" spans="1:9" x14ac:dyDescent="0.2">
      <c r="A1" s="29" t="s">
        <v>69</v>
      </c>
      <c r="B1" t="s">
        <v>323</v>
      </c>
    </row>
    <row r="2" spans="1:9" x14ac:dyDescent="0.2">
      <c r="A2" s="29" t="s">
        <v>273</v>
      </c>
      <c r="B2" t="s">
        <v>2855</v>
      </c>
    </row>
    <row r="3" spans="1:9" x14ac:dyDescent="0.2">
      <c r="A3" s="29" t="s">
        <v>274</v>
      </c>
      <c r="B3" t="s">
        <v>2855</v>
      </c>
    </row>
    <row r="5" spans="1:9" x14ac:dyDescent="0.2">
      <c r="A5" s="29" t="s">
        <v>2850</v>
      </c>
      <c r="B5" t="s">
        <v>2851</v>
      </c>
      <c r="C5" t="s">
        <v>2865</v>
      </c>
      <c r="D5" t="s">
        <v>2866</v>
      </c>
      <c r="E5" t="s">
        <v>2867</v>
      </c>
      <c r="F5" t="s">
        <v>2868</v>
      </c>
      <c r="G5" t="s">
        <v>2869</v>
      </c>
      <c r="H5" t="s">
        <v>2870</v>
      </c>
      <c r="I5" t="s">
        <v>2871</v>
      </c>
    </row>
    <row r="6" spans="1:9" x14ac:dyDescent="0.2">
      <c r="A6" s="28" t="s">
        <v>48</v>
      </c>
      <c r="B6">
        <v>440</v>
      </c>
      <c r="C6">
        <v>0</v>
      </c>
      <c r="D6">
        <v>161</v>
      </c>
      <c r="E6">
        <v>277</v>
      </c>
      <c r="F6">
        <v>10</v>
      </c>
      <c r="G6">
        <v>0</v>
      </c>
      <c r="H6">
        <v>0</v>
      </c>
      <c r="I6">
        <v>-8</v>
      </c>
    </row>
    <row r="7" spans="1:9" x14ac:dyDescent="0.2">
      <c r="A7" s="28" t="s">
        <v>70</v>
      </c>
      <c r="B7">
        <v>1734</v>
      </c>
      <c r="C7">
        <v>164</v>
      </c>
      <c r="D7">
        <v>416</v>
      </c>
      <c r="E7">
        <v>859</v>
      </c>
      <c r="F7">
        <v>255</v>
      </c>
      <c r="G7">
        <v>36</v>
      </c>
      <c r="H7">
        <v>4</v>
      </c>
      <c r="I7">
        <v>0</v>
      </c>
    </row>
    <row r="8" spans="1:9" x14ac:dyDescent="0.2">
      <c r="A8" s="28" t="s">
        <v>49</v>
      </c>
      <c r="B8">
        <v>385</v>
      </c>
      <c r="C8">
        <v>1</v>
      </c>
      <c r="D8">
        <v>132</v>
      </c>
      <c r="E8">
        <v>170</v>
      </c>
      <c r="F8">
        <v>102</v>
      </c>
      <c r="G8">
        <v>43</v>
      </c>
      <c r="H8">
        <v>0</v>
      </c>
      <c r="I8">
        <v>-63</v>
      </c>
    </row>
    <row r="9" spans="1:9" x14ac:dyDescent="0.2">
      <c r="A9" s="28" t="s">
        <v>2852</v>
      </c>
      <c r="B9">
        <v>2559</v>
      </c>
      <c r="C9">
        <v>165</v>
      </c>
      <c r="D9">
        <v>709</v>
      </c>
      <c r="E9">
        <v>1306</v>
      </c>
      <c r="F9">
        <v>367</v>
      </c>
      <c r="G9">
        <v>79</v>
      </c>
      <c r="H9">
        <v>4</v>
      </c>
      <c r="I9">
        <v>-71</v>
      </c>
    </row>
  </sheetData>
  <printOptions horizontalCentered="1"/>
  <pageMargins left="0.39370078740157483" right="0.39370078740157483" top="0.39370078740157483" bottom="0.39370078740157483" header="0.19685039370078741" footer="0.19685039370078741"/>
  <pageSetup paperSize="9" scale="64" fitToHeight="0" orientation="landscape" r:id="rId2"/>
  <headerFooter alignWithMargins="0">
    <oddHeader>&amp;L&amp;"Calibri"&amp;10&amp;K000000Official&amp;1#</oddHeader>
    <oddFooter>&amp;C&amp;8&amp;P of &amp;N</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35">
    <pageSetUpPr fitToPage="1"/>
  </sheetPr>
  <dimension ref="A1:I9"/>
  <sheetViews>
    <sheetView workbookViewId="0">
      <selection activeCell="B6" sqref="B6:B7"/>
    </sheetView>
  </sheetViews>
  <sheetFormatPr defaultRowHeight="12.75" x14ac:dyDescent="0.2"/>
  <cols>
    <col min="1" max="1" width="31.7109375" bestFit="1" customWidth="1"/>
    <col min="2" max="2" width="22.5703125" bestFit="1" customWidth="1"/>
    <col min="3" max="3" width="22.85546875" bestFit="1" customWidth="1"/>
    <col min="4" max="7" width="22.140625" bestFit="1" customWidth="1"/>
    <col min="8" max="8" width="23.28515625" bestFit="1" customWidth="1"/>
    <col min="9" max="9" width="31.28515625" bestFit="1" customWidth="1"/>
  </cols>
  <sheetData>
    <row r="1" spans="1:9" x14ac:dyDescent="0.2">
      <c r="A1" s="29" t="s">
        <v>69</v>
      </c>
      <c r="B1" t="s">
        <v>2855</v>
      </c>
    </row>
    <row r="2" spans="1:9" x14ac:dyDescent="0.2">
      <c r="A2" s="29" t="s">
        <v>273</v>
      </c>
      <c r="B2" t="s">
        <v>2855</v>
      </c>
    </row>
    <row r="3" spans="1:9" x14ac:dyDescent="0.2">
      <c r="A3" s="29" t="s">
        <v>274</v>
      </c>
      <c r="B3" t="s">
        <v>2855</v>
      </c>
    </row>
    <row r="5" spans="1:9" x14ac:dyDescent="0.2">
      <c r="A5" s="29" t="s">
        <v>2850</v>
      </c>
      <c r="B5" t="s">
        <v>2851</v>
      </c>
      <c r="C5" t="s">
        <v>2865</v>
      </c>
      <c r="D5" t="s">
        <v>2866</v>
      </c>
      <c r="E5" t="s">
        <v>2867</v>
      </c>
      <c r="F5" t="s">
        <v>2868</v>
      </c>
      <c r="G5" t="s">
        <v>2869</v>
      </c>
      <c r="H5" t="s">
        <v>2870</v>
      </c>
      <c r="I5" t="s">
        <v>2871</v>
      </c>
    </row>
    <row r="6" spans="1:9" x14ac:dyDescent="0.2">
      <c r="A6" s="28" t="s">
        <v>48</v>
      </c>
      <c r="B6">
        <v>1339</v>
      </c>
      <c r="C6">
        <v>18</v>
      </c>
      <c r="D6">
        <v>423</v>
      </c>
      <c r="E6">
        <v>521</v>
      </c>
      <c r="F6">
        <v>147</v>
      </c>
      <c r="G6">
        <v>16</v>
      </c>
      <c r="H6">
        <v>0</v>
      </c>
      <c r="I6">
        <v>214</v>
      </c>
    </row>
    <row r="7" spans="1:9" x14ac:dyDescent="0.2">
      <c r="A7" s="28" t="s">
        <v>70</v>
      </c>
      <c r="B7">
        <v>9471</v>
      </c>
      <c r="C7">
        <v>456</v>
      </c>
      <c r="D7">
        <v>2444</v>
      </c>
      <c r="E7">
        <v>3494</v>
      </c>
      <c r="F7">
        <v>1109</v>
      </c>
      <c r="G7">
        <v>98</v>
      </c>
      <c r="H7">
        <v>170</v>
      </c>
      <c r="I7">
        <v>1700</v>
      </c>
    </row>
    <row r="8" spans="1:9" x14ac:dyDescent="0.2">
      <c r="A8" s="28" t="s">
        <v>49</v>
      </c>
      <c r="B8">
        <v>1239</v>
      </c>
      <c r="C8">
        <v>-93</v>
      </c>
      <c r="D8">
        <v>255</v>
      </c>
      <c r="E8">
        <v>267</v>
      </c>
      <c r="F8">
        <v>199</v>
      </c>
      <c r="G8">
        <v>65</v>
      </c>
      <c r="H8">
        <v>2</v>
      </c>
      <c r="I8">
        <v>544</v>
      </c>
    </row>
    <row r="9" spans="1:9" x14ac:dyDescent="0.2">
      <c r="A9" s="28" t="s">
        <v>2852</v>
      </c>
      <c r="B9">
        <v>12049</v>
      </c>
      <c r="C9">
        <v>381</v>
      </c>
      <c r="D9">
        <v>3122</v>
      </c>
      <c r="E9">
        <v>4282</v>
      </c>
      <c r="F9">
        <v>1455</v>
      </c>
      <c r="G9">
        <v>179</v>
      </c>
      <c r="H9">
        <v>172</v>
      </c>
      <c r="I9">
        <v>2458</v>
      </c>
    </row>
  </sheetData>
  <printOptions horizontalCentered="1"/>
  <pageMargins left="0.39370078740157483" right="0.39370078740157483" top="0.39370078740157483" bottom="0.39370078740157483" header="0.19685039370078741" footer="0.19685039370078741"/>
  <pageSetup paperSize="9" scale="64" fitToHeight="0" orientation="landscape" r:id="rId2"/>
  <headerFooter alignWithMargins="0">
    <oddHeader>&amp;L&amp;"Calibri"&amp;10&amp;K000000Official&amp;1#</oddHeader>
    <oddFooter>&amp;C&amp;8&amp;P of &amp;N</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36">
    <pageSetUpPr fitToPage="1"/>
  </sheetPr>
  <dimension ref="A1:N9"/>
  <sheetViews>
    <sheetView workbookViewId="0">
      <selection activeCell="B6" sqref="B6:B7"/>
    </sheetView>
  </sheetViews>
  <sheetFormatPr defaultRowHeight="12.75" x14ac:dyDescent="0.2"/>
  <cols>
    <col min="1" max="1" width="28.28515625" bestFit="1" customWidth="1"/>
    <col min="2" max="2" width="17" bestFit="1" customWidth="1"/>
    <col min="3" max="4" width="3" bestFit="1" customWidth="1"/>
    <col min="5" max="5" width="3.140625" bestFit="1" customWidth="1"/>
    <col min="6" max="6" width="2.140625" bestFit="1" customWidth="1"/>
    <col min="7" max="9" width="3" bestFit="1" customWidth="1"/>
    <col min="10" max="10" width="2.140625" bestFit="1" customWidth="1"/>
    <col min="11" max="12" width="3" bestFit="1" customWidth="1"/>
    <col min="13" max="13" width="5" bestFit="1" customWidth="1"/>
    <col min="14" max="14" width="11.7109375" bestFit="1" customWidth="1"/>
    <col min="15" max="15" width="11.7109375" customWidth="1"/>
    <col min="16" max="16" width="22.5703125" customWidth="1"/>
    <col min="17" max="17" width="28.28515625" customWidth="1"/>
    <col min="18" max="18" width="22.5703125" bestFit="1" customWidth="1"/>
    <col min="19" max="19" width="28.28515625" bestFit="1" customWidth="1"/>
    <col min="20" max="20" width="22.5703125" bestFit="1" customWidth="1"/>
    <col min="21" max="21" width="28.28515625" bestFit="1" customWidth="1"/>
    <col min="22" max="22" width="22.5703125" bestFit="1" customWidth="1"/>
    <col min="23" max="23" width="28.28515625" bestFit="1" customWidth="1"/>
    <col min="24" max="24" width="22.5703125" bestFit="1" customWidth="1"/>
    <col min="25" max="25" width="28.28515625" bestFit="1" customWidth="1"/>
    <col min="26" max="26" width="22.5703125" bestFit="1" customWidth="1"/>
    <col min="27" max="27" width="28.28515625" bestFit="1" customWidth="1"/>
    <col min="28" max="28" width="27.85546875" bestFit="1" customWidth="1"/>
    <col min="29" max="29" width="33.5703125" bestFit="1" customWidth="1"/>
  </cols>
  <sheetData>
    <row r="1" spans="1:14" x14ac:dyDescent="0.2">
      <c r="A1" s="29" t="s">
        <v>69</v>
      </c>
      <c r="B1" t="s">
        <v>323</v>
      </c>
    </row>
    <row r="3" spans="1:14" x14ac:dyDescent="0.2">
      <c r="A3" s="29" t="s">
        <v>2856</v>
      </c>
      <c r="B3" s="29" t="s">
        <v>2854</v>
      </c>
    </row>
    <row r="4" spans="1:14" x14ac:dyDescent="0.2">
      <c r="A4" s="29" t="s">
        <v>2850</v>
      </c>
      <c r="B4" t="s">
        <v>16</v>
      </c>
      <c r="C4" t="s">
        <v>18</v>
      </c>
      <c r="D4" t="s">
        <v>351</v>
      </c>
      <c r="E4" t="s">
        <v>399</v>
      </c>
      <c r="F4" t="s">
        <v>23</v>
      </c>
      <c r="G4" t="s">
        <v>26</v>
      </c>
      <c r="H4" t="s">
        <v>29</v>
      </c>
      <c r="I4" t="s">
        <v>32</v>
      </c>
      <c r="J4" t="s">
        <v>35</v>
      </c>
      <c r="K4" t="s">
        <v>413</v>
      </c>
      <c r="L4" t="s">
        <v>363</v>
      </c>
      <c r="M4" t="s">
        <v>334</v>
      </c>
      <c r="N4" t="s">
        <v>2852</v>
      </c>
    </row>
    <row r="5" spans="1:14" x14ac:dyDescent="0.2">
      <c r="A5" s="28" t="s">
        <v>334</v>
      </c>
      <c r="B5">
        <v>25</v>
      </c>
      <c r="C5">
        <v>16</v>
      </c>
      <c r="D5">
        <v>14</v>
      </c>
      <c r="E5">
        <v>33</v>
      </c>
      <c r="F5">
        <v>2</v>
      </c>
      <c r="G5">
        <v>15</v>
      </c>
      <c r="H5">
        <v>29</v>
      </c>
      <c r="I5">
        <v>31</v>
      </c>
      <c r="J5">
        <v>0</v>
      </c>
      <c r="K5">
        <v>43</v>
      </c>
      <c r="L5">
        <v>58</v>
      </c>
      <c r="M5">
        <v>0</v>
      </c>
      <c r="N5">
        <v>266</v>
      </c>
    </row>
    <row r="6" spans="1:14" x14ac:dyDescent="0.2">
      <c r="A6" s="28" t="s">
        <v>343</v>
      </c>
      <c r="B6">
        <v>0</v>
      </c>
      <c r="C6">
        <v>0</v>
      </c>
      <c r="D6">
        <v>0</v>
      </c>
      <c r="E6">
        <v>0</v>
      </c>
      <c r="F6">
        <v>0</v>
      </c>
      <c r="G6">
        <v>0</v>
      </c>
      <c r="H6">
        <v>0</v>
      </c>
      <c r="I6">
        <v>0</v>
      </c>
      <c r="J6">
        <v>0</v>
      </c>
      <c r="K6">
        <v>0</v>
      </c>
      <c r="L6">
        <v>0</v>
      </c>
      <c r="M6">
        <v>2671</v>
      </c>
      <c r="N6">
        <v>2671</v>
      </c>
    </row>
    <row r="7" spans="1:14" x14ac:dyDescent="0.2">
      <c r="A7" s="28" t="s">
        <v>333</v>
      </c>
      <c r="B7">
        <v>0</v>
      </c>
      <c r="C7">
        <v>0</v>
      </c>
      <c r="D7">
        <v>0</v>
      </c>
      <c r="E7">
        <v>0</v>
      </c>
      <c r="F7">
        <v>0</v>
      </c>
      <c r="G7">
        <v>0</v>
      </c>
      <c r="H7">
        <v>0</v>
      </c>
      <c r="I7">
        <v>0</v>
      </c>
      <c r="J7">
        <v>0</v>
      </c>
      <c r="K7">
        <v>0</v>
      </c>
      <c r="L7">
        <v>0</v>
      </c>
      <c r="M7">
        <v>48</v>
      </c>
      <c r="N7">
        <v>48</v>
      </c>
    </row>
    <row r="8" spans="1:14" x14ac:dyDescent="0.2">
      <c r="A8" s="28" t="s">
        <v>852</v>
      </c>
      <c r="B8">
        <v>0</v>
      </c>
      <c r="C8">
        <v>0</v>
      </c>
      <c r="D8">
        <v>0</v>
      </c>
      <c r="E8">
        <v>0</v>
      </c>
      <c r="F8">
        <v>0</v>
      </c>
      <c r="G8">
        <v>0</v>
      </c>
      <c r="H8">
        <v>0</v>
      </c>
      <c r="I8">
        <v>0</v>
      </c>
      <c r="J8">
        <v>0</v>
      </c>
      <c r="K8">
        <v>0</v>
      </c>
      <c r="L8">
        <v>0</v>
      </c>
      <c r="M8">
        <v>0</v>
      </c>
      <c r="N8">
        <v>0</v>
      </c>
    </row>
    <row r="9" spans="1:14" x14ac:dyDescent="0.2">
      <c r="A9" s="28" t="s">
        <v>2852</v>
      </c>
      <c r="B9">
        <v>25</v>
      </c>
      <c r="C9">
        <v>16</v>
      </c>
      <c r="D9">
        <v>14</v>
      </c>
      <c r="E9">
        <v>33</v>
      </c>
      <c r="F9">
        <v>2</v>
      </c>
      <c r="G9">
        <v>15</v>
      </c>
      <c r="H9">
        <v>29</v>
      </c>
      <c r="I9">
        <v>31</v>
      </c>
      <c r="J9">
        <v>0</v>
      </c>
      <c r="K9">
        <v>43</v>
      </c>
      <c r="L9">
        <v>58</v>
      </c>
      <c r="M9">
        <v>2719</v>
      </c>
      <c r="N9">
        <v>2985</v>
      </c>
    </row>
  </sheetData>
  <printOptions horizontalCentered="1"/>
  <pageMargins left="0.39370078740157483" right="0.39370078740157483" top="0.39370078740157483" bottom="0.39370078740157483" header="0.19685039370078741" footer="0.19685039370078741"/>
  <pageSetup paperSize="9" fitToHeight="0" orientation="landscape" r:id="rId2"/>
  <headerFooter alignWithMargins="0">
    <oddHeader>&amp;L&amp;"Calibri"&amp;10&amp;K000000Official&amp;1#</oddHeader>
    <oddFooter>&amp;C&amp;8&amp;P of &amp;N</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37">
    <pageSetUpPr fitToPage="1"/>
  </sheetPr>
  <dimension ref="A1:O10"/>
  <sheetViews>
    <sheetView workbookViewId="0">
      <selection activeCell="B6" sqref="B6:B7"/>
    </sheetView>
  </sheetViews>
  <sheetFormatPr defaultRowHeight="12.75" x14ac:dyDescent="0.2"/>
  <cols>
    <col min="1" max="1" width="28.28515625" bestFit="1" customWidth="1"/>
    <col min="2" max="2" width="17" bestFit="1" customWidth="1"/>
    <col min="3" max="3" width="3" bestFit="1" customWidth="1"/>
    <col min="4" max="4" width="2.5703125" bestFit="1" customWidth="1"/>
    <col min="5" max="5" width="4" bestFit="1" customWidth="1"/>
    <col min="6" max="6" width="2.140625" bestFit="1" customWidth="1"/>
    <col min="7" max="7" width="3" bestFit="1" customWidth="1"/>
    <col min="8" max="8" width="4" bestFit="1" customWidth="1"/>
    <col min="9" max="9" width="3" bestFit="1" customWidth="1"/>
    <col min="10" max="11" width="2.140625" bestFit="1" customWidth="1"/>
    <col min="12" max="12" width="2.7109375" bestFit="1" customWidth="1"/>
    <col min="13" max="14" width="4" bestFit="1" customWidth="1"/>
    <col min="15" max="15" width="11.7109375" bestFit="1" customWidth="1"/>
    <col min="16" max="16" width="22.5703125" bestFit="1" customWidth="1"/>
    <col min="17" max="17" width="28.28515625" bestFit="1" customWidth="1"/>
    <col min="18" max="18" width="22.5703125" bestFit="1" customWidth="1"/>
    <col min="19" max="19" width="28.28515625" bestFit="1" customWidth="1"/>
    <col min="20" max="20" width="22.5703125" bestFit="1" customWidth="1"/>
    <col min="21" max="21" width="28.28515625" bestFit="1" customWidth="1"/>
    <col min="22" max="22" width="22.5703125" bestFit="1" customWidth="1"/>
    <col min="23" max="23" width="28.28515625" bestFit="1" customWidth="1"/>
    <col min="24" max="24" width="22.5703125" bestFit="1" customWidth="1"/>
    <col min="25" max="25" width="28.28515625" bestFit="1" customWidth="1"/>
    <col min="26" max="26" width="27.85546875" bestFit="1" customWidth="1"/>
    <col min="27" max="27" width="33.5703125" bestFit="1" customWidth="1"/>
  </cols>
  <sheetData>
    <row r="1" spans="1:15" x14ac:dyDescent="0.2">
      <c r="A1" s="29" t="s">
        <v>69</v>
      </c>
      <c r="B1" t="s">
        <v>2855</v>
      </c>
    </row>
    <row r="3" spans="1:15" x14ac:dyDescent="0.2">
      <c r="A3" s="29" t="s">
        <v>2856</v>
      </c>
      <c r="B3" s="29" t="s">
        <v>2854</v>
      </c>
    </row>
    <row r="4" spans="1:15" x14ac:dyDescent="0.2">
      <c r="A4" s="29" t="s">
        <v>2850</v>
      </c>
      <c r="B4" t="s">
        <v>16</v>
      </c>
      <c r="C4" t="s">
        <v>18</v>
      </c>
      <c r="D4" t="s">
        <v>351</v>
      </c>
      <c r="E4" t="s">
        <v>399</v>
      </c>
      <c r="F4" t="s">
        <v>23</v>
      </c>
      <c r="G4" t="s">
        <v>26</v>
      </c>
      <c r="H4" t="s">
        <v>29</v>
      </c>
      <c r="I4" t="s">
        <v>32</v>
      </c>
      <c r="J4" t="s">
        <v>35</v>
      </c>
      <c r="K4" t="s">
        <v>2156</v>
      </c>
      <c r="L4" t="s">
        <v>1851</v>
      </c>
      <c r="M4" t="s">
        <v>413</v>
      </c>
      <c r="N4" t="s">
        <v>334</v>
      </c>
      <c r="O4" t="s">
        <v>2852</v>
      </c>
    </row>
    <row r="5" spans="1:15" x14ac:dyDescent="0.2">
      <c r="A5" s="28" t="s">
        <v>491</v>
      </c>
      <c r="B5">
        <v>0</v>
      </c>
      <c r="C5">
        <v>0</v>
      </c>
      <c r="D5">
        <v>0</v>
      </c>
      <c r="E5">
        <v>0</v>
      </c>
      <c r="F5">
        <v>0</v>
      </c>
      <c r="G5">
        <v>0</v>
      </c>
      <c r="H5">
        <v>0</v>
      </c>
      <c r="I5">
        <v>0</v>
      </c>
      <c r="J5">
        <v>0</v>
      </c>
      <c r="K5">
        <v>0</v>
      </c>
      <c r="L5">
        <v>0</v>
      </c>
      <c r="M5">
        <v>0</v>
      </c>
      <c r="N5">
        <v>24</v>
      </c>
      <c r="O5">
        <v>24</v>
      </c>
    </row>
    <row r="6" spans="1:15" x14ac:dyDescent="0.2">
      <c r="A6" s="28" t="s">
        <v>1307</v>
      </c>
      <c r="B6">
        <v>0</v>
      </c>
      <c r="C6">
        <v>0</v>
      </c>
      <c r="D6">
        <v>0</v>
      </c>
      <c r="E6">
        <v>0</v>
      </c>
      <c r="F6">
        <v>0</v>
      </c>
      <c r="G6">
        <v>0</v>
      </c>
      <c r="H6">
        <v>0</v>
      </c>
      <c r="I6">
        <v>0</v>
      </c>
      <c r="J6">
        <v>0</v>
      </c>
      <c r="K6">
        <v>0</v>
      </c>
      <c r="L6">
        <v>0</v>
      </c>
      <c r="M6">
        <v>0</v>
      </c>
      <c r="N6">
        <v>9</v>
      </c>
      <c r="O6">
        <v>9</v>
      </c>
    </row>
    <row r="7" spans="1:15" x14ac:dyDescent="0.2">
      <c r="A7" s="28" t="s">
        <v>334</v>
      </c>
      <c r="B7">
        <v>97</v>
      </c>
      <c r="C7">
        <v>30</v>
      </c>
      <c r="D7">
        <v>8</v>
      </c>
      <c r="E7">
        <v>115</v>
      </c>
      <c r="F7">
        <v>3</v>
      </c>
      <c r="G7">
        <v>86</v>
      </c>
      <c r="H7">
        <v>107</v>
      </c>
      <c r="I7">
        <v>63</v>
      </c>
      <c r="J7">
        <v>1</v>
      </c>
      <c r="K7">
        <v>1</v>
      </c>
      <c r="L7">
        <v>0</v>
      </c>
      <c r="M7">
        <v>266</v>
      </c>
      <c r="N7">
        <v>0</v>
      </c>
      <c r="O7">
        <v>777</v>
      </c>
    </row>
    <row r="8" spans="1:15" x14ac:dyDescent="0.2">
      <c r="A8" s="28" t="s">
        <v>931</v>
      </c>
      <c r="B8">
        <v>0</v>
      </c>
      <c r="C8">
        <v>0</v>
      </c>
      <c r="D8">
        <v>0</v>
      </c>
      <c r="E8">
        <v>0</v>
      </c>
      <c r="F8">
        <v>0</v>
      </c>
      <c r="G8">
        <v>0</v>
      </c>
      <c r="H8">
        <v>0</v>
      </c>
      <c r="I8">
        <v>0</v>
      </c>
      <c r="J8">
        <v>0</v>
      </c>
      <c r="K8">
        <v>0</v>
      </c>
      <c r="L8">
        <v>0</v>
      </c>
      <c r="M8">
        <v>0</v>
      </c>
      <c r="N8">
        <v>41</v>
      </c>
      <c r="O8">
        <v>41</v>
      </c>
    </row>
    <row r="9" spans="1:15" x14ac:dyDescent="0.2">
      <c r="A9" s="28" t="s">
        <v>333</v>
      </c>
      <c r="B9">
        <v>0</v>
      </c>
      <c r="C9">
        <v>0</v>
      </c>
      <c r="D9">
        <v>0</v>
      </c>
      <c r="E9">
        <v>0</v>
      </c>
      <c r="F9">
        <v>0</v>
      </c>
      <c r="G9">
        <v>0</v>
      </c>
      <c r="H9">
        <v>0</v>
      </c>
      <c r="I9">
        <v>0</v>
      </c>
      <c r="J9">
        <v>0</v>
      </c>
      <c r="K9">
        <v>0</v>
      </c>
      <c r="L9">
        <v>0</v>
      </c>
      <c r="M9">
        <v>0</v>
      </c>
      <c r="N9">
        <v>124</v>
      </c>
      <c r="O9">
        <v>124</v>
      </c>
    </row>
    <row r="10" spans="1:15" x14ac:dyDescent="0.2">
      <c r="A10" s="28" t="s">
        <v>2852</v>
      </c>
      <c r="B10">
        <v>97</v>
      </c>
      <c r="C10">
        <v>30</v>
      </c>
      <c r="D10">
        <v>8</v>
      </c>
      <c r="E10">
        <v>115</v>
      </c>
      <c r="F10">
        <v>3</v>
      </c>
      <c r="G10">
        <v>86</v>
      </c>
      <c r="H10">
        <v>107</v>
      </c>
      <c r="I10">
        <v>63</v>
      </c>
      <c r="J10">
        <v>1</v>
      </c>
      <c r="K10">
        <v>1</v>
      </c>
      <c r="L10">
        <v>0</v>
      </c>
      <c r="M10">
        <v>266</v>
      </c>
      <c r="N10">
        <v>198</v>
      </c>
      <c r="O10">
        <v>975</v>
      </c>
    </row>
  </sheetData>
  <printOptions horizontalCentered="1"/>
  <pageMargins left="0.39370078740157483" right="0.39370078740157483" top="0.39370078740157483" bottom="0.39370078740157483" header="0.19685039370078741" footer="0.19685039370078741"/>
  <pageSetup paperSize="9" fitToHeight="0" orientation="landscape" r:id="rId2"/>
  <headerFooter alignWithMargins="0">
    <oddHeader>&amp;L&amp;"Calibri"&amp;10&amp;K000000Official&amp;1#</oddHeader>
    <oddFooter>&amp;C&amp;8&amp;P of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40F3BBB9790784C8BCA740A553ADA9E" ma:contentTypeVersion="15" ma:contentTypeDescription="Create a new document." ma:contentTypeScope="" ma:versionID="6760b76207b4f56ede922ffd949c100f">
  <xsd:schema xmlns:xsd="http://www.w3.org/2001/XMLSchema" xmlns:xs="http://www.w3.org/2001/XMLSchema" xmlns:p="http://schemas.microsoft.com/office/2006/metadata/properties" xmlns:ns2="25170e01-b109-40f9-a371-003a1bb8801d" xmlns:ns3="38a809ab-bf8d-4391-94ea-7f25297ee6a0" targetNamespace="http://schemas.microsoft.com/office/2006/metadata/properties" ma:root="true" ma:fieldsID="393e0dcfeae27d24f9a97c0f2d9867e6" ns2:_="" ns3:_="">
    <xsd:import namespace="25170e01-b109-40f9-a371-003a1bb8801d"/>
    <xsd:import namespace="38a809ab-bf8d-4391-94ea-7f25297ee6a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ServiceSearchProperties" minOccurs="0"/>
                <xsd:element ref="ns2:MediaServiceObjectDetectorVersion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5170e01-b109-40f9-a371-003a1bb8801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8084b5b8-5c41-402a-93b7-1e2a455a0556"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8a809ab-bf8d-4391-94ea-7f25297ee6a0"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4" nillable="true" ma:displayName="Taxonomy Catch All Column" ma:hidden="true" ma:list="{2260c01d-42e7-4b84-bc03-4968ce729ac0}" ma:internalName="TaxCatchAll" ma:showField="CatchAllData" ma:web="38a809ab-bf8d-4391-94ea-7f25297ee6a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38a809ab-bf8d-4391-94ea-7f25297ee6a0" xsi:nil="true"/>
    <lcf76f155ced4ddcb4097134ff3c332f xmlns="25170e01-b109-40f9-a371-003a1bb8801d">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8C95DE7D-83C3-4726-9E66-FEA136E4E7A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5170e01-b109-40f9-a371-003a1bb8801d"/>
    <ds:schemaRef ds:uri="38a809ab-bf8d-4391-94ea-7f25297ee6a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BD5A266-F31C-415D-8AE0-F86F8AA0083F}">
  <ds:schemaRefs>
    <ds:schemaRef ds:uri="http://schemas.microsoft.com/sharepoint/v3/contenttype/forms"/>
  </ds:schemaRefs>
</ds:datastoreItem>
</file>

<file path=customXml/itemProps3.xml><?xml version="1.0" encoding="utf-8"?>
<ds:datastoreItem xmlns:ds="http://schemas.openxmlformats.org/officeDocument/2006/customXml" ds:itemID="{50B4E707-8E11-487C-9A3C-1153652112CD}">
  <ds:schemaRefs>
    <ds:schemaRef ds:uri="http://purl.org/dc/terms/"/>
    <ds:schemaRef ds:uri="http://schemas.microsoft.com/office/2006/documentManagement/types"/>
    <ds:schemaRef ds:uri="25170e01-b109-40f9-a371-003a1bb8801d"/>
    <ds:schemaRef ds:uri="http://schemas.openxmlformats.org/package/2006/metadata/core-properties"/>
    <ds:schemaRef ds:uri="http://purl.org/dc/elements/1.1/"/>
    <ds:schemaRef ds:uri="http://schemas.microsoft.com/office/infopath/2007/PartnerControls"/>
    <ds:schemaRef ds:uri="http://schemas.microsoft.com/office/2006/metadata/properties"/>
    <ds:schemaRef ds:uri="38a809ab-bf8d-4391-94ea-7f25297ee6a0"/>
    <ds:schemaRef ds:uri="http://www.w3.org/XML/1998/namespace"/>
    <ds:schemaRef ds:uri="http://purl.org/dc/dcmitype/"/>
  </ds:schemaRefs>
</ds:datastoreItem>
</file>

<file path=docMetadata/LabelInfo.xml><?xml version="1.0" encoding="utf-8"?>
<clbl:labelList xmlns:clbl="http://schemas.microsoft.com/office/2020/mipLabelMetadata">
  <clbl:label id="{763da656-5c75-4f6d-9461-4a3ce9a537cc}" enabled="1" method="Standard" siteId="{d9d3f5ac-f803-49be-949f-14a7074d74a7}"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35</vt:i4>
      </vt:variant>
      <vt:variant>
        <vt:lpstr>Named Ranges</vt:lpstr>
      </vt:variant>
      <vt:variant>
        <vt:i4>6</vt:i4>
      </vt:variant>
    </vt:vector>
  </HeadingPairs>
  <TitlesOfParts>
    <vt:vector size="41" baseType="lpstr">
      <vt:lpstr>Summary Tables</vt:lpstr>
      <vt:lpstr>Housing Trajectory</vt:lpstr>
      <vt:lpstr>Notes and Key Highlights</vt:lpstr>
      <vt:lpstr>Conventional Supply</vt:lpstr>
      <vt:lpstr>Non-Self-Contained Supply</vt:lpstr>
      <vt:lpstr>Conventional Supply Assumptions</vt:lpstr>
      <vt:lpstr>Non-Self-Contained Assumptions</vt:lpstr>
      <vt:lpstr>Abbreviations</vt:lpstr>
      <vt:lpstr>1a Conv</vt:lpstr>
      <vt:lpstr>1a NSC</vt:lpstr>
      <vt:lpstr>1d</vt:lpstr>
      <vt:lpstr>2 NB</vt:lpstr>
      <vt:lpstr>2 CON</vt:lpstr>
      <vt:lpstr>3</vt:lpstr>
      <vt:lpstr>4</vt:lpstr>
      <vt:lpstr>5 Perm</vt:lpstr>
      <vt:lpstr>5 Star</vt:lpstr>
      <vt:lpstr>6 PeNB</vt:lpstr>
      <vt:lpstr>6 PeCO</vt:lpstr>
      <vt:lpstr>6 StNB</vt:lpstr>
      <vt:lpstr>6 StCO</vt:lpstr>
      <vt:lpstr>7 Perm</vt:lpstr>
      <vt:lpstr>7 Star</vt:lpstr>
      <vt:lpstr>8b and 8c</vt:lpstr>
      <vt:lpstr>8e</vt:lpstr>
      <vt:lpstr>11b</vt:lpstr>
      <vt:lpstr>12</vt:lpstr>
      <vt:lpstr>13</vt:lpstr>
      <vt:lpstr>13 Spatial areas</vt:lpstr>
      <vt:lpstr>14</vt:lpstr>
      <vt:lpstr>15</vt:lpstr>
      <vt:lpstr>16</vt:lpstr>
      <vt:lpstr>17</vt:lpstr>
      <vt:lpstr>18</vt:lpstr>
      <vt:lpstr>19</vt:lpstr>
      <vt:lpstr>Abbreviations!Print_Area</vt:lpstr>
      <vt:lpstr>'Housing Trajectory'!Print_Area</vt:lpstr>
      <vt:lpstr>'Non-Self-Contained Assumptions'!Print_Area</vt:lpstr>
      <vt:lpstr>'Summary Tables'!Print_Area</vt:lpstr>
      <vt:lpstr>'Conventional Supply'!Print_Titles</vt:lpstr>
      <vt:lpstr>'Non-Self-Contained Assumptions'!Print_Titles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2017-11-01T14:41:40Z</dcterms:created>
  <dcterms:modified xsi:type="dcterms:W3CDTF">2025-01-17T09:17:57Z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0x010100A40F3BBB9790784C8BCA740A553ADA9E</vt:lpwstr>
  </property>
  <property fmtid="{D5CDD505-2E9C-101B-9397-08002B2CF9AE}" pid="3" name="Order">
    <vt:r8>100</vt:r8>
  </property>
  <property fmtid="{D5CDD505-2E9C-101B-9397-08002B2CF9AE}" pid="4" name="_dlc_DocIdItemGuid">
    <vt:lpwstr>e793b6f3-8a9b-4add-a848-31075631822e</vt:lpwstr>
  </property>
  <property fmtid="{D5CDD505-2E9C-101B-9397-08002B2CF9AE}" pid="5" name="MSIP_Label_763da656-5c75-4f6d-9461-4a3ce9a537cc_Enabled">
    <vt:lpwstr>true</vt:lpwstr>
  </property>
  <property fmtid="{D5CDD505-2E9C-101B-9397-08002B2CF9AE}" pid="6" name="MSIP_Label_763da656-5c75-4f6d-9461-4a3ce9a537cc_SetDate">
    <vt:lpwstr>2022-01-24T12:00:54Z</vt:lpwstr>
  </property>
  <property fmtid="{D5CDD505-2E9C-101B-9397-08002B2CF9AE}" pid="7" name="MSIP_Label_763da656-5c75-4f6d-9461-4a3ce9a537cc_Method">
    <vt:lpwstr>Standard</vt:lpwstr>
  </property>
  <property fmtid="{D5CDD505-2E9C-101B-9397-08002B2CF9AE}" pid="8" name="MSIP_Label_763da656-5c75-4f6d-9461-4a3ce9a537cc_Name">
    <vt:lpwstr>763da656-5c75-4f6d-9461-4a3ce9a537cc</vt:lpwstr>
  </property>
  <property fmtid="{D5CDD505-2E9C-101B-9397-08002B2CF9AE}" pid="9" name="MSIP_Label_763da656-5c75-4f6d-9461-4a3ce9a537cc_SiteId">
    <vt:lpwstr>d9d3f5ac-f803-49be-949f-14a7074d74a7</vt:lpwstr>
  </property>
  <property fmtid="{D5CDD505-2E9C-101B-9397-08002B2CF9AE}" pid="10" name="MSIP_Label_763da656-5c75-4f6d-9461-4a3ce9a537cc_ActionId">
    <vt:lpwstr>7ed46ebd-b4d8-4f9e-aef6-a7c4b69ea0ef</vt:lpwstr>
  </property>
  <property fmtid="{D5CDD505-2E9C-101B-9397-08002B2CF9AE}" pid="11" name="MSIP_Label_763da656-5c75-4f6d-9461-4a3ce9a537cc_ContentBits">
    <vt:lpwstr>1</vt:lpwstr>
  </property>
  <property fmtid="{D5CDD505-2E9C-101B-9397-08002B2CF9AE}" pid="12" name="MediaServiceImageTags">
    <vt:lpwstr/>
  </property>
</Properties>
</file>